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ixa.sharepoint.com/sites/Arquivos8056/Documentos Compartilhados/GERIS/Release_e_Demonstrações/2026/1T26/Doctos. Finais/CAIXA Seguridade/Planilhas/"/>
    </mc:Choice>
  </mc:AlternateContent>
  <xr:revisionPtr revIDLastSave="1208" documentId="8_{86210C9B-0ECC-4554-BB31-E621E4AC9336}" xr6:coauthVersionLast="47" xr6:coauthVersionMax="47" xr10:uidLastSave="{814B249C-14CD-4555-A369-D935D994E84F}"/>
  <bookViews>
    <workbookView showSheetTabs="0" xWindow="-120" yWindow="-120" windowWidth="24240" windowHeight="13020" tabRatio="648" xr2:uid="{E5F450F1-A5E4-4141-9C7A-3B340A56BBDF}"/>
  </bookViews>
  <sheets>
    <sheet name="XS" sheetId="117" r:id="rId1"/>
    <sheet name="BP" sheetId="15" r:id="rId2"/>
    <sheet name="BP_IFRS17" sheetId="92" r:id="rId3"/>
    <sheet name="BP Novas Parcerias" sheetId="34" r:id="rId4"/>
    <sheet name="BP Novas Parcerias_IFRS17" sheetId="96" r:id="rId5"/>
    <sheet name="BP Antiga Parceria" sheetId="33" r:id="rId6"/>
    <sheet name="BP Antiga Parceria _IFRS17" sheetId="94" r:id="rId7"/>
    <sheet name="BP - Too Seg" sheetId="22" r:id="rId8"/>
    <sheet name="DRE CAIXA SEGURIDADE (2)" sheetId="103" state="hidden" r:id="rId9"/>
    <sheet name="BP - Too Seg _IFRS17" sheetId="100" r:id="rId10"/>
    <sheet name="DRE CAIXA SEG_CONTAB_IFRS4" sheetId="93" r:id="rId11"/>
    <sheet name="DRE CAIXA SEGURIDADE" sheetId="11" r:id="rId12"/>
    <sheet name="DRE CAIXA SEGURIDADE CONTABIL" sheetId="19" r:id="rId13"/>
    <sheet name="DRE HOLDING SEGURIDADE" sheetId="12" r:id="rId14"/>
    <sheet name="DRE AGRUPADA" sheetId="47" r:id="rId15"/>
    <sheet name="DRE NOVAS PARCERIAS CAIXA" sheetId="6" r:id="rId16"/>
    <sheet name="DRE ANTIGA PARCERIA CAIXA" sheetId="5" r:id="rId17"/>
    <sheet name="DRE PARCERIAS BANCO PAN" sheetId="9" r:id="rId18"/>
    <sheet name="FONTE INDICADORES (4)" sheetId="115" r:id="rId19"/>
    <sheet name="INDICADORES EMPRESAS (4)" sheetId="116" r:id="rId20"/>
    <sheet name="DRE CAIXA SEGURIDADE CONTAB (2)" sheetId="102" state="hidden" r:id="rId21"/>
    <sheet name="Release_BP" sheetId="77" state="hidden" r:id="rId22"/>
    <sheet name="FONTE OPxFIN" sheetId="74" r:id="rId23"/>
    <sheet name="Operacional x Financeiro" sheetId="75" r:id="rId24"/>
    <sheet name="Desempenho Risco" sheetId="18" r:id="rId25"/>
    <sheet name="Desempenho Acumulação" sheetId="20" r:id="rId26"/>
    <sheet name="Sinistros" sheetId="88" r:id="rId27"/>
    <sheet name="Earn-out e LPC" sheetId="48" r:id="rId28"/>
    <sheet name="DRE NEGÓCIOS DE DISTRIBUIÇÃO" sheetId="10" r:id="rId29"/>
    <sheet name="Desempenho Distribuição" sheetId="114" r:id="rId30"/>
    <sheet name="Carteira de Investimentos" sheetId="104" r:id="rId31"/>
    <sheet name="DRE NOVAS PARC CAIXA_IFRS17" sheetId="97" r:id="rId32"/>
    <sheet name="DRE PARC BANCO PAN_IFRS17" sheetId="99" r:id="rId33"/>
    <sheet name="DRE ANTIGA PARC CAIXA_IFRS17" sheetId="98" r:id="rId34"/>
    <sheet name="Números Adicionais" sheetId="45" r:id="rId35"/>
    <sheet name="Saldo_Provisões (2)" sheetId="108" r:id="rId36"/>
    <sheet name="Movimentação_Provisões" sheetId="87" r:id="rId37"/>
    <sheet name="INDICADORES" sheetId="56" state="hidden" r:id="rId38"/>
    <sheet name="SEGMENTS" sheetId="31" r:id="rId39"/>
    <sheet name="COMPANIES" sheetId="32" r:id="rId40"/>
  </sheets>
  <definedNames>
    <definedName name="PANCorretora">'DRE PARCERIAS BANCO PAN'!$B$32:$BB$46</definedName>
    <definedName name="ParceriasCAIXA">'DRE AGRUPADA'!$B$29:$BA$44</definedName>
    <definedName name="SubTotal_BDF">'DRE NEGÓCIOS DE DISTRIBUIÇÃO'!$B$5:$BA$20</definedName>
    <definedName name="SubTotal_Corretora">'DRE NEGÓCIOS DE DISTRIBUIÇÃO'!$B$22:$BA$38</definedName>
    <definedName name="Tipo" localSheetId="30">#REF!</definedName>
    <definedName name="Tipo" localSheetId="36">#REF!</definedName>
    <definedName name="Tipo" localSheetId="35">#REF!</definedName>
    <definedName name="Tipo" localSheetId="26">#REF!</definedName>
    <definedName name="TooSeguros">'DRE PARCERIAS BANCO PAN'!$B$7:$BB$29</definedName>
    <definedName name="Total_agrupamento">'DRE AGRUPADA'!$B$7:$BA$24</definedName>
    <definedName name="Total_Distribuição">'DRE AGRUPADA'!$B$101:$BA$115</definedName>
    <definedName name="Total_Holding">'DRE AGRUPADA'!$B$119:$BA$133</definedName>
    <definedName name="Total_PAN">'DRE AGRUPADA'!$B$83:$BA$97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3" i="48" l="1"/>
  <c r="V42" i="48"/>
  <c r="V41" i="48"/>
  <c r="V40" i="48"/>
  <c r="V39" i="48"/>
  <c r="V37" i="48"/>
  <c r="V36" i="48"/>
  <c r="V35" i="48"/>
  <c r="V34" i="48"/>
  <c r="S51" i="48" l="1"/>
  <c r="S53" i="48" s="1"/>
  <c r="S58" i="48" s="1"/>
  <c r="S60" i="48" s="1"/>
  <c r="S52" i="48"/>
  <c r="S54" i="48"/>
  <c r="S55" i="48"/>
  <c r="S56" i="48"/>
  <c r="S57" i="48"/>
  <c r="S59" i="48"/>
  <c r="S61" i="48"/>
  <c r="S64" i="48"/>
  <c r="S65" i="48"/>
  <c r="S66" i="48" s="1"/>
  <c r="S41" i="48"/>
  <c r="V45" i="48"/>
  <c r="S45" i="48"/>
  <c r="T45" i="48"/>
  <c r="U45" i="48"/>
  <c r="R45" i="48"/>
  <c r="T34" i="48"/>
  <c r="U34" i="48"/>
  <c r="T35" i="48"/>
  <c r="T38" i="48" s="1"/>
  <c r="U35" i="48"/>
  <c r="U38" i="48" s="1"/>
  <c r="T36" i="48"/>
  <c r="U36" i="48"/>
  <c r="T37" i="48"/>
  <c r="U37" i="48"/>
  <c r="T39" i="48"/>
  <c r="U39" i="48"/>
  <c r="T40" i="48"/>
  <c r="U40" i="48"/>
  <c r="T41" i="48"/>
  <c r="U41" i="48"/>
  <c r="T42" i="48"/>
  <c r="U42" i="48"/>
  <c r="T43" i="48"/>
  <c r="U43" i="48"/>
  <c r="BA60" i="47"/>
  <c r="BA58" i="47"/>
  <c r="BA57" i="47"/>
  <c r="BA56" i="47"/>
  <c r="BA55" i="47"/>
  <c r="BA53" i="47"/>
  <c r="BA51" i="47"/>
  <c r="BA50" i="47"/>
  <c r="BA49" i="47"/>
  <c r="BA52" i="47" s="1"/>
  <c r="BA54" i="47" s="1"/>
  <c r="BA59" i="47" s="1"/>
  <c r="BA61" i="47" s="1"/>
  <c r="BA48" i="47"/>
  <c r="BA47" i="47"/>
  <c r="V38" i="48" l="1"/>
  <c r="V44" i="48" s="1"/>
  <c r="U44" i="48"/>
  <c r="S62" i="48"/>
  <c r="S63" i="48" s="1"/>
  <c r="T44" i="48"/>
  <c r="T132" i="34" l="1"/>
  <c r="U132" i="34"/>
  <c r="V132" i="34"/>
  <c r="AD154" i="108" l="1"/>
  <c r="AD151" i="108"/>
  <c r="AD147" i="108"/>
  <c r="AD144" i="108"/>
  <c r="AD140" i="108"/>
  <c r="AD137" i="108"/>
  <c r="AD126" i="108"/>
  <c r="AD123" i="108"/>
  <c r="AE113" i="108"/>
  <c r="AE107" i="108"/>
  <c r="AE102" i="108"/>
  <c r="AE92" i="108"/>
  <c r="AE77" i="108"/>
  <c r="AE87" i="108" s="1"/>
  <c r="AE72" i="108"/>
  <c r="U77" i="34"/>
  <c r="V77" i="34"/>
  <c r="T77" i="34"/>
  <c r="AE48" i="108" l="1"/>
  <c r="Z15" i="18" l="1"/>
  <c r="U15" i="18"/>
  <c r="Z14" i="18"/>
  <c r="U14" i="18"/>
  <c r="AM58" i="18"/>
  <c r="AE6" i="18"/>
  <c r="AE7" i="18"/>
  <c r="AE8" i="18"/>
  <c r="AE11" i="18"/>
  <c r="AA58" i="18"/>
  <c r="AA10" i="18" s="1"/>
  <c r="AA15" i="18" s="1"/>
  <c r="AB58" i="18"/>
  <c r="AB10" i="18" s="1"/>
  <c r="AB15" i="18" s="1"/>
  <c r="AC58" i="18"/>
  <c r="AC10" i="18" s="1"/>
  <c r="AD58" i="18"/>
  <c r="AD10" i="18" s="1"/>
  <c r="AD15" i="18" s="1"/>
  <c r="AA59" i="18"/>
  <c r="AB59" i="18"/>
  <c r="AC59" i="18"/>
  <c r="AD59" i="18"/>
  <c r="AA60" i="18"/>
  <c r="AA12" i="18" s="1"/>
  <c r="AB60" i="18"/>
  <c r="AB12" i="18" s="1"/>
  <c r="AC60" i="18"/>
  <c r="AC12" i="18" s="1"/>
  <c r="AD60" i="18"/>
  <c r="AD12" i="18" s="1"/>
  <c r="AA57" i="18"/>
  <c r="AB57" i="18"/>
  <c r="AB9" i="18" s="1"/>
  <c r="AC57" i="18"/>
  <c r="AL58" i="18"/>
  <c r="AL57" i="18"/>
  <c r="AM57" i="18"/>
  <c r="AC9" i="18" l="1"/>
  <c r="AC13" i="18" s="1"/>
  <c r="AE12" i="18"/>
  <c r="AA9" i="18"/>
  <c r="AA14" i="18" s="1"/>
  <c r="AE10" i="18"/>
  <c r="AE15" i="18" s="1"/>
  <c r="AC15" i="18"/>
  <c r="AB14" i="18"/>
  <c r="AB13" i="18"/>
  <c r="AA13" i="18" l="1"/>
  <c r="AC14" i="18"/>
  <c r="AS58" i="18"/>
  <c r="AS57" i="18"/>
  <c r="AD57" i="18"/>
  <c r="AD9" i="18" s="1"/>
  <c r="AQ188" i="18"/>
  <c r="AS144" i="18"/>
  <c r="AS143" i="18"/>
  <c r="AS142" i="18"/>
  <c r="AS141" i="18"/>
  <c r="AD14" i="18" l="1"/>
  <c r="AD13" i="18"/>
  <c r="AE13" i="18" s="1"/>
  <c r="AE9" i="18"/>
  <c r="AE14" i="18" s="1"/>
  <c r="W191" i="104" l="1"/>
  <c r="W138" i="104" l="1"/>
  <c r="W158" i="104" s="1"/>
  <c r="W223" i="104"/>
  <c r="W163" i="104"/>
  <c r="W113" i="104"/>
  <c r="W88" i="104"/>
  <c r="W44" i="104"/>
  <c r="W61" i="104" l="1"/>
  <c r="W71" i="104"/>
  <c r="W17" i="104" s="1"/>
  <c r="W34" i="104"/>
  <c r="W16" i="104"/>
  <c r="W15" i="104"/>
  <c r="W14" i="104"/>
  <c r="W13" i="104"/>
  <c r="W12" i="104"/>
  <c r="W11" i="104"/>
  <c r="W10" i="104"/>
  <c r="W9" i="104"/>
  <c r="W26" i="104"/>
  <c r="W25" i="104"/>
  <c r="W24" i="104"/>
  <c r="W23" i="104"/>
  <c r="W22" i="104"/>
  <c r="W21" i="104"/>
  <c r="W20" i="104"/>
  <c r="W19" i="104"/>
  <c r="W18" i="104"/>
  <c r="AV64" i="19"/>
  <c r="AW64" i="19"/>
  <c r="AX64" i="19"/>
  <c r="AY64" i="19"/>
  <c r="BA64" i="19"/>
  <c r="W81" i="104" l="1"/>
  <c r="W7" i="104"/>
  <c r="W54" i="104"/>
  <c r="W27" i="104" l="1"/>
  <c r="AZ85" i="20" l="1"/>
  <c r="AZ84" i="20"/>
  <c r="AZ83" i="20"/>
  <c r="AZ80" i="20"/>
  <c r="AZ79" i="20"/>
  <c r="AZ75" i="20"/>
  <c r="AZ28" i="20" l="1"/>
  <c r="AZ29" i="20"/>
  <c r="AZ81" i="20"/>
  <c r="AZ59" i="20"/>
  <c r="AZ27" i="20" l="1"/>
  <c r="V16" i="48" l="1"/>
  <c r="V7" i="48"/>
  <c r="V6" i="48"/>
  <c r="V64" i="48"/>
  <c r="AK136" i="88"/>
  <c r="AL136" i="88"/>
  <c r="AK127" i="88"/>
  <c r="AL127" i="88"/>
  <c r="AL118" i="88"/>
  <c r="AL115" i="88"/>
  <c r="AL114" i="88"/>
  <c r="AL113" i="88"/>
  <c r="AL112" i="88"/>
  <c r="AL111" i="88"/>
  <c r="AL83" i="88"/>
  <c r="AL74" i="88"/>
  <c r="AL71" i="88"/>
  <c r="AK70" i="88"/>
  <c r="AL70" i="88"/>
  <c r="AL69" i="88"/>
  <c r="AL67" i="88"/>
  <c r="AL57" i="88"/>
  <c r="AL48" i="88"/>
  <c r="AL45" i="88"/>
  <c r="AL44" i="88"/>
  <c r="AL43" i="88"/>
  <c r="AL42" i="88"/>
  <c r="AL41" i="88"/>
  <c r="AL31" i="88"/>
  <c r="AL22" i="88"/>
  <c r="AK22" i="88"/>
  <c r="AL17" i="88"/>
  <c r="AL18" i="88"/>
  <c r="AL19" i="88"/>
  <c r="AL16" i="88"/>
  <c r="AL15" i="88"/>
  <c r="AL9" i="88" l="1"/>
  <c r="AL11" i="88"/>
  <c r="AL10" i="88"/>
  <c r="AL40" i="88"/>
  <c r="AZ23" i="20"/>
  <c r="AL110" i="88"/>
  <c r="AL68" i="88"/>
  <c r="AL8" i="88" s="1"/>
  <c r="AL14" i="88"/>
  <c r="AL66" i="88" l="1"/>
  <c r="S17" i="100" l="1"/>
  <c r="S7" i="100"/>
  <c r="S42" i="96"/>
  <c r="R8" i="96"/>
  <c r="W21" i="98" l="1"/>
  <c r="W39" i="97"/>
  <c r="W41" i="97" s="1"/>
  <c r="W11" i="97"/>
  <c r="W13" i="97" s="1"/>
  <c r="W11" i="99"/>
  <c r="S32" i="96"/>
  <c r="S18" i="96"/>
  <c r="S8" i="96"/>
  <c r="W13" i="99" l="1"/>
  <c r="S16" i="94" l="1"/>
  <c r="W16" i="99"/>
  <c r="S6" i="94"/>
  <c r="W18" i="99" l="1"/>
  <c r="BA163" i="115"/>
  <c r="BA164" i="115"/>
  <c r="BA165" i="115"/>
  <c r="BA167" i="115"/>
  <c r="BA168" i="115"/>
  <c r="BA174" i="115"/>
  <c r="BA183" i="115"/>
  <c r="BA125" i="115"/>
  <c r="BA126" i="115"/>
  <c r="BA127" i="115"/>
  <c r="BA129" i="115"/>
  <c r="BA130" i="115"/>
  <c r="BA136" i="115"/>
  <c r="BA145" i="115"/>
  <c r="BA146" i="115"/>
  <c r="BA87" i="115"/>
  <c r="BA88" i="115"/>
  <c r="BA89" i="115"/>
  <c r="BA91" i="115"/>
  <c r="BA92" i="115"/>
  <c r="BA98" i="115"/>
  <c r="BA107" i="115"/>
  <c r="BA108" i="115"/>
  <c r="BA49" i="115"/>
  <c r="BA50" i="115"/>
  <c r="BA51" i="115"/>
  <c r="BA53" i="115"/>
  <c r="BA54" i="115"/>
  <c r="BA60" i="115"/>
  <c r="BA69" i="115"/>
  <c r="BA70" i="115"/>
  <c r="BA11" i="115"/>
  <c r="BA12" i="115"/>
  <c r="BA13" i="115"/>
  <c r="BA15" i="115"/>
  <c r="BA16" i="115"/>
  <c r="BA22" i="115"/>
  <c r="BA31" i="115"/>
  <c r="BA32" i="115"/>
  <c r="AE17" i="45"/>
  <c r="AE11" i="45"/>
  <c r="AE8" i="45"/>
  <c r="AE45" i="45"/>
  <c r="AE42" i="45"/>
  <c r="AE39" i="45"/>
  <c r="AE28" i="45"/>
  <c r="AE31" i="45"/>
  <c r="AE34" i="45"/>
  <c r="AE38" i="45"/>
  <c r="AE37" i="45" s="1"/>
  <c r="BA30" i="115" l="1"/>
  <c r="BA41" i="115" s="1"/>
  <c r="W19" i="99"/>
  <c r="AE27" i="45"/>
  <c r="W21" i="99" l="1"/>
  <c r="BA132" i="47" l="1"/>
  <c r="BA131" i="47"/>
  <c r="BA127" i="47"/>
  <c r="BA124" i="47"/>
  <c r="BA120" i="47"/>
  <c r="BA114" i="47"/>
  <c r="BA112" i="47"/>
  <c r="BA111" i="47"/>
  <c r="BA109" i="47"/>
  <c r="BA106" i="47"/>
  <c r="BA105" i="47"/>
  <c r="BA104" i="47"/>
  <c r="BA103" i="47"/>
  <c r="BA89" i="47" l="1"/>
  <c r="BA67" i="115"/>
  <c r="BA143" i="115"/>
  <c r="BA29" i="115"/>
  <c r="BA96" i="47"/>
  <c r="BA64" i="115"/>
  <c r="BA140" i="115"/>
  <c r="BA102" i="115"/>
  <c r="BA78" i="47"/>
  <c r="BA101" i="115"/>
  <c r="BA139" i="115"/>
  <c r="BA63" i="115"/>
  <c r="BA69" i="47"/>
  <c r="BA62" i="115"/>
  <c r="BA138" i="115"/>
  <c r="BA100" i="115"/>
  <c r="BA61" i="115"/>
  <c r="BA137" i="115"/>
  <c r="BA99" i="115"/>
  <c r="BA96" i="115"/>
  <c r="BA134" i="115"/>
  <c r="BA112" i="6"/>
  <c r="BA114" i="6" s="1"/>
  <c r="AZ11" i="20"/>
  <c r="AZ7" i="20"/>
  <c r="V59" i="48"/>
  <c r="V56" i="48"/>
  <c r="V55" i="48"/>
  <c r="V54" i="48"/>
  <c r="V52" i="48"/>
  <c r="V51" i="48"/>
  <c r="BA47" i="115"/>
  <c r="BA123" i="115"/>
  <c r="BA85" i="115"/>
  <c r="BA56" i="115"/>
  <c r="BA132" i="115"/>
  <c r="BA94" i="115"/>
  <c r="BA93" i="115"/>
  <c r="BA131" i="115"/>
  <c r="BA55" i="115"/>
  <c r="BA52" i="115"/>
  <c r="BA128" i="115"/>
  <c r="BA90" i="115"/>
  <c r="BA94" i="47" l="1"/>
  <c r="BA24" i="115"/>
  <c r="BA93" i="47"/>
  <c r="BA95" i="47"/>
  <c r="AZ104" i="20"/>
  <c r="AZ105" i="20"/>
  <c r="AZ77" i="20" s="1"/>
  <c r="AZ68" i="20"/>
  <c r="AZ67" i="20"/>
  <c r="AZ64" i="20"/>
  <c r="AZ63" i="20"/>
  <c r="AZ31" i="20" s="1"/>
  <c r="AZ66" i="20"/>
  <c r="BA97" i="115"/>
  <c r="BA95" i="115" s="1"/>
  <c r="V53" i="48"/>
  <c r="BA135" i="115"/>
  <c r="BA133" i="115" s="1"/>
  <c r="BA154" i="115" s="1"/>
  <c r="AZ8" i="20"/>
  <c r="BA59" i="115"/>
  <c r="BA17" i="115"/>
  <c r="BA88" i="47"/>
  <c r="BA91" i="47"/>
  <c r="BA20" i="115"/>
  <c r="V57" i="48"/>
  <c r="V61" i="48"/>
  <c r="BA177" i="115"/>
  <c r="BA105" i="115"/>
  <c r="BA181" i="115"/>
  <c r="BA173" i="115"/>
  <c r="BA104" i="115"/>
  <c r="BA85" i="47"/>
  <c r="BA172" i="115"/>
  <c r="BA26" i="115"/>
  <c r="BA142" i="115"/>
  <c r="BA141" i="115" s="1"/>
  <c r="BA156" i="115" s="1"/>
  <c r="BA86" i="47"/>
  <c r="BA176" i="115"/>
  <c r="BA178" i="115"/>
  <c r="BA66" i="115"/>
  <c r="BA87" i="47"/>
  <c r="BA18" i="115"/>
  <c r="BA14" i="115"/>
  <c r="BA170" i="115"/>
  <c r="BA21" i="115"/>
  <c r="BA169" i="115"/>
  <c r="BA166" i="115"/>
  <c r="BA9" i="115"/>
  <c r="BA175" i="115"/>
  <c r="BA161" i="115"/>
  <c r="BA25" i="115"/>
  <c r="BA180" i="115"/>
  <c r="BA48" i="115"/>
  <c r="BA124" i="115"/>
  <c r="BA152" i="115" s="1"/>
  <c r="BA86" i="115"/>
  <c r="V58" i="48" l="1"/>
  <c r="V60" i="48" s="1"/>
  <c r="V62" i="48" s="1"/>
  <c r="V63" i="48" s="1"/>
  <c r="AZ106" i="20"/>
  <c r="AZ76" i="20"/>
  <c r="AZ78" i="20" s="1"/>
  <c r="BA179" i="115"/>
  <c r="BA194" i="115" s="1"/>
  <c r="AZ32" i="20"/>
  <c r="AZ30" i="20" s="1"/>
  <c r="AZ6" i="20"/>
  <c r="AZ36" i="20"/>
  <c r="AZ70" i="20"/>
  <c r="AZ35" i="20"/>
  <c r="AZ62" i="20"/>
  <c r="AZ34" i="20"/>
  <c r="AZ65" i="20"/>
  <c r="AZ71" i="20" s="1"/>
  <c r="BA103" i="115"/>
  <c r="BA118" i="115" s="1"/>
  <c r="BA57" i="115"/>
  <c r="BA65" i="115"/>
  <c r="AZ10" i="20"/>
  <c r="BA76" i="115"/>
  <c r="BA77" i="115"/>
  <c r="AZ33" i="20"/>
  <c r="BA46" i="115"/>
  <c r="BA171" i="115"/>
  <c r="BA114" i="115"/>
  <c r="BA116" i="115"/>
  <c r="BA162" i="115"/>
  <c r="BA190" i="115" s="1"/>
  <c r="BA10" i="5"/>
  <c r="BA15" i="5" s="1"/>
  <c r="BA17" i="5" s="1"/>
  <c r="BA285" i="5"/>
  <c r="AQ17" i="22"/>
  <c r="BA39" i="115"/>
  <c r="AQ7" i="22"/>
  <c r="W198" i="34"/>
  <c r="AQ32" i="22"/>
  <c r="BA153" i="115"/>
  <c r="BA84" i="115"/>
  <c r="BA115" i="115"/>
  <c r="BA122" i="115"/>
  <c r="AQ39" i="22"/>
  <c r="W148" i="34"/>
  <c r="AZ38" i="20" l="1"/>
  <c r="AZ16" i="20"/>
  <c r="AZ69" i="20"/>
  <c r="AZ37" i="20"/>
  <c r="AQ6" i="22"/>
  <c r="BA113" i="115"/>
  <c r="BA192" i="115"/>
  <c r="BA80" i="115"/>
  <c r="BA75" i="115"/>
  <c r="BA78" i="115"/>
  <c r="AZ39" i="20"/>
  <c r="BA160" i="115"/>
  <c r="AQ31" i="22"/>
  <c r="BA151" i="115"/>
  <c r="BA191" i="115"/>
  <c r="BA189" i="115" s="1"/>
  <c r="W77" i="34"/>
  <c r="BA24" i="11"/>
  <c r="BA24" i="93" s="1"/>
  <c r="AZ22" i="20" l="1"/>
  <c r="W133" i="34"/>
  <c r="W132" i="34" s="1"/>
  <c r="W69" i="34"/>
  <c r="W229" i="34" l="1"/>
  <c r="W228" i="34" s="1"/>
  <c r="W222" i="34"/>
  <c r="W217" i="34"/>
  <c r="W207" i="34"/>
  <c r="W205" i="34"/>
  <c r="W192" i="34"/>
  <c r="W191" i="34" s="1"/>
  <c r="W183" i="34"/>
  <c r="W174" i="34"/>
  <c r="W166" i="34"/>
  <c r="W159" i="34"/>
  <c r="W142" i="34"/>
  <c r="W141" i="34" s="1"/>
  <c r="W123" i="34"/>
  <c r="W122" i="34" s="1"/>
  <c r="W68" i="34"/>
  <c r="W46" i="34"/>
  <c r="W45" i="34" s="1"/>
  <c r="W36" i="34"/>
  <c r="W29" i="34"/>
  <c r="W18" i="34"/>
  <c r="W9" i="34"/>
  <c r="AN35" i="33"/>
  <c r="BA12" i="116" a="1"/>
  <c r="BA12" i="116" s="1"/>
  <c r="BA14" i="116"/>
  <c r="BA15" i="116"/>
  <c r="BA16" i="116"/>
  <c r="BA25" i="116"/>
  <c r="BA27" i="116"/>
  <c r="BA28" i="116"/>
  <c r="BA29" i="116"/>
  <c r="BA38" i="116"/>
  <c r="BA40" i="116"/>
  <c r="BA41" i="116"/>
  <c r="BA42" i="116"/>
  <c r="W216" i="34" l="1"/>
  <c r="W204" i="34"/>
  <c r="W158" i="34"/>
  <c r="W28" i="34"/>
  <c r="W8" i="34"/>
  <c r="AN29" i="33"/>
  <c r="AN28" i="33" s="1"/>
  <c r="AN17" i="33"/>
  <c r="AN16" i="33" s="1"/>
  <c r="AN6" i="33" s="1"/>
  <c r="BA117" i="74" l="1"/>
  <c r="BA106" i="74"/>
  <c r="BA105" i="74"/>
  <c r="BA102" i="74"/>
  <c r="BA98" i="74"/>
  <c r="BA92" i="74"/>
  <c r="BA91" i="74"/>
  <c r="BA90" i="74"/>
  <c r="BA89" i="74"/>
  <c r="BA84" i="74"/>
  <c r="BA83" i="74"/>
  <c r="BA81" i="74"/>
  <c r="BA80" i="74"/>
  <c r="BA79" i="74"/>
  <c r="BA76" i="74"/>
  <c r="BA72" i="74"/>
  <c r="BA69" i="74"/>
  <c r="BA68" i="74"/>
  <c r="BA67" i="74"/>
  <c r="BA66" i="74"/>
  <c r="BA65" i="74"/>
  <c r="BA127" i="74" s="1"/>
  <c r="BA64" i="74"/>
  <c r="BA58" i="74"/>
  <c r="BA57" i="74"/>
  <c r="BA55" i="74"/>
  <c r="BA54" i="74"/>
  <c r="BA53" i="74"/>
  <c r="BA50" i="74"/>
  <c r="BA46" i="74"/>
  <c r="BA43" i="74"/>
  <c r="BA42" i="74"/>
  <c r="BA41" i="74"/>
  <c r="BA40" i="74"/>
  <c r="BA39" i="74"/>
  <c r="BA38" i="74"/>
  <c r="BA32" i="74"/>
  <c r="BA31" i="74"/>
  <c r="BA29" i="74"/>
  <c r="BA28" i="74"/>
  <c r="BA27" i="74"/>
  <c r="BA26" i="74"/>
  <c r="BA25" i="74"/>
  <c r="BA24" i="74"/>
  <c r="BA23" i="74"/>
  <c r="BA22" i="74"/>
  <c r="BA21" i="74"/>
  <c r="BA20" i="74"/>
  <c r="BA17" i="74"/>
  <c r="BA16" i="74"/>
  <c r="BA15" i="74"/>
  <c r="BA14" i="74"/>
  <c r="BA13" i="74"/>
  <c r="BA12" i="74"/>
  <c r="V26" i="48"/>
  <c r="V28" i="48" s="1"/>
  <c r="V18" i="48"/>
  <c r="V9" i="48"/>
  <c r="BA63" i="74" l="1"/>
  <c r="BA11" i="74"/>
  <c r="BA10" i="74" s="1"/>
  <c r="BA82" i="74"/>
  <c r="BA56" i="74"/>
  <c r="BA30" i="74"/>
  <c r="BA62" i="74"/>
  <c r="BA37" i="74"/>
  <c r="BA36" i="74" s="1"/>
  <c r="BA71" i="74"/>
  <c r="BA70" i="74" s="1"/>
  <c r="BA45" i="74"/>
  <c r="BA44" i="74" s="1"/>
  <c r="BA19" i="74"/>
  <c r="BA18" i="74" s="1"/>
  <c r="BA97" i="74"/>
  <c r="BA96" i="74" s="1"/>
  <c r="V10" i="48"/>
  <c r="V8" i="48"/>
  <c r="BA113" i="47"/>
  <c r="BA107" i="47"/>
  <c r="BA184" i="115" l="1"/>
  <c r="AL180" i="88" l="1"/>
  <c r="AL171" i="88"/>
  <c r="AL162" i="88"/>
  <c r="AZ187" i="18"/>
  <c r="AZ188" i="18"/>
  <c r="AZ96" i="18"/>
  <c r="AZ95" i="18"/>
  <c r="AZ94" i="18"/>
  <c r="AZ142" i="18" l="1"/>
  <c r="AZ231" i="18"/>
  <c r="AZ237" i="18" s="1"/>
  <c r="AZ80" i="18"/>
  <c r="AZ90" i="18"/>
  <c r="AZ189" i="18"/>
  <c r="AZ143" i="18"/>
  <c r="AZ104" i="18"/>
  <c r="AZ110" i="18" s="1"/>
  <c r="AZ23" i="18"/>
  <c r="AZ164" i="18"/>
  <c r="AZ138" i="18"/>
  <c r="AZ54" i="18"/>
  <c r="AZ192" i="18"/>
  <c r="AZ22" i="18"/>
  <c r="AZ152" i="18"/>
  <c r="AZ19" i="18"/>
  <c r="AZ196" i="18"/>
  <c r="AZ219" i="18"/>
  <c r="AZ68" i="18"/>
  <c r="AZ91" i="18"/>
  <c r="AZ93" i="18"/>
  <c r="AZ24" i="18"/>
  <c r="AZ21" i="18"/>
  <c r="AZ193" i="18"/>
  <c r="AZ18" i="18"/>
  <c r="AZ32" i="18"/>
  <c r="AZ139" i="18"/>
  <c r="AZ141" i="18"/>
  <c r="AZ198" i="18"/>
  <c r="AZ195" i="18"/>
  <c r="AZ236" i="18"/>
  <c r="AZ197" i="18"/>
  <c r="AZ207" i="18"/>
  <c r="AZ144" i="18"/>
  <c r="AZ44" i="18"/>
  <c r="AZ51" i="18" l="1"/>
  <c r="AZ238" i="18"/>
  <c r="AZ85" i="18"/>
  <c r="AZ86" i="18"/>
  <c r="AZ75" i="18"/>
  <c r="AZ109" i="18"/>
  <c r="AZ74" i="18"/>
  <c r="AZ87" i="18"/>
  <c r="AZ56" i="18"/>
  <c r="AZ61" i="18" s="1"/>
  <c r="AZ111" i="18"/>
  <c r="AZ73" i="18"/>
  <c r="AZ6" i="18"/>
  <c r="AZ169" i="18"/>
  <c r="AZ170" i="18"/>
  <c r="AZ171" i="18"/>
  <c r="AZ11" i="18"/>
  <c r="AZ159" i="18"/>
  <c r="AZ158" i="18"/>
  <c r="AZ20" i="18"/>
  <c r="AZ157" i="18"/>
  <c r="AZ10" i="18"/>
  <c r="AZ39" i="18"/>
  <c r="AZ37" i="18"/>
  <c r="AZ92" i="18"/>
  <c r="AZ140" i="18"/>
  <c r="AZ49" i="18"/>
  <c r="AZ9" i="18"/>
  <c r="AZ12" i="18"/>
  <c r="AZ50" i="18"/>
  <c r="AZ225" i="18"/>
  <c r="AZ194" i="18"/>
  <c r="AZ38" i="18"/>
  <c r="AZ226" i="18"/>
  <c r="AZ7" i="18"/>
  <c r="AZ224" i="18"/>
  <c r="AZ214" i="18"/>
  <c r="AZ213" i="18"/>
  <c r="AZ212" i="18"/>
  <c r="AZ62" i="18" l="1"/>
  <c r="AZ63" i="18"/>
  <c r="AZ8" i="18"/>
  <c r="AZ26" i="18"/>
  <c r="AZ27" i="18"/>
  <c r="AZ25" i="18"/>
  <c r="AZ147" i="18"/>
  <c r="AZ145" i="18"/>
  <c r="AZ97" i="18"/>
  <c r="AZ99" i="18"/>
  <c r="AZ98" i="18"/>
  <c r="AZ201" i="18"/>
  <c r="AZ200" i="18"/>
  <c r="AZ199" i="18"/>
  <c r="AZ146" i="18"/>
  <c r="AZ13" i="18" l="1"/>
  <c r="AZ14" i="18"/>
  <c r="AZ15" i="18"/>
  <c r="AE38" i="108" l="1"/>
  <c r="AE28" i="108"/>
  <c r="AE18" i="108" l="1"/>
  <c r="W11" i="98"/>
  <c r="W13" i="98" l="1"/>
  <c r="AE8" i="108"/>
  <c r="AE7" i="108" s="1"/>
  <c r="AE57" i="108" l="1"/>
  <c r="W16" i="98"/>
  <c r="W18" i="98" s="1"/>
  <c r="AZ14" i="114"/>
  <c r="AZ10" i="114"/>
  <c r="BA25" i="10"/>
  <c r="BA102" i="47" s="1"/>
  <c r="BA108" i="47" s="1"/>
  <c r="BA110" i="47" s="1"/>
  <c r="BA115" i="47" s="1"/>
  <c r="BA130" i="47"/>
  <c r="BA12" i="10"/>
  <c r="BA14" i="10" s="1"/>
  <c r="BA11" i="12"/>
  <c r="BA125" i="47" s="1"/>
  <c r="BA19" i="10" l="1"/>
  <c r="BA31" i="10"/>
  <c r="BA33" i="10" s="1"/>
  <c r="BA81" i="93"/>
  <c r="BA38" i="10" l="1"/>
  <c r="S38" i="92" l="1"/>
  <c r="S57" i="92"/>
  <c r="S59" i="92"/>
  <c r="S52" i="92"/>
  <c r="S48" i="92"/>
  <c r="S39" i="92"/>
  <c r="S6" i="92"/>
  <c r="S26" i="92"/>
  <c r="S28" i="92"/>
  <c r="S20" i="92"/>
  <c r="S16" i="92"/>
  <c r="S7" i="92"/>
  <c r="S51" i="92" l="1"/>
  <c r="S19" i="92"/>
  <c r="AR36" i="15"/>
  <c r="AR49" i="15"/>
  <c r="AR55" i="15"/>
  <c r="AR50" i="15"/>
  <c r="AR46" i="15"/>
  <c r="AR19" i="15"/>
  <c r="AR25" i="15"/>
  <c r="AR27" i="15"/>
  <c r="AR37" i="15" l="1"/>
  <c r="AR20" i="15"/>
  <c r="AR16" i="15"/>
  <c r="AR7" i="15"/>
  <c r="AR6" i="15" s="1"/>
  <c r="AZ24" i="114" l="1"/>
  <c r="AZ20" i="114"/>
  <c r="AZ22" i="114"/>
  <c r="AZ23" i="114"/>
  <c r="AZ18" i="114"/>
  <c r="AZ19" i="114"/>
  <c r="AZ25" i="114"/>
  <c r="BA59" i="74"/>
  <c r="BA35" i="74" s="1"/>
  <c r="BA7" i="12" l="1"/>
  <c r="BA109" i="115" s="1"/>
  <c r="BA106" i="115" s="1"/>
  <c r="BA117" i="115" s="1"/>
  <c r="AZ15" i="114"/>
  <c r="BA15" i="12"/>
  <c r="BA129" i="47" s="1"/>
  <c r="BA8" i="12"/>
  <c r="BA147" i="115" s="1"/>
  <c r="BA144" i="115" s="1"/>
  <c r="BA155" i="115" s="1"/>
  <c r="BA150" i="115" s="1"/>
  <c r="BA149" i="115" s="1"/>
  <c r="AZ13" i="114"/>
  <c r="AZ12" i="114"/>
  <c r="AZ8" i="114"/>
  <c r="AZ9" i="114"/>
  <c r="AZ26" i="114"/>
  <c r="AZ17" i="114"/>
  <c r="BA47" i="11"/>
  <c r="BA85" i="74" s="1"/>
  <c r="BA61" i="74" s="1"/>
  <c r="BA53" i="11"/>
  <c r="BA40" i="11"/>
  <c r="AC66" i="75"/>
  <c r="AC65" i="75"/>
  <c r="AC62" i="75"/>
  <c r="AC58" i="75"/>
  <c r="AC57" i="75"/>
  <c r="AC56" i="75"/>
  <c r="AC52" i="75"/>
  <c r="AC50" i="75"/>
  <c r="AC49" i="75"/>
  <c r="AC44" i="75"/>
  <c r="AC43" i="75"/>
  <c r="AC42" i="75"/>
  <c r="AC18" i="75" s="1"/>
  <c r="AC41" i="75"/>
  <c r="AC40" i="75"/>
  <c r="AC39" i="75"/>
  <c r="AC36" i="75"/>
  <c r="AC32" i="75"/>
  <c r="AC31" i="75"/>
  <c r="AC30" i="75"/>
  <c r="BA132" i="74" s="1"/>
  <c r="AC29" i="75"/>
  <c r="AC28" i="75"/>
  <c r="AC27" i="75"/>
  <c r="BA129" i="74" s="1"/>
  <c r="AC26" i="75"/>
  <c r="AC24" i="75"/>
  <c r="BA126" i="74" s="1"/>
  <c r="AC23" i="75"/>
  <c r="BA125" i="74" s="1"/>
  <c r="AC22" i="75"/>
  <c r="BA39" i="9"/>
  <c r="BA10" i="9"/>
  <c r="BA303" i="5"/>
  <c r="BA301" i="5"/>
  <c r="BA298" i="5"/>
  <c r="BA297" i="5"/>
  <c r="BA296" i="5"/>
  <c r="BA295" i="5"/>
  <c r="BA293" i="5"/>
  <c r="BA291" i="5"/>
  <c r="BA290" i="5"/>
  <c r="BA118" i="74" s="1"/>
  <c r="BA289" i="5"/>
  <c r="BA288" i="5"/>
  <c r="BA270" i="5"/>
  <c r="BA243" i="5"/>
  <c r="BA226" i="5"/>
  <c r="BA148" i="5"/>
  <c r="BA153" i="5" s="1"/>
  <c r="BA32" i="5"/>
  <c r="BA10" i="6"/>
  <c r="BA15" i="6" s="1"/>
  <c r="BA53" i="6"/>
  <c r="BA55" i="6" s="1"/>
  <c r="BA60" i="6" s="1"/>
  <c r="BA123" i="6"/>
  <c r="BA159" i="6"/>
  <c r="BA214" i="6"/>
  <c r="BA216" i="6" s="1"/>
  <c r="BA221" i="6" s="1"/>
  <c r="BA183" i="6"/>
  <c r="BA189" i="6" s="1"/>
  <c r="BA23" i="47"/>
  <c r="AX29" i="12"/>
  <c r="BA29" i="12"/>
  <c r="BA69" i="19"/>
  <c r="BA75" i="19"/>
  <c r="BA80" i="19"/>
  <c r="BA53" i="19"/>
  <c r="BA47" i="19"/>
  <c r="BA40" i="19"/>
  <c r="BA26" i="19"/>
  <c r="BA18" i="19"/>
  <c r="BA8" i="19"/>
  <c r="BA26" i="11"/>
  <c r="BA18" i="11"/>
  <c r="BA8" i="11"/>
  <c r="BA80" i="93"/>
  <c r="BA75" i="93"/>
  <c r="BA69" i="93"/>
  <c r="BA53" i="93"/>
  <c r="BA47" i="93"/>
  <c r="BA40" i="93"/>
  <c r="BA26" i="93"/>
  <c r="BA18" i="93"/>
  <c r="BA8" i="93"/>
  <c r="BA64" i="93" s="1"/>
  <c r="BA121" i="47" l="1"/>
  <c r="BA43" i="47"/>
  <c r="AZ21" i="114"/>
  <c r="AZ7" i="114"/>
  <c r="BA185" i="115"/>
  <c r="BA182" i="115" s="1"/>
  <c r="BA193" i="115" s="1"/>
  <c r="BA30" i="116" s="1"/>
  <c r="BA222" i="6"/>
  <c r="BA122" i="47"/>
  <c r="BA73" i="19"/>
  <c r="AZ11" i="114"/>
  <c r="AZ30" i="114"/>
  <c r="BA112" i="115"/>
  <c r="BA111" i="115" s="1"/>
  <c r="BA17" i="116"/>
  <c r="BA9" i="12"/>
  <c r="BA10" i="115"/>
  <c r="BA28" i="115"/>
  <c r="BA27" i="115" s="1"/>
  <c r="BA42" i="115" s="1"/>
  <c r="BA23" i="115"/>
  <c r="BA74" i="47"/>
  <c r="BA67" i="47"/>
  <c r="BA75" i="47"/>
  <c r="BA73" i="47"/>
  <c r="BA76" i="47"/>
  <c r="BA71" i="47"/>
  <c r="BA68" i="47"/>
  <c r="BA66" i="47"/>
  <c r="BA65" i="47"/>
  <c r="BA41" i="9"/>
  <c r="BA46" i="9" s="1"/>
  <c r="BA16" i="9"/>
  <c r="BA84" i="47" s="1"/>
  <c r="BA90" i="47" s="1"/>
  <c r="BA92" i="47" s="1"/>
  <c r="BA97" i="47" s="1"/>
  <c r="AC13" i="75"/>
  <c r="BA129" i="6"/>
  <c r="BA64" i="47" s="1"/>
  <c r="AC11" i="75"/>
  <c r="BA228" i="5"/>
  <c r="BA272" i="5"/>
  <c r="BA248" i="5"/>
  <c r="BA38" i="5"/>
  <c r="BA43" i="5" s="1"/>
  <c r="AC17" i="75"/>
  <c r="AC16" i="75" s="1"/>
  <c r="AC14" i="75"/>
  <c r="BA130" i="74"/>
  <c r="AC12" i="75"/>
  <c r="BA128" i="74"/>
  <c r="AC15" i="75"/>
  <c r="BA131" i="74"/>
  <c r="BA31" i="12"/>
  <c r="BA78" i="19"/>
  <c r="BA45" i="19"/>
  <c r="BA7" i="11"/>
  <c r="BA155" i="5"/>
  <c r="BA191" i="6"/>
  <c r="BA164" i="6"/>
  <c r="BA17" i="6"/>
  <c r="BA73" i="93"/>
  <c r="BA7" i="93"/>
  <c r="BA45" i="93" s="1"/>
  <c r="BA51" i="93" s="1"/>
  <c r="BA58" i="93" s="1"/>
  <c r="BA60" i="93" s="1"/>
  <c r="BA36" i="47" l="1"/>
  <c r="BA29" i="47"/>
  <c r="BA40" i="47"/>
  <c r="BA32" i="47"/>
  <c r="BA39" i="47"/>
  <c r="BA31" i="47"/>
  <c r="BA30" i="47"/>
  <c r="BA38" i="47"/>
  <c r="BA188" i="115"/>
  <c r="BA187" i="115" s="1"/>
  <c r="AZ34" i="114"/>
  <c r="AZ27" i="114"/>
  <c r="BA224" i="6"/>
  <c r="BA86" i="19"/>
  <c r="BA45" i="5"/>
  <c r="BA250" i="5"/>
  <c r="BA233" i="5"/>
  <c r="BA287" i="5"/>
  <c r="BA286" i="5" s="1"/>
  <c r="BA71" i="115"/>
  <c r="BA123" i="47"/>
  <c r="BA12" i="12"/>
  <c r="BA110" i="74"/>
  <c r="AC70" i="75" s="1"/>
  <c r="BA44" i="116"/>
  <c r="BA18" i="116"/>
  <c r="BA31" i="116"/>
  <c r="BA19" i="115"/>
  <c r="BA26" i="116"/>
  <c r="BA13" i="116"/>
  <c r="BA39" i="116"/>
  <c r="BA38" i="115"/>
  <c r="BA8" i="115"/>
  <c r="BA134" i="6"/>
  <c r="BA41" i="47"/>
  <c r="BA70" i="47"/>
  <c r="BA33" i="47"/>
  <c r="BA22" i="9"/>
  <c r="BA124" i="74"/>
  <c r="BA123" i="74" s="1"/>
  <c r="BA166" i="6"/>
  <c r="AC10" i="75"/>
  <c r="BA277" i="5"/>
  <c r="BA292" i="5"/>
  <c r="BA45" i="11"/>
  <c r="BA33" i="74"/>
  <c r="BA22" i="47"/>
  <c r="BA36" i="12"/>
  <c r="BA51" i="19"/>
  <c r="BA78" i="93"/>
  <c r="BA22" i="5"/>
  <c r="BA160" i="5"/>
  <c r="BA196" i="6"/>
  <c r="BA197" i="6" s="1"/>
  <c r="BA22" i="6"/>
  <c r="V65" i="48" s="1"/>
  <c r="V66" i="48" s="1"/>
  <c r="AZ40" i="114" l="1"/>
  <c r="BA50" i="5"/>
  <c r="BA51" i="11"/>
  <c r="BA294" i="5"/>
  <c r="BA255" i="5"/>
  <c r="BA199" i="6"/>
  <c r="BA95" i="74"/>
  <c r="AC55" i="75" s="1"/>
  <c r="BA68" i="115"/>
  <c r="BA88" i="19"/>
  <c r="BA278" i="5"/>
  <c r="BA58" i="19"/>
  <c r="BA60" i="19" s="1"/>
  <c r="BA40" i="115"/>
  <c r="BA36" i="115" s="1"/>
  <c r="BA126" i="47"/>
  <c r="BA14" i="12"/>
  <c r="BA37" i="115"/>
  <c r="BA35" i="47"/>
  <c r="BA72" i="47"/>
  <c r="BA24" i="9"/>
  <c r="BA171" i="6"/>
  <c r="BA172" i="6" s="1"/>
  <c r="BA136" i="6"/>
  <c r="BA9" i="74"/>
  <c r="AC45" i="75"/>
  <c r="AC19" i="75" s="1"/>
  <c r="AC9" i="75" s="1"/>
  <c r="BA86" i="93"/>
  <c r="AK71" i="88"/>
  <c r="BA11" i="116" l="1"/>
  <c r="BA24" i="116"/>
  <c r="BA59" i="11"/>
  <c r="AK74" i="88"/>
  <c r="BA299" i="5"/>
  <c r="BA174" i="6"/>
  <c r="BA37" i="116"/>
  <c r="BA94" i="74"/>
  <c r="BA79" i="115"/>
  <c r="BA280" i="5"/>
  <c r="BA300" i="5"/>
  <c r="BA19" i="12"/>
  <c r="BA128" i="47"/>
  <c r="BA35" i="115"/>
  <c r="BA9" i="116"/>
  <c r="BA22" i="116"/>
  <c r="BA10" i="116"/>
  <c r="BA23" i="116"/>
  <c r="BA36" i="116"/>
  <c r="BA77" i="47"/>
  <c r="BA37" i="47"/>
  <c r="BA29" i="9"/>
  <c r="BA141" i="6"/>
  <c r="BA68" i="11"/>
  <c r="BA61" i="11"/>
  <c r="BA71" i="11"/>
  <c r="BA88" i="93"/>
  <c r="BA93" i="74" l="1"/>
  <c r="AC53" i="75" s="1"/>
  <c r="AC54" i="75"/>
  <c r="BA74" i="115"/>
  <c r="BA43" i="116"/>
  <c r="BA302" i="5"/>
  <c r="BA133" i="47"/>
  <c r="BA8" i="116"/>
  <c r="BA21" i="116"/>
  <c r="BA109" i="74"/>
  <c r="BA108" i="74" s="1"/>
  <c r="AC68" i="75" s="1"/>
  <c r="BA79" i="47"/>
  <c r="BA44" i="47" s="1"/>
  <c r="BA42" i="47"/>
  <c r="BA111" i="74"/>
  <c r="AC71" i="75" s="1"/>
  <c r="BA67" i="11"/>
  <c r="BA65" i="11"/>
  <c r="BA88" i="74" l="1"/>
  <c r="AC48" i="75" s="1"/>
  <c r="BA35" i="116"/>
  <c r="BA73" i="115"/>
  <c r="AC69" i="75"/>
  <c r="AD38" i="45"/>
  <c r="AC38" i="45"/>
  <c r="BA34" i="116" l="1"/>
  <c r="V168" i="34" l="1"/>
  <c r="M11" i="99" l="1"/>
  <c r="P11" i="99"/>
  <c r="P13" i="99" s="1"/>
  <c r="O11" i="99"/>
  <c r="O13" i="99" s="1"/>
  <c r="N11" i="99"/>
  <c r="N13" i="99" s="1"/>
  <c r="AY43" i="93" l="1"/>
  <c r="AX151" i="6"/>
  <c r="AY81" i="93" l="1"/>
  <c r="AV151" i="6"/>
  <c r="AU63" i="20"/>
  <c r="AY16" i="11" l="1"/>
  <c r="AY13" i="11"/>
  <c r="AY14" i="11"/>
  <c r="AY12" i="11"/>
  <c r="AY29" i="11"/>
  <c r="AY41" i="11"/>
  <c r="AY54" i="11"/>
  <c r="AY55" i="11"/>
  <c r="AY56" i="11"/>
  <c r="AY57" i="11"/>
  <c r="U11" i="99" l="1"/>
  <c r="U13" i="99" s="1"/>
  <c r="U39" i="97" l="1"/>
  <c r="U16" i="99"/>
  <c r="U18" i="99" s="1"/>
  <c r="U19" i="99" s="1"/>
  <c r="U21" i="99" s="1"/>
  <c r="AW112" i="6"/>
  <c r="U41" i="97" l="1"/>
  <c r="AD46" i="45"/>
  <c r="AD41" i="45"/>
  <c r="AD40" i="45"/>
  <c r="AD44" i="45"/>
  <c r="AD43" i="45"/>
  <c r="AD36" i="45"/>
  <c r="AD35" i="45"/>
  <c r="AD33" i="45"/>
  <c r="AD32" i="45"/>
  <c r="AD29" i="45"/>
  <c r="AD30" i="45"/>
  <c r="AU61" i="11"/>
  <c r="V223" i="104" l="1"/>
  <c r="U11" i="97"/>
  <c r="U13" i="97" s="1"/>
  <c r="AY44" i="11"/>
  <c r="R42" i="96"/>
  <c r="R6" i="94"/>
  <c r="R17" i="100"/>
  <c r="R18" i="96"/>
  <c r="R32" i="96"/>
  <c r="R16" i="94"/>
  <c r="R7" i="100"/>
  <c r="AP7" i="22" l="1"/>
  <c r="AP32" i="22"/>
  <c r="V183" i="34"/>
  <c r="V123" i="34"/>
  <c r="V222" i="34"/>
  <c r="V166" i="34"/>
  <c r="V148" i="34"/>
  <c r="V217" i="34"/>
  <c r="V174" i="34"/>
  <c r="V205" i="34"/>
  <c r="V229" i="34"/>
  <c r="V192" i="34"/>
  <c r="V207" i="34"/>
  <c r="V142" i="34"/>
  <c r="V159" i="34"/>
  <c r="AP39" i="22"/>
  <c r="V36" i="34"/>
  <c r="V46" i="34"/>
  <c r="V29" i="34"/>
  <c r="V18" i="34"/>
  <c r="V9" i="34"/>
  <c r="AP17" i="22"/>
  <c r="AM17" i="33"/>
  <c r="AM16" i="33" s="1"/>
  <c r="AP31" i="22" l="1"/>
  <c r="V228" i="34"/>
  <c r="AP6" i="22"/>
  <c r="V216" i="34"/>
  <c r="V122" i="34"/>
  <c r="V204" i="34"/>
  <c r="V141" i="34"/>
  <c r="V158" i="34"/>
  <c r="AM6" i="33"/>
  <c r="AY31" i="11" l="1"/>
  <c r="AY32" i="11"/>
  <c r="AY33" i="11"/>
  <c r="AY34" i="11"/>
  <c r="AY36" i="11"/>
  <c r="AY37" i="11"/>
  <c r="AY55" i="93"/>
  <c r="AY56" i="93"/>
  <c r="AY57" i="93"/>
  <c r="AY54" i="93"/>
  <c r="AY84" i="93"/>
  <c r="AY76" i="93"/>
  <c r="AY42" i="93"/>
  <c r="AY42" i="11"/>
  <c r="AY41" i="93" s="1"/>
  <c r="AY35" i="93"/>
  <c r="AY30" i="93"/>
  <c r="AY28" i="93"/>
  <c r="AY27" i="93"/>
  <c r="AY35" i="11" l="1"/>
  <c r="AY27" i="11"/>
  <c r="AY38" i="93"/>
  <c r="AY38" i="11"/>
  <c r="AY30" i="11"/>
  <c r="AY28" i="11"/>
  <c r="AY26" i="11" l="1"/>
  <c r="AX20" i="114"/>
  <c r="AX75" i="20"/>
  <c r="BA19" i="47" l="1"/>
  <c r="BA18" i="47"/>
  <c r="BA20" i="47"/>
  <c r="BA8" i="47"/>
  <c r="BA17" i="47"/>
  <c r="BA13" i="47"/>
  <c r="BA15" i="47"/>
  <c r="BA12" i="47"/>
  <c r="AX79" i="20"/>
  <c r="AX80" i="20"/>
  <c r="AY151" i="6"/>
  <c r="AY10" i="9"/>
  <c r="AY148" i="5"/>
  <c r="AY26" i="115"/>
  <c r="AY183" i="6"/>
  <c r="AY39" i="9"/>
  <c r="AY123" i="6"/>
  <c r="AY208" i="6"/>
  <c r="AY112" i="6"/>
  <c r="AY10" i="5"/>
  <c r="AY15" i="5" s="1"/>
  <c r="AY10" i="6"/>
  <c r="AY226" i="5"/>
  <c r="AY53" i="6"/>
  <c r="AY159" i="6"/>
  <c r="AY22" i="9"/>
  <c r="AY32" i="5"/>
  <c r="AY270" i="5"/>
  <c r="AY243" i="5"/>
  <c r="AY23" i="47"/>
  <c r="AY120" i="47"/>
  <c r="AY127" i="47"/>
  <c r="AY95" i="47"/>
  <c r="AY96" i="47"/>
  <c r="AY89" i="47"/>
  <c r="AY91" i="47"/>
  <c r="AY85" i="47"/>
  <c r="AY60" i="47"/>
  <c r="AY56" i="47"/>
  <c r="AY57" i="47"/>
  <c r="AY53" i="47"/>
  <c r="AY49" i="47"/>
  <c r="AY51" i="47"/>
  <c r="AY48" i="47"/>
  <c r="BA9" i="47" l="1"/>
  <c r="BA10" i="47"/>
  <c r="BA11" i="47"/>
  <c r="BA116" i="74" s="1"/>
  <c r="BA119" i="74" s="1"/>
  <c r="AY189" i="6"/>
  <c r="AY191" i="6" s="1"/>
  <c r="R52" i="92"/>
  <c r="R7" i="92"/>
  <c r="R39" i="92"/>
  <c r="R20" i="92"/>
  <c r="R48" i="92"/>
  <c r="AY114" i="6"/>
  <c r="AY129" i="6"/>
  <c r="AY134" i="6" s="1"/>
  <c r="AY214" i="6"/>
  <c r="AY216" i="6" s="1"/>
  <c r="AY153" i="5"/>
  <c r="AY248" i="5"/>
  <c r="AY15" i="6"/>
  <c r="AY272" i="5"/>
  <c r="AY38" i="5"/>
  <c r="AY228" i="5"/>
  <c r="AY41" i="9"/>
  <c r="AY164" i="6"/>
  <c r="AY24" i="9"/>
  <c r="AY55" i="6"/>
  <c r="AY94" i="47"/>
  <c r="AY295" i="5"/>
  <c r="AY86" i="47"/>
  <c r="AY87" i="47"/>
  <c r="AY55" i="47"/>
  <c r="AY50" i="47"/>
  <c r="AY93" i="47"/>
  <c r="AY88" i="47"/>
  <c r="BA14" i="47" l="1"/>
  <c r="BA16" i="47" s="1"/>
  <c r="BA21" i="47" s="1"/>
  <c r="BA24" i="47" s="1"/>
  <c r="BA113" i="74" s="1"/>
  <c r="BA114" i="74" s="1"/>
  <c r="R6" i="92"/>
  <c r="AY155" i="5"/>
  <c r="AY160" i="5" s="1"/>
  <c r="AY60" i="6"/>
  <c r="AY277" i="5"/>
  <c r="AY196" i="6"/>
  <c r="AY29" i="9"/>
  <c r="AY221" i="6"/>
  <c r="AY46" i="9"/>
  <c r="AY17" i="5"/>
  <c r="AY136" i="6"/>
  <c r="AY17" i="6"/>
  <c r="AY233" i="5"/>
  <c r="AY250" i="5"/>
  <c r="AY166" i="6"/>
  <c r="AY43" i="5"/>
  <c r="AQ7" i="15"/>
  <c r="AY61" i="6" l="1"/>
  <c r="AY222" i="6"/>
  <c r="AY22" i="6"/>
  <c r="AY197" i="6"/>
  <c r="AY171" i="6"/>
  <c r="AY255" i="5"/>
  <c r="AY161" i="5"/>
  <c r="AY141" i="6"/>
  <c r="AY278" i="5"/>
  <c r="AY234" i="5"/>
  <c r="AY45" i="5"/>
  <c r="AY22" i="5"/>
  <c r="AY113" i="47"/>
  <c r="AY111" i="47"/>
  <c r="AY107" i="47"/>
  <c r="AY106" i="47" l="1"/>
  <c r="AY63" i="6"/>
  <c r="AY142" i="6"/>
  <c r="AY144" i="6" s="1"/>
  <c r="AY224" i="6"/>
  <c r="AY172" i="6"/>
  <c r="AY50" i="5"/>
  <c r="AY256" i="5"/>
  <c r="AY236" i="5"/>
  <c r="AY199" i="6"/>
  <c r="AY163" i="5"/>
  <c r="AY23" i="5"/>
  <c r="AY280" i="5"/>
  <c r="AY23" i="6"/>
  <c r="AY114" i="47"/>
  <c r="AY105" i="47"/>
  <c r="AY104" i="47"/>
  <c r="AY112" i="47"/>
  <c r="AY103" i="47"/>
  <c r="AY109" i="47"/>
  <c r="AY12" i="10"/>
  <c r="AY14" i="10" s="1"/>
  <c r="AY19" i="10" s="1"/>
  <c r="AY174" i="6" l="1"/>
  <c r="AY258" i="5"/>
  <c r="AY25" i="5"/>
  <c r="AY94" i="74"/>
  <c r="AY25" i="6"/>
  <c r="AY51" i="5"/>
  <c r="AY53" i="5" l="1"/>
  <c r="AY75" i="19"/>
  <c r="AY9" i="12" s="1"/>
  <c r="AY8" i="12"/>
  <c r="AY70" i="93"/>
  <c r="AY11" i="12"/>
  <c r="AY53" i="19"/>
  <c r="AX24" i="114"/>
  <c r="AX23" i="114"/>
  <c r="AX18" i="114"/>
  <c r="AX19" i="114"/>
  <c r="AX26" i="114"/>
  <c r="AX25" i="114"/>
  <c r="AX38" i="114" s="1"/>
  <c r="AX9" i="114"/>
  <c r="AX10" i="114"/>
  <c r="AX12" i="114"/>
  <c r="AX13" i="114"/>
  <c r="AX14" i="114"/>
  <c r="AX15" i="114"/>
  <c r="AX8" i="114"/>
  <c r="AY69" i="19" l="1"/>
  <c r="AX37" i="114"/>
  <c r="AX7" i="114"/>
  <c r="AY80" i="19"/>
  <c r="AY26" i="19"/>
  <c r="AX22" i="114"/>
  <c r="AX11" i="114"/>
  <c r="AX17" i="114"/>
  <c r="AY8" i="19"/>
  <c r="AX33" i="114"/>
  <c r="AY7" i="12"/>
  <c r="AY121" i="47" s="1"/>
  <c r="AY47" i="19"/>
  <c r="AY40" i="19"/>
  <c r="AY18" i="19"/>
  <c r="AY73" i="19" l="1"/>
  <c r="AY78" i="19" s="1"/>
  <c r="AY86" i="19" s="1"/>
  <c r="AY88" i="19" s="1"/>
  <c r="AX30" i="114"/>
  <c r="AX21" i="114"/>
  <c r="AX27" i="114" s="1"/>
  <c r="AX34" i="114"/>
  <c r="AY7" i="19"/>
  <c r="AY45" i="19" s="1"/>
  <c r="AY51" i="19" s="1"/>
  <c r="AY58" i="19" s="1"/>
  <c r="AY60" i="19" s="1"/>
  <c r="AX40" i="114" l="1"/>
  <c r="AY114" i="20"/>
  <c r="AX81" i="20"/>
  <c r="AY12" i="12" l="1"/>
  <c r="AY14" i="12" s="1"/>
  <c r="AY15" i="12"/>
  <c r="AY130" i="47"/>
  <c r="AY131" i="47"/>
  <c r="AY132" i="47"/>
  <c r="AY123" i="47"/>
  <c r="AY124" i="47"/>
  <c r="AY125" i="47"/>
  <c r="AY13" i="47" s="1"/>
  <c r="AY122" i="47"/>
  <c r="AY68" i="11"/>
  <c r="AY53" i="11"/>
  <c r="AY49" i="11" l="1"/>
  <c r="AY48" i="11"/>
  <c r="AY18" i="11"/>
  <c r="AY75" i="93"/>
  <c r="AY80" i="93"/>
  <c r="AY126" i="47"/>
  <c r="AY128" i="47" s="1"/>
  <c r="AY129" i="47"/>
  <c r="AY19" i="12"/>
  <c r="AY133" i="47" l="1"/>
  <c r="V191" i="104"/>
  <c r="V211" i="104" s="1"/>
  <c r="V163" i="104"/>
  <c r="V183" i="104" s="1"/>
  <c r="V138" i="104"/>
  <c r="V158" i="104" s="1"/>
  <c r="V113" i="104"/>
  <c r="V133" i="104" s="1"/>
  <c r="V88" i="104"/>
  <c r="V108" i="104" s="1"/>
  <c r="V71" i="104"/>
  <c r="V61" i="104"/>
  <c r="V44" i="104"/>
  <c r="V34" i="104"/>
  <c r="V12" i="104"/>
  <c r="V13" i="104"/>
  <c r="V14" i="104"/>
  <c r="V15" i="104"/>
  <c r="V16" i="104"/>
  <c r="V18" i="104"/>
  <c r="V19" i="104"/>
  <c r="V20" i="104"/>
  <c r="V21" i="104"/>
  <c r="V22" i="104"/>
  <c r="V23" i="104"/>
  <c r="V24" i="104"/>
  <c r="V25" i="104"/>
  <c r="V26" i="104"/>
  <c r="V11" i="104"/>
  <c r="V10" i="104"/>
  <c r="V9" i="104"/>
  <c r="AY8" i="11"/>
  <c r="AY47" i="11"/>
  <c r="AZ52" i="11"/>
  <c r="AZ62" i="11"/>
  <c r="AZ63" i="11"/>
  <c r="AZ64" i="11"/>
  <c r="AZ66" i="11"/>
  <c r="AZ87" i="19"/>
  <c r="AZ85" i="19"/>
  <c r="AZ74" i="19"/>
  <c r="AZ52" i="19"/>
  <c r="AC30" i="45"/>
  <c r="AB30" i="45"/>
  <c r="AC29" i="45"/>
  <c r="AB29" i="45"/>
  <c r="AB154" i="108"/>
  <c r="AB151" i="108"/>
  <c r="AB147" i="108"/>
  <c r="AB144" i="108"/>
  <c r="AB140" i="108"/>
  <c r="AB137" i="108"/>
  <c r="AC154" i="108"/>
  <c r="AC151" i="108"/>
  <c r="AC147" i="108"/>
  <c r="AC144" i="108"/>
  <c r="AC140" i="108"/>
  <c r="AC137" i="108"/>
  <c r="AC126" i="108"/>
  <c r="AC123" i="108"/>
  <c r="AC45" i="45"/>
  <c r="AC42" i="45"/>
  <c r="AC39" i="45"/>
  <c r="AC37" i="45"/>
  <c r="AC34" i="45"/>
  <c r="AC31" i="45"/>
  <c r="AC17" i="45"/>
  <c r="AC11" i="45"/>
  <c r="AC8" i="45"/>
  <c r="AC28" i="45" l="1"/>
  <c r="AM29" i="33"/>
  <c r="AL29" i="33"/>
  <c r="V54" i="104"/>
  <c r="V17" i="104"/>
  <c r="V7" i="104"/>
  <c r="V81" i="104"/>
  <c r="AY7" i="11"/>
  <c r="AX32" i="18"/>
  <c r="AC27" i="45"/>
  <c r="V27" i="104" l="1"/>
  <c r="AV32" i="5"/>
  <c r="T11" i="99" l="1"/>
  <c r="AB123" i="108"/>
  <c r="AB126" i="108"/>
  <c r="AC107" i="108"/>
  <c r="T13" i="99" l="1"/>
  <c r="AC113" i="108"/>
  <c r="AX120" i="47"/>
  <c r="U232" i="104"/>
  <c r="U235" i="104"/>
  <c r="U77" i="104"/>
  <c r="U18" i="104" l="1"/>
  <c r="U24" i="104"/>
  <c r="U14" i="104"/>
  <c r="U25" i="104"/>
  <c r="U13" i="104"/>
  <c r="U26" i="104"/>
  <c r="U20" i="104"/>
  <c r="U12" i="104"/>
  <c r="U11" i="104"/>
  <c r="U22" i="104"/>
  <c r="U10" i="104"/>
  <c r="U21" i="104"/>
  <c r="U16" i="104"/>
  <c r="U19" i="104"/>
  <c r="U15" i="104"/>
  <c r="U9" i="104"/>
  <c r="U191" i="104"/>
  <c r="AX28" i="93"/>
  <c r="AX27" i="93"/>
  <c r="U163" i="104"/>
  <c r="U138" i="104"/>
  <c r="U113" i="104"/>
  <c r="U88" i="104"/>
  <c r="U71" i="104"/>
  <c r="U61" i="104"/>
  <c r="U50" i="104"/>
  <c r="U23" i="104" s="1"/>
  <c r="U44" i="104"/>
  <c r="U34" i="104"/>
  <c r="U7" i="104" l="1"/>
  <c r="U17" i="104"/>
  <c r="T21" i="98" l="1"/>
  <c r="T39" i="97"/>
  <c r="T11" i="97" l="1"/>
  <c r="Q7" i="100"/>
  <c r="Q17" i="100"/>
  <c r="T41" i="97"/>
  <c r="T11" i="98"/>
  <c r="T13" i="98" s="1"/>
  <c r="T16" i="98" s="1"/>
  <c r="T18" i="98" s="1"/>
  <c r="T16" i="99"/>
  <c r="T18" i="99" s="1"/>
  <c r="T19" i="99" s="1"/>
  <c r="T21" i="99" s="1"/>
  <c r="Q16" i="94"/>
  <c r="Q6" i="94"/>
  <c r="Q18" i="96"/>
  <c r="Q8" i="96"/>
  <c r="Q32" i="96"/>
  <c r="Q42" i="96"/>
  <c r="AM28" i="33" l="1"/>
  <c r="V191" i="34"/>
  <c r="U205" i="34" l="1"/>
  <c r="AL28" i="33"/>
  <c r="U207" i="34"/>
  <c r="U183" i="34"/>
  <c r="U46" i="34"/>
  <c r="U148" i="34"/>
  <c r="U36" i="34"/>
  <c r="U18" i="34"/>
  <c r="U9" i="34"/>
  <c r="U29" i="34"/>
  <c r="AO39" i="22"/>
  <c r="U174" i="34"/>
  <c r="AO32" i="22"/>
  <c r="AO7" i="22"/>
  <c r="AO17" i="22"/>
  <c r="AL17" i="33"/>
  <c r="AL16" i="33" s="1"/>
  <c r="AL7" i="33"/>
  <c r="U229" i="34"/>
  <c r="U222" i="34"/>
  <c r="U217" i="34"/>
  <c r="U192" i="34"/>
  <c r="U198" i="34"/>
  <c r="U166" i="34"/>
  <c r="U159" i="34"/>
  <c r="U142" i="34"/>
  <c r="U123" i="34"/>
  <c r="AX112" i="6"/>
  <c r="AY282" i="5"/>
  <c r="U204" i="34" l="1"/>
  <c r="AX53" i="6"/>
  <c r="AX55" i="6" s="1"/>
  <c r="AX60" i="6" s="1"/>
  <c r="AX61" i="6" s="1"/>
  <c r="AX63" i="6" s="1"/>
  <c r="AX114" i="6"/>
  <c r="AX123" i="6"/>
  <c r="AX129" i="6" s="1"/>
  <c r="AX134" i="6" s="1"/>
  <c r="AX136" i="6" s="1"/>
  <c r="AX141" i="6" s="1"/>
  <c r="AX142" i="6" s="1"/>
  <c r="AX144" i="6" s="1"/>
  <c r="AX10" i="9"/>
  <c r="AX226" i="5"/>
  <c r="AX228" i="5" s="1"/>
  <c r="AX233" i="5" s="1"/>
  <c r="AX234" i="5" s="1"/>
  <c r="AX236" i="5" s="1"/>
  <c r="AX208" i="6"/>
  <c r="AX214" i="6" s="1"/>
  <c r="AX216" i="6" s="1"/>
  <c r="AX221" i="6" s="1"/>
  <c r="AX222" i="6" s="1"/>
  <c r="AX224" i="6" s="1"/>
  <c r="AY78" i="47"/>
  <c r="AY43" i="47" s="1"/>
  <c r="AY76" i="47"/>
  <c r="AY75" i="47"/>
  <c r="AY40" i="47" s="1"/>
  <c r="AY65" i="47"/>
  <c r="AY30" i="47" s="1"/>
  <c r="AY9" i="47" s="1"/>
  <c r="AY71" i="47"/>
  <c r="AY36" i="47" s="1"/>
  <c r="AY74" i="47"/>
  <c r="AY39" i="47" s="1"/>
  <c r="AY73" i="47"/>
  <c r="AY38" i="47" s="1"/>
  <c r="AY66" i="47"/>
  <c r="AY31" i="47" s="1"/>
  <c r="AY68" i="47"/>
  <c r="AY33" i="47" s="1"/>
  <c r="AY67" i="47"/>
  <c r="AY32" i="47" s="1"/>
  <c r="AY69" i="47"/>
  <c r="AX183" i="6"/>
  <c r="AX189" i="6" s="1"/>
  <c r="AX191" i="6" s="1"/>
  <c r="AX196" i="6" s="1"/>
  <c r="AX197" i="6" s="1"/>
  <c r="AX199" i="6" s="1"/>
  <c r="AX159" i="6"/>
  <c r="AX164" i="6" s="1"/>
  <c r="AX166" i="6" s="1"/>
  <c r="AX171" i="6" s="1"/>
  <c r="AX172" i="6" s="1"/>
  <c r="AX174" i="6" s="1"/>
  <c r="U28" i="34"/>
  <c r="AO31" i="22"/>
  <c r="AL6" i="33"/>
  <c r="U228" i="34"/>
  <c r="U141" i="34"/>
  <c r="U122" i="34"/>
  <c r="AO6" i="22"/>
  <c r="U216" i="34"/>
  <c r="U191" i="34"/>
  <c r="U158" i="34"/>
  <c r="AX65" i="47"/>
  <c r="T54" i="48"/>
  <c r="AY18" i="47" l="1"/>
  <c r="AY15" i="47"/>
  <c r="AY10" i="47"/>
  <c r="AY11" i="47"/>
  <c r="AY17" i="47"/>
  <c r="AY19" i="47"/>
  <c r="AY22" i="47"/>
  <c r="AY12" i="47"/>
  <c r="AX108" i="115" l="1"/>
  <c r="AR80" i="19" l="1"/>
  <c r="AS80" i="19"/>
  <c r="AT80" i="19"/>
  <c r="AQ80" i="19"/>
  <c r="AR75" i="19"/>
  <c r="AS75" i="19"/>
  <c r="AT75" i="19"/>
  <c r="AQ75" i="19"/>
  <c r="AR69" i="19"/>
  <c r="AR73" i="19" s="1"/>
  <c r="AS69" i="19"/>
  <c r="AS73" i="19" s="1"/>
  <c r="AT69" i="19"/>
  <c r="AT73" i="19" s="1"/>
  <c r="AT78" i="19" s="1"/>
  <c r="AQ69" i="19"/>
  <c r="AQ73" i="19" s="1"/>
  <c r="AR53" i="19"/>
  <c r="AS53" i="19"/>
  <c r="AT53" i="19"/>
  <c r="AQ53" i="19"/>
  <c r="AR47" i="19"/>
  <c r="AS47" i="19"/>
  <c r="AT47" i="19"/>
  <c r="AQ47" i="19"/>
  <c r="AR40" i="19"/>
  <c r="AS40" i="19"/>
  <c r="AT40" i="19"/>
  <c r="AQ40" i="19"/>
  <c r="AR26" i="19"/>
  <c r="AS26" i="19"/>
  <c r="AT26" i="19"/>
  <c r="AQ26" i="19"/>
  <c r="AR18" i="19"/>
  <c r="AS18" i="19"/>
  <c r="AT18" i="19"/>
  <c r="AQ18" i="19"/>
  <c r="AR8" i="19"/>
  <c r="AS8" i="19"/>
  <c r="AT8" i="19"/>
  <c r="AQ8" i="19"/>
  <c r="G64" i="11"/>
  <c r="G63" i="11"/>
  <c r="G62" i="11"/>
  <c r="G61" i="11"/>
  <c r="G60" i="11"/>
  <c r="G59" i="11"/>
  <c r="G57" i="11"/>
  <c r="G56" i="11"/>
  <c r="G55" i="11"/>
  <c r="G54" i="11"/>
  <c r="G53" i="11"/>
  <c r="G52" i="11"/>
  <c r="G51" i="11"/>
  <c r="G49" i="11"/>
  <c r="G48" i="11"/>
  <c r="G47" i="11"/>
  <c r="L64" i="11"/>
  <c r="L63" i="11"/>
  <c r="L62" i="11"/>
  <c r="L61" i="11"/>
  <c r="L60" i="11"/>
  <c r="L59" i="11"/>
  <c r="L57" i="11"/>
  <c r="L56" i="11"/>
  <c r="L55" i="11"/>
  <c r="L54" i="11"/>
  <c r="L53" i="11"/>
  <c r="L52" i="11"/>
  <c r="L51" i="11"/>
  <c r="L49" i="11"/>
  <c r="L48" i="11"/>
  <c r="L47" i="11"/>
  <c r="Q64" i="11"/>
  <c r="Q63" i="11"/>
  <c r="Q62" i="11"/>
  <c r="Q61" i="11"/>
  <c r="Q60" i="11"/>
  <c r="Q59" i="11"/>
  <c r="Q57" i="11"/>
  <c r="Q56" i="11"/>
  <c r="Q55" i="11"/>
  <c r="Q54" i="11"/>
  <c r="Q53" i="11"/>
  <c r="Q52" i="11"/>
  <c r="Q51" i="11"/>
  <c r="Q49" i="11"/>
  <c r="Q48" i="11"/>
  <c r="Q47" i="11"/>
  <c r="V64" i="11"/>
  <c r="V63" i="11"/>
  <c r="V62" i="11"/>
  <c r="V61" i="11"/>
  <c r="V60" i="11"/>
  <c r="V59" i="11"/>
  <c r="V57" i="11"/>
  <c r="V56" i="11"/>
  <c r="V55" i="11"/>
  <c r="V54" i="11"/>
  <c r="V53" i="11"/>
  <c r="V52" i="11"/>
  <c r="V51" i="11"/>
  <c r="V49" i="11"/>
  <c r="V48" i="11"/>
  <c r="V47" i="11"/>
  <c r="AA64" i="11"/>
  <c r="AA63" i="11"/>
  <c r="AA62" i="11"/>
  <c r="AA61" i="11"/>
  <c r="AA60" i="11"/>
  <c r="AA59" i="11"/>
  <c r="AA57" i="11"/>
  <c r="AA56" i="11"/>
  <c r="AA55" i="11"/>
  <c r="AA54" i="11"/>
  <c r="AA53" i="11"/>
  <c r="AA52" i="11"/>
  <c r="AA51" i="11"/>
  <c r="AA49" i="11"/>
  <c r="AA48" i="11"/>
  <c r="AA47" i="11"/>
  <c r="AF64" i="11"/>
  <c r="AF63" i="11"/>
  <c r="AF62" i="11"/>
  <c r="AF61" i="11"/>
  <c r="AF60" i="11"/>
  <c r="AF59" i="11"/>
  <c r="AF57" i="11"/>
  <c r="AF56" i="11"/>
  <c r="AF55" i="11"/>
  <c r="AF54" i="11"/>
  <c r="AF53" i="11"/>
  <c r="AF52" i="11"/>
  <c r="AF51" i="11"/>
  <c r="AF49" i="11"/>
  <c r="AF48" i="11"/>
  <c r="AF47" i="11"/>
  <c r="AK68" i="11"/>
  <c r="AK67" i="11"/>
  <c r="AK66" i="11"/>
  <c r="AK64" i="11"/>
  <c r="AK63" i="11"/>
  <c r="AK62" i="11"/>
  <c r="AK61" i="11"/>
  <c r="AK60" i="11"/>
  <c r="AK59" i="11"/>
  <c r="AK57" i="11"/>
  <c r="AK56" i="11"/>
  <c r="AK55" i="11"/>
  <c r="AK54" i="11"/>
  <c r="AK53" i="11"/>
  <c r="AK52" i="11"/>
  <c r="AK51" i="11"/>
  <c r="AK49" i="11"/>
  <c r="AK48" i="11"/>
  <c r="AK47" i="11"/>
  <c r="AP68" i="11"/>
  <c r="AP67" i="11"/>
  <c r="AP66" i="11"/>
  <c r="AP64" i="11"/>
  <c r="AP63" i="11"/>
  <c r="AP62" i="11"/>
  <c r="AP61" i="11"/>
  <c r="AP60" i="11"/>
  <c r="AP59" i="11"/>
  <c r="AP57" i="11"/>
  <c r="AP56" i="11"/>
  <c r="AP55" i="11"/>
  <c r="AP54" i="11"/>
  <c r="AP53" i="11"/>
  <c r="AP52" i="11"/>
  <c r="AP51" i="11"/>
  <c r="AP49" i="11"/>
  <c r="AP48" i="11"/>
  <c r="AP47" i="11"/>
  <c r="AU68" i="11"/>
  <c r="AU67" i="11"/>
  <c r="AU66" i="11"/>
  <c r="AU64" i="11"/>
  <c r="AU63" i="11"/>
  <c r="AU62" i="11"/>
  <c r="AU65" i="11" s="1"/>
  <c r="AU60" i="11"/>
  <c r="AU59" i="11"/>
  <c r="AU57" i="11"/>
  <c r="AU56" i="11"/>
  <c r="AU55" i="11"/>
  <c r="AU54" i="11"/>
  <c r="AU53" i="11"/>
  <c r="AU52" i="11"/>
  <c r="AU51" i="11"/>
  <c r="AU49" i="11"/>
  <c r="AU48" i="11"/>
  <c r="AU47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9" i="11"/>
  <c r="AF28" i="11"/>
  <c r="AF27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9" i="11"/>
  <c r="AP28" i="11"/>
  <c r="AP27" i="11"/>
  <c r="AU45" i="11"/>
  <c r="AU44" i="11"/>
  <c r="AU43" i="11"/>
  <c r="AU42" i="11"/>
  <c r="AU41" i="11"/>
  <c r="AU40" i="11"/>
  <c r="AU38" i="11"/>
  <c r="AU37" i="11"/>
  <c r="AU36" i="11"/>
  <c r="AU35" i="11"/>
  <c r="AU34" i="11"/>
  <c r="AU33" i="11"/>
  <c r="AU32" i="11"/>
  <c r="AU31" i="11"/>
  <c r="AU30" i="11"/>
  <c r="AU29" i="11"/>
  <c r="AU28" i="11"/>
  <c r="AU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AA9" i="11"/>
  <c r="AA8" i="11"/>
  <c r="AA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P26" i="11"/>
  <c r="AP25" i="11"/>
  <c r="AP24" i="11"/>
  <c r="AP23" i="11"/>
  <c r="AP22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U26" i="11"/>
  <c r="AU25" i="11"/>
  <c r="AU24" i="11"/>
  <c r="AU23" i="11"/>
  <c r="AU22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Q78" i="19" l="1"/>
  <c r="AQ86" i="19" s="1"/>
  <c r="AQ88" i="19" s="1"/>
  <c r="AT86" i="19"/>
  <c r="AT88" i="19" s="1"/>
  <c r="AA65" i="11"/>
  <c r="AF65" i="11"/>
  <c r="Q65" i="11"/>
  <c r="AS78" i="19"/>
  <c r="AS86" i="19" s="1"/>
  <c r="AS88" i="19" s="1"/>
  <c r="AR78" i="19"/>
  <c r="AR86" i="19" s="1"/>
  <c r="AR88" i="19" s="1"/>
  <c r="AP65" i="11"/>
  <c r="V65" i="11"/>
  <c r="G65" i="11"/>
  <c r="AT7" i="19"/>
  <c r="AT45" i="19" s="1"/>
  <c r="AT51" i="19" s="1"/>
  <c r="AT58" i="19" s="1"/>
  <c r="AT60" i="19" s="1"/>
  <c r="AR7" i="19"/>
  <c r="AR45" i="19" s="1"/>
  <c r="AR51" i="19" s="1"/>
  <c r="AR58" i="19" s="1"/>
  <c r="AR60" i="19" s="1"/>
  <c r="L65" i="11"/>
  <c r="AK65" i="11"/>
  <c r="AS7" i="19"/>
  <c r="AS45" i="19" s="1"/>
  <c r="AS51" i="19" s="1"/>
  <c r="AS58" i="19" s="1"/>
  <c r="AS60" i="19" s="1"/>
  <c r="AQ7" i="19"/>
  <c r="AQ45" i="19" s="1"/>
  <c r="AQ51" i="19" s="1"/>
  <c r="AQ58" i="19" s="1"/>
  <c r="AQ60" i="19" s="1"/>
  <c r="Q145" i="88" l="1"/>
  <c r="R145" i="88"/>
  <c r="S145" i="88"/>
  <c r="T145" i="88"/>
  <c r="U145" i="88"/>
  <c r="V145" i="88"/>
  <c r="W145" i="88"/>
  <c r="X145" i="88"/>
  <c r="Y145" i="88"/>
  <c r="Z145" i="88"/>
  <c r="AA145" i="88"/>
  <c r="AB145" i="88"/>
  <c r="AC145" i="88"/>
  <c r="AD145" i="88"/>
  <c r="J136" i="88"/>
  <c r="K136" i="88"/>
  <c r="L136" i="88"/>
  <c r="M136" i="88"/>
  <c r="N136" i="88"/>
  <c r="O136" i="88"/>
  <c r="P136" i="88"/>
  <c r="Q136" i="88"/>
  <c r="R136" i="88"/>
  <c r="S136" i="88"/>
  <c r="T136" i="88"/>
  <c r="U136" i="88"/>
  <c r="V136" i="88"/>
  <c r="W136" i="88"/>
  <c r="X136" i="88"/>
  <c r="Y136" i="88"/>
  <c r="Z136" i="88"/>
  <c r="AA136" i="88"/>
  <c r="AB136" i="88"/>
  <c r="AC136" i="88"/>
  <c r="AD136" i="88"/>
  <c r="AE136" i="88"/>
  <c r="N127" i="88"/>
  <c r="O127" i="88"/>
  <c r="P127" i="88"/>
  <c r="Q127" i="88"/>
  <c r="R127" i="88"/>
  <c r="S127" i="88"/>
  <c r="T127" i="88"/>
  <c r="U127" i="88"/>
  <c r="V127" i="88"/>
  <c r="W127" i="88"/>
  <c r="X127" i="88"/>
  <c r="Y127" i="88"/>
  <c r="Z127" i="88"/>
  <c r="AA127" i="88"/>
  <c r="AB127" i="88"/>
  <c r="AC127" i="88"/>
  <c r="AD127" i="88"/>
  <c r="AE127" i="88"/>
  <c r="N118" i="88"/>
  <c r="O118" i="88"/>
  <c r="P118" i="88"/>
  <c r="Q118" i="88"/>
  <c r="R118" i="88"/>
  <c r="S118" i="88"/>
  <c r="T118" i="88"/>
  <c r="U118" i="88"/>
  <c r="V118" i="88"/>
  <c r="W118" i="88"/>
  <c r="X118" i="88"/>
  <c r="Y118" i="88"/>
  <c r="Z118" i="88"/>
  <c r="AA118" i="88"/>
  <c r="AB118" i="88"/>
  <c r="AC118" i="88"/>
  <c r="AD118" i="88"/>
  <c r="AE118" i="88"/>
  <c r="R101" i="88"/>
  <c r="S101" i="88"/>
  <c r="T101" i="88"/>
  <c r="U101" i="88"/>
  <c r="V101" i="88"/>
  <c r="W101" i="88"/>
  <c r="X101" i="88"/>
  <c r="Y101" i="88"/>
  <c r="Z101" i="88"/>
  <c r="AA101" i="88"/>
  <c r="AB101" i="88"/>
  <c r="AC101" i="88"/>
  <c r="AD101" i="88"/>
  <c r="AE101" i="88"/>
  <c r="O83" i="88"/>
  <c r="P83" i="88"/>
  <c r="Q83" i="88"/>
  <c r="R83" i="88"/>
  <c r="S83" i="88"/>
  <c r="T83" i="88"/>
  <c r="U83" i="88"/>
  <c r="V83" i="88"/>
  <c r="W83" i="88"/>
  <c r="X83" i="88"/>
  <c r="Y83" i="88"/>
  <c r="Z83" i="88"/>
  <c r="AA83" i="88"/>
  <c r="AB83" i="88"/>
  <c r="AC83" i="88"/>
  <c r="AD83" i="88"/>
  <c r="AE83" i="88"/>
  <c r="O74" i="88"/>
  <c r="P74" i="88"/>
  <c r="Q74" i="88"/>
  <c r="R74" i="88"/>
  <c r="S74" i="88"/>
  <c r="T74" i="88"/>
  <c r="U74" i="88"/>
  <c r="V74" i="88"/>
  <c r="W74" i="88"/>
  <c r="X74" i="88"/>
  <c r="Y74" i="88"/>
  <c r="Z74" i="88"/>
  <c r="AA74" i="88"/>
  <c r="AB74" i="88"/>
  <c r="AC74" i="88"/>
  <c r="J66" i="88"/>
  <c r="K66" i="88"/>
  <c r="J57" i="88"/>
  <c r="K57" i="88"/>
  <c r="L57" i="88"/>
  <c r="M57" i="88"/>
  <c r="N57" i="88"/>
  <c r="O57" i="88"/>
  <c r="P57" i="88"/>
  <c r="Q57" i="88"/>
  <c r="R57" i="88"/>
  <c r="S57" i="88"/>
  <c r="T57" i="88"/>
  <c r="U57" i="88"/>
  <c r="V57" i="88"/>
  <c r="W57" i="88"/>
  <c r="X57" i="88"/>
  <c r="Y57" i="88"/>
  <c r="Z57" i="88"/>
  <c r="AA57" i="88"/>
  <c r="AB57" i="88"/>
  <c r="AC57" i="88"/>
  <c r="AD57" i="88"/>
  <c r="AE57" i="88"/>
  <c r="Q48" i="88"/>
  <c r="R48" i="88"/>
  <c r="S48" i="88"/>
  <c r="T48" i="88"/>
  <c r="U48" i="88"/>
  <c r="V48" i="88"/>
  <c r="W48" i="88"/>
  <c r="X48" i="88"/>
  <c r="Y48" i="88"/>
  <c r="Z48" i="88"/>
  <c r="AA48" i="88"/>
  <c r="AB48" i="88"/>
  <c r="AC48" i="88"/>
  <c r="AD48" i="88"/>
  <c r="AE48" i="88"/>
  <c r="J40" i="88"/>
  <c r="J31" i="88"/>
  <c r="K31" i="88"/>
  <c r="L31" i="88"/>
  <c r="M31" i="88"/>
  <c r="N31" i="88"/>
  <c r="O31" i="88"/>
  <c r="P31" i="88"/>
  <c r="Q31" i="88"/>
  <c r="R31" i="88"/>
  <c r="S31" i="88"/>
  <c r="T31" i="88"/>
  <c r="U31" i="88"/>
  <c r="V31" i="88"/>
  <c r="W31" i="88"/>
  <c r="X31" i="88"/>
  <c r="Y31" i="88"/>
  <c r="Z31" i="88"/>
  <c r="AA31" i="88"/>
  <c r="AB31" i="88"/>
  <c r="AC31" i="88"/>
  <c r="AD31" i="88"/>
  <c r="AE31" i="88"/>
  <c r="AF31" i="88"/>
  <c r="AG31" i="88"/>
  <c r="R22" i="88"/>
  <c r="S22" i="88"/>
  <c r="T22" i="88"/>
  <c r="U22" i="88"/>
  <c r="V22" i="88"/>
  <c r="W22" i="88"/>
  <c r="X22" i="88"/>
  <c r="Y22" i="88"/>
  <c r="Z22" i="88"/>
  <c r="AA22" i="88"/>
  <c r="AB22" i="88"/>
  <c r="AC22" i="88"/>
  <c r="AD22" i="88"/>
  <c r="AE22" i="88"/>
  <c r="AF22" i="88"/>
  <c r="AG22" i="88"/>
  <c r="AD111" i="88"/>
  <c r="AE111" i="88"/>
  <c r="AF111" i="88"/>
  <c r="AG111" i="88"/>
  <c r="AD112" i="88"/>
  <c r="AE112" i="88"/>
  <c r="AF112" i="88"/>
  <c r="AG112" i="88"/>
  <c r="AD113" i="88"/>
  <c r="AE113" i="88"/>
  <c r="AF113" i="88"/>
  <c r="AG113" i="88"/>
  <c r="AD114" i="88"/>
  <c r="AE114" i="88"/>
  <c r="AF114" i="88"/>
  <c r="AG114" i="88"/>
  <c r="AD115" i="88"/>
  <c r="AE115" i="88"/>
  <c r="AF115" i="88"/>
  <c r="AG115" i="88"/>
  <c r="AC67" i="88"/>
  <c r="AD67" i="88"/>
  <c r="AE67" i="88"/>
  <c r="AF67" i="88"/>
  <c r="AC68" i="88"/>
  <c r="AD68" i="88"/>
  <c r="AE68" i="88"/>
  <c r="AF68" i="88"/>
  <c r="AC69" i="88"/>
  <c r="AD69" i="88"/>
  <c r="AE69" i="88"/>
  <c r="AF69" i="88"/>
  <c r="AC70" i="88"/>
  <c r="AD70" i="88"/>
  <c r="AE70" i="88"/>
  <c r="AF70" i="88"/>
  <c r="AC71" i="88"/>
  <c r="AD71" i="88"/>
  <c r="AE71" i="88"/>
  <c r="AF71" i="88"/>
  <c r="AB41" i="88"/>
  <c r="AC41" i="88"/>
  <c r="AD41" i="88"/>
  <c r="AE41" i="88"/>
  <c r="AF41" i="88"/>
  <c r="AB42" i="88"/>
  <c r="AC42" i="88"/>
  <c r="AD42" i="88"/>
  <c r="AE42" i="88"/>
  <c r="AF42" i="88"/>
  <c r="AB43" i="88"/>
  <c r="AC43" i="88"/>
  <c r="AD43" i="88"/>
  <c r="AE43" i="88"/>
  <c r="AF43" i="88"/>
  <c r="AB44" i="88"/>
  <c r="AC44" i="88"/>
  <c r="AD44" i="88"/>
  <c r="AE44" i="88"/>
  <c r="AF44" i="88"/>
  <c r="AB45" i="88"/>
  <c r="AC45" i="88"/>
  <c r="AD45" i="88"/>
  <c r="AE45" i="88"/>
  <c r="AF45" i="88"/>
  <c r="AC15" i="88"/>
  <c r="AD15" i="88"/>
  <c r="AE15" i="88"/>
  <c r="AF15" i="88"/>
  <c r="AC16" i="88"/>
  <c r="AD16" i="88"/>
  <c r="AE16" i="88"/>
  <c r="AF16" i="88"/>
  <c r="AC17" i="88"/>
  <c r="AD17" i="88"/>
  <c r="AE17" i="88"/>
  <c r="AF17" i="88"/>
  <c r="AC18" i="88"/>
  <c r="AD18" i="88"/>
  <c r="AE18" i="88"/>
  <c r="AF18" i="88"/>
  <c r="AC19" i="88"/>
  <c r="AD19" i="88"/>
  <c r="AE19" i="88"/>
  <c r="AF19" i="88"/>
  <c r="N111" i="88"/>
  <c r="O111" i="88"/>
  <c r="P111" i="88"/>
  <c r="Q111" i="88"/>
  <c r="R111" i="88"/>
  <c r="S111" i="88"/>
  <c r="T111" i="88"/>
  <c r="U111" i="88"/>
  <c r="V111" i="88"/>
  <c r="W111" i="88"/>
  <c r="X111" i="88"/>
  <c r="Y111" i="88"/>
  <c r="Z111" i="88"/>
  <c r="AA111" i="88"/>
  <c r="AB111" i="88"/>
  <c r="AC111" i="88"/>
  <c r="N112" i="88"/>
  <c r="O112" i="88"/>
  <c r="P112" i="88"/>
  <c r="Q112" i="88"/>
  <c r="R112" i="88"/>
  <c r="S112" i="88"/>
  <c r="T112" i="88"/>
  <c r="U112" i="88"/>
  <c r="V112" i="88"/>
  <c r="W112" i="88"/>
  <c r="X112" i="88"/>
  <c r="Y112" i="88"/>
  <c r="Z112" i="88"/>
  <c r="AA112" i="88"/>
  <c r="AB112" i="88"/>
  <c r="AC112" i="88"/>
  <c r="N113" i="88"/>
  <c r="O113" i="88"/>
  <c r="P113" i="88"/>
  <c r="Q113" i="88"/>
  <c r="R113" i="88"/>
  <c r="S113" i="88"/>
  <c r="T113" i="88"/>
  <c r="U113" i="88"/>
  <c r="V113" i="88"/>
  <c r="W113" i="88"/>
  <c r="X113" i="88"/>
  <c r="Y113" i="88"/>
  <c r="Z113" i="88"/>
  <c r="AA113" i="88"/>
  <c r="AB113" i="88"/>
  <c r="AC113" i="88"/>
  <c r="N114" i="88"/>
  <c r="O114" i="88"/>
  <c r="P114" i="88"/>
  <c r="Q114" i="88"/>
  <c r="R114" i="88"/>
  <c r="S114" i="88"/>
  <c r="T114" i="88"/>
  <c r="U114" i="88"/>
  <c r="V114" i="88"/>
  <c r="W114" i="88"/>
  <c r="X114" i="88"/>
  <c r="Y114" i="88"/>
  <c r="Z114" i="88"/>
  <c r="AA114" i="88"/>
  <c r="AB114" i="88"/>
  <c r="AC114" i="88"/>
  <c r="N115" i="88"/>
  <c r="O115" i="88"/>
  <c r="P115" i="88"/>
  <c r="Q115" i="88"/>
  <c r="R115" i="88"/>
  <c r="S115" i="88"/>
  <c r="T115" i="88"/>
  <c r="U115" i="88"/>
  <c r="V115" i="88"/>
  <c r="W115" i="88"/>
  <c r="X115" i="88"/>
  <c r="Y115" i="88"/>
  <c r="Z115" i="88"/>
  <c r="AA115" i="88"/>
  <c r="AB115" i="88"/>
  <c r="AC115" i="88"/>
  <c r="L67" i="88"/>
  <c r="M67" i="88"/>
  <c r="N67" i="88"/>
  <c r="O67" i="88"/>
  <c r="P67" i="88"/>
  <c r="Q67" i="88"/>
  <c r="R67" i="88"/>
  <c r="S67" i="88"/>
  <c r="T67" i="88"/>
  <c r="U67" i="88"/>
  <c r="V67" i="88"/>
  <c r="W67" i="88"/>
  <c r="X67" i="88"/>
  <c r="Y67" i="88"/>
  <c r="Z67" i="88"/>
  <c r="AA67" i="88"/>
  <c r="AB67" i="88"/>
  <c r="L68" i="88"/>
  <c r="M68" i="88"/>
  <c r="N68" i="88"/>
  <c r="O68" i="88"/>
  <c r="P68" i="88"/>
  <c r="Q68" i="88"/>
  <c r="R68" i="88"/>
  <c r="S68" i="88"/>
  <c r="T68" i="88"/>
  <c r="U68" i="88"/>
  <c r="V68" i="88"/>
  <c r="W68" i="88"/>
  <c r="X68" i="88"/>
  <c r="Y68" i="88"/>
  <c r="Z68" i="88"/>
  <c r="AA68" i="88"/>
  <c r="AB68" i="88"/>
  <c r="L69" i="88"/>
  <c r="M69" i="88"/>
  <c r="N69" i="88"/>
  <c r="O69" i="88"/>
  <c r="P69" i="88"/>
  <c r="Q69" i="88"/>
  <c r="R69" i="88"/>
  <c r="S69" i="88"/>
  <c r="T69" i="88"/>
  <c r="U69" i="88"/>
  <c r="V69" i="88"/>
  <c r="W69" i="88"/>
  <c r="X69" i="88"/>
  <c r="Y69" i="88"/>
  <c r="Z69" i="88"/>
  <c r="AA69" i="88"/>
  <c r="AB69" i="88"/>
  <c r="L70" i="88"/>
  <c r="M70" i="88"/>
  <c r="N70" i="88"/>
  <c r="O70" i="88"/>
  <c r="P70" i="88"/>
  <c r="Q70" i="88"/>
  <c r="R70" i="88"/>
  <c r="S70" i="88"/>
  <c r="T70" i="88"/>
  <c r="U70" i="88"/>
  <c r="V70" i="88"/>
  <c r="W70" i="88"/>
  <c r="X70" i="88"/>
  <c r="Y70" i="88"/>
  <c r="Z70" i="88"/>
  <c r="AA70" i="88"/>
  <c r="AB70" i="88"/>
  <c r="L71" i="88"/>
  <c r="M71" i="88"/>
  <c r="N71" i="88"/>
  <c r="O71" i="88"/>
  <c r="P71" i="88"/>
  <c r="Q71" i="88"/>
  <c r="R71" i="88"/>
  <c r="S71" i="88"/>
  <c r="T71" i="88"/>
  <c r="U71" i="88"/>
  <c r="V71" i="88"/>
  <c r="W71" i="88"/>
  <c r="X71" i="88"/>
  <c r="Y71" i="88"/>
  <c r="Z71" i="88"/>
  <c r="AA71" i="88"/>
  <c r="AB71" i="88"/>
  <c r="K41" i="88"/>
  <c r="L41" i="88"/>
  <c r="M41" i="88"/>
  <c r="N41" i="88"/>
  <c r="O41" i="88"/>
  <c r="P41" i="88"/>
  <c r="Q41" i="88"/>
  <c r="R41" i="88"/>
  <c r="S41" i="88"/>
  <c r="T41" i="88"/>
  <c r="U41" i="88"/>
  <c r="V41" i="88"/>
  <c r="W41" i="88"/>
  <c r="X41" i="88"/>
  <c r="Y41" i="88"/>
  <c r="Z41" i="88"/>
  <c r="AA41" i="88"/>
  <c r="K42" i="88"/>
  <c r="L42" i="88"/>
  <c r="M42" i="88"/>
  <c r="N42" i="88"/>
  <c r="O42" i="88"/>
  <c r="P42" i="88"/>
  <c r="Q42" i="88"/>
  <c r="R42" i="88"/>
  <c r="S42" i="88"/>
  <c r="T42" i="88"/>
  <c r="U42" i="88"/>
  <c r="V42" i="88"/>
  <c r="W42" i="88"/>
  <c r="X42" i="88"/>
  <c r="Y42" i="88"/>
  <c r="Z42" i="88"/>
  <c r="AA42" i="88"/>
  <c r="K43" i="88"/>
  <c r="L43" i="88"/>
  <c r="M43" i="88"/>
  <c r="N43" i="88"/>
  <c r="O43" i="88"/>
  <c r="P43" i="88"/>
  <c r="Q43" i="88"/>
  <c r="R43" i="88"/>
  <c r="S43" i="88"/>
  <c r="T43" i="88"/>
  <c r="U43" i="88"/>
  <c r="V43" i="88"/>
  <c r="W43" i="88"/>
  <c r="X43" i="88"/>
  <c r="Y43" i="88"/>
  <c r="Z43" i="88"/>
  <c r="AA43" i="88"/>
  <c r="K44" i="88"/>
  <c r="L44" i="88"/>
  <c r="M44" i="88"/>
  <c r="N44" i="88"/>
  <c r="O44" i="88"/>
  <c r="P44" i="88"/>
  <c r="Q44" i="88"/>
  <c r="R44" i="88"/>
  <c r="S44" i="88"/>
  <c r="T44" i="88"/>
  <c r="U44" i="88"/>
  <c r="V44" i="88"/>
  <c r="W44" i="88"/>
  <c r="X44" i="88"/>
  <c r="Y44" i="88"/>
  <c r="Z44" i="88"/>
  <c r="AA44" i="88"/>
  <c r="K45" i="88"/>
  <c r="L45" i="88"/>
  <c r="M45" i="88"/>
  <c r="N45" i="88"/>
  <c r="O45" i="88"/>
  <c r="P45" i="88"/>
  <c r="Q45" i="88"/>
  <c r="R45" i="88"/>
  <c r="S45" i="88"/>
  <c r="T45" i="88"/>
  <c r="U45" i="88"/>
  <c r="V45" i="88"/>
  <c r="W45" i="88"/>
  <c r="X45" i="88"/>
  <c r="Y45" i="88"/>
  <c r="Z45" i="88"/>
  <c r="AA45" i="88"/>
  <c r="R15" i="88"/>
  <c r="S15" i="88"/>
  <c r="T15" i="88"/>
  <c r="U15" i="88"/>
  <c r="V15" i="88"/>
  <c r="W15" i="88"/>
  <c r="X15" i="88"/>
  <c r="Y15" i="88"/>
  <c r="Z15" i="88"/>
  <c r="AA15" i="88"/>
  <c r="AB15" i="88"/>
  <c r="R16" i="88"/>
  <c r="S16" i="88"/>
  <c r="T16" i="88"/>
  <c r="U16" i="88"/>
  <c r="V16" i="88"/>
  <c r="W16" i="88"/>
  <c r="X16" i="88"/>
  <c r="Y16" i="88"/>
  <c r="Z16" i="88"/>
  <c r="AA16" i="88"/>
  <c r="AB16" i="88"/>
  <c r="R17" i="88"/>
  <c r="S17" i="88"/>
  <c r="T17" i="88"/>
  <c r="U17" i="88"/>
  <c r="V17" i="88"/>
  <c r="W17" i="88"/>
  <c r="X17" i="88"/>
  <c r="Y17" i="88"/>
  <c r="Z17" i="88"/>
  <c r="AA17" i="88"/>
  <c r="AB17" i="88"/>
  <c r="R18" i="88"/>
  <c r="S18" i="88"/>
  <c r="T18" i="88"/>
  <c r="U18" i="88"/>
  <c r="V18" i="88"/>
  <c r="W18" i="88"/>
  <c r="X18" i="88"/>
  <c r="Y18" i="88"/>
  <c r="Z18" i="88"/>
  <c r="AA18" i="88"/>
  <c r="AB18" i="88"/>
  <c r="R19" i="88"/>
  <c r="S19" i="88"/>
  <c r="T19" i="88"/>
  <c r="U19" i="88"/>
  <c r="V19" i="88"/>
  <c r="W19" i="88"/>
  <c r="X19" i="88"/>
  <c r="Y19" i="88"/>
  <c r="Z19" i="88"/>
  <c r="AA19" i="88"/>
  <c r="AB19" i="88"/>
  <c r="AG15" i="88"/>
  <c r="AG16" i="88"/>
  <c r="AG17" i="88"/>
  <c r="AG18" i="88"/>
  <c r="AG19" i="88"/>
  <c r="AK15" i="88"/>
  <c r="AK16" i="88"/>
  <c r="AK17" i="88"/>
  <c r="AK18" i="88"/>
  <c r="AK19" i="88"/>
  <c r="G36" i="12"/>
  <c r="G35" i="12"/>
  <c r="G34" i="12"/>
  <c r="G33" i="12"/>
  <c r="G32" i="12"/>
  <c r="G31" i="12"/>
  <c r="G29" i="12"/>
  <c r="G28" i="12"/>
  <c r="G27" i="12"/>
  <c r="G26" i="12"/>
  <c r="G25" i="12"/>
  <c r="G24" i="12"/>
  <c r="L36" i="12"/>
  <c r="L35" i="12"/>
  <c r="L34" i="12"/>
  <c r="L33" i="12"/>
  <c r="L32" i="12"/>
  <c r="L31" i="12"/>
  <c r="L29" i="12"/>
  <c r="L28" i="12"/>
  <c r="L27" i="12"/>
  <c r="L26" i="12"/>
  <c r="L25" i="12"/>
  <c r="L24" i="12"/>
  <c r="Q36" i="12"/>
  <c r="Q35" i="12"/>
  <c r="Q34" i="12"/>
  <c r="Q33" i="12"/>
  <c r="Q32" i="12"/>
  <c r="Q31" i="12"/>
  <c r="Q29" i="12"/>
  <c r="Q28" i="12"/>
  <c r="Q27" i="12"/>
  <c r="Q26" i="12"/>
  <c r="Q25" i="12"/>
  <c r="Q24" i="12"/>
  <c r="V36" i="12"/>
  <c r="V35" i="12"/>
  <c r="V34" i="12"/>
  <c r="V33" i="12"/>
  <c r="V32" i="12"/>
  <c r="V31" i="12"/>
  <c r="V29" i="12"/>
  <c r="V28" i="12"/>
  <c r="V27" i="12"/>
  <c r="V26" i="12"/>
  <c r="V25" i="12"/>
  <c r="V24" i="12"/>
  <c r="AA36" i="12"/>
  <c r="AA35" i="12"/>
  <c r="AA34" i="12"/>
  <c r="AA33" i="12"/>
  <c r="AA32" i="12"/>
  <c r="AA31" i="12"/>
  <c r="AA29" i="12"/>
  <c r="AA28" i="12"/>
  <c r="AA27" i="12"/>
  <c r="AA26" i="12"/>
  <c r="AA25" i="12"/>
  <c r="AA24" i="12"/>
  <c r="AF36" i="12"/>
  <c r="AF35" i="12"/>
  <c r="AF34" i="12"/>
  <c r="AF33" i="12"/>
  <c r="AF32" i="12"/>
  <c r="AF31" i="12"/>
  <c r="AF29" i="12"/>
  <c r="AF28" i="12"/>
  <c r="AF27" i="12"/>
  <c r="AF26" i="12"/>
  <c r="AF25" i="12"/>
  <c r="AF24" i="12"/>
  <c r="G19" i="12"/>
  <c r="G18" i="12"/>
  <c r="G17" i="12"/>
  <c r="G16" i="12"/>
  <c r="G15" i="12"/>
  <c r="G14" i="12"/>
  <c r="G12" i="12"/>
  <c r="G11" i="12"/>
  <c r="G10" i="12"/>
  <c r="G9" i="12"/>
  <c r="G8" i="12"/>
  <c r="G7" i="12"/>
  <c r="L19" i="12"/>
  <c r="L18" i="12"/>
  <c r="L17" i="12"/>
  <c r="L16" i="12"/>
  <c r="L15" i="12"/>
  <c r="L14" i="12"/>
  <c r="L12" i="12"/>
  <c r="L11" i="12"/>
  <c r="L10" i="12"/>
  <c r="L9" i="12"/>
  <c r="L8" i="12"/>
  <c r="L7" i="12"/>
  <c r="Q19" i="12"/>
  <c r="Q18" i="12"/>
  <c r="Q17" i="12"/>
  <c r="Q16" i="12"/>
  <c r="Q15" i="12"/>
  <c r="Q14" i="12"/>
  <c r="Q12" i="12"/>
  <c r="Q11" i="12"/>
  <c r="Q10" i="12"/>
  <c r="Q9" i="12"/>
  <c r="Q8" i="12"/>
  <c r="Q7" i="12"/>
  <c r="V19" i="12"/>
  <c r="V18" i="12"/>
  <c r="V17" i="12"/>
  <c r="V16" i="12"/>
  <c r="V15" i="12"/>
  <c r="V14" i="12"/>
  <c r="V12" i="12"/>
  <c r="V11" i="12"/>
  <c r="V10" i="12"/>
  <c r="V9" i="12"/>
  <c r="V8" i="12"/>
  <c r="V7" i="12"/>
  <c r="AA19" i="12"/>
  <c r="AA18" i="12"/>
  <c r="AA17" i="12"/>
  <c r="AA16" i="12"/>
  <c r="AA15" i="12"/>
  <c r="AA14" i="12"/>
  <c r="AA12" i="12"/>
  <c r="AA11" i="12"/>
  <c r="AA10" i="12"/>
  <c r="AA9" i="12"/>
  <c r="AA8" i="12"/>
  <c r="AA7" i="12"/>
  <c r="AF19" i="12"/>
  <c r="AF18" i="12"/>
  <c r="AF17" i="12"/>
  <c r="AF16" i="12"/>
  <c r="AF15" i="12"/>
  <c r="AF14" i="12"/>
  <c r="AF12" i="12"/>
  <c r="AF11" i="12"/>
  <c r="AF10" i="12"/>
  <c r="AF9" i="12"/>
  <c r="AF8" i="12"/>
  <c r="AF7" i="12"/>
  <c r="AO29" i="12"/>
  <c r="AO31" i="12" s="1"/>
  <c r="AO36" i="12" s="1"/>
  <c r="AN29" i="12"/>
  <c r="AN31" i="12" s="1"/>
  <c r="AN36" i="12" s="1"/>
  <c r="AM29" i="12"/>
  <c r="AM31" i="12" s="1"/>
  <c r="AM36" i="12" s="1"/>
  <c r="AL29" i="12"/>
  <c r="AL31" i="12" s="1"/>
  <c r="AL36" i="12" s="1"/>
  <c r="AJ29" i="12"/>
  <c r="AJ31" i="12" s="1"/>
  <c r="AJ36" i="12" s="1"/>
  <c r="AI29" i="12"/>
  <c r="AI31" i="12" s="1"/>
  <c r="AI36" i="12" s="1"/>
  <c r="AH29" i="12"/>
  <c r="AH31" i="12" s="1"/>
  <c r="AH36" i="12" s="1"/>
  <c r="AG29" i="12"/>
  <c r="AG31" i="12" s="1"/>
  <c r="AG36" i="12" s="1"/>
  <c r="AH12" i="12"/>
  <c r="AH14" i="12" s="1"/>
  <c r="AH19" i="12" s="1"/>
  <c r="AI12" i="12"/>
  <c r="AI14" i="12" s="1"/>
  <c r="AI19" i="12" s="1"/>
  <c r="AJ12" i="12"/>
  <c r="AJ14" i="12" s="1"/>
  <c r="AJ19" i="12" s="1"/>
  <c r="AG12" i="12"/>
  <c r="AG14" i="12" s="1"/>
  <c r="AG19" i="12" s="1"/>
  <c r="AQ31" i="10"/>
  <c r="AQ33" i="10" s="1"/>
  <c r="AR25" i="10"/>
  <c r="AR31" i="10" s="1"/>
  <c r="AR33" i="10" s="1"/>
  <c r="AR38" i="10" s="1"/>
  <c r="AS25" i="10"/>
  <c r="AS31" i="10" s="1"/>
  <c r="AT25" i="10"/>
  <c r="AT31" i="10" s="1"/>
  <c r="AT33" i="10" s="1"/>
  <c r="AT38" i="10" s="1"/>
  <c r="AQ25" i="10"/>
  <c r="AR12" i="10"/>
  <c r="AR14" i="10" s="1"/>
  <c r="AR19" i="10" s="1"/>
  <c r="AS12" i="10"/>
  <c r="AS14" i="10" s="1"/>
  <c r="AS19" i="10" s="1"/>
  <c r="AT12" i="10"/>
  <c r="AT14" i="10" s="1"/>
  <c r="AQ12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F38" i="10"/>
  <c r="AF37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P38" i="10"/>
  <c r="AP37" i="10"/>
  <c r="AP36" i="10"/>
  <c r="AP35" i="10"/>
  <c r="AP34" i="10"/>
  <c r="AP33" i="10"/>
  <c r="AP32" i="10"/>
  <c r="AP31" i="10"/>
  <c r="AP30" i="10"/>
  <c r="AP29" i="10"/>
  <c r="AP28" i="10"/>
  <c r="AP27" i="10"/>
  <c r="AP26" i="10"/>
  <c r="AP25" i="10"/>
  <c r="AP24" i="10"/>
  <c r="AP23" i="10"/>
  <c r="AU37" i="10"/>
  <c r="AU36" i="10"/>
  <c r="AU35" i="10"/>
  <c r="AU34" i="10"/>
  <c r="AU32" i="10"/>
  <c r="AU30" i="10"/>
  <c r="AU29" i="10"/>
  <c r="AU28" i="10"/>
  <c r="AU27" i="10"/>
  <c r="AU26" i="10"/>
  <c r="AU24" i="10"/>
  <c r="AU23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Q19" i="10"/>
  <c r="Q18" i="10"/>
  <c r="Q17" i="10"/>
  <c r="Q16" i="10"/>
  <c r="Q15" i="10"/>
  <c r="Q14" i="10"/>
  <c r="Q13" i="10"/>
  <c r="Q12" i="10"/>
  <c r="Q11" i="10"/>
  <c r="Q10" i="10"/>
  <c r="Q9" i="10"/>
  <c r="Q8" i="10"/>
  <c r="Q7" i="10"/>
  <c r="Q6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AA19" i="10"/>
  <c r="AA18" i="10"/>
  <c r="AA17" i="10"/>
  <c r="AA16" i="10"/>
  <c r="AA15" i="10"/>
  <c r="AA14" i="10"/>
  <c r="AA13" i="10"/>
  <c r="AA12" i="10"/>
  <c r="AA11" i="10"/>
  <c r="AA10" i="10"/>
  <c r="AA9" i="10"/>
  <c r="AA8" i="10"/>
  <c r="AA7" i="10"/>
  <c r="AA6" i="10"/>
  <c r="AF19" i="10"/>
  <c r="AF18" i="10"/>
  <c r="AF17" i="10"/>
  <c r="AF16" i="10"/>
  <c r="AF15" i="10"/>
  <c r="AF14" i="10"/>
  <c r="AF13" i="10"/>
  <c r="AF12" i="10"/>
  <c r="AF11" i="10"/>
  <c r="AF10" i="10"/>
  <c r="AF9" i="10"/>
  <c r="AF8" i="10"/>
  <c r="AF7" i="10"/>
  <c r="AF6" i="10"/>
  <c r="AK19" i="10"/>
  <c r="AK18" i="10"/>
  <c r="AK17" i="10"/>
  <c r="AK16" i="10"/>
  <c r="AK15" i="10"/>
  <c r="AK14" i="10"/>
  <c r="AK13" i="10"/>
  <c r="AK12" i="10"/>
  <c r="AK11" i="10"/>
  <c r="AK10" i="10"/>
  <c r="AK9" i="10"/>
  <c r="AK8" i="10"/>
  <c r="AK7" i="10"/>
  <c r="AK6" i="10"/>
  <c r="AP19" i="10"/>
  <c r="AP18" i="10"/>
  <c r="AP17" i="10"/>
  <c r="AP16" i="10"/>
  <c r="AP15" i="10"/>
  <c r="AP14" i="10"/>
  <c r="AP13" i="10"/>
  <c r="AP12" i="10"/>
  <c r="AP11" i="10"/>
  <c r="AP10" i="10"/>
  <c r="AP9" i="10"/>
  <c r="AP8" i="10"/>
  <c r="AP7" i="10"/>
  <c r="AP6" i="10"/>
  <c r="AU18" i="10"/>
  <c r="AU17" i="10"/>
  <c r="AU16" i="10"/>
  <c r="AU15" i="10"/>
  <c r="AU13" i="10"/>
  <c r="AU11" i="10"/>
  <c r="AU10" i="10"/>
  <c r="AU9" i="10"/>
  <c r="AU8" i="10"/>
  <c r="AU7" i="10"/>
  <c r="AU6" i="10"/>
  <c r="G86" i="19"/>
  <c r="G85" i="19"/>
  <c r="G84" i="19"/>
  <c r="G83" i="19"/>
  <c r="G82" i="19"/>
  <c r="G81" i="19"/>
  <c r="G80" i="19"/>
  <c r="G78" i="19"/>
  <c r="G77" i="19"/>
  <c r="G76" i="19"/>
  <c r="G75" i="19"/>
  <c r="G74" i="19"/>
  <c r="G73" i="19"/>
  <c r="G72" i="19"/>
  <c r="G71" i="19"/>
  <c r="G70" i="19"/>
  <c r="G69" i="19"/>
  <c r="G66" i="19"/>
  <c r="G65" i="19"/>
  <c r="G64" i="19"/>
  <c r="L86" i="19"/>
  <c r="L85" i="19"/>
  <c r="L84" i="19"/>
  <c r="L83" i="19"/>
  <c r="L82" i="19"/>
  <c r="L81" i="19"/>
  <c r="L80" i="19"/>
  <c r="L78" i="19"/>
  <c r="L77" i="19"/>
  <c r="L76" i="19"/>
  <c r="L75" i="19"/>
  <c r="L74" i="19"/>
  <c r="L73" i="19"/>
  <c r="L72" i="19"/>
  <c r="L71" i="19"/>
  <c r="L70" i="19"/>
  <c r="L69" i="19"/>
  <c r="L66" i="19"/>
  <c r="L65" i="19"/>
  <c r="L64" i="19"/>
  <c r="Q86" i="19"/>
  <c r="Q85" i="19"/>
  <c r="Q84" i="19"/>
  <c r="Q83" i="19"/>
  <c r="Q82" i="19"/>
  <c r="Q81" i="19"/>
  <c r="Q80" i="19"/>
  <c r="Q78" i="19"/>
  <c r="Q77" i="19"/>
  <c r="Q76" i="19"/>
  <c r="Q75" i="19"/>
  <c r="Q74" i="19"/>
  <c r="Q73" i="19"/>
  <c r="Q72" i="19"/>
  <c r="Q71" i="19"/>
  <c r="Q70" i="19"/>
  <c r="Q69" i="19"/>
  <c r="Q66" i="19"/>
  <c r="Q65" i="19"/>
  <c r="Q64" i="19"/>
  <c r="V86" i="19"/>
  <c r="V85" i="19"/>
  <c r="V84" i="19"/>
  <c r="V83" i="19"/>
  <c r="V82" i="19"/>
  <c r="V81" i="19"/>
  <c r="V80" i="19"/>
  <c r="V78" i="19"/>
  <c r="V77" i="19"/>
  <c r="V76" i="19"/>
  <c r="V75" i="19"/>
  <c r="V74" i="19"/>
  <c r="V73" i="19"/>
  <c r="V72" i="19"/>
  <c r="V71" i="19"/>
  <c r="V70" i="19"/>
  <c r="V69" i="19"/>
  <c r="V66" i="19"/>
  <c r="V65" i="19"/>
  <c r="V64" i="19"/>
  <c r="AA86" i="19"/>
  <c r="AA85" i="19"/>
  <c r="AA84" i="19"/>
  <c r="AA83" i="19"/>
  <c r="AA82" i="19"/>
  <c r="AA81" i="19"/>
  <c r="AA80" i="19"/>
  <c r="AA78" i="19"/>
  <c r="AA77" i="19"/>
  <c r="AA76" i="19"/>
  <c r="AA75" i="19"/>
  <c r="AA74" i="19"/>
  <c r="AA73" i="19"/>
  <c r="AA72" i="19"/>
  <c r="AA71" i="19"/>
  <c r="AA70" i="19"/>
  <c r="AA69" i="19"/>
  <c r="AA66" i="19"/>
  <c r="AA65" i="19"/>
  <c r="AA64" i="19"/>
  <c r="G59" i="19"/>
  <c r="G57" i="19"/>
  <c r="G56" i="19"/>
  <c r="G55" i="19"/>
  <c r="G54" i="19"/>
  <c r="G53" i="19"/>
  <c r="G49" i="19"/>
  <c r="G48" i="19"/>
  <c r="L60" i="19"/>
  <c r="L59" i="19"/>
  <c r="L58" i="19"/>
  <c r="L57" i="19"/>
  <c r="L56" i="19"/>
  <c r="L55" i="19"/>
  <c r="L54" i="19"/>
  <c r="L53" i="19"/>
  <c r="L51" i="19"/>
  <c r="L49" i="19"/>
  <c r="L48" i="19"/>
  <c r="Q60" i="19"/>
  <c r="Q59" i="19"/>
  <c r="Q58" i="19"/>
  <c r="Q57" i="19"/>
  <c r="Q56" i="19"/>
  <c r="Q55" i="19"/>
  <c r="Q54" i="19"/>
  <c r="Q53" i="19"/>
  <c r="Q51" i="19"/>
  <c r="Q49" i="19"/>
  <c r="Q48" i="19"/>
  <c r="V60" i="19"/>
  <c r="V59" i="19"/>
  <c r="V58" i="19"/>
  <c r="V57" i="19"/>
  <c r="V56" i="19"/>
  <c r="V55" i="19"/>
  <c r="V54" i="19"/>
  <c r="V53" i="19"/>
  <c r="V51" i="19"/>
  <c r="V49" i="19"/>
  <c r="V48" i="19"/>
  <c r="AA60" i="19"/>
  <c r="AA59" i="19"/>
  <c r="AA58" i="19"/>
  <c r="AA57" i="19"/>
  <c r="AA56" i="19"/>
  <c r="AA55" i="19"/>
  <c r="AA54" i="19"/>
  <c r="AA53" i="19"/>
  <c r="AA51" i="19"/>
  <c r="AA49" i="19"/>
  <c r="AA48" i="19"/>
  <c r="G47" i="19"/>
  <c r="G44" i="19"/>
  <c r="G43" i="19"/>
  <c r="G42" i="19"/>
  <c r="G41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L47" i="19"/>
  <c r="L45" i="19"/>
  <c r="L44" i="19"/>
  <c r="L43" i="19"/>
  <c r="L42" i="19"/>
  <c r="L41" i="19"/>
  <c r="L40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Q47" i="19"/>
  <c r="Q45" i="19"/>
  <c r="Q44" i="19"/>
  <c r="Q43" i="19"/>
  <c r="Q42" i="19"/>
  <c r="Q41" i="19"/>
  <c r="Q40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V47" i="19"/>
  <c r="V45" i="19"/>
  <c r="V44" i="19"/>
  <c r="V43" i="19"/>
  <c r="V42" i="19"/>
  <c r="V41" i="19"/>
  <c r="V40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AA47" i="19"/>
  <c r="AA45" i="19"/>
  <c r="AA44" i="19"/>
  <c r="AA43" i="19"/>
  <c r="AA42" i="19"/>
  <c r="AA41" i="19"/>
  <c r="AA40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Q10" i="19"/>
  <c r="Q9" i="19"/>
  <c r="Q8" i="19"/>
  <c r="Q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R53" i="93"/>
  <c r="AS53" i="93"/>
  <c r="AT53" i="93"/>
  <c r="AQ53" i="93"/>
  <c r="AR47" i="93"/>
  <c r="AS47" i="93"/>
  <c r="AT47" i="93"/>
  <c r="AQ47" i="93"/>
  <c r="AR40" i="93"/>
  <c r="AS40" i="93"/>
  <c r="AT40" i="93"/>
  <c r="AQ40" i="93"/>
  <c r="AR26" i="93"/>
  <c r="AS26" i="93"/>
  <c r="AT26" i="93"/>
  <c r="AQ26" i="93"/>
  <c r="AR18" i="93"/>
  <c r="AS18" i="93"/>
  <c r="AT18" i="93"/>
  <c r="AQ18" i="93"/>
  <c r="AR8" i="93"/>
  <c r="AS8" i="93"/>
  <c r="AT8" i="93"/>
  <c r="AQ8" i="93"/>
  <c r="AR80" i="93"/>
  <c r="AS80" i="93"/>
  <c r="AT80" i="93"/>
  <c r="AQ80" i="93"/>
  <c r="AR75" i="93"/>
  <c r="AS75" i="93"/>
  <c r="AT75" i="93"/>
  <c r="AQ75" i="93"/>
  <c r="AR73" i="93"/>
  <c r="AS73" i="93"/>
  <c r="AT73" i="93"/>
  <c r="AQ73" i="93"/>
  <c r="AM8" i="93"/>
  <c r="AN8" i="93"/>
  <c r="AO8" i="93"/>
  <c r="AL8" i="93"/>
  <c r="AL18" i="93"/>
  <c r="AM18" i="93"/>
  <c r="AN18" i="93"/>
  <c r="AO18" i="93"/>
  <c r="AL26" i="93"/>
  <c r="AM26" i="93"/>
  <c r="AN26" i="93"/>
  <c r="AO26" i="93"/>
  <c r="AL40" i="93"/>
  <c r="AM40" i="93"/>
  <c r="AN40" i="93"/>
  <c r="AO40" i="93"/>
  <c r="AL47" i="93"/>
  <c r="AL53" i="93"/>
  <c r="AO53" i="93"/>
  <c r="AM53" i="93"/>
  <c r="AN53" i="93"/>
  <c r="AN63" i="93"/>
  <c r="AO63" i="93"/>
  <c r="AL69" i="93"/>
  <c r="AN69" i="93"/>
  <c r="AN73" i="93" s="1"/>
  <c r="AO69" i="93"/>
  <c r="AO73" i="93" s="1"/>
  <c r="AM69" i="93"/>
  <c r="AL75" i="93"/>
  <c r="AM75" i="93"/>
  <c r="AN75" i="93"/>
  <c r="AO75" i="93"/>
  <c r="AM80" i="93"/>
  <c r="AN80" i="93"/>
  <c r="AO80" i="93"/>
  <c r="AL80" i="93"/>
  <c r="Y14" i="88" l="1"/>
  <c r="AK14" i="88"/>
  <c r="AR7" i="93"/>
  <c r="P40" i="88"/>
  <c r="Q40" i="88"/>
  <c r="AT7" i="93"/>
  <c r="AT45" i="93" s="1"/>
  <c r="AT51" i="93" s="1"/>
  <c r="AT58" i="93" s="1"/>
  <c r="AT60" i="93" s="1"/>
  <c r="R40" i="88"/>
  <c r="AU12" i="10"/>
  <c r="AP55" i="15"/>
  <c r="AU25" i="10"/>
  <c r="O40" i="88"/>
  <c r="Z40" i="88"/>
  <c r="AR45" i="93"/>
  <c r="AR51" i="93" s="1"/>
  <c r="AR58" i="93" s="1"/>
  <c r="AR60" i="93" s="1"/>
  <c r="M40" i="88"/>
  <c r="Y110" i="88"/>
  <c r="AO58" i="93"/>
  <c r="X40" i="88"/>
  <c r="L40" i="88"/>
  <c r="AA40" i="88"/>
  <c r="N40" i="88"/>
  <c r="AQ14" i="10"/>
  <c r="AQ19" i="10" s="1"/>
  <c r="Y40" i="88"/>
  <c r="W40" i="88"/>
  <c r="K40" i="88"/>
  <c r="V40" i="88"/>
  <c r="S66" i="88"/>
  <c r="X66" i="88"/>
  <c r="L66" i="88"/>
  <c r="AQ7" i="93"/>
  <c r="AQ45" i="93" s="1"/>
  <c r="AQ51" i="93" s="1"/>
  <c r="AQ58" i="93" s="1"/>
  <c r="AQ60" i="93" s="1"/>
  <c r="U40" i="88"/>
  <c r="W66" i="88"/>
  <c r="T40" i="88"/>
  <c r="AT78" i="93"/>
  <c r="AT86" i="93" s="1"/>
  <c r="AT88" i="93" s="1"/>
  <c r="X14" i="88"/>
  <c r="S40" i="88"/>
  <c r="U66" i="88"/>
  <c r="AU31" i="10"/>
  <c r="AS33" i="10"/>
  <c r="AS38" i="10" s="1"/>
  <c r="AT19" i="10"/>
  <c r="AU33" i="10"/>
  <c r="AQ38" i="10"/>
  <c r="AD66" i="88"/>
  <c r="AI22" i="88"/>
  <c r="V66" i="88"/>
  <c r="T110" i="88"/>
  <c r="AF14" i="88"/>
  <c r="AF40" i="88"/>
  <c r="AC66" i="88"/>
  <c r="AH22" i="88"/>
  <c r="S110" i="88"/>
  <c r="AE14" i="88"/>
  <c r="AE40" i="88"/>
  <c r="V110" i="88"/>
  <c r="R110" i="88"/>
  <c r="AD14" i="88"/>
  <c r="AD40" i="88"/>
  <c r="U110" i="88"/>
  <c r="AC110" i="88"/>
  <c r="Q110" i="88"/>
  <c r="AC14" i="88"/>
  <c r="AC40" i="88"/>
  <c r="AE110" i="88"/>
  <c r="R66" i="88"/>
  <c r="X110" i="88"/>
  <c r="AB110" i="88"/>
  <c r="P110" i="88"/>
  <c r="AB40" i="88"/>
  <c r="AS78" i="93"/>
  <c r="AS86" i="93" s="1"/>
  <c r="AS88" i="93" s="1"/>
  <c r="Q66" i="88"/>
  <c r="W110" i="88"/>
  <c r="AA110" i="88"/>
  <c r="O110" i="88"/>
  <c r="AG110" i="88"/>
  <c r="AN78" i="93"/>
  <c r="AN86" i="93" s="1"/>
  <c r="AN88" i="93" s="1"/>
  <c r="AB66" i="88"/>
  <c r="P66" i="88"/>
  <c r="Z110" i="88"/>
  <c r="N110" i="88"/>
  <c r="AF110" i="88"/>
  <c r="AN58" i="93"/>
  <c r="AA66" i="88"/>
  <c r="O66" i="88"/>
  <c r="AS7" i="93"/>
  <c r="AS45" i="93" s="1"/>
  <c r="AS51" i="93" s="1"/>
  <c r="AS58" i="93" s="1"/>
  <c r="Z66" i="88"/>
  <c r="N66" i="88"/>
  <c r="AD110" i="88"/>
  <c r="T66" i="88"/>
  <c r="Y66" i="88"/>
  <c r="M66" i="88"/>
  <c r="Q57" i="92"/>
  <c r="Q28" i="92"/>
  <c r="AP50" i="15"/>
  <c r="AM58" i="93"/>
  <c r="AP57" i="15"/>
  <c r="AP46" i="15"/>
  <c r="AF66" i="88"/>
  <c r="AE66" i="88"/>
  <c r="AQ78" i="93"/>
  <c r="AQ86" i="93" s="1"/>
  <c r="AQ88" i="93" s="1"/>
  <c r="AU75" i="93"/>
  <c r="AR78" i="93"/>
  <c r="AR86" i="93" s="1"/>
  <c r="AR88" i="93" s="1"/>
  <c r="AO7" i="93"/>
  <c r="AO45" i="93"/>
  <c r="AL7" i="93"/>
  <c r="AL45" i="93" s="1"/>
  <c r="AL51" i="93" s="1"/>
  <c r="AL58" i="93" s="1"/>
  <c r="AL60" i="93" s="1"/>
  <c r="AM73" i="93"/>
  <c r="AM78" i="93" s="1"/>
  <c r="AM86" i="93" s="1"/>
  <c r="AM88" i="93" s="1"/>
  <c r="AN7" i="93"/>
  <c r="AN45" i="93" s="1"/>
  <c r="AO78" i="93"/>
  <c r="AO86" i="93" s="1"/>
  <c r="AO88" i="93" s="1"/>
  <c r="AM7" i="93"/>
  <c r="AM45" i="93" s="1"/>
  <c r="AL73" i="93"/>
  <c r="AL78" i="93" s="1"/>
  <c r="AL86" i="93" s="1"/>
  <c r="AL88" i="93" s="1"/>
  <c r="AP37" i="15"/>
  <c r="Q59" i="92"/>
  <c r="Q52" i="92"/>
  <c r="Q39" i="92"/>
  <c r="Q48" i="92"/>
  <c r="Q16" i="92"/>
  <c r="Q20" i="92"/>
  <c r="Q7" i="92"/>
  <c r="AP49" i="15" l="1"/>
  <c r="AU19" i="10"/>
  <c r="AU14" i="10"/>
  <c r="AS60" i="93"/>
  <c r="AU38" i="10"/>
  <c r="Q51" i="92"/>
  <c r="AP36" i="15"/>
  <c r="Q38" i="92"/>
  <c r="Q6" i="92"/>
  <c r="AX31" i="12" l="1"/>
  <c r="T34" i="97"/>
  <c r="AX48" i="47"/>
  <c r="AX114" i="47" l="1"/>
  <c r="AX36" i="12"/>
  <c r="T13" i="97"/>
  <c r="AX25" i="10"/>
  <c r="AX15" i="12"/>
  <c r="AX8" i="12"/>
  <c r="AW19" i="114"/>
  <c r="AW18" i="114"/>
  <c r="AW23" i="114"/>
  <c r="AW22" i="114"/>
  <c r="AW20" i="114"/>
  <c r="AW24" i="114"/>
  <c r="AW25" i="114"/>
  <c r="AW15" i="114"/>
  <c r="AW14" i="114"/>
  <c r="AW13" i="114"/>
  <c r="AW12" i="114"/>
  <c r="AW10" i="114"/>
  <c r="AW9" i="114"/>
  <c r="AW8" i="114"/>
  <c r="AX80" i="19" l="1"/>
  <c r="AX47" i="19"/>
  <c r="AX8" i="19"/>
  <c r="AW11" i="114"/>
  <c r="AW26" i="114"/>
  <c r="AW17" i="114"/>
  <c r="AX75" i="19"/>
  <c r="AX9" i="12" s="1"/>
  <c r="AW7" i="114"/>
  <c r="AX69" i="19"/>
  <c r="AX7" i="12"/>
  <c r="AX53" i="19"/>
  <c r="AX40" i="19"/>
  <c r="AX26" i="19"/>
  <c r="AX18" i="19"/>
  <c r="AW21" i="114" l="1"/>
  <c r="AW27" i="114" s="1"/>
  <c r="AX73" i="19"/>
  <c r="AX7" i="19"/>
  <c r="AX45" i="19" s="1"/>
  <c r="AX78" i="19" l="1"/>
  <c r="AX86" i="19" s="1"/>
  <c r="AX51" i="19"/>
  <c r="AX11" i="12"/>
  <c r="AX12" i="12" s="1"/>
  <c r="AX14" i="12" s="1"/>
  <c r="AX19" i="12" s="1"/>
  <c r="AX57" i="11"/>
  <c r="AX56" i="11"/>
  <c r="AX55" i="11"/>
  <c r="AX54" i="11"/>
  <c r="AX49" i="11"/>
  <c r="AX48" i="11"/>
  <c r="AX41" i="11"/>
  <c r="AX44" i="11"/>
  <c r="AX43" i="11"/>
  <c r="AX42" i="11"/>
  <c r="AX38" i="11"/>
  <c r="AX37" i="11"/>
  <c r="AX36" i="11"/>
  <c r="AX35" i="11"/>
  <c r="AX34" i="11"/>
  <c r="AX33" i="11"/>
  <c r="AX32" i="11"/>
  <c r="AX31" i="11"/>
  <c r="AX30" i="11"/>
  <c r="AX29" i="11"/>
  <c r="AX25" i="11"/>
  <c r="AX24" i="11"/>
  <c r="AX23" i="11"/>
  <c r="AX22" i="11"/>
  <c r="AX20" i="11"/>
  <c r="AX19" i="11"/>
  <c r="AX17" i="11"/>
  <c r="AX16" i="11"/>
  <c r="AX15" i="11"/>
  <c r="AX14" i="11"/>
  <c r="AX13" i="11"/>
  <c r="AX12" i="11"/>
  <c r="AX11" i="11"/>
  <c r="AX10" i="11"/>
  <c r="AX9" i="11"/>
  <c r="AX58" i="19" l="1"/>
  <c r="AX47" i="11"/>
  <c r="AX53" i="11"/>
  <c r="AX40" i="11"/>
  <c r="AX8" i="11"/>
  <c r="AX88" i="19" l="1"/>
  <c r="AX60" i="19"/>
  <c r="AX68" i="11" l="1"/>
  <c r="AW7" i="20"/>
  <c r="AX7" i="20"/>
  <c r="AW8" i="20"/>
  <c r="AX8" i="20"/>
  <c r="AX231" i="18"/>
  <c r="AX236" i="18" s="1"/>
  <c r="AX219" i="18"/>
  <c r="AX207" i="18"/>
  <c r="AX212" i="18" s="1"/>
  <c r="AX164" i="18"/>
  <c r="AX169" i="18" s="1"/>
  <c r="AX152" i="18"/>
  <c r="AX104" i="18"/>
  <c r="AX109" i="18" s="1"/>
  <c r="AX80" i="18"/>
  <c r="AX87" i="18" s="1"/>
  <c r="AX68" i="18"/>
  <c r="AX44" i="18"/>
  <c r="AX49" i="18" s="1"/>
  <c r="AX37" i="18"/>
  <c r="AX38" i="18"/>
  <c r="AX39" i="18"/>
  <c r="U54" i="104"/>
  <c r="U81" i="104"/>
  <c r="U108" i="104"/>
  <c r="U133" i="104"/>
  <c r="U158" i="104"/>
  <c r="U183" i="104"/>
  <c r="U211" i="104"/>
  <c r="U223" i="104"/>
  <c r="AX6" i="20" l="1"/>
  <c r="AW6" i="20"/>
  <c r="AX75" i="18"/>
  <c r="AX10" i="20"/>
  <c r="AX111" i="18"/>
  <c r="U27" i="104"/>
  <c r="AX110" i="18"/>
  <c r="AX85" i="18"/>
  <c r="AX74" i="18"/>
  <c r="AX214" i="18"/>
  <c r="AX238" i="18"/>
  <c r="AX51" i="18"/>
  <c r="AX73" i="18"/>
  <c r="AX171" i="18"/>
  <c r="AX213" i="18"/>
  <c r="AX237" i="18"/>
  <c r="AX86" i="18"/>
  <c r="AX50" i="18"/>
  <c r="AX170" i="18"/>
  <c r="P18" i="96"/>
  <c r="P42" i="96"/>
  <c r="P32" i="96"/>
  <c r="P8" i="96"/>
  <c r="AB113" i="108" l="1"/>
  <c r="AD113" i="108"/>
  <c r="AB107" i="108"/>
  <c r="AD107" i="108"/>
  <c r="AC102" i="108"/>
  <c r="AD102" i="108"/>
  <c r="AC77" i="108"/>
  <c r="AC87" i="108" s="1"/>
  <c r="AD77" i="108"/>
  <c r="AD87" i="108" s="1"/>
  <c r="AC92" i="108"/>
  <c r="AD92" i="108"/>
  <c r="AB102" i="108" l="1"/>
  <c r="AB92" i="108"/>
  <c r="AB77" i="108"/>
  <c r="AB87" i="108" s="1"/>
  <c r="AY185" i="115" l="1"/>
  <c r="AX185" i="115"/>
  <c r="AF185" i="115"/>
  <c r="AE185" i="115"/>
  <c r="AD185" i="115"/>
  <c r="AC185" i="115"/>
  <c r="AB185" i="115"/>
  <c r="AA185" i="115"/>
  <c r="Z185" i="115"/>
  <c r="Y185" i="115"/>
  <c r="X185" i="115"/>
  <c r="W185" i="115"/>
  <c r="V185" i="115"/>
  <c r="U185" i="115"/>
  <c r="T185" i="115"/>
  <c r="S185" i="115"/>
  <c r="R185" i="115"/>
  <c r="Q185" i="115"/>
  <c r="P185" i="115"/>
  <c r="O185" i="115"/>
  <c r="N185" i="115"/>
  <c r="M185" i="115"/>
  <c r="L185" i="115"/>
  <c r="K185" i="115"/>
  <c r="J185" i="115"/>
  <c r="I185" i="115"/>
  <c r="H185" i="115"/>
  <c r="G185" i="115"/>
  <c r="F185" i="115"/>
  <c r="E185" i="115"/>
  <c r="D185" i="115"/>
  <c r="C185" i="115"/>
  <c r="AY184" i="115"/>
  <c r="AX184" i="115"/>
  <c r="AJ184" i="115"/>
  <c r="AI184" i="115"/>
  <c r="AH184" i="115"/>
  <c r="AG184" i="115"/>
  <c r="AF184" i="115"/>
  <c r="AE184" i="115"/>
  <c r="AD184" i="115"/>
  <c r="AC184" i="115"/>
  <c r="AB184" i="115"/>
  <c r="AA184" i="115"/>
  <c r="Z184" i="115"/>
  <c r="Y184" i="115"/>
  <c r="X184" i="115"/>
  <c r="W184" i="115"/>
  <c r="V184" i="115"/>
  <c r="U184" i="115"/>
  <c r="T184" i="115"/>
  <c r="S184" i="115"/>
  <c r="R184" i="115"/>
  <c r="Q184" i="115"/>
  <c r="P184" i="115"/>
  <c r="O184" i="115"/>
  <c r="N184" i="115"/>
  <c r="M184" i="115"/>
  <c r="L184" i="115"/>
  <c r="K184" i="115"/>
  <c r="J184" i="115"/>
  <c r="I184" i="115"/>
  <c r="H184" i="115"/>
  <c r="G184" i="115"/>
  <c r="F184" i="115"/>
  <c r="E184" i="115"/>
  <c r="D184" i="115"/>
  <c r="C184" i="115"/>
  <c r="B184" i="115"/>
  <c r="AY183" i="115"/>
  <c r="AX183" i="115"/>
  <c r="AJ183" i="115"/>
  <c r="AI183" i="115"/>
  <c r="AH183" i="115"/>
  <c r="AG183" i="115"/>
  <c r="AF183" i="115"/>
  <c r="AE183" i="115"/>
  <c r="AD183" i="115"/>
  <c r="AC183" i="115"/>
  <c r="AB183" i="115"/>
  <c r="AA183" i="115"/>
  <c r="Z183" i="115"/>
  <c r="Y183" i="115"/>
  <c r="X183" i="115"/>
  <c r="W183" i="115"/>
  <c r="V183" i="115"/>
  <c r="U183" i="115"/>
  <c r="T183" i="115"/>
  <c r="S183" i="115"/>
  <c r="R183" i="115"/>
  <c r="Q183" i="115"/>
  <c r="P183" i="115"/>
  <c r="O183" i="115"/>
  <c r="N183" i="115"/>
  <c r="M183" i="115"/>
  <c r="L183" i="115"/>
  <c r="K183" i="115"/>
  <c r="J183" i="115"/>
  <c r="I183" i="115"/>
  <c r="H183" i="115"/>
  <c r="G183" i="115"/>
  <c r="F183" i="115"/>
  <c r="E183" i="115"/>
  <c r="D183" i="115"/>
  <c r="C183" i="115"/>
  <c r="B183" i="115"/>
  <c r="B182" i="115"/>
  <c r="AY181" i="115"/>
  <c r="AX181" i="115"/>
  <c r="AF181" i="115"/>
  <c r="AE181" i="115"/>
  <c r="AD181" i="115"/>
  <c r="AC181" i="115"/>
  <c r="AB181" i="115"/>
  <c r="AA181" i="115"/>
  <c r="Z181" i="115"/>
  <c r="Y181" i="115"/>
  <c r="X181" i="115"/>
  <c r="W181" i="115"/>
  <c r="V181" i="115"/>
  <c r="U181" i="115"/>
  <c r="T181" i="115"/>
  <c r="S181" i="115"/>
  <c r="R181" i="115"/>
  <c r="Q181" i="115"/>
  <c r="P181" i="115"/>
  <c r="O181" i="115"/>
  <c r="N181" i="115"/>
  <c r="M181" i="115"/>
  <c r="L181" i="115"/>
  <c r="K181" i="115"/>
  <c r="J181" i="115"/>
  <c r="I181" i="115"/>
  <c r="H181" i="115"/>
  <c r="G181" i="115"/>
  <c r="F181" i="115"/>
  <c r="E181" i="115"/>
  <c r="D181" i="115"/>
  <c r="C181" i="115"/>
  <c r="B181" i="115"/>
  <c r="AY180" i="115"/>
  <c r="AX180" i="115"/>
  <c r="AF180" i="115"/>
  <c r="AE180" i="115"/>
  <c r="AD180" i="115"/>
  <c r="AC180" i="115"/>
  <c r="AB180" i="115"/>
  <c r="AA180" i="115"/>
  <c r="Z180" i="115"/>
  <c r="Y180" i="115"/>
  <c r="X180" i="115"/>
  <c r="W180" i="115"/>
  <c r="V180" i="115"/>
  <c r="U180" i="115"/>
  <c r="T180" i="115"/>
  <c r="S180" i="115"/>
  <c r="R180" i="115"/>
  <c r="Q180" i="115"/>
  <c r="P180" i="115"/>
  <c r="O180" i="115"/>
  <c r="N180" i="115"/>
  <c r="M180" i="115"/>
  <c r="L180" i="115"/>
  <c r="K180" i="115"/>
  <c r="J180" i="115"/>
  <c r="I180" i="115"/>
  <c r="H180" i="115"/>
  <c r="G180" i="115"/>
  <c r="F180" i="115"/>
  <c r="E180" i="115"/>
  <c r="D180" i="115"/>
  <c r="C180" i="115"/>
  <c r="B180" i="115"/>
  <c r="B179" i="115"/>
  <c r="AY178" i="115"/>
  <c r="AX178" i="115"/>
  <c r="AF178" i="115"/>
  <c r="AE178" i="115"/>
  <c r="AD178" i="115"/>
  <c r="AC178" i="115"/>
  <c r="AB178" i="115"/>
  <c r="AA178" i="115"/>
  <c r="Z178" i="115"/>
  <c r="Y178" i="115"/>
  <c r="X178" i="115"/>
  <c r="W178" i="115"/>
  <c r="V178" i="115"/>
  <c r="U178" i="115"/>
  <c r="T178" i="115"/>
  <c r="S178" i="115"/>
  <c r="R178" i="115"/>
  <c r="Q178" i="115"/>
  <c r="P178" i="115"/>
  <c r="O178" i="115"/>
  <c r="N178" i="115"/>
  <c r="M178" i="115"/>
  <c r="L178" i="115"/>
  <c r="K178" i="115"/>
  <c r="J178" i="115"/>
  <c r="I178" i="115"/>
  <c r="H178" i="115"/>
  <c r="G178" i="115"/>
  <c r="F178" i="115"/>
  <c r="E178" i="115"/>
  <c r="D178" i="115"/>
  <c r="C178" i="115"/>
  <c r="B178" i="115"/>
  <c r="AY177" i="115"/>
  <c r="AX177" i="115"/>
  <c r="AF177" i="115"/>
  <c r="AE177" i="115"/>
  <c r="AD177" i="115"/>
  <c r="AC177" i="115"/>
  <c r="AB177" i="115"/>
  <c r="AA177" i="115"/>
  <c r="Z177" i="115"/>
  <c r="Y177" i="115"/>
  <c r="X177" i="115"/>
  <c r="W177" i="115"/>
  <c r="V177" i="115"/>
  <c r="U177" i="115"/>
  <c r="T177" i="115"/>
  <c r="S177" i="115"/>
  <c r="R177" i="115"/>
  <c r="Q177" i="115"/>
  <c r="P177" i="115"/>
  <c r="O177" i="115"/>
  <c r="N177" i="115"/>
  <c r="M177" i="115"/>
  <c r="L177" i="115"/>
  <c r="K177" i="115"/>
  <c r="J177" i="115"/>
  <c r="I177" i="115"/>
  <c r="H177" i="115"/>
  <c r="G177" i="115"/>
  <c r="F177" i="115"/>
  <c r="E177" i="115"/>
  <c r="D177" i="115"/>
  <c r="C177" i="115"/>
  <c r="B177" i="115"/>
  <c r="AY176" i="115"/>
  <c r="AX176" i="115"/>
  <c r="AF176" i="115"/>
  <c r="AE176" i="115"/>
  <c r="AD176" i="115"/>
  <c r="AC176" i="115"/>
  <c r="AB176" i="115"/>
  <c r="AA176" i="115"/>
  <c r="Z176" i="115"/>
  <c r="Y176" i="115"/>
  <c r="X176" i="115"/>
  <c r="W176" i="115"/>
  <c r="V176" i="115"/>
  <c r="U176" i="115"/>
  <c r="T176" i="115"/>
  <c r="S176" i="115"/>
  <c r="R176" i="115"/>
  <c r="Q176" i="115"/>
  <c r="P176" i="115"/>
  <c r="O176" i="115"/>
  <c r="N176" i="115"/>
  <c r="M176" i="115"/>
  <c r="L176" i="115"/>
  <c r="K176" i="115"/>
  <c r="J176" i="115"/>
  <c r="I176" i="115"/>
  <c r="H176" i="115"/>
  <c r="G176" i="115"/>
  <c r="F176" i="115"/>
  <c r="E176" i="115"/>
  <c r="D176" i="115"/>
  <c r="C176" i="115"/>
  <c r="B176" i="115"/>
  <c r="AY175" i="115"/>
  <c r="AX175" i="115"/>
  <c r="AF175" i="115"/>
  <c r="AE175" i="115"/>
  <c r="AD175" i="115"/>
  <c r="AC175" i="115"/>
  <c r="AB175" i="115"/>
  <c r="AA175" i="115"/>
  <c r="Z175" i="115"/>
  <c r="Y175" i="115"/>
  <c r="X175" i="115"/>
  <c r="W175" i="115"/>
  <c r="V175" i="115"/>
  <c r="U175" i="115"/>
  <c r="T175" i="115"/>
  <c r="S175" i="115"/>
  <c r="R175" i="115"/>
  <c r="Q175" i="115"/>
  <c r="P175" i="115"/>
  <c r="O175" i="115"/>
  <c r="N175" i="115"/>
  <c r="M175" i="115"/>
  <c r="L175" i="115"/>
  <c r="K175" i="115"/>
  <c r="J175" i="115"/>
  <c r="I175" i="115"/>
  <c r="H175" i="115"/>
  <c r="G175" i="115"/>
  <c r="F175" i="115"/>
  <c r="E175" i="115"/>
  <c r="D175" i="115"/>
  <c r="C175" i="115"/>
  <c r="B175" i="115"/>
  <c r="AY174" i="115"/>
  <c r="AX174" i="115"/>
  <c r="AW174" i="115"/>
  <c r="AV174" i="115"/>
  <c r="AT174" i="115"/>
  <c r="AF174" i="115"/>
  <c r="AE174" i="115"/>
  <c r="AD174" i="115"/>
  <c r="AC174" i="115"/>
  <c r="AB174" i="115"/>
  <c r="AA174" i="115"/>
  <c r="Z174" i="115"/>
  <c r="Y174" i="115"/>
  <c r="X174" i="115"/>
  <c r="W174" i="115"/>
  <c r="V174" i="115"/>
  <c r="U174" i="115"/>
  <c r="T174" i="115"/>
  <c r="S174" i="115"/>
  <c r="R174" i="115"/>
  <c r="Q174" i="115"/>
  <c r="P174" i="115"/>
  <c r="O174" i="115"/>
  <c r="N174" i="115"/>
  <c r="M174" i="115"/>
  <c r="L174" i="115"/>
  <c r="K174" i="115"/>
  <c r="J174" i="115"/>
  <c r="I174" i="115"/>
  <c r="H174" i="115"/>
  <c r="G174" i="115"/>
  <c r="F174" i="115"/>
  <c r="E174" i="115"/>
  <c r="D174" i="115"/>
  <c r="C174" i="115"/>
  <c r="B174" i="115"/>
  <c r="AY173" i="115"/>
  <c r="AX173" i="115"/>
  <c r="AF173" i="115"/>
  <c r="AE173" i="115"/>
  <c r="AD173" i="115"/>
  <c r="AC173" i="115"/>
  <c r="AB173" i="115"/>
  <c r="AA173" i="115"/>
  <c r="Z173" i="115"/>
  <c r="Y173" i="115"/>
  <c r="X173" i="115"/>
  <c r="W173" i="115"/>
  <c r="V173" i="115"/>
  <c r="U173" i="115"/>
  <c r="T173" i="115"/>
  <c r="S173" i="115"/>
  <c r="R173" i="115"/>
  <c r="Q173" i="115"/>
  <c r="P173" i="115"/>
  <c r="O173" i="115"/>
  <c r="N173" i="115"/>
  <c r="M173" i="115"/>
  <c r="L173" i="115"/>
  <c r="K173" i="115"/>
  <c r="J173" i="115"/>
  <c r="I173" i="115"/>
  <c r="H173" i="115"/>
  <c r="G173" i="115"/>
  <c r="F173" i="115"/>
  <c r="E173" i="115"/>
  <c r="D173" i="115"/>
  <c r="C173" i="115"/>
  <c r="B173" i="115"/>
  <c r="B172" i="115"/>
  <c r="B171" i="115"/>
  <c r="AY170" i="115"/>
  <c r="AX170" i="115"/>
  <c r="AA170" i="115"/>
  <c r="Z170" i="115"/>
  <c r="Y170" i="115"/>
  <c r="X170" i="115"/>
  <c r="W170" i="115"/>
  <c r="V170" i="115"/>
  <c r="U170" i="115"/>
  <c r="T170" i="115"/>
  <c r="S170" i="115"/>
  <c r="R170" i="115"/>
  <c r="Q170" i="115"/>
  <c r="P170" i="115"/>
  <c r="O170" i="115"/>
  <c r="N170" i="115"/>
  <c r="M170" i="115"/>
  <c r="L170" i="115"/>
  <c r="K170" i="115"/>
  <c r="J170" i="115"/>
  <c r="I170" i="115"/>
  <c r="H170" i="115"/>
  <c r="G170" i="115"/>
  <c r="F170" i="115"/>
  <c r="E170" i="115"/>
  <c r="D170" i="115"/>
  <c r="C170" i="115"/>
  <c r="B170" i="115"/>
  <c r="AY169" i="115"/>
  <c r="AX169" i="115"/>
  <c r="AA169" i="115"/>
  <c r="Z169" i="115"/>
  <c r="Y169" i="115"/>
  <c r="X169" i="115"/>
  <c r="W169" i="115"/>
  <c r="V169" i="115"/>
  <c r="U169" i="115"/>
  <c r="T169" i="115"/>
  <c r="S169" i="115"/>
  <c r="R169" i="115"/>
  <c r="Q169" i="115"/>
  <c r="P169" i="115"/>
  <c r="O169" i="115"/>
  <c r="N169" i="115"/>
  <c r="M169" i="115"/>
  <c r="L169" i="115"/>
  <c r="K169" i="115"/>
  <c r="J169" i="115"/>
  <c r="I169" i="115"/>
  <c r="H169" i="115"/>
  <c r="G169" i="115"/>
  <c r="F169" i="115"/>
  <c r="E169" i="115"/>
  <c r="D169" i="115"/>
  <c r="C169" i="115"/>
  <c r="B169" i="115"/>
  <c r="AY168" i="115"/>
  <c r="AX168" i="115"/>
  <c r="AW168" i="115"/>
  <c r="AV168" i="115"/>
  <c r="AT168" i="115"/>
  <c r="AS168" i="115"/>
  <c r="AR168" i="115"/>
  <c r="AQ168" i="115"/>
  <c r="AO168" i="115"/>
  <c r="AN168" i="115"/>
  <c r="AM168" i="115"/>
  <c r="AL168" i="115"/>
  <c r="AA168" i="115"/>
  <c r="Z168" i="115"/>
  <c r="Y168" i="115"/>
  <c r="X168" i="115"/>
  <c r="W168" i="115"/>
  <c r="V168" i="115"/>
  <c r="U168" i="115"/>
  <c r="T168" i="115"/>
  <c r="S168" i="115"/>
  <c r="R168" i="115"/>
  <c r="Q168" i="115"/>
  <c r="P168" i="115"/>
  <c r="O168" i="115"/>
  <c r="N168" i="115"/>
  <c r="M168" i="115"/>
  <c r="L168" i="115"/>
  <c r="K168" i="115"/>
  <c r="J168" i="115"/>
  <c r="I168" i="115"/>
  <c r="H168" i="115"/>
  <c r="G168" i="115"/>
  <c r="F168" i="115"/>
  <c r="E168" i="115"/>
  <c r="D168" i="115"/>
  <c r="C168" i="115"/>
  <c r="B168" i="115"/>
  <c r="AY167" i="115"/>
  <c r="AX167" i="115"/>
  <c r="AW167" i="115"/>
  <c r="AV167" i="115"/>
  <c r="AT167" i="115"/>
  <c r="AS167" i="115"/>
  <c r="AR167" i="115"/>
  <c r="AQ167" i="115"/>
  <c r="AO167" i="115"/>
  <c r="AN167" i="115"/>
  <c r="AM167" i="115"/>
  <c r="AL167" i="115"/>
  <c r="AA167" i="115"/>
  <c r="Z167" i="115"/>
  <c r="Y167" i="115"/>
  <c r="X167" i="115"/>
  <c r="W167" i="115"/>
  <c r="V167" i="115"/>
  <c r="U167" i="115"/>
  <c r="T167" i="115"/>
  <c r="S167" i="115"/>
  <c r="R167" i="115"/>
  <c r="Q167" i="115"/>
  <c r="P167" i="115"/>
  <c r="O167" i="115"/>
  <c r="N167" i="115"/>
  <c r="M167" i="115"/>
  <c r="L167" i="115"/>
  <c r="K167" i="115"/>
  <c r="J167" i="115"/>
  <c r="I167" i="115"/>
  <c r="H167" i="115"/>
  <c r="G167" i="115"/>
  <c r="F167" i="115"/>
  <c r="E167" i="115"/>
  <c r="D167" i="115"/>
  <c r="C167" i="115"/>
  <c r="B167" i="115"/>
  <c r="AY166" i="115"/>
  <c r="AX166" i="115"/>
  <c r="AA166" i="115"/>
  <c r="Z166" i="115"/>
  <c r="Y166" i="115"/>
  <c r="X166" i="115"/>
  <c r="W166" i="115"/>
  <c r="V166" i="115"/>
  <c r="U166" i="115"/>
  <c r="T166" i="115"/>
  <c r="S166" i="115"/>
  <c r="R166" i="115"/>
  <c r="Q166" i="115"/>
  <c r="P166" i="115"/>
  <c r="O166" i="115"/>
  <c r="N166" i="115"/>
  <c r="M166" i="115"/>
  <c r="L166" i="115"/>
  <c r="K166" i="115"/>
  <c r="J166" i="115"/>
  <c r="I166" i="115"/>
  <c r="H166" i="115"/>
  <c r="G166" i="115"/>
  <c r="F166" i="115"/>
  <c r="E166" i="115"/>
  <c r="D166" i="115"/>
  <c r="C166" i="115"/>
  <c r="B166" i="115"/>
  <c r="AY165" i="115"/>
  <c r="AX165" i="115"/>
  <c r="AW165" i="115"/>
  <c r="AV165" i="115"/>
  <c r="AT165" i="115"/>
  <c r="AS165" i="115"/>
  <c r="AR165" i="115"/>
  <c r="AQ165" i="115"/>
  <c r="AO165" i="115"/>
  <c r="AN165" i="115"/>
  <c r="AM165" i="115"/>
  <c r="AL165" i="115"/>
  <c r="AA165" i="115"/>
  <c r="Z165" i="115"/>
  <c r="Y165" i="115"/>
  <c r="X165" i="115"/>
  <c r="W165" i="115"/>
  <c r="V165" i="115"/>
  <c r="U165" i="115"/>
  <c r="T165" i="115"/>
  <c r="S165" i="115"/>
  <c r="R165" i="115"/>
  <c r="Q165" i="115"/>
  <c r="P165" i="115"/>
  <c r="O165" i="115"/>
  <c r="N165" i="115"/>
  <c r="M165" i="115"/>
  <c r="L165" i="115"/>
  <c r="K165" i="115"/>
  <c r="J165" i="115"/>
  <c r="I165" i="115"/>
  <c r="H165" i="115"/>
  <c r="G165" i="115"/>
  <c r="F165" i="115"/>
  <c r="E165" i="115"/>
  <c r="D165" i="115"/>
  <c r="C165" i="115"/>
  <c r="B165" i="115"/>
  <c r="AY164" i="115"/>
  <c r="AX164" i="115"/>
  <c r="AW164" i="115"/>
  <c r="AV164" i="115"/>
  <c r="AT164" i="115"/>
  <c r="AS164" i="115"/>
  <c r="AR164" i="115"/>
  <c r="AQ164" i="115"/>
  <c r="AO164" i="115"/>
  <c r="AN164" i="115"/>
  <c r="AM164" i="115"/>
  <c r="AL164" i="115"/>
  <c r="AF164" i="115"/>
  <c r="AE164" i="115"/>
  <c r="AD164" i="115"/>
  <c r="AC164" i="115"/>
  <c r="AB164" i="115"/>
  <c r="AA164" i="115"/>
  <c r="Z164" i="115"/>
  <c r="Y164" i="115"/>
  <c r="X164" i="115"/>
  <c r="W164" i="115"/>
  <c r="V164" i="115"/>
  <c r="U164" i="115"/>
  <c r="T164" i="115"/>
  <c r="S164" i="115"/>
  <c r="R164" i="115"/>
  <c r="Q164" i="115"/>
  <c r="P164" i="115"/>
  <c r="O164" i="115"/>
  <c r="N164" i="115"/>
  <c r="M164" i="115"/>
  <c r="L164" i="115"/>
  <c r="K164" i="115"/>
  <c r="J164" i="115"/>
  <c r="I164" i="115"/>
  <c r="H164" i="115"/>
  <c r="G164" i="115"/>
  <c r="F164" i="115"/>
  <c r="E164" i="115"/>
  <c r="D164" i="115"/>
  <c r="C164" i="115"/>
  <c r="B164" i="115"/>
  <c r="AZ163" i="115"/>
  <c r="AY163" i="115"/>
  <c r="AX163" i="115"/>
  <c r="AW163" i="115"/>
  <c r="AV163" i="115"/>
  <c r="AU163" i="115"/>
  <c r="AT163" i="115"/>
  <c r="AS163" i="115"/>
  <c r="AR163" i="115"/>
  <c r="AQ163" i="115"/>
  <c r="AP163" i="115"/>
  <c r="AO163" i="115"/>
  <c r="AN163" i="115"/>
  <c r="AM163" i="115"/>
  <c r="AL163" i="115"/>
  <c r="AK163" i="115"/>
  <c r="AJ163" i="115"/>
  <c r="AI163" i="115"/>
  <c r="AH163" i="115"/>
  <c r="AG163" i="115"/>
  <c r="AF163" i="115"/>
  <c r="AE163" i="115"/>
  <c r="AD163" i="115"/>
  <c r="AC163" i="115"/>
  <c r="AB163" i="115"/>
  <c r="AA163" i="115"/>
  <c r="Z163" i="115"/>
  <c r="Y163" i="115"/>
  <c r="X163" i="115"/>
  <c r="W163" i="115"/>
  <c r="V163" i="115"/>
  <c r="U163" i="115"/>
  <c r="T163" i="115"/>
  <c r="S163" i="115"/>
  <c r="R163" i="115"/>
  <c r="Q163" i="115"/>
  <c r="P163" i="115"/>
  <c r="O163" i="115"/>
  <c r="N163" i="115"/>
  <c r="M163" i="115"/>
  <c r="L163" i="115"/>
  <c r="K163" i="115"/>
  <c r="J163" i="115"/>
  <c r="I163" i="115"/>
  <c r="H163" i="115"/>
  <c r="G163" i="115"/>
  <c r="F163" i="115"/>
  <c r="E163" i="115"/>
  <c r="D163" i="115"/>
  <c r="C163" i="115"/>
  <c r="B163" i="115"/>
  <c r="AY162" i="115"/>
  <c r="AX162" i="115"/>
  <c r="AF162" i="115"/>
  <c r="AE162" i="115"/>
  <c r="AD162" i="115"/>
  <c r="AC162" i="115"/>
  <c r="AB162" i="115"/>
  <c r="AA162" i="115"/>
  <c r="Z162" i="115"/>
  <c r="Y162" i="115"/>
  <c r="X162" i="115"/>
  <c r="W162" i="115"/>
  <c r="V162" i="115"/>
  <c r="U162" i="115"/>
  <c r="T162" i="115"/>
  <c r="S162" i="115"/>
  <c r="R162" i="115"/>
  <c r="Q162" i="115"/>
  <c r="P162" i="115"/>
  <c r="O162" i="115"/>
  <c r="N162" i="115"/>
  <c r="M162" i="115"/>
  <c r="L162" i="115"/>
  <c r="K162" i="115"/>
  <c r="J162" i="115"/>
  <c r="I162" i="115"/>
  <c r="H162" i="115"/>
  <c r="G162" i="115"/>
  <c r="F162" i="115"/>
  <c r="E162" i="115"/>
  <c r="D162" i="115"/>
  <c r="C162" i="115"/>
  <c r="B162" i="115"/>
  <c r="AY161" i="115"/>
  <c r="AX161" i="115"/>
  <c r="AA161" i="115"/>
  <c r="Z161" i="115"/>
  <c r="Y161" i="115"/>
  <c r="X161" i="115"/>
  <c r="W161" i="115"/>
  <c r="V161" i="115"/>
  <c r="U161" i="115"/>
  <c r="T161" i="115"/>
  <c r="S161" i="115"/>
  <c r="R161" i="115"/>
  <c r="Q161" i="115"/>
  <c r="P161" i="115"/>
  <c r="O161" i="115"/>
  <c r="N161" i="115"/>
  <c r="M161" i="115"/>
  <c r="L161" i="115"/>
  <c r="K161" i="115"/>
  <c r="J161" i="115"/>
  <c r="I161" i="115"/>
  <c r="H161" i="115"/>
  <c r="G161" i="115"/>
  <c r="F161" i="115"/>
  <c r="E161" i="115"/>
  <c r="D161" i="115"/>
  <c r="C161" i="115"/>
  <c r="B161" i="115"/>
  <c r="B160" i="115"/>
  <c r="AY147" i="115"/>
  <c r="AX147" i="115"/>
  <c r="AF147" i="115"/>
  <c r="AE147" i="115"/>
  <c r="AD147" i="115"/>
  <c r="AC147" i="115"/>
  <c r="AB147" i="115"/>
  <c r="AA147" i="115"/>
  <c r="Z147" i="115"/>
  <c r="Y147" i="115"/>
  <c r="X147" i="115"/>
  <c r="W147" i="115"/>
  <c r="V147" i="115"/>
  <c r="U147" i="115"/>
  <c r="T147" i="115"/>
  <c r="S147" i="115"/>
  <c r="R147" i="115"/>
  <c r="Q147" i="115"/>
  <c r="P147" i="115"/>
  <c r="O147" i="115"/>
  <c r="N147" i="115"/>
  <c r="M147" i="115"/>
  <c r="L147" i="115"/>
  <c r="K147" i="115"/>
  <c r="J147" i="115"/>
  <c r="I147" i="115"/>
  <c r="H147" i="115"/>
  <c r="G147" i="115"/>
  <c r="F147" i="115"/>
  <c r="E147" i="115"/>
  <c r="D147" i="115"/>
  <c r="C147" i="115"/>
  <c r="AY146" i="115"/>
  <c r="AX146" i="115"/>
  <c r="AJ146" i="115"/>
  <c r="AI146" i="115"/>
  <c r="AH146" i="115"/>
  <c r="AG146" i="115"/>
  <c r="AF146" i="115"/>
  <c r="AE146" i="115"/>
  <c r="AD146" i="115"/>
  <c r="AC146" i="115"/>
  <c r="AB146" i="115"/>
  <c r="AA146" i="115"/>
  <c r="Z146" i="115"/>
  <c r="Y146" i="115"/>
  <c r="X146" i="115"/>
  <c r="W146" i="115"/>
  <c r="V146" i="115"/>
  <c r="U146" i="115"/>
  <c r="T146" i="115"/>
  <c r="S146" i="115"/>
  <c r="R146" i="115"/>
  <c r="Q146" i="115"/>
  <c r="P146" i="115"/>
  <c r="O146" i="115"/>
  <c r="N146" i="115"/>
  <c r="M146" i="115"/>
  <c r="L146" i="115"/>
  <c r="K146" i="115"/>
  <c r="J146" i="115"/>
  <c r="I146" i="115"/>
  <c r="H146" i="115"/>
  <c r="G146" i="115"/>
  <c r="F146" i="115"/>
  <c r="E146" i="115"/>
  <c r="D146" i="115"/>
  <c r="C146" i="115"/>
  <c r="AY145" i="115"/>
  <c r="AX145" i="115"/>
  <c r="AJ145" i="115"/>
  <c r="AI145" i="115"/>
  <c r="AH145" i="115"/>
  <c r="AG145" i="115"/>
  <c r="AF145" i="115"/>
  <c r="AE145" i="115"/>
  <c r="AD145" i="115"/>
  <c r="AC145" i="115"/>
  <c r="AB145" i="115"/>
  <c r="AA145" i="115"/>
  <c r="Z145" i="115"/>
  <c r="Y145" i="115"/>
  <c r="Y144" i="115" s="1"/>
  <c r="Y155" i="115" s="1"/>
  <c r="X145" i="115"/>
  <c r="W145" i="115"/>
  <c r="V145" i="115"/>
  <c r="U145" i="115"/>
  <c r="T145" i="115"/>
  <c r="S145" i="115"/>
  <c r="R145" i="115"/>
  <c r="Q145" i="115"/>
  <c r="P145" i="115"/>
  <c r="O145" i="115"/>
  <c r="N145" i="115"/>
  <c r="M145" i="115"/>
  <c r="L145" i="115"/>
  <c r="K145" i="115"/>
  <c r="J145" i="115"/>
  <c r="I145" i="115"/>
  <c r="H145" i="115"/>
  <c r="G145" i="115"/>
  <c r="F145" i="115"/>
  <c r="E145" i="115"/>
  <c r="D145" i="115"/>
  <c r="C145" i="115"/>
  <c r="AY143" i="115"/>
  <c r="AX143" i="115"/>
  <c r="AF143" i="115"/>
  <c r="AE143" i="115"/>
  <c r="AD143" i="115"/>
  <c r="AC143" i="115"/>
  <c r="AB143" i="115"/>
  <c r="AA143" i="115"/>
  <c r="Z143" i="115"/>
  <c r="Y143" i="115"/>
  <c r="X143" i="115"/>
  <c r="W143" i="115"/>
  <c r="V143" i="115"/>
  <c r="U143" i="115"/>
  <c r="T143" i="115"/>
  <c r="S143" i="115"/>
  <c r="R143" i="115"/>
  <c r="Q143" i="115"/>
  <c r="P143" i="115"/>
  <c r="O143" i="115"/>
  <c r="N143" i="115"/>
  <c r="M143" i="115"/>
  <c r="L143" i="115"/>
  <c r="K143" i="115"/>
  <c r="J143" i="115"/>
  <c r="I143" i="115"/>
  <c r="H143" i="115"/>
  <c r="G143" i="115"/>
  <c r="F143" i="115"/>
  <c r="E143" i="115"/>
  <c r="D143" i="115"/>
  <c r="C143" i="115"/>
  <c r="AY142" i="115"/>
  <c r="AX142" i="115"/>
  <c r="AF142" i="115"/>
  <c r="AE142" i="115"/>
  <c r="AD142" i="115"/>
  <c r="AC142" i="115"/>
  <c r="AB142" i="115"/>
  <c r="AA142" i="115"/>
  <c r="Z142" i="115"/>
  <c r="Y142" i="115"/>
  <c r="X142" i="115"/>
  <c r="W142" i="115"/>
  <c r="V142" i="115"/>
  <c r="U142" i="115"/>
  <c r="T142" i="115"/>
  <c r="S142" i="115"/>
  <c r="R142" i="115"/>
  <c r="Q142" i="115"/>
  <c r="P142" i="115"/>
  <c r="O142" i="115"/>
  <c r="N142" i="115"/>
  <c r="M142" i="115"/>
  <c r="L142" i="115"/>
  <c r="K142" i="115"/>
  <c r="J142" i="115"/>
  <c r="I142" i="115"/>
  <c r="H142" i="115"/>
  <c r="G142" i="115"/>
  <c r="F142" i="115"/>
  <c r="E142" i="115"/>
  <c r="D142" i="115"/>
  <c r="C142" i="115"/>
  <c r="AY140" i="115"/>
  <c r="AX140" i="115"/>
  <c r="AF140" i="115"/>
  <c r="AE140" i="115"/>
  <c r="AD140" i="115"/>
  <c r="AC140" i="115"/>
  <c r="AB140" i="115"/>
  <c r="AA140" i="115"/>
  <c r="Z140" i="115"/>
  <c r="Y140" i="115"/>
  <c r="X140" i="115"/>
  <c r="W140" i="115"/>
  <c r="V140" i="115"/>
  <c r="U140" i="115"/>
  <c r="T140" i="115"/>
  <c r="S140" i="115"/>
  <c r="R140" i="115"/>
  <c r="Q140" i="115"/>
  <c r="P140" i="115"/>
  <c r="O140" i="115"/>
  <c r="N140" i="115"/>
  <c r="M140" i="115"/>
  <c r="L140" i="115"/>
  <c r="K140" i="115"/>
  <c r="J140" i="115"/>
  <c r="I140" i="115"/>
  <c r="H140" i="115"/>
  <c r="G140" i="115"/>
  <c r="F140" i="115"/>
  <c r="E140" i="115"/>
  <c r="D140" i="115"/>
  <c r="C140" i="115"/>
  <c r="AY139" i="115"/>
  <c r="AX139" i="115"/>
  <c r="AF139" i="115"/>
  <c r="AE139" i="115"/>
  <c r="AD139" i="115"/>
  <c r="AC139" i="115"/>
  <c r="AB139" i="115"/>
  <c r="AA139" i="115"/>
  <c r="Z139" i="115"/>
  <c r="Y139" i="115"/>
  <c r="X139" i="115"/>
  <c r="W139" i="115"/>
  <c r="V139" i="115"/>
  <c r="U139" i="115"/>
  <c r="T139" i="115"/>
  <c r="S139" i="115"/>
  <c r="R139" i="115"/>
  <c r="Q139" i="115"/>
  <c r="P139" i="115"/>
  <c r="O139" i="115"/>
  <c r="N139" i="115"/>
  <c r="M139" i="115"/>
  <c r="L139" i="115"/>
  <c r="K139" i="115"/>
  <c r="J139" i="115"/>
  <c r="I139" i="115"/>
  <c r="H139" i="115"/>
  <c r="G139" i="115"/>
  <c r="F139" i="115"/>
  <c r="E139" i="115"/>
  <c r="D139" i="115"/>
  <c r="C139" i="115"/>
  <c r="AY138" i="115"/>
  <c r="AX138" i="115"/>
  <c r="AF138" i="115"/>
  <c r="AE138" i="115"/>
  <c r="AD138" i="115"/>
  <c r="AC138" i="115"/>
  <c r="AB138" i="115"/>
  <c r="AA138" i="115"/>
  <c r="Z138" i="115"/>
  <c r="Y138" i="115"/>
  <c r="X138" i="115"/>
  <c r="W138" i="115"/>
  <c r="V138" i="115"/>
  <c r="U138" i="115"/>
  <c r="T138" i="115"/>
  <c r="S138" i="115"/>
  <c r="R138" i="115"/>
  <c r="Q138" i="115"/>
  <c r="P138" i="115"/>
  <c r="O138" i="115"/>
  <c r="N138" i="115"/>
  <c r="M138" i="115"/>
  <c r="L138" i="115"/>
  <c r="K138" i="115"/>
  <c r="J138" i="115"/>
  <c r="I138" i="115"/>
  <c r="H138" i="115"/>
  <c r="G138" i="115"/>
  <c r="F138" i="115"/>
  <c r="E138" i="115"/>
  <c r="D138" i="115"/>
  <c r="C138" i="115"/>
  <c r="AY137" i="115"/>
  <c r="AX137" i="115"/>
  <c r="AF137" i="115"/>
  <c r="AE137" i="115"/>
  <c r="AD137" i="115"/>
  <c r="AC137" i="115"/>
  <c r="AB137" i="115"/>
  <c r="AA137" i="115"/>
  <c r="Z137" i="115"/>
  <c r="Y137" i="115"/>
  <c r="X137" i="115"/>
  <c r="W137" i="115"/>
  <c r="V137" i="115"/>
  <c r="U137" i="115"/>
  <c r="T137" i="115"/>
  <c r="S137" i="115"/>
  <c r="R137" i="115"/>
  <c r="Q137" i="115"/>
  <c r="P137" i="115"/>
  <c r="O137" i="115"/>
  <c r="N137" i="115"/>
  <c r="M137" i="115"/>
  <c r="L137" i="115"/>
  <c r="K137" i="115"/>
  <c r="J137" i="115"/>
  <c r="I137" i="115"/>
  <c r="H137" i="115"/>
  <c r="G137" i="115"/>
  <c r="F137" i="115"/>
  <c r="E137" i="115"/>
  <c r="D137" i="115"/>
  <c r="C137" i="115"/>
  <c r="AY136" i="115"/>
  <c r="AX136" i="115"/>
  <c r="AW136" i="115"/>
  <c r="AV136" i="115"/>
  <c r="AT136" i="115"/>
  <c r="AF136" i="115"/>
  <c r="AE136" i="115"/>
  <c r="AD136" i="115"/>
  <c r="AC136" i="115"/>
  <c r="AB136" i="115"/>
  <c r="AA136" i="115"/>
  <c r="Z136" i="115"/>
  <c r="Y136" i="115"/>
  <c r="X136" i="115"/>
  <c r="W136" i="115"/>
  <c r="V136" i="115"/>
  <c r="U136" i="115"/>
  <c r="T136" i="115"/>
  <c r="S136" i="115"/>
  <c r="R136" i="115"/>
  <c r="Q136" i="115"/>
  <c r="P136" i="115"/>
  <c r="O136" i="115"/>
  <c r="N136" i="115"/>
  <c r="M136" i="115"/>
  <c r="L136" i="115"/>
  <c r="K136" i="115"/>
  <c r="J136" i="115"/>
  <c r="I136" i="115"/>
  <c r="H136" i="115"/>
  <c r="G136" i="115"/>
  <c r="F136" i="115"/>
  <c r="E136" i="115"/>
  <c r="D136" i="115"/>
  <c r="C136" i="115"/>
  <c r="AY135" i="115"/>
  <c r="AX135" i="115"/>
  <c r="AF135" i="115"/>
  <c r="AE135" i="115"/>
  <c r="AD135" i="115"/>
  <c r="AC135" i="115"/>
  <c r="AB135" i="115"/>
  <c r="AA135" i="115"/>
  <c r="Z135" i="115"/>
  <c r="Y135" i="115"/>
  <c r="X135" i="115"/>
  <c r="W135" i="115"/>
  <c r="V135" i="115"/>
  <c r="U135" i="115"/>
  <c r="T135" i="115"/>
  <c r="S135" i="115"/>
  <c r="R135" i="115"/>
  <c r="Q135" i="115"/>
  <c r="P135" i="115"/>
  <c r="O135" i="115"/>
  <c r="N135" i="115"/>
  <c r="M135" i="115"/>
  <c r="L135" i="115"/>
  <c r="K135" i="115"/>
  <c r="J135" i="115"/>
  <c r="I135" i="115"/>
  <c r="H135" i="115"/>
  <c r="G135" i="115"/>
  <c r="F135" i="115"/>
  <c r="E135" i="115"/>
  <c r="D135" i="115"/>
  <c r="C135" i="115"/>
  <c r="AY134" i="115"/>
  <c r="AX134" i="115"/>
  <c r="AF134" i="115"/>
  <c r="AE134" i="115"/>
  <c r="AD134" i="115"/>
  <c r="AC134" i="115"/>
  <c r="AB134" i="115"/>
  <c r="AA134" i="115"/>
  <c r="Z134" i="115"/>
  <c r="Y134" i="115"/>
  <c r="X134" i="115"/>
  <c r="W134" i="115"/>
  <c r="V134" i="115"/>
  <c r="U134" i="115"/>
  <c r="T134" i="115"/>
  <c r="S134" i="115"/>
  <c r="R134" i="115"/>
  <c r="Q134" i="115"/>
  <c r="P134" i="115"/>
  <c r="O134" i="115"/>
  <c r="N134" i="115"/>
  <c r="M134" i="115"/>
  <c r="L134" i="115"/>
  <c r="K134" i="115"/>
  <c r="J134" i="115"/>
  <c r="I134" i="115"/>
  <c r="H134" i="115"/>
  <c r="G134" i="115"/>
  <c r="F134" i="115"/>
  <c r="E134" i="115"/>
  <c r="D134" i="115"/>
  <c r="C134" i="115"/>
  <c r="AY132" i="115"/>
  <c r="AX132" i="115"/>
  <c r="AA132" i="115"/>
  <c r="Z132" i="115"/>
  <c r="Y132" i="115"/>
  <c r="X132" i="115"/>
  <c r="W132" i="115"/>
  <c r="V132" i="115"/>
  <c r="U132" i="115"/>
  <c r="T132" i="115"/>
  <c r="S132" i="115"/>
  <c r="R132" i="115"/>
  <c r="Q132" i="115"/>
  <c r="P132" i="115"/>
  <c r="O132" i="115"/>
  <c r="N132" i="115"/>
  <c r="M132" i="115"/>
  <c r="L132" i="115"/>
  <c r="K132" i="115"/>
  <c r="J132" i="115"/>
  <c r="I132" i="115"/>
  <c r="H132" i="115"/>
  <c r="G132" i="115"/>
  <c r="F132" i="115"/>
  <c r="E132" i="115"/>
  <c r="D132" i="115"/>
  <c r="C132" i="115"/>
  <c r="AY131" i="115"/>
  <c r="AX131" i="115"/>
  <c r="AA131" i="115"/>
  <c r="Z131" i="115"/>
  <c r="Y131" i="115"/>
  <c r="X131" i="115"/>
  <c r="W131" i="115"/>
  <c r="V131" i="115"/>
  <c r="U131" i="115"/>
  <c r="T131" i="115"/>
  <c r="S131" i="115"/>
  <c r="R131" i="115"/>
  <c r="Q131" i="115"/>
  <c r="P131" i="115"/>
  <c r="O131" i="115"/>
  <c r="N131" i="115"/>
  <c r="M131" i="115"/>
  <c r="L131" i="115"/>
  <c r="K131" i="115"/>
  <c r="J131" i="115"/>
  <c r="I131" i="115"/>
  <c r="H131" i="115"/>
  <c r="G131" i="115"/>
  <c r="F131" i="115"/>
  <c r="E131" i="115"/>
  <c r="D131" i="115"/>
  <c r="C131" i="115"/>
  <c r="AY130" i="115"/>
  <c r="AX130" i="115"/>
  <c r="AW130" i="115"/>
  <c r="AV130" i="115"/>
  <c r="AT130" i="115"/>
  <c r="AS130" i="115"/>
  <c r="AR130" i="115"/>
  <c r="AQ130" i="115"/>
  <c r="AO130" i="115"/>
  <c r="AN130" i="115"/>
  <c r="AM130" i="115"/>
  <c r="AL130" i="115"/>
  <c r="AA130" i="115"/>
  <c r="Z130" i="115"/>
  <c r="Y130" i="115"/>
  <c r="X130" i="115"/>
  <c r="W130" i="115"/>
  <c r="V130" i="115"/>
  <c r="U130" i="115"/>
  <c r="T130" i="115"/>
  <c r="S130" i="115"/>
  <c r="R130" i="115"/>
  <c r="Q130" i="115"/>
  <c r="P130" i="115"/>
  <c r="O130" i="115"/>
  <c r="N130" i="115"/>
  <c r="M130" i="115"/>
  <c r="L130" i="115"/>
  <c r="K130" i="115"/>
  <c r="J130" i="115"/>
  <c r="I130" i="115"/>
  <c r="H130" i="115"/>
  <c r="G130" i="115"/>
  <c r="F130" i="115"/>
  <c r="E130" i="115"/>
  <c r="D130" i="115"/>
  <c r="C130" i="115"/>
  <c r="AY129" i="115"/>
  <c r="AX129" i="115"/>
  <c r="AW129" i="115"/>
  <c r="AV129" i="115"/>
  <c r="AT129" i="115"/>
  <c r="AS129" i="115"/>
  <c r="AR129" i="115"/>
  <c r="AQ129" i="115"/>
  <c r="AO129" i="115"/>
  <c r="AN129" i="115"/>
  <c r="AM129" i="115"/>
  <c r="AL129" i="115"/>
  <c r="AA129" i="115"/>
  <c r="Z129" i="115"/>
  <c r="Y129" i="115"/>
  <c r="X129" i="115"/>
  <c r="W129" i="115"/>
  <c r="V129" i="115"/>
  <c r="U129" i="115"/>
  <c r="T129" i="115"/>
  <c r="S129" i="115"/>
  <c r="R129" i="115"/>
  <c r="Q129" i="115"/>
  <c r="P129" i="115"/>
  <c r="O129" i="115"/>
  <c r="N129" i="115"/>
  <c r="M129" i="115"/>
  <c r="L129" i="115"/>
  <c r="K129" i="115"/>
  <c r="J129" i="115"/>
  <c r="I129" i="115"/>
  <c r="H129" i="115"/>
  <c r="G129" i="115"/>
  <c r="F129" i="115"/>
  <c r="E129" i="115"/>
  <c r="D129" i="115"/>
  <c r="C129" i="115"/>
  <c r="AY128" i="115"/>
  <c r="AX128" i="115"/>
  <c r="AA128" i="115"/>
  <c r="Z128" i="115"/>
  <c r="Y128" i="115"/>
  <c r="X128" i="115"/>
  <c r="W128" i="115"/>
  <c r="V128" i="115"/>
  <c r="U128" i="115"/>
  <c r="T128" i="115"/>
  <c r="S128" i="115"/>
  <c r="R128" i="115"/>
  <c r="Q128" i="115"/>
  <c r="P128" i="115"/>
  <c r="O128" i="115"/>
  <c r="N128" i="115"/>
  <c r="M128" i="115"/>
  <c r="L128" i="115"/>
  <c r="K128" i="115"/>
  <c r="J128" i="115"/>
  <c r="I128" i="115"/>
  <c r="H128" i="115"/>
  <c r="G128" i="115"/>
  <c r="F128" i="115"/>
  <c r="E128" i="115"/>
  <c r="D128" i="115"/>
  <c r="C128" i="115"/>
  <c r="AY127" i="115"/>
  <c r="AX127" i="115"/>
  <c r="AW127" i="115"/>
  <c r="AV127" i="115"/>
  <c r="AT127" i="115"/>
  <c r="AS127" i="115"/>
  <c r="AR127" i="115"/>
  <c r="AQ127" i="115"/>
  <c r="AO127" i="115"/>
  <c r="AN127" i="115"/>
  <c r="AM127" i="115"/>
  <c r="AL127" i="115"/>
  <c r="AA127" i="115"/>
  <c r="Z127" i="115"/>
  <c r="Y127" i="115"/>
  <c r="X127" i="115"/>
  <c r="W127" i="115"/>
  <c r="V127" i="115"/>
  <c r="U127" i="115"/>
  <c r="T127" i="115"/>
  <c r="S127" i="115"/>
  <c r="R127" i="115"/>
  <c r="Q127" i="115"/>
  <c r="P127" i="115"/>
  <c r="O127" i="115"/>
  <c r="N127" i="115"/>
  <c r="M127" i="115"/>
  <c r="L127" i="115"/>
  <c r="K127" i="115"/>
  <c r="J127" i="115"/>
  <c r="I127" i="115"/>
  <c r="H127" i="115"/>
  <c r="G127" i="115"/>
  <c r="F127" i="115"/>
  <c r="E127" i="115"/>
  <c r="D127" i="115"/>
  <c r="C127" i="115"/>
  <c r="AY126" i="115"/>
  <c r="AX126" i="115"/>
  <c r="AW126" i="115"/>
  <c r="AV126" i="115"/>
  <c r="AT126" i="115"/>
  <c r="AS126" i="115"/>
  <c r="AR126" i="115"/>
  <c r="AQ126" i="115"/>
  <c r="AO126" i="115"/>
  <c r="AN126" i="115"/>
  <c r="AM126" i="115"/>
  <c r="AL126" i="115"/>
  <c r="AF126" i="115"/>
  <c r="AE126" i="115"/>
  <c r="AD126" i="115"/>
  <c r="AC126" i="115"/>
  <c r="AB126" i="115"/>
  <c r="AA126" i="115"/>
  <c r="Z126" i="115"/>
  <c r="Y126" i="115"/>
  <c r="X126" i="115"/>
  <c r="W126" i="115"/>
  <c r="V126" i="115"/>
  <c r="U126" i="115"/>
  <c r="T126" i="115"/>
  <c r="S126" i="115"/>
  <c r="R126" i="115"/>
  <c r="Q126" i="115"/>
  <c r="P126" i="115"/>
  <c r="O126" i="115"/>
  <c r="N126" i="115"/>
  <c r="M126" i="115"/>
  <c r="L126" i="115"/>
  <c r="K126" i="115"/>
  <c r="J126" i="115"/>
  <c r="I126" i="115"/>
  <c r="H126" i="115"/>
  <c r="G126" i="115"/>
  <c r="F126" i="115"/>
  <c r="E126" i="115"/>
  <c r="D126" i="115"/>
  <c r="C126" i="115"/>
  <c r="AZ125" i="115"/>
  <c r="AY125" i="115"/>
  <c r="AX125" i="115"/>
  <c r="AW125" i="115"/>
  <c r="AV125" i="115"/>
  <c r="AU125" i="115"/>
  <c r="AT125" i="115"/>
  <c r="AS125" i="115"/>
  <c r="AR125" i="115"/>
  <c r="AQ125" i="115"/>
  <c r="AP125" i="115"/>
  <c r="AO125" i="115"/>
  <c r="AN125" i="115"/>
  <c r="AM125" i="115"/>
  <c r="AL125" i="115"/>
  <c r="AK125" i="115"/>
  <c r="AJ125" i="115"/>
  <c r="AI125" i="115"/>
  <c r="AH125" i="115"/>
  <c r="AG125" i="115"/>
  <c r="AF125" i="115"/>
  <c r="AE125" i="115"/>
  <c r="AD125" i="115"/>
  <c r="AC125" i="115"/>
  <c r="AB125" i="115"/>
  <c r="AA125" i="115"/>
  <c r="Z125" i="115"/>
  <c r="Y125" i="115"/>
  <c r="X125" i="115"/>
  <c r="W125" i="115"/>
  <c r="V125" i="115"/>
  <c r="U125" i="115"/>
  <c r="T125" i="115"/>
  <c r="S125" i="115"/>
  <c r="R125" i="115"/>
  <c r="Q125" i="115"/>
  <c r="P125" i="115"/>
  <c r="O125" i="115"/>
  <c r="N125" i="115"/>
  <c r="M125" i="115"/>
  <c r="L125" i="115"/>
  <c r="K125" i="115"/>
  <c r="J125" i="115"/>
  <c r="I125" i="115"/>
  <c r="H125" i="115"/>
  <c r="G125" i="115"/>
  <c r="F125" i="115"/>
  <c r="E125" i="115"/>
  <c r="D125" i="115"/>
  <c r="C125" i="115"/>
  <c r="AY124" i="115"/>
  <c r="AX124" i="115"/>
  <c r="AF124" i="115"/>
  <c r="AE124" i="115"/>
  <c r="AD124" i="115"/>
  <c r="AC124" i="115"/>
  <c r="AB124" i="115"/>
  <c r="AA124" i="115"/>
  <c r="Z124" i="115"/>
  <c r="Y124" i="115"/>
  <c r="X124" i="115"/>
  <c r="W124" i="115"/>
  <c r="V124" i="115"/>
  <c r="U124" i="115"/>
  <c r="T124" i="115"/>
  <c r="S124" i="115"/>
  <c r="R124" i="115"/>
  <c r="Q124" i="115"/>
  <c r="P124" i="115"/>
  <c r="O124" i="115"/>
  <c r="N124" i="115"/>
  <c r="M124" i="115"/>
  <c r="L124" i="115"/>
  <c r="K124" i="115"/>
  <c r="J124" i="115"/>
  <c r="I124" i="115"/>
  <c r="H124" i="115"/>
  <c r="G124" i="115"/>
  <c r="F124" i="115"/>
  <c r="E124" i="115"/>
  <c r="D124" i="115"/>
  <c r="C124" i="115"/>
  <c r="AY123" i="115"/>
  <c r="AX123" i="115"/>
  <c r="AA123" i="115"/>
  <c r="Z123" i="115"/>
  <c r="Y123" i="115"/>
  <c r="X123" i="115"/>
  <c r="W123" i="115"/>
  <c r="V123" i="115"/>
  <c r="U123" i="115"/>
  <c r="T123" i="115"/>
  <c r="S123" i="115"/>
  <c r="R123" i="115"/>
  <c r="Q123" i="115"/>
  <c r="P123" i="115"/>
  <c r="O123" i="115"/>
  <c r="N123" i="115"/>
  <c r="M123" i="115"/>
  <c r="L123" i="115"/>
  <c r="K123" i="115"/>
  <c r="J123" i="115"/>
  <c r="I123" i="115"/>
  <c r="H123" i="115"/>
  <c r="G123" i="115"/>
  <c r="F123" i="115"/>
  <c r="E123" i="115"/>
  <c r="D123" i="115"/>
  <c r="C123" i="115"/>
  <c r="AY109" i="115"/>
  <c r="AX109" i="115"/>
  <c r="AF109" i="115"/>
  <c r="AE109" i="115"/>
  <c r="AD109" i="115"/>
  <c r="AC109" i="115"/>
  <c r="AB109" i="115"/>
  <c r="AA109" i="115"/>
  <c r="Z109" i="115"/>
  <c r="Y109" i="115"/>
  <c r="X109" i="115"/>
  <c r="W109" i="115"/>
  <c r="V109" i="115"/>
  <c r="U109" i="115"/>
  <c r="T109" i="115"/>
  <c r="S109" i="115"/>
  <c r="R109" i="115"/>
  <c r="Q109" i="115"/>
  <c r="P109" i="115"/>
  <c r="O109" i="115"/>
  <c r="N109" i="115"/>
  <c r="M109" i="115"/>
  <c r="L109" i="115"/>
  <c r="K109" i="115"/>
  <c r="J109" i="115"/>
  <c r="I109" i="115"/>
  <c r="H109" i="115"/>
  <c r="G109" i="115"/>
  <c r="F109" i="115"/>
  <c r="E109" i="115"/>
  <c r="D109" i="115"/>
  <c r="C109" i="115"/>
  <c r="AY108" i="115"/>
  <c r="AJ108" i="115"/>
  <c r="AI108" i="115"/>
  <c r="AH108" i="115"/>
  <c r="AG108" i="115"/>
  <c r="AF108" i="115"/>
  <c r="AE108" i="115"/>
  <c r="AD108" i="115"/>
  <c r="AC108" i="115"/>
  <c r="AB108" i="115"/>
  <c r="AA108" i="115"/>
  <c r="Z108" i="115"/>
  <c r="Y108" i="115"/>
  <c r="X108" i="115"/>
  <c r="W108" i="115"/>
  <c r="V108" i="115"/>
  <c r="U108" i="115"/>
  <c r="T108" i="115"/>
  <c r="S108" i="115"/>
  <c r="R108" i="115"/>
  <c r="Q108" i="115"/>
  <c r="P108" i="115"/>
  <c r="O108" i="115"/>
  <c r="N108" i="115"/>
  <c r="M108" i="115"/>
  <c r="L108" i="115"/>
  <c r="K108" i="115"/>
  <c r="J108" i="115"/>
  <c r="I108" i="115"/>
  <c r="H108" i="115"/>
  <c r="G108" i="115"/>
  <c r="F108" i="115"/>
  <c r="E108" i="115"/>
  <c r="D108" i="115"/>
  <c r="C108" i="115"/>
  <c r="AY107" i="115"/>
  <c r="AX107" i="115"/>
  <c r="AJ107" i="115"/>
  <c r="AI107" i="115"/>
  <c r="AH107" i="115"/>
  <c r="AG107" i="115"/>
  <c r="AF107" i="115"/>
  <c r="AE107" i="115"/>
  <c r="AD107" i="115"/>
  <c r="AC107" i="115"/>
  <c r="AB107" i="115"/>
  <c r="AA107" i="115"/>
  <c r="Z107" i="115"/>
  <c r="Y107" i="115"/>
  <c r="X107" i="115"/>
  <c r="W107" i="115"/>
  <c r="V107" i="115"/>
  <c r="U107" i="115"/>
  <c r="T107" i="115"/>
  <c r="S107" i="115"/>
  <c r="R107" i="115"/>
  <c r="Q107" i="115"/>
  <c r="P107" i="115"/>
  <c r="O107" i="115"/>
  <c r="N107" i="115"/>
  <c r="M107" i="115"/>
  <c r="L107" i="115"/>
  <c r="K107" i="115"/>
  <c r="J107" i="115"/>
  <c r="I107" i="115"/>
  <c r="H107" i="115"/>
  <c r="G107" i="115"/>
  <c r="F107" i="115"/>
  <c r="E107" i="115"/>
  <c r="D107" i="115"/>
  <c r="C107" i="115"/>
  <c r="AY105" i="115"/>
  <c r="AX105" i="115"/>
  <c r="AF105" i="115"/>
  <c r="AE105" i="115"/>
  <c r="AD105" i="115"/>
  <c r="AC105" i="115"/>
  <c r="AB105" i="115"/>
  <c r="AA105" i="115"/>
  <c r="Z105" i="115"/>
  <c r="Y105" i="115"/>
  <c r="X105" i="115"/>
  <c r="W105" i="115"/>
  <c r="V105" i="115"/>
  <c r="U105" i="115"/>
  <c r="T105" i="115"/>
  <c r="S105" i="115"/>
  <c r="R105" i="115"/>
  <c r="Q105" i="115"/>
  <c r="P105" i="115"/>
  <c r="O105" i="115"/>
  <c r="N105" i="115"/>
  <c r="M105" i="115"/>
  <c r="L105" i="115"/>
  <c r="K105" i="115"/>
  <c r="J105" i="115"/>
  <c r="I105" i="115"/>
  <c r="H105" i="115"/>
  <c r="G105" i="115"/>
  <c r="F105" i="115"/>
  <c r="E105" i="115"/>
  <c r="D105" i="115"/>
  <c r="C105" i="115"/>
  <c r="AY104" i="115"/>
  <c r="AX104" i="115"/>
  <c r="AV104" i="115"/>
  <c r="AT104" i="115"/>
  <c r="AS104" i="115"/>
  <c r="AR104" i="115"/>
  <c r="AQ104" i="115"/>
  <c r="AO104" i="115"/>
  <c r="AN104" i="115"/>
  <c r="AM104" i="115"/>
  <c r="AL104" i="115"/>
  <c r="AJ104" i="115"/>
  <c r="AI104" i="115"/>
  <c r="AH104" i="115"/>
  <c r="AG104" i="115"/>
  <c r="AF104" i="115"/>
  <c r="AE104" i="115"/>
  <c r="AD104" i="115"/>
  <c r="AC104" i="115"/>
  <c r="AB104" i="115"/>
  <c r="AA104" i="115"/>
  <c r="Z104" i="115"/>
  <c r="Y104" i="115"/>
  <c r="X104" i="115"/>
  <c r="W104" i="115"/>
  <c r="V104" i="115"/>
  <c r="U104" i="115"/>
  <c r="T104" i="115"/>
  <c r="S104" i="115"/>
  <c r="R104" i="115"/>
  <c r="Q104" i="115"/>
  <c r="P104" i="115"/>
  <c r="O104" i="115"/>
  <c r="N104" i="115"/>
  <c r="M104" i="115"/>
  <c r="L104" i="115"/>
  <c r="K104" i="115"/>
  <c r="J104" i="115"/>
  <c r="I104" i="115"/>
  <c r="H104" i="115"/>
  <c r="G104" i="115"/>
  <c r="F104" i="115"/>
  <c r="E104" i="115"/>
  <c r="D104" i="115"/>
  <c r="C104" i="115"/>
  <c r="AY102" i="115"/>
  <c r="AX102" i="115"/>
  <c r="AF102" i="115"/>
  <c r="AE102" i="115"/>
  <c r="AD102" i="115"/>
  <c r="AC102" i="115"/>
  <c r="AB102" i="115"/>
  <c r="AA102" i="115"/>
  <c r="Z102" i="115"/>
  <c r="Y102" i="115"/>
  <c r="X102" i="115"/>
  <c r="W102" i="115"/>
  <c r="V102" i="115"/>
  <c r="U102" i="115"/>
  <c r="T102" i="115"/>
  <c r="S102" i="115"/>
  <c r="R102" i="115"/>
  <c r="Q102" i="115"/>
  <c r="P102" i="115"/>
  <c r="O102" i="115"/>
  <c r="N102" i="115"/>
  <c r="M102" i="115"/>
  <c r="L102" i="115"/>
  <c r="K102" i="115"/>
  <c r="J102" i="115"/>
  <c r="I102" i="115"/>
  <c r="H102" i="115"/>
  <c r="G102" i="115"/>
  <c r="F102" i="115"/>
  <c r="E102" i="115"/>
  <c r="D102" i="115"/>
  <c r="C102" i="115"/>
  <c r="AY101" i="115"/>
  <c r="AX101" i="115"/>
  <c r="AF101" i="115"/>
  <c r="AE101" i="115"/>
  <c r="AD101" i="115"/>
  <c r="AC101" i="115"/>
  <c r="AB101" i="115"/>
  <c r="AA101" i="115"/>
  <c r="Z101" i="115"/>
  <c r="Y101" i="115"/>
  <c r="X101" i="115"/>
  <c r="W101" i="115"/>
  <c r="V101" i="115"/>
  <c r="U101" i="115"/>
  <c r="T101" i="115"/>
  <c r="S101" i="115"/>
  <c r="R101" i="115"/>
  <c r="Q101" i="115"/>
  <c r="P101" i="115"/>
  <c r="O101" i="115"/>
  <c r="N101" i="115"/>
  <c r="M101" i="115"/>
  <c r="L101" i="115"/>
  <c r="K101" i="115"/>
  <c r="J101" i="115"/>
  <c r="I101" i="115"/>
  <c r="H101" i="115"/>
  <c r="G101" i="115"/>
  <c r="F101" i="115"/>
  <c r="E101" i="115"/>
  <c r="D101" i="115"/>
  <c r="C101" i="115"/>
  <c r="AY100" i="115"/>
  <c r="AX100" i="115"/>
  <c r="AL100" i="115"/>
  <c r="AF100" i="11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AY99" i="115"/>
  <c r="AX99" i="115"/>
  <c r="AF99" i="115"/>
  <c r="AE99" i="115"/>
  <c r="AD99" i="115"/>
  <c r="AC99" i="115"/>
  <c r="AB99" i="115"/>
  <c r="AA99" i="115"/>
  <c r="Z99" i="115"/>
  <c r="Y99" i="115"/>
  <c r="X99" i="115"/>
  <c r="W99" i="115"/>
  <c r="V99" i="115"/>
  <c r="U99" i="115"/>
  <c r="T99" i="115"/>
  <c r="S99" i="115"/>
  <c r="R99" i="115"/>
  <c r="Q99" i="115"/>
  <c r="P99" i="115"/>
  <c r="O99" i="115"/>
  <c r="N99" i="115"/>
  <c r="M99" i="115"/>
  <c r="L99" i="115"/>
  <c r="K99" i="115"/>
  <c r="J99" i="115"/>
  <c r="I99" i="115"/>
  <c r="H99" i="115"/>
  <c r="G99" i="115"/>
  <c r="F99" i="115"/>
  <c r="E99" i="115"/>
  <c r="D99" i="115"/>
  <c r="C99" i="115"/>
  <c r="AY98" i="115"/>
  <c r="AX98" i="115"/>
  <c r="AW98" i="115"/>
  <c r="AV98" i="115"/>
  <c r="AT98" i="115"/>
  <c r="AF98" i="115"/>
  <c r="AE98" i="115"/>
  <c r="AD98" i="115"/>
  <c r="AC98" i="115"/>
  <c r="AB98" i="115"/>
  <c r="AA98" i="115"/>
  <c r="Z98" i="115"/>
  <c r="Y98" i="115"/>
  <c r="X98" i="115"/>
  <c r="W98" i="115"/>
  <c r="V98" i="115"/>
  <c r="U98" i="115"/>
  <c r="T98" i="115"/>
  <c r="S98" i="115"/>
  <c r="R98" i="115"/>
  <c r="Q98" i="115"/>
  <c r="P98" i="115"/>
  <c r="O98" i="115"/>
  <c r="N98" i="115"/>
  <c r="M98" i="115"/>
  <c r="L98" i="115"/>
  <c r="K98" i="115"/>
  <c r="J98" i="115"/>
  <c r="I98" i="115"/>
  <c r="H98" i="115"/>
  <c r="G98" i="115"/>
  <c r="F98" i="115"/>
  <c r="E98" i="115"/>
  <c r="D98" i="115"/>
  <c r="C98" i="115"/>
  <c r="AY97" i="115"/>
  <c r="AX97" i="115"/>
  <c r="AF97" i="115"/>
  <c r="AE97" i="115"/>
  <c r="AD97" i="115"/>
  <c r="AC97" i="115"/>
  <c r="AB97" i="115"/>
  <c r="AA97" i="115"/>
  <c r="Z97" i="115"/>
  <c r="Y97" i="115"/>
  <c r="X97" i="115"/>
  <c r="W97" i="115"/>
  <c r="V97" i="115"/>
  <c r="U97" i="115"/>
  <c r="T97" i="115"/>
  <c r="S97" i="115"/>
  <c r="R97" i="115"/>
  <c r="Q97" i="115"/>
  <c r="P97" i="115"/>
  <c r="O97" i="115"/>
  <c r="N97" i="115"/>
  <c r="M97" i="115"/>
  <c r="L97" i="115"/>
  <c r="K97" i="115"/>
  <c r="J97" i="115"/>
  <c r="I97" i="115"/>
  <c r="H97" i="115"/>
  <c r="G97" i="115"/>
  <c r="F97" i="115"/>
  <c r="E97" i="115"/>
  <c r="D97" i="115"/>
  <c r="C97" i="115"/>
  <c r="AY96" i="115"/>
  <c r="AX96" i="115"/>
  <c r="AF96" i="115"/>
  <c r="AE96" i="115"/>
  <c r="AD96" i="115"/>
  <c r="AC96" i="115"/>
  <c r="AB96" i="115"/>
  <c r="AA96" i="115"/>
  <c r="Z96" i="115"/>
  <c r="Y96" i="115"/>
  <c r="X96" i="115"/>
  <c r="W96" i="115"/>
  <c r="V96" i="115"/>
  <c r="U96" i="115"/>
  <c r="T96" i="115"/>
  <c r="S96" i="115"/>
  <c r="R96" i="115"/>
  <c r="Q96" i="115"/>
  <c r="P96" i="115"/>
  <c r="O96" i="115"/>
  <c r="N96" i="115"/>
  <c r="M96" i="115"/>
  <c r="L96" i="115"/>
  <c r="K96" i="115"/>
  <c r="J96" i="115"/>
  <c r="I96" i="115"/>
  <c r="H96" i="115"/>
  <c r="G96" i="115"/>
  <c r="F96" i="115"/>
  <c r="E96" i="115"/>
  <c r="D96" i="115"/>
  <c r="C96" i="115"/>
  <c r="B96" i="115"/>
  <c r="B134" i="115" s="1"/>
  <c r="AY94" i="115"/>
  <c r="AX94" i="115"/>
  <c r="AA94" i="115"/>
  <c r="Z94" i="115"/>
  <c r="Y94" i="115"/>
  <c r="X94" i="115"/>
  <c r="W94" i="115"/>
  <c r="V94" i="115"/>
  <c r="U94" i="115"/>
  <c r="T94" i="115"/>
  <c r="S94" i="115"/>
  <c r="R94" i="115"/>
  <c r="Q94" i="115"/>
  <c r="P94" i="115"/>
  <c r="O94" i="115"/>
  <c r="N94" i="115"/>
  <c r="M94" i="115"/>
  <c r="L94" i="115"/>
  <c r="K94" i="115"/>
  <c r="J94" i="115"/>
  <c r="I94" i="115"/>
  <c r="H94" i="115"/>
  <c r="G94" i="115"/>
  <c r="F94" i="115"/>
  <c r="E94" i="115"/>
  <c r="D94" i="115"/>
  <c r="C94" i="115"/>
  <c r="AY93" i="115"/>
  <c r="AX93" i="115"/>
  <c r="AA93" i="115"/>
  <c r="Z93" i="115"/>
  <c r="Y93" i="115"/>
  <c r="X93" i="115"/>
  <c r="W93" i="115"/>
  <c r="V93" i="115"/>
  <c r="U93" i="115"/>
  <c r="T93" i="115"/>
  <c r="S93" i="115"/>
  <c r="R93" i="115"/>
  <c r="Q93" i="115"/>
  <c r="P93" i="115"/>
  <c r="O93" i="115"/>
  <c r="N93" i="115"/>
  <c r="M93" i="115"/>
  <c r="L93" i="115"/>
  <c r="K93" i="115"/>
  <c r="J93" i="115"/>
  <c r="I93" i="115"/>
  <c r="H93" i="115"/>
  <c r="G93" i="115"/>
  <c r="F93" i="115"/>
  <c r="E93" i="115"/>
  <c r="D93" i="115"/>
  <c r="C93" i="115"/>
  <c r="AY92" i="115"/>
  <c r="AX92" i="115"/>
  <c r="AW92" i="115"/>
  <c r="AV92" i="115"/>
  <c r="AT92" i="115"/>
  <c r="AS92" i="115"/>
  <c r="AR92" i="115"/>
  <c r="AQ92" i="115"/>
  <c r="AO92" i="115"/>
  <c r="AN92" i="115"/>
  <c r="AM92" i="115"/>
  <c r="AL92" i="115"/>
  <c r="AA92" i="115"/>
  <c r="Z92" i="115"/>
  <c r="Y92" i="115"/>
  <c r="X92" i="115"/>
  <c r="W92" i="115"/>
  <c r="V92" i="115"/>
  <c r="U92" i="115"/>
  <c r="T92" i="115"/>
  <c r="S92" i="115"/>
  <c r="R92" i="115"/>
  <c r="Q92" i="115"/>
  <c r="P92" i="115"/>
  <c r="O92" i="115"/>
  <c r="N92" i="115"/>
  <c r="M92" i="115"/>
  <c r="L92" i="115"/>
  <c r="K92" i="115"/>
  <c r="J92" i="115"/>
  <c r="I92" i="115"/>
  <c r="H92" i="115"/>
  <c r="G92" i="115"/>
  <c r="F92" i="115"/>
  <c r="E92" i="115"/>
  <c r="D92" i="115"/>
  <c r="C92" i="115"/>
  <c r="AY91" i="115"/>
  <c r="AX91" i="115"/>
  <c r="AW91" i="115"/>
  <c r="AV91" i="115"/>
  <c r="AT91" i="115"/>
  <c r="AS91" i="115"/>
  <c r="AR91" i="115"/>
  <c r="AQ91" i="115"/>
  <c r="AO91" i="115"/>
  <c r="AN91" i="115"/>
  <c r="AM91" i="115"/>
  <c r="AL91" i="115"/>
  <c r="AA91" i="115"/>
  <c r="Z91" i="115"/>
  <c r="Y91" i="115"/>
  <c r="X91" i="115"/>
  <c r="W91" i="115"/>
  <c r="V91" i="115"/>
  <c r="U91" i="115"/>
  <c r="T91" i="115"/>
  <c r="S91" i="115"/>
  <c r="R91" i="115"/>
  <c r="Q91" i="115"/>
  <c r="P91" i="115"/>
  <c r="O91" i="115"/>
  <c r="N91" i="115"/>
  <c r="M91" i="115"/>
  <c r="L91" i="115"/>
  <c r="K91" i="115"/>
  <c r="J91" i="115"/>
  <c r="I91" i="115"/>
  <c r="H91" i="115"/>
  <c r="G91" i="115"/>
  <c r="F91" i="115"/>
  <c r="E91" i="115"/>
  <c r="D91" i="115"/>
  <c r="C91" i="115"/>
  <c r="AY90" i="115"/>
  <c r="AX90" i="115"/>
  <c r="AA90" i="115"/>
  <c r="Z90" i="115"/>
  <c r="Y90" i="115"/>
  <c r="X90" i="115"/>
  <c r="W90" i="115"/>
  <c r="V90" i="115"/>
  <c r="U90" i="115"/>
  <c r="T90" i="115"/>
  <c r="S90" i="115"/>
  <c r="R90" i="115"/>
  <c r="Q90" i="115"/>
  <c r="P90" i="115"/>
  <c r="O90" i="115"/>
  <c r="N90" i="115"/>
  <c r="M90" i="115"/>
  <c r="L90" i="115"/>
  <c r="K90" i="115"/>
  <c r="J90" i="115"/>
  <c r="I90" i="115"/>
  <c r="H90" i="115"/>
  <c r="G90" i="115"/>
  <c r="F90" i="115"/>
  <c r="E90" i="115"/>
  <c r="D90" i="115"/>
  <c r="C90" i="115"/>
  <c r="AY89" i="115"/>
  <c r="AX89" i="115"/>
  <c r="AW89" i="115"/>
  <c r="AV89" i="115"/>
  <c r="AT89" i="115"/>
  <c r="AS89" i="115"/>
  <c r="AR89" i="115"/>
  <c r="AQ89" i="115"/>
  <c r="AO89" i="115"/>
  <c r="AN89" i="115"/>
  <c r="AM89" i="115"/>
  <c r="AL89" i="115"/>
  <c r="AA89" i="115"/>
  <c r="Z89" i="115"/>
  <c r="Y89" i="115"/>
  <c r="X89" i="115"/>
  <c r="W89" i="115"/>
  <c r="V89" i="115"/>
  <c r="U89" i="115"/>
  <c r="T89" i="115"/>
  <c r="S89" i="115"/>
  <c r="R89" i="115"/>
  <c r="Q89" i="115"/>
  <c r="P89" i="115"/>
  <c r="O89" i="115"/>
  <c r="N89" i="115"/>
  <c r="M89" i="115"/>
  <c r="L89" i="115"/>
  <c r="K89" i="115"/>
  <c r="J89" i="115"/>
  <c r="I89" i="115"/>
  <c r="H89" i="115"/>
  <c r="G89" i="115"/>
  <c r="F89" i="115"/>
  <c r="E89" i="115"/>
  <c r="D89" i="115"/>
  <c r="C89" i="115"/>
  <c r="AY88" i="115"/>
  <c r="AX88" i="115"/>
  <c r="AW88" i="115"/>
  <c r="AV88" i="115"/>
  <c r="AT88" i="115"/>
  <c r="AS88" i="115"/>
  <c r="AR88" i="115"/>
  <c r="AQ88" i="115"/>
  <c r="AO88" i="115"/>
  <c r="AN88" i="115"/>
  <c r="AM88" i="115"/>
  <c r="AL88" i="115"/>
  <c r="AF88" i="115"/>
  <c r="AE88" i="115"/>
  <c r="AD88" i="115"/>
  <c r="AC88" i="115"/>
  <c r="AB88" i="115"/>
  <c r="AA88" i="115"/>
  <c r="Z88" i="115"/>
  <c r="Y88" i="115"/>
  <c r="X88" i="115"/>
  <c r="W88" i="115"/>
  <c r="V88" i="115"/>
  <c r="U88" i="115"/>
  <c r="T88" i="115"/>
  <c r="S88" i="115"/>
  <c r="R88" i="115"/>
  <c r="Q88" i="115"/>
  <c r="P88" i="115"/>
  <c r="O88" i="115"/>
  <c r="N88" i="115"/>
  <c r="M88" i="115"/>
  <c r="L88" i="115"/>
  <c r="K88" i="115"/>
  <c r="J88" i="115"/>
  <c r="I88" i="115"/>
  <c r="H88" i="115"/>
  <c r="G88" i="115"/>
  <c r="F88" i="115"/>
  <c r="E88" i="115"/>
  <c r="D88" i="115"/>
  <c r="C88" i="115"/>
  <c r="AZ87" i="115"/>
  <c r="AY87" i="115"/>
  <c r="AX87" i="115"/>
  <c r="AW87" i="115"/>
  <c r="AV87" i="115"/>
  <c r="AU87" i="115"/>
  <c r="AT87" i="115"/>
  <c r="AS87" i="115"/>
  <c r="AR87" i="115"/>
  <c r="AQ87" i="115"/>
  <c r="AP87" i="115"/>
  <c r="AO87" i="115"/>
  <c r="AN87" i="115"/>
  <c r="AM87" i="115"/>
  <c r="AL87" i="115"/>
  <c r="AK87" i="115"/>
  <c r="AJ87" i="115"/>
  <c r="AI87" i="115"/>
  <c r="AH87" i="115"/>
  <c r="AG87" i="115"/>
  <c r="AF87" i="115"/>
  <c r="AE87" i="115"/>
  <c r="AD87" i="115"/>
  <c r="AC87" i="115"/>
  <c r="AB87" i="115"/>
  <c r="AA87" i="115"/>
  <c r="Z87" i="115"/>
  <c r="Y87" i="115"/>
  <c r="X87" i="115"/>
  <c r="W87" i="115"/>
  <c r="V87" i="115"/>
  <c r="U87" i="115"/>
  <c r="T87" i="115"/>
  <c r="S87" i="115"/>
  <c r="R87" i="115"/>
  <c r="Q87" i="115"/>
  <c r="P87" i="115"/>
  <c r="O87" i="115"/>
  <c r="N87" i="115"/>
  <c r="M87" i="115"/>
  <c r="L87" i="115"/>
  <c r="K87" i="115"/>
  <c r="J87" i="115"/>
  <c r="I87" i="115"/>
  <c r="H87" i="115"/>
  <c r="G87" i="115"/>
  <c r="F87" i="115"/>
  <c r="E87" i="115"/>
  <c r="D87" i="115"/>
  <c r="C87" i="115"/>
  <c r="AY86" i="115"/>
  <c r="AX86" i="115"/>
  <c r="AF86" i="115"/>
  <c r="AE86" i="115"/>
  <c r="AD86" i="115"/>
  <c r="AC86" i="115"/>
  <c r="AB86" i="115"/>
  <c r="AA86" i="115"/>
  <c r="Z86" i="115"/>
  <c r="Y86" i="115"/>
  <c r="X86" i="115"/>
  <c r="W86" i="115"/>
  <c r="V86" i="115"/>
  <c r="U86" i="115"/>
  <c r="T86" i="115"/>
  <c r="S86" i="115"/>
  <c r="R86" i="115"/>
  <c r="Q86" i="115"/>
  <c r="P86" i="115"/>
  <c r="O86" i="115"/>
  <c r="N86" i="115"/>
  <c r="M86" i="115"/>
  <c r="L86" i="115"/>
  <c r="K86" i="115"/>
  <c r="J86" i="115"/>
  <c r="I86" i="115"/>
  <c r="H86" i="115"/>
  <c r="G86" i="115"/>
  <c r="F86" i="115"/>
  <c r="E86" i="115"/>
  <c r="D86" i="115"/>
  <c r="C86" i="115"/>
  <c r="AY85" i="115"/>
  <c r="AX85" i="115"/>
  <c r="AA85" i="115"/>
  <c r="Z85" i="115"/>
  <c r="Y85" i="115"/>
  <c r="X85" i="115"/>
  <c r="W85" i="115"/>
  <c r="V85" i="115"/>
  <c r="U85" i="115"/>
  <c r="T85" i="115"/>
  <c r="S85" i="115"/>
  <c r="R85" i="115"/>
  <c r="Q85" i="115"/>
  <c r="P85" i="115"/>
  <c r="O85" i="115"/>
  <c r="N85" i="115"/>
  <c r="M85" i="115"/>
  <c r="L85" i="115"/>
  <c r="K85" i="115"/>
  <c r="J85" i="115"/>
  <c r="I85" i="115"/>
  <c r="H85" i="115"/>
  <c r="G85" i="115"/>
  <c r="F85" i="115"/>
  <c r="E85" i="115"/>
  <c r="D85" i="115"/>
  <c r="C85" i="115"/>
  <c r="AY71" i="115"/>
  <c r="AX71" i="115"/>
  <c r="AF71" i="115"/>
  <c r="AE71" i="115"/>
  <c r="AD71" i="115"/>
  <c r="AC71" i="115"/>
  <c r="AB71" i="115"/>
  <c r="AA71" i="115"/>
  <c r="Z71" i="115"/>
  <c r="Y71" i="115"/>
  <c r="X71" i="115"/>
  <c r="W71" i="115"/>
  <c r="V71" i="115"/>
  <c r="U71" i="115"/>
  <c r="T71" i="115"/>
  <c r="S71" i="115"/>
  <c r="R71" i="115"/>
  <c r="Q71" i="115"/>
  <c r="P71" i="115"/>
  <c r="O71" i="115"/>
  <c r="N71" i="115"/>
  <c r="M71" i="115"/>
  <c r="L71" i="115"/>
  <c r="K71" i="115"/>
  <c r="J71" i="115"/>
  <c r="I71" i="115"/>
  <c r="H71" i="115"/>
  <c r="G71" i="115"/>
  <c r="F71" i="115"/>
  <c r="E71" i="115"/>
  <c r="D71" i="115"/>
  <c r="C71" i="115"/>
  <c r="AY70" i="115"/>
  <c r="AX70" i="115"/>
  <c r="AJ70" i="115"/>
  <c r="AI70" i="115"/>
  <c r="AH70" i="115"/>
  <c r="AG70" i="115"/>
  <c r="AF70" i="115"/>
  <c r="AE70" i="115"/>
  <c r="AD70" i="115"/>
  <c r="AC70" i="115"/>
  <c r="AB70" i="115"/>
  <c r="AA70" i="115"/>
  <c r="Z70" i="115"/>
  <c r="Y70" i="115"/>
  <c r="X70" i="115"/>
  <c r="W70" i="115"/>
  <c r="V70" i="115"/>
  <c r="U70" i="115"/>
  <c r="T70" i="115"/>
  <c r="S70" i="115"/>
  <c r="R70" i="115"/>
  <c r="Q70" i="115"/>
  <c r="P70" i="115"/>
  <c r="O70" i="115"/>
  <c r="N70" i="115"/>
  <c r="M70" i="115"/>
  <c r="L70" i="115"/>
  <c r="K70" i="115"/>
  <c r="J70" i="115"/>
  <c r="I70" i="115"/>
  <c r="H70" i="115"/>
  <c r="G70" i="115"/>
  <c r="F70" i="115"/>
  <c r="E70" i="115"/>
  <c r="D70" i="115"/>
  <c r="C70" i="115"/>
  <c r="B70" i="115"/>
  <c r="B108" i="115" s="1"/>
  <c r="B146" i="115" s="1"/>
  <c r="AY69" i="115"/>
  <c r="AX69" i="115"/>
  <c r="AJ69" i="115"/>
  <c r="AI69" i="115"/>
  <c r="AH69" i="115"/>
  <c r="AG69" i="115"/>
  <c r="AF69" i="115"/>
  <c r="AE69" i="115"/>
  <c r="AD69" i="115"/>
  <c r="AC69" i="115"/>
  <c r="AB69" i="115"/>
  <c r="AA69" i="115"/>
  <c r="Z69" i="115"/>
  <c r="Y69" i="115"/>
  <c r="X69" i="115"/>
  <c r="W69" i="115"/>
  <c r="V69" i="115"/>
  <c r="U69" i="115"/>
  <c r="T69" i="115"/>
  <c r="S69" i="115"/>
  <c r="R69" i="115"/>
  <c r="Q69" i="115"/>
  <c r="P69" i="115"/>
  <c r="O69" i="115"/>
  <c r="N69" i="115"/>
  <c r="M69" i="115"/>
  <c r="L69" i="115"/>
  <c r="K69" i="115"/>
  <c r="J69" i="115"/>
  <c r="I69" i="115"/>
  <c r="H69" i="115"/>
  <c r="G69" i="115"/>
  <c r="F69" i="115"/>
  <c r="E69" i="115"/>
  <c r="D69" i="115"/>
  <c r="C69" i="115"/>
  <c r="B69" i="115"/>
  <c r="B107" i="115" s="1"/>
  <c r="B145" i="115" s="1"/>
  <c r="B68" i="115"/>
  <c r="B106" i="115" s="1"/>
  <c r="B144" i="115" s="1"/>
  <c r="AY67" i="115"/>
  <c r="AX67" i="115"/>
  <c r="AF67" i="115"/>
  <c r="AE67" i="115"/>
  <c r="AD67" i="115"/>
  <c r="AC67" i="115"/>
  <c r="AB67" i="115"/>
  <c r="AA67" i="115"/>
  <c r="Z67" i="115"/>
  <c r="Y67" i="115"/>
  <c r="X67" i="115"/>
  <c r="W67" i="115"/>
  <c r="V67" i="115"/>
  <c r="U67" i="115"/>
  <c r="T67" i="115"/>
  <c r="S67" i="115"/>
  <c r="R67" i="115"/>
  <c r="Q67" i="115"/>
  <c r="P67" i="115"/>
  <c r="O67" i="115"/>
  <c r="N67" i="115"/>
  <c r="M67" i="115"/>
  <c r="L67" i="115"/>
  <c r="K67" i="115"/>
  <c r="J67" i="115"/>
  <c r="I67" i="115"/>
  <c r="H67" i="115"/>
  <c r="G67" i="115"/>
  <c r="F67" i="115"/>
  <c r="E67" i="115"/>
  <c r="D67" i="115"/>
  <c r="C67" i="115"/>
  <c r="B67" i="115"/>
  <c r="B105" i="115" s="1"/>
  <c r="B143" i="115" s="1"/>
  <c r="AY66" i="115"/>
  <c r="AX66" i="115"/>
  <c r="AF66" i="115"/>
  <c r="AE66" i="115"/>
  <c r="AD66" i="115"/>
  <c r="AC66" i="115"/>
  <c r="AB66" i="115"/>
  <c r="AA66" i="115"/>
  <c r="Z66" i="115"/>
  <c r="Y66" i="115"/>
  <c r="X66" i="115"/>
  <c r="W66" i="115"/>
  <c r="V66" i="115"/>
  <c r="U66" i="115"/>
  <c r="T66" i="115"/>
  <c r="S66" i="115"/>
  <c r="R66" i="115"/>
  <c r="Q66" i="115"/>
  <c r="P66" i="115"/>
  <c r="O66" i="115"/>
  <c r="N66" i="115"/>
  <c r="M66" i="115"/>
  <c r="L66" i="115"/>
  <c r="K66" i="115"/>
  <c r="J66" i="115"/>
  <c r="I66" i="115"/>
  <c r="H66" i="115"/>
  <c r="G66" i="115"/>
  <c r="F66" i="115"/>
  <c r="E66" i="115"/>
  <c r="D66" i="115"/>
  <c r="C66" i="115"/>
  <c r="B66" i="115"/>
  <c r="B104" i="115" s="1"/>
  <c r="B142" i="115" s="1"/>
  <c r="B65" i="115"/>
  <c r="B103" i="115" s="1"/>
  <c r="B141" i="115" s="1"/>
  <c r="AY64" i="115"/>
  <c r="AX64" i="115"/>
  <c r="AF64" i="115"/>
  <c r="AE64" i="115"/>
  <c r="AD64" i="115"/>
  <c r="AC64" i="115"/>
  <c r="AB64" i="115"/>
  <c r="AA64" i="115"/>
  <c r="Z64" i="115"/>
  <c r="Y64" i="115"/>
  <c r="X64" i="115"/>
  <c r="W64" i="115"/>
  <c r="V64" i="115"/>
  <c r="U64" i="115"/>
  <c r="T64" i="115"/>
  <c r="S64" i="115"/>
  <c r="R64" i="115"/>
  <c r="Q64" i="115"/>
  <c r="P64" i="115"/>
  <c r="O64" i="115"/>
  <c r="N64" i="115"/>
  <c r="M64" i="115"/>
  <c r="L64" i="115"/>
  <c r="K64" i="115"/>
  <c r="J64" i="115"/>
  <c r="I64" i="115"/>
  <c r="H64" i="115"/>
  <c r="G64" i="115"/>
  <c r="F64" i="115"/>
  <c r="E64" i="115"/>
  <c r="D64" i="115"/>
  <c r="C64" i="115"/>
  <c r="B64" i="115"/>
  <c r="B102" i="115" s="1"/>
  <c r="B140" i="115" s="1"/>
  <c r="AY63" i="115"/>
  <c r="AX63" i="115"/>
  <c r="AF63" i="115"/>
  <c r="AE63" i="115"/>
  <c r="AD63" i="115"/>
  <c r="AC63" i="115"/>
  <c r="AB63" i="115"/>
  <c r="AA63" i="115"/>
  <c r="Z63" i="115"/>
  <c r="Y63" i="115"/>
  <c r="X63" i="115"/>
  <c r="W63" i="115"/>
  <c r="V63" i="115"/>
  <c r="U63" i="115"/>
  <c r="T63" i="115"/>
  <c r="S63" i="115"/>
  <c r="R63" i="115"/>
  <c r="Q63" i="115"/>
  <c r="P63" i="115"/>
  <c r="O63" i="115"/>
  <c r="N63" i="115"/>
  <c r="M63" i="115"/>
  <c r="L63" i="115"/>
  <c r="K63" i="115"/>
  <c r="J63" i="115"/>
  <c r="I63" i="115"/>
  <c r="H63" i="115"/>
  <c r="G63" i="115"/>
  <c r="F63" i="115"/>
  <c r="E63" i="115"/>
  <c r="D63" i="115"/>
  <c r="C63" i="115"/>
  <c r="B63" i="115"/>
  <c r="B101" i="115" s="1"/>
  <c r="B139" i="115" s="1"/>
  <c r="AY62" i="115"/>
  <c r="AX62" i="115"/>
  <c r="AF62" i="115"/>
  <c r="AE62" i="115"/>
  <c r="AD62" i="115"/>
  <c r="AC62" i="115"/>
  <c r="AB62" i="115"/>
  <c r="AA62" i="115"/>
  <c r="Z62" i="115"/>
  <c r="Y62" i="115"/>
  <c r="X62" i="115"/>
  <c r="W62" i="115"/>
  <c r="V62" i="115"/>
  <c r="U62" i="115"/>
  <c r="T62" i="115"/>
  <c r="S62" i="115"/>
  <c r="R62" i="115"/>
  <c r="Q62" i="115"/>
  <c r="P62" i="115"/>
  <c r="O62" i="115"/>
  <c r="N62" i="115"/>
  <c r="M62" i="115"/>
  <c r="L62" i="115"/>
  <c r="K62" i="115"/>
  <c r="J62" i="115"/>
  <c r="I62" i="115"/>
  <c r="H62" i="115"/>
  <c r="G62" i="115"/>
  <c r="F62" i="115"/>
  <c r="E62" i="115"/>
  <c r="D62" i="115"/>
  <c r="C62" i="115"/>
  <c r="B62" i="115"/>
  <c r="B100" i="115" s="1"/>
  <c r="B138" i="115" s="1"/>
  <c r="AY61" i="115"/>
  <c r="AX61" i="115"/>
  <c r="AF61" i="115"/>
  <c r="AE61" i="115"/>
  <c r="AD61" i="115"/>
  <c r="AC61" i="115"/>
  <c r="AB61" i="115"/>
  <c r="AA61" i="115"/>
  <c r="Z61" i="115"/>
  <c r="Y61" i="115"/>
  <c r="X61" i="115"/>
  <c r="W61" i="115"/>
  <c r="V61" i="115"/>
  <c r="U61" i="115"/>
  <c r="T61" i="115"/>
  <c r="S61" i="115"/>
  <c r="R61" i="115"/>
  <c r="Q61" i="115"/>
  <c r="P61" i="115"/>
  <c r="O61" i="115"/>
  <c r="N61" i="115"/>
  <c r="M61" i="115"/>
  <c r="L61" i="115"/>
  <c r="K61" i="115"/>
  <c r="J61" i="115"/>
  <c r="I61" i="115"/>
  <c r="H61" i="115"/>
  <c r="G61" i="115"/>
  <c r="F61" i="115"/>
  <c r="E61" i="115"/>
  <c r="D61" i="115"/>
  <c r="C61" i="115"/>
  <c r="B61" i="115"/>
  <c r="B99" i="115" s="1"/>
  <c r="B137" i="115" s="1"/>
  <c r="AY60" i="115"/>
  <c r="AX60" i="115"/>
  <c r="AW60" i="115"/>
  <c r="AV60" i="115"/>
  <c r="AT60" i="115"/>
  <c r="AF60" i="115"/>
  <c r="AE60" i="115"/>
  <c r="AD60" i="115"/>
  <c r="AC60" i="115"/>
  <c r="AB60" i="115"/>
  <c r="AA60" i="115"/>
  <c r="Z60" i="115"/>
  <c r="Y60" i="115"/>
  <c r="X60" i="115"/>
  <c r="W60" i="115"/>
  <c r="V60" i="115"/>
  <c r="U60" i="115"/>
  <c r="T60" i="115"/>
  <c r="S60" i="115"/>
  <c r="R60" i="115"/>
  <c r="Q60" i="115"/>
  <c r="P60" i="115"/>
  <c r="O60" i="115"/>
  <c r="N60" i="115"/>
  <c r="M60" i="115"/>
  <c r="L60" i="115"/>
  <c r="K60" i="115"/>
  <c r="J60" i="115"/>
  <c r="I60" i="115"/>
  <c r="H60" i="115"/>
  <c r="G60" i="115"/>
  <c r="F60" i="115"/>
  <c r="E60" i="115"/>
  <c r="D60" i="115"/>
  <c r="C60" i="115"/>
  <c r="B60" i="115"/>
  <c r="B98" i="115" s="1"/>
  <c r="B136" i="115" s="1"/>
  <c r="AY59" i="115"/>
  <c r="AX59" i="115"/>
  <c r="AF59" i="115"/>
  <c r="AE59" i="115"/>
  <c r="AD59" i="115"/>
  <c r="AC59" i="115"/>
  <c r="AB59" i="115"/>
  <c r="AA59" i="115"/>
  <c r="Z59" i="115"/>
  <c r="Y59" i="115"/>
  <c r="X59" i="115"/>
  <c r="W59" i="115"/>
  <c r="V59" i="115"/>
  <c r="U59" i="115"/>
  <c r="T59" i="115"/>
  <c r="S59" i="115"/>
  <c r="R59" i="115"/>
  <c r="Q59" i="115"/>
  <c r="P59" i="115"/>
  <c r="O59" i="115"/>
  <c r="N59" i="115"/>
  <c r="M59" i="115"/>
  <c r="L59" i="115"/>
  <c r="K59" i="115"/>
  <c r="J59" i="115"/>
  <c r="I59" i="115"/>
  <c r="H59" i="115"/>
  <c r="G59" i="115"/>
  <c r="F59" i="115"/>
  <c r="E59" i="115"/>
  <c r="D59" i="115"/>
  <c r="C59" i="115"/>
  <c r="B59" i="115"/>
  <c r="B97" i="115" s="1"/>
  <c r="B135" i="115" s="1"/>
  <c r="B57" i="115"/>
  <c r="B95" i="115" s="1"/>
  <c r="B133" i="115" s="1"/>
  <c r="AY56" i="115"/>
  <c r="AX56" i="115"/>
  <c r="AA56" i="115"/>
  <c r="Z56" i="115"/>
  <c r="Y56" i="115"/>
  <c r="X56" i="115"/>
  <c r="W56" i="115"/>
  <c r="V56" i="115"/>
  <c r="U56" i="115"/>
  <c r="T56" i="115"/>
  <c r="S56" i="115"/>
  <c r="R56" i="115"/>
  <c r="Q56" i="115"/>
  <c r="P56" i="115"/>
  <c r="O56" i="115"/>
  <c r="N56" i="115"/>
  <c r="M56" i="115"/>
  <c r="L56" i="115"/>
  <c r="K56" i="115"/>
  <c r="J56" i="115"/>
  <c r="I56" i="115"/>
  <c r="H56" i="115"/>
  <c r="G56" i="115"/>
  <c r="F56" i="115"/>
  <c r="E56" i="115"/>
  <c r="D56" i="115"/>
  <c r="C56" i="115"/>
  <c r="B56" i="115"/>
  <c r="B94" i="115" s="1"/>
  <c r="B132" i="115" s="1"/>
  <c r="AY55" i="115"/>
  <c r="AX55" i="115"/>
  <c r="AA55" i="115"/>
  <c r="Z55" i="115"/>
  <c r="Y55" i="115"/>
  <c r="X55" i="115"/>
  <c r="W55" i="115"/>
  <c r="V55" i="115"/>
  <c r="U55" i="115"/>
  <c r="T55" i="115"/>
  <c r="S55" i="115"/>
  <c r="R55" i="115"/>
  <c r="Q55" i="115"/>
  <c r="P55" i="115"/>
  <c r="O55" i="115"/>
  <c r="N55" i="115"/>
  <c r="M55" i="115"/>
  <c r="L55" i="115"/>
  <c r="K55" i="115"/>
  <c r="J55" i="115"/>
  <c r="I55" i="115"/>
  <c r="H55" i="115"/>
  <c r="G55" i="115"/>
  <c r="F55" i="115"/>
  <c r="E55" i="115"/>
  <c r="D55" i="115"/>
  <c r="C55" i="115"/>
  <c r="B55" i="115"/>
  <c r="B93" i="115" s="1"/>
  <c r="B131" i="115" s="1"/>
  <c r="AY54" i="115"/>
  <c r="AX54" i="115"/>
  <c r="AW54" i="115"/>
  <c r="AV54" i="115"/>
  <c r="AT54" i="115"/>
  <c r="AS54" i="115"/>
  <c r="AR54" i="115"/>
  <c r="AQ54" i="115"/>
  <c r="AO54" i="115"/>
  <c r="AN54" i="115"/>
  <c r="AM54" i="115"/>
  <c r="AL54" i="115"/>
  <c r="AA54" i="115"/>
  <c r="Z54" i="115"/>
  <c r="Y54" i="115"/>
  <c r="X54" i="115"/>
  <c r="W54" i="115"/>
  <c r="V54" i="115"/>
  <c r="U54" i="115"/>
  <c r="T54" i="115"/>
  <c r="S54" i="115"/>
  <c r="R54" i="115"/>
  <c r="Q54" i="115"/>
  <c r="P54" i="115"/>
  <c r="O54" i="115"/>
  <c r="N54" i="115"/>
  <c r="M54" i="115"/>
  <c r="L54" i="115"/>
  <c r="K54" i="115"/>
  <c r="J54" i="115"/>
  <c r="I54" i="115"/>
  <c r="H54" i="115"/>
  <c r="G54" i="115"/>
  <c r="F54" i="115"/>
  <c r="E54" i="115"/>
  <c r="D54" i="115"/>
  <c r="C54" i="115"/>
  <c r="B54" i="115"/>
  <c r="B92" i="115" s="1"/>
  <c r="B130" i="115" s="1"/>
  <c r="AY53" i="115"/>
  <c r="AX53" i="115"/>
  <c r="AW53" i="115"/>
  <c r="AV53" i="115"/>
  <c r="AT53" i="115"/>
  <c r="AS53" i="115"/>
  <c r="AR53" i="115"/>
  <c r="AQ53" i="115"/>
  <c r="AO53" i="115"/>
  <c r="AN53" i="115"/>
  <c r="AM53" i="115"/>
  <c r="AL53" i="115"/>
  <c r="AA53" i="115"/>
  <c r="Z53" i="115"/>
  <c r="Y53" i="115"/>
  <c r="X53" i="115"/>
  <c r="W53" i="115"/>
  <c r="V53" i="115"/>
  <c r="U53" i="115"/>
  <c r="T53" i="115"/>
  <c r="S53" i="115"/>
  <c r="R53" i="115"/>
  <c r="Q53" i="115"/>
  <c r="P53" i="115"/>
  <c r="O53" i="115"/>
  <c r="N53" i="115"/>
  <c r="M53" i="115"/>
  <c r="L53" i="115"/>
  <c r="K53" i="115"/>
  <c r="J53" i="115"/>
  <c r="I53" i="115"/>
  <c r="H53" i="115"/>
  <c r="G53" i="115"/>
  <c r="F53" i="115"/>
  <c r="E53" i="115"/>
  <c r="D53" i="115"/>
  <c r="C53" i="115"/>
  <c r="B53" i="115"/>
  <c r="B91" i="115" s="1"/>
  <c r="B129" i="115" s="1"/>
  <c r="AY52" i="115"/>
  <c r="AX52" i="115"/>
  <c r="AA52" i="115"/>
  <c r="Z52" i="115"/>
  <c r="Y52" i="115"/>
  <c r="X52" i="115"/>
  <c r="W52" i="115"/>
  <c r="V52" i="115"/>
  <c r="U52" i="115"/>
  <c r="T52" i="115"/>
  <c r="S52" i="115"/>
  <c r="R52" i="115"/>
  <c r="Q52" i="115"/>
  <c r="P52" i="115"/>
  <c r="O52" i="115"/>
  <c r="N52" i="115"/>
  <c r="M52" i="115"/>
  <c r="L52" i="115"/>
  <c r="K52" i="115"/>
  <c r="J52" i="115"/>
  <c r="I52" i="115"/>
  <c r="H52" i="115"/>
  <c r="G52" i="115"/>
  <c r="F52" i="115"/>
  <c r="E52" i="115"/>
  <c r="D52" i="115"/>
  <c r="C52" i="115"/>
  <c r="B52" i="115"/>
  <c r="B90" i="115" s="1"/>
  <c r="B128" i="115" s="1"/>
  <c r="AY51" i="115"/>
  <c r="AX51" i="115"/>
  <c r="AW51" i="115"/>
  <c r="AV51" i="115"/>
  <c r="AT51" i="115"/>
  <c r="AS51" i="115"/>
  <c r="AR51" i="115"/>
  <c r="AQ51" i="115"/>
  <c r="AO51" i="115"/>
  <c r="AN51" i="115"/>
  <c r="AM51" i="115"/>
  <c r="AL51" i="115"/>
  <c r="AA51" i="115"/>
  <c r="Z51" i="115"/>
  <c r="Y51" i="115"/>
  <c r="X51" i="115"/>
  <c r="W51" i="115"/>
  <c r="V51" i="115"/>
  <c r="U51" i="115"/>
  <c r="T51" i="115"/>
  <c r="S51" i="115"/>
  <c r="R51" i="115"/>
  <c r="Q51" i="115"/>
  <c r="P51" i="115"/>
  <c r="O51" i="115"/>
  <c r="N51" i="115"/>
  <c r="M51" i="115"/>
  <c r="L51" i="115"/>
  <c r="K51" i="115"/>
  <c r="J51" i="115"/>
  <c r="I51" i="115"/>
  <c r="H51" i="115"/>
  <c r="G51" i="115"/>
  <c r="F51" i="115"/>
  <c r="E51" i="115"/>
  <c r="D51" i="115"/>
  <c r="C51" i="115"/>
  <c r="B51" i="115"/>
  <c r="B89" i="115" s="1"/>
  <c r="B127" i="115" s="1"/>
  <c r="AY50" i="115"/>
  <c r="AX50" i="115"/>
  <c r="AW50" i="115"/>
  <c r="AV50" i="115"/>
  <c r="AT50" i="115"/>
  <c r="AS50" i="115"/>
  <c r="AR50" i="115"/>
  <c r="AQ50" i="115"/>
  <c r="AO50" i="115"/>
  <c r="AN50" i="115"/>
  <c r="AM50" i="115"/>
  <c r="AL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B88" i="115" s="1"/>
  <c r="B126" i="115" s="1"/>
  <c r="AZ49" i="115"/>
  <c r="AY49" i="115"/>
  <c r="AX49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B87" i="115" s="1"/>
  <c r="B125" i="115" s="1"/>
  <c r="AY48" i="115"/>
  <c r="AX48" i="115"/>
  <c r="AF48" i="115"/>
  <c r="AE48" i="115"/>
  <c r="AD48" i="115"/>
  <c r="AC48" i="115"/>
  <c r="AB48" i="115"/>
  <c r="AA48" i="115"/>
  <c r="Z48" i="115"/>
  <c r="Y48" i="115"/>
  <c r="X48" i="115"/>
  <c r="W48" i="115"/>
  <c r="V48" i="115"/>
  <c r="U48" i="115"/>
  <c r="T48" i="115"/>
  <c r="S48" i="115"/>
  <c r="R48" i="115"/>
  <c r="Q48" i="115"/>
  <c r="P48" i="115"/>
  <c r="O48" i="115"/>
  <c r="N48" i="115"/>
  <c r="M48" i="115"/>
  <c r="L48" i="115"/>
  <c r="K48" i="115"/>
  <c r="J48" i="115"/>
  <c r="I48" i="115"/>
  <c r="H48" i="115"/>
  <c r="G48" i="115"/>
  <c r="F48" i="115"/>
  <c r="E48" i="115"/>
  <c r="D48" i="115"/>
  <c r="C48" i="115"/>
  <c r="B48" i="115"/>
  <c r="B86" i="115" s="1"/>
  <c r="B124" i="115" s="1"/>
  <c r="AY47" i="115"/>
  <c r="AX47" i="115"/>
  <c r="AA47" i="115"/>
  <c r="Z47" i="115"/>
  <c r="Y47" i="115"/>
  <c r="X47" i="115"/>
  <c r="W47" i="115"/>
  <c r="V47" i="115"/>
  <c r="U47" i="115"/>
  <c r="T47" i="115"/>
  <c r="S47" i="115"/>
  <c r="R47" i="115"/>
  <c r="Q47" i="115"/>
  <c r="P47" i="115"/>
  <c r="O47" i="115"/>
  <c r="N47" i="115"/>
  <c r="M47" i="115"/>
  <c r="L47" i="115"/>
  <c r="K47" i="115"/>
  <c r="J47" i="115"/>
  <c r="I47" i="115"/>
  <c r="H47" i="115"/>
  <c r="G47" i="115"/>
  <c r="F47" i="115"/>
  <c r="E47" i="115"/>
  <c r="D47" i="115"/>
  <c r="C47" i="115"/>
  <c r="B47" i="115"/>
  <c r="B85" i="115" s="1"/>
  <c r="B123" i="115" s="1"/>
  <c r="B46" i="115"/>
  <c r="B84" i="115" s="1"/>
  <c r="B122" i="115" s="1"/>
  <c r="AY32" i="115"/>
  <c r="AX32" i="115"/>
  <c r="AJ32" i="115"/>
  <c r="AI32" i="115"/>
  <c r="AH32" i="115"/>
  <c r="AG32" i="115"/>
  <c r="AF32" i="115"/>
  <c r="AE32" i="115"/>
  <c r="AD32" i="115"/>
  <c r="AC32" i="115"/>
  <c r="AB32" i="115"/>
  <c r="AA32" i="115"/>
  <c r="Z32" i="115"/>
  <c r="Y32" i="115"/>
  <c r="X32" i="115"/>
  <c r="W32" i="115"/>
  <c r="V32" i="115"/>
  <c r="U32" i="115"/>
  <c r="T32" i="115"/>
  <c r="S32" i="115"/>
  <c r="R32" i="115"/>
  <c r="Q32" i="115"/>
  <c r="P32" i="115"/>
  <c r="O32" i="115"/>
  <c r="N32" i="115"/>
  <c r="M32" i="115"/>
  <c r="L32" i="115"/>
  <c r="K32" i="115"/>
  <c r="J32" i="115"/>
  <c r="I32" i="115"/>
  <c r="H32" i="115"/>
  <c r="G32" i="115"/>
  <c r="F32" i="115"/>
  <c r="E32" i="115"/>
  <c r="D32" i="115"/>
  <c r="C32" i="115"/>
  <c r="AY31" i="115"/>
  <c r="AX31" i="115"/>
  <c r="AJ31" i="115"/>
  <c r="AJ30" i="115" s="1"/>
  <c r="AJ41" i="115" s="1"/>
  <c r="AI31" i="115"/>
  <c r="AH31" i="115"/>
  <c r="AG31" i="115"/>
  <c r="AF31" i="115"/>
  <c r="AE31" i="115"/>
  <c r="AD31" i="115"/>
  <c r="AC31" i="115"/>
  <c r="AB31" i="115"/>
  <c r="AB30" i="115" s="1"/>
  <c r="AB41" i="115" s="1"/>
  <c r="AA31" i="115"/>
  <c r="Z31" i="115"/>
  <c r="Y31" i="115"/>
  <c r="X31" i="115"/>
  <c r="W31" i="115"/>
  <c r="V31" i="115"/>
  <c r="U31" i="115"/>
  <c r="T31" i="115"/>
  <c r="S31" i="115"/>
  <c r="R31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1" i="115"/>
  <c r="C31" i="115"/>
  <c r="AY29" i="115"/>
  <c r="AX29" i="115"/>
  <c r="AF29" i="115"/>
  <c r="AE29" i="115"/>
  <c r="AD29" i="115"/>
  <c r="AC29" i="115"/>
  <c r="AB29" i="115"/>
  <c r="AA29" i="115"/>
  <c r="Z29" i="115"/>
  <c r="Y29" i="115"/>
  <c r="X29" i="115"/>
  <c r="W29" i="115"/>
  <c r="V29" i="115"/>
  <c r="U29" i="115"/>
  <c r="T29" i="115"/>
  <c r="S29" i="115"/>
  <c r="R29" i="115"/>
  <c r="Q29" i="115"/>
  <c r="P29" i="115"/>
  <c r="O29" i="115"/>
  <c r="N29" i="115"/>
  <c r="M29" i="115"/>
  <c r="L29" i="115"/>
  <c r="K29" i="115"/>
  <c r="J29" i="115"/>
  <c r="I29" i="115"/>
  <c r="H29" i="115"/>
  <c r="G29" i="115"/>
  <c r="F29" i="115"/>
  <c r="E29" i="115"/>
  <c r="D29" i="115"/>
  <c r="C29" i="115"/>
  <c r="AF28" i="115"/>
  <c r="AE28" i="115"/>
  <c r="AD28" i="115"/>
  <c r="AC28" i="115"/>
  <c r="AB28" i="115"/>
  <c r="AA28" i="115"/>
  <c r="Z28" i="115"/>
  <c r="Y28" i="115"/>
  <c r="X28" i="115"/>
  <c r="W28" i="115"/>
  <c r="V28" i="115"/>
  <c r="U28" i="115"/>
  <c r="T28" i="115"/>
  <c r="S28" i="115"/>
  <c r="R28" i="115"/>
  <c r="Q28" i="115"/>
  <c r="P28" i="115"/>
  <c r="O28" i="115"/>
  <c r="N28" i="115"/>
  <c r="M28" i="115"/>
  <c r="L28" i="115"/>
  <c r="K28" i="115"/>
  <c r="J28" i="115"/>
  <c r="I28" i="115"/>
  <c r="H28" i="115"/>
  <c r="G28" i="115"/>
  <c r="F28" i="115"/>
  <c r="E28" i="115"/>
  <c r="D28" i="115"/>
  <c r="C28" i="115"/>
  <c r="AX26" i="115"/>
  <c r="AF26" i="115"/>
  <c r="AE26" i="115"/>
  <c r="AD26" i="115"/>
  <c r="AC26" i="115"/>
  <c r="AB26" i="115"/>
  <c r="AA26" i="115"/>
  <c r="Z26" i="115"/>
  <c r="Y26" i="115"/>
  <c r="X26" i="115"/>
  <c r="W26" i="115"/>
  <c r="V26" i="115"/>
  <c r="U26" i="115"/>
  <c r="T26" i="115"/>
  <c r="S26" i="115"/>
  <c r="R26" i="115"/>
  <c r="Q26" i="115"/>
  <c r="P26" i="115"/>
  <c r="O26" i="115"/>
  <c r="N26" i="115"/>
  <c r="M26" i="115"/>
  <c r="L26" i="115"/>
  <c r="K26" i="115"/>
  <c r="J26" i="115"/>
  <c r="I26" i="115"/>
  <c r="H26" i="115"/>
  <c r="G26" i="115"/>
  <c r="F26" i="115"/>
  <c r="E26" i="115"/>
  <c r="D26" i="115"/>
  <c r="C26" i="115"/>
  <c r="AY25" i="115"/>
  <c r="AX25" i="115"/>
  <c r="AF25" i="115"/>
  <c r="AE25" i="115"/>
  <c r="AD25" i="115"/>
  <c r="AC25" i="115"/>
  <c r="AB25" i="115"/>
  <c r="AA25" i="115"/>
  <c r="Z25" i="115"/>
  <c r="Y25" i="115"/>
  <c r="X25" i="115"/>
  <c r="W25" i="115"/>
  <c r="V25" i="115"/>
  <c r="U25" i="115"/>
  <c r="T25" i="115"/>
  <c r="S25" i="115"/>
  <c r="R25" i="115"/>
  <c r="Q25" i="115"/>
  <c r="P25" i="115"/>
  <c r="O25" i="115"/>
  <c r="N25" i="115"/>
  <c r="M25" i="115"/>
  <c r="L25" i="115"/>
  <c r="K25" i="115"/>
  <c r="J25" i="115"/>
  <c r="I25" i="115"/>
  <c r="H25" i="115"/>
  <c r="G25" i="115"/>
  <c r="F25" i="115"/>
  <c r="E25" i="115"/>
  <c r="D25" i="115"/>
  <c r="C25" i="115"/>
  <c r="AY24" i="115"/>
  <c r="AX24" i="115"/>
  <c r="AF24" i="115"/>
  <c r="AE24" i="115"/>
  <c r="AD24" i="115"/>
  <c r="AC24" i="115"/>
  <c r="AB24" i="115"/>
  <c r="AA24" i="115"/>
  <c r="Z24" i="115"/>
  <c r="Y24" i="115"/>
  <c r="X24" i="115"/>
  <c r="W24" i="115"/>
  <c r="V24" i="115"/>
  <c r="U24" i="115"/>
  <c r="T24" i="115"/>
  <c r="S24" i="115"/>
  <c r="R24" i="115"/>
  <c r="Q24" i="115"/>
  <c r="P24" i="115"/>
  <c r="O24" i="115"/>
  <c r="N24" i="115"/>
  <c r="M24" i="115"/>
  <c r="L24" i="115"/>
  <c r="K24" i="115"/>
  <c r="J24" i="115"/>
  <c r="I24" i="115"/>
  <c r="H24" i="115"/>
  <c r="G24" i="115"/>
  <c r="F24" i="115"/>
  <c r="E24" i="115"/>
  <c r="D24" i="115"/>
  <c r="C24" i="115"/>
  <c r="AY23" i="115"/>
  <c r="AX23" i="115"/>
  <c r="AF23" i="115"/>
  <c r="AE23" i="115"/>
  <c r="AD23" i="115"/>
  <c r="AC23" i="115"/>
  <c r="AB23" i="115"/>
  <c r="AA23" i="115"/>
  <c r="Z23" i="115"/>
  <c r="Y23" i="115"/>
  <c r="X23" i="115"/>
  <c r="W23" i="115"/>
  <c r="V23" i="115"/>
  <c r="U23" i="115"/>
  <c r="T23" i="115"/>
  <c r="S23" i="115"/>
  <c r="R23" i="115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AF22" i="115"/>
  <c r="AE22" i="115"/>
  <c r="AD22" i="115"/>
  <c r="AC22" i="115"/>
  <c r="AB22" i="115"/>
  <c r="AA22" i="115"/>
  <c r="Z22" i="115"/>
  <c r="Y22" i="115"/>
  <c r="X22" i="115"/>
  <c r="W22" i="115"/>
  <c r="V22" i="115"/>
  <c r="U22" i="115"/>
  <c r="T22" i="115"/>
  <c r="S22" i="115"/>
  <c r="R22" i="115"/>
  <c r="Q22" i="115"/>
  <c r="P22" i="115"/>
  <c r="O22" i="115"/>
  <c r="N22" i="115"/>
  <c r="M22" i="115"/>
  <c r="L22" i="115"/>
  <c r="K22" i="115"/>
  <c r="J22" i="115"/>
  <c r="I22" i="115"/>
  <c r="H22" i="115"/>
  <c r="G22" i="115"/>
  <c r="F22" i="115"/>
  <c r="E22" i="115"/>
  <c r="D22" i="115"/>
  <c r="C22" i="115"/>
  <c r="AY21" i="115"/>
  <c r="AX21" i="115"/>
  <c r="AF21" i="115"/>
  <c r="AE21" i="115"/>
  <c r="AD21" i="115"/>
  <c r="AC21" i="115"/>
  <c r="AB21" i="115"/>
  <c r="AA21" i="115"/>
  <c r="Z21" i="115"/>
  <c r="Y21" i="115"/>
  <c r="X21" i="115"/>
  <c r="W21" i="115"/>
  <c r="V21" i="115"/>
  <c r="U21" i="115"/>
  <c r="T21" i="115"/>
  <c r="S21" i="115"/>
  <c r="R21" i="115"/>
  <c r="Q21" i="115"/>
  <c r="P21" i="115"/>
  <c r="O21" i="115"/>
  <c r="N21" i="115"/>
  <c r="M21" i="115"/>
  <c r="L21" i="115"/>
  <c r="K21" i="115"/>
  <c r="J21" i="115"/>
  <c r="I21" i="115"/>
  <c r="H21" i="115"/>
  <c r="G21" i="115"/>
  <c r="F21" i="115"/>
  <c r="E21" i="115"/>
  <c r="D21" i="115"/>
  <c r="C21" i="115"/>
  <c r="AY20" i="115"/>
  <c r="AX20" i="115"/>
  <c r="AF20" i="115"/>
  <c r="AE20" i="115"/>
  <c r="AD20" i="115"/>
  <c r="AC20" i="115"/>
  <c r="AB20" i="115"/>
  <c r="AA20" i="115"/>
  <c r="Z20" i="115"/>
  <c r="Y20" i="115"/>
  <c r="X20" i="115"/>
  <c r="W20" i="115"/>
  <c r="V20" i="115"/>
  <c r="U20" i="115"/>
  <c r="T20" i="115"/>
  <c r="S20" i="115"/>
  <c r="R20" i="115"/>
  <c r="Q20" i="115"/>
  <c r="P20" i="115"/>
  <c r="O20" i="115"/>
  <c r="N20" i="115"/>
  <c r="M20" i="115"/>
  <c r="L20" i="115"/>
  <c r="K20" i="115"/>
  <c r="J20" i="115"/>
  <c r="I20" i="115"/>
  <c r="H20" i="115"/>
  <c r="G20" i="115"/>
  <c r="F20" i="115"/>
  <c r="E20" i="115"/>
  <c r="D20" i="115"/>
  <c r="C20" i="115"/>
  <c r="AY18" i="115"/>
  <c r="AX18" i="115"/>
  <c r="AA18" i="115"/>
  <c r="Z18" i="115"/>
  <c r="Y18" i="115"/>
  <c r="X18" i="115"/>
  <c r="W18" i="115"/>
  <c r="V18" i="115"/>
  <c r="U18" i="115"/>
  <c r="T18" i="115"/>
  <c r="S18" i="115"/>
  <c r="R18" i="115"/>
  <c r="Q18" i="115"/>
  <c r="P18" i="115"/>
  <c r="O18" i="115"/>
  <c r="N18" i="115"/>
  <c r="M18" i="115"/>
  <c r="L18" i="115"/>
  <c r="K18" i="115"/>
  <c r="J18" i="115"/>
  <c r="I18" i="115"/>
  <c r="H18" i="115"/>
  <c r="G18" i="115"/>
  <c r="F18" i="115"/>
  <c r="E18" i="115"/>
  <c r="D18" i="115"/>
  <c r="C18" i="115"/>
  <c r="AY17" i="115"/>
  <c r="AX17" i="115"/>
  <c r="AA17" i="115"/>
  <c r="Z17" i="115"/>
  <c r="Y17" i="115"/>
  <c r="X17" i="115"/>
  <c r="W17" i="115"/>
  <c r="V17" i="115"/>
  <c r="U17" i="115"/>
  <c r="T17" i="115"/>
  <c r="S17" i="115"/>
  <c r="R17" i="115"/>
  <c r="Q17" i="115"/>
  <c r="P17" i="115"/>
  <c r="O17" i="115"/>
  <c r="N17" i="115"/>
  <c r="M17" i="115"/>
  <c r="L17" i="115"/>
  <c r="K17" i="115"/>
  <c r="J17" i="115"/>
  <c r="I17" i="115"/>
  <c r="H17" i="115"/>
  <c r="G17" i="115"/>
  <c r="F17" i="115"/>
  <c r="E17" i="115"/>
  <c r="D17" i="115"/>
  <c r="C17" i="115"/>
  <c r="AY16" i="115"/>
  <c r="AX16" i="115"/>
  <c r="AW16" i="115"/>
  <c r="AV16" i="115"/>
  <c r="AT16" i="115"/>
  <c r="AS16" i="115"/>
  <c r="AR16" i="115"/>
  <c r="AQ16" i="115"/>
  <c r="AO16" i="115"/>
  <c r="AN16" i="115"/>
  <c r="AM16" i="115"/>
  <c r="AL16" i="115"/>
  <c r="AA16" i="115"/>
  <c r="Z16" i="115"/>
  <c r="Y16" i="115"/>
  <c r="X16" i="115"/>
  <c r="W16" i="115"/>
  <c r="V16" i="115"/>
  <c r="U16" i="115"/>
  <c r="T16" i="115"/>
  <c r="S16" i="115"/>
  <c r="R16" i="115"/>
  <c r="Q16" i="115"/>
  <c r="P16" i="115"/>
  <c r="O16" i="115"/>
  <c r="N16" i="115"/>
  <c r="M16" i="115"/>
  <c r="L16" i="115"/>
  <c r="K16" i="115"/>
  <c r="J16" i="115"/>
  <c r="I16" i="115"/>
  <c r="H16" i="115"/>
  <c r="G16" i="115"/>
  <c r="F16" i="115"/>
  <c r="E16" i="115"/>
  <c r="D16" i="115"/>
  <c r="C16" i="115"/>
  <c r="AY15" i="115"/>
  <c r="AX15" i="115"/>
  <c r="AW15" i="115"/>
  <c r="AV15" i="115"/>
  <c r="AT15" i="115"/>
  <c r="AS15" i="115"/>
  <c r="AR15" i="115"/>
  <c r="AQ15" i="115"/>
  <c r="AO15" i="115"/>
  <c r="AN15" i="115"/>
  <c r="AM15" i="115"/>
  <c r="AL15" i="115"/>
  <c r="AA15" i="115"/>
  <c r="Z15" i="115"/>
  <c r="Y15" i="115"/>
  <c r="X15" i="115"/>
  <c r="W15" i="115"/>
  <c r="V15" i="115"/>
  <c r="U15" i="115"/>
  <c r="T15" i="115"/>
  <c r="S15" i="115"/>
  <c r="R15" i="115"/>
  <c r="Q15" i="115"/>
  <c r="P15" i="115"/>
  <c r="O15" i="115"/>
  <c r="N15" i="115"/>
  <c r="M15" i="115"/>
  <c r="L15" i="115"/>
  <c r="K15" i="115"/>
  <c r="J15" i="115"/>
  <c r="I15" i="115"/>
  <c r="H15" i="115"/>
  <c r="G15" i="115"/>
  <c r="F15" i="115"/>
  <c r="E15" i="115"/>
  <c r="D15" i="115"/>
  <c r="C15" i="115"/>
  <c r="AY14" i="115"/>
  <c r="AX14" i="115"/>
  <c r="AA14" i="115"/>
  <c r="Z14" i="115"/>
  <c r="Y14" i="115"/>
  <c r="X14" i="115"/>
  <c r="W14" i="115"/>
  <c r="V14" i="115"/>
  <c r="U14" i="115"/>
  <c r="T14" i="115"/>
  <c r="S14" i="115"/>
  <c r="R14" i="115"/>
  <c r="Q14" i="115"/>
  <c r="P14" i="115"/>
  <c r="O14" i="115"/>
  <c r="N14" i="115"/>
  <c r="M14" i="115"/>
  <c r="L14" i="115"/>
  <c r="K14" i="115"/>
  <c r="J14" i="115"/>
  <c r="I14" i="115"/>
  <c r="H14" i="115"/>
  <c r="G14" i="115"/>
  <c r="F14" i="115"/>
  <c r="E14" i="115"/>
  <c r="D14" i="115"/>
  <c r="C14" i="115"/>
  <c r="AY13" i="115"/>
  <c r="AX13" i="115"/>
  <c r="AW13" i="115"/>
  <c r="AV13" i="115"/>
  <c r="AT13" i="115"/>
  <c r="AS13" i="115"/>
  <c r="AR13" i="115"/>
  <c r="AQ13" i="115"/>
  <c r="AO13" i="115"/>
  <c r="AN13" i="115"/>
  <c r="AM13" i="115"/>
  <c r="AL13" i="115"/>
  <c r="AA13" i="115"/>
  <c r="Z13" i="115"/>
  <c r="Y13" i="115"/>
  <c r="X13" i="115"/>
  <c r="W13" i="115"/>
  <c r="V13" i="115"/>
  <c r="U13" i="115"/>
  <c r="T13" i="115"/>
  <c r="S13" i="115"/>
  <c r="R13" i="115"/>
  <c r="Q13" i="115"/>
  <c r="P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AY12" i="115"/>
  <c r="AX12" i="115"/>
  <c r="AW12" i="115"/>
  <c r="AV12" i="115"/>
  <c r="AT12" i="115"/>
  <c r="AS12" i="115"/>
  <c r="AR12" i="115"/>
  <c r="AQ12" i="115"/>
  <c r="AO12" i="115"/>
  <c r="AN12" i="115"/>
  <c r="AM12" i="115"/>
  <c r="AL12" i="115"/>
  <c r="AF12" i="115"/>
  <c r="AE12" i="115"/>
  <c r="AD12" i="115"/>
  <c r="AC12" i="115"/>
  <c r="AB12" i="115"/>
  <c r="AA12" i="115"/>
  <c r="Z12" i="115"/>
  <c r="Y12" i="115"/>
  <c r="X12" i="115"/>
  <c r="W12" i="115"/>
  <c r="V12" i="115"/>
  <c r="U12" i="115"/>
  <c r="T12" i="115"/>
  <c r="S12" i="115"/>
  <c r="R12" i="115"/>
  <c r="Q12" i="115"/>
  <c r="P12" i="115"/>
  <c r="O12" i="115"/>
  <c r="N12" i="115"/>
  <c r="M12" i="115"/>
  <c r="L12" i="115"/>
  <c r="K12" i="115"/>
  <c r="J12" i="115"/>
  <c r="I12" i="115"/>
  <c r="H12" i="115"/>
  <c r="G12" i="115"/>
  <c r="F12" i="115"/>
  <c r="E12" i="115"/>
  <c r="D12" i="115"/>
  <c r="C12" i="115"/>
  <c r="AZ11" i="115"/>
  <c r="AY11" i="115"/>
  <c r="AX11" i="115"/>
  <c r="AW11" i="115"/>
  <c r="AV11" i="115"/>
  <c r="AU11" i="115"/>
  <c r="AT11" i="115"/>
  <c r="AS11" i="115"/>
  <c r="AR11" i="115"/>
  <c r="AQ11" i="115"/>
  <c r="AP11" i="115"/>
  <c r="AO11" i="115"/>
  <c r="AN11" i="115"/>
  <c r="AM11" i="115"/>
  <c r="AL11" i="115"/>
  <c r="AK11" i="115"/>
  <c r="AJ11" i="115"/>
  <c r="AI11" i="115"/>
  <c r="AH11" i="115"/>
  <c r="AG11" i="115"/>
  <c r="AF11" i="115"/>
  <c r="AE11" i="115"/>
  <c r="AD11" i="115"/>
  <c r="AC11" i="115"/>
  <c r="AB11" i="115"/>
  <c r="AA11" i="115"/>
  <c r="Z11" i="115"/>
  <c r="Y11" i="115"/>
  <c r="X11" i="115"/>
  <c r="W11" i="115"/>
  <c r="V11" i="115"/>
  <c r="U11" i="115"/>
  <c r="T11" i="115"/>
  <c r="S11" i="115"/>
  <c r="R11" i="115"/>
  <c r="Q11" i="115"/>
  <c r="P11" i="115"/>
  <c r="O11" i="115"/>
  <c r="N11" i="115"/>
  <c r="M11" i="115"/>
  <c r="L11" i="115"/>
  <c r="K11" i="115"/>
  <c r="J11" i="115"/>
  <c r="I11" i="115"/>
  <c r="H11" i="115"/>
  <c r="G11" i="115"/>
  <c r="F11" i="115"/>
  <c r="E11" i="115"/>
  <c r="D11" i="115"/>
  <c r="C11" i="115"/>
  <c r="AF10" i="115"/>
  <c r="AE10" i="115"/>
  <c r="AD10" i="115"/>
  <c r="AC10" i="115"/>
  <c r="AB10" i="115"/>
  <c r="AA10" i="115"/>
  <c r="Z10" i="115"/>
  <c r="Y10" i="115"/>
  <c r="X10" i="115"/>
  <c r="W10" i="115"/>
  <c r="V10" i="115"/>
  <c r="U10" i="115"/>
  <c r="T10" i="115"/>
  <c r="S10" i="115"/>
  <c r="R10" i="115"/>
  <c r="Q10" i="115"/>
  <c r="P10" i="115"/>
  <c r="O10" i="115"/>
  <c r="N10" i="115"/>
  <c r="M10" i="115"/>
  <c r="L10" i="115"/>
  <c r="K10" i="115"/>
  <c r="J10" i="115"/>
  <c r="I10" i="115"/>
  <c r="H10" i="115"/>
  <c r="G10" i="115"/>
  <c r="F10" i="115"/>
  <c r="E10" i="115"/>
  <c r="D10" i="115"/>
  <c r="C10" i="115"/>
  <c r="AY9" i="115"/>
  <c r="AX9" i="115"/>
  <c r="AA9" i="115"/>
  <c r="Z9" i="115"/>
  <c r="Y9" i="115"/>
  <c r="X9" i="115"/>
  <c r="W9" i="115"/>
  <c r="V9" i="115"/>
  <c r="U9" i="115"/>
  <c r="T9" i="115"/>
  <c r="S9" i="115"/>
  <c r="R9" i="115"/>
  <c r="Q9" i="115"/>
  <c r="P9" i="115"/>
  <c r="O9" i="115"/>
  <c r="N9" i="115"/>
  <c r="M9" i="115"/>
  <c r="L9" i="115"/>
  <c r="K9" i="115"/>
  <c r="J9" i="115"/>
  <c r="I9" i="115"/>
  <c r="H9" i="115"/>
  <c r="G9" i="115"/>
  <c r="F9" i="115"/>
  <c r="E9" i="115"/>
  <c r="D9" i="115"/>
  <c r="C9" i="115"/>
  <c r="P30" i="115" l="1"/>
  <c r="P41" i="115" s="1"/>
  <c r="D30" i="115"/>
  <c r="D41" i="115" s="1"/>
  <c r="E30" i="115"/>
  <c r="E41" i="115" s="1"/>
  <c r="J144" i="115"/>
  <c r="J155" i="115" s="1"/>
  <c r="X144" i="115"/>
  <c r="X155" i="115" s="1"/>
  <c r="Q30" i="115"/>
  <c r="Q41" i="115" s="1"/>
  <c r="AC30" i="115"/>
  <c r="AC41" i="115" s="1"/>
  <c r="R30" i="115"/>
  <c r="R41" i="115" s="1"/>
  <c r="F30" i="115"/>
  <c r="F41" i="115" s="1"/>
  <c r="M30" i="115"/>
  <c r="M41" i="115" s="1"/>
  <c r="O144" i="115"/>
  <c r="O155" i="115" s="1"/>
  <c r="Y30" i="115"/>
  <c r="Y41" i="115" s="1"/>
  <c r="X68" i="115"/>
  <c r="X79" i="115" s="1"/>
  <c r="G106" i="115"/>
  <c r="G117" i="115" s="1"/>
  <c r="AE106" i="115"/>
  <c r="AE117" i="115" s="1"/>
  <c r="AD30" i="115"/>
  <c r="AD41" i="115" s="1"/>
  <c r="J106" i="115"/>
  <c r="J117" i="115" s="1"/>
  <c r="C65" i="115"/>
  <c r="C80" i="115" s="1"/>
  <c r="I144" i="115"/>
  <c r="I155" i="115" s="1"/>
  <c r="C106" i="115"/>
  <c r="C117" i="115" s="1"/>
  <c r="AD106" i="115"/>
  <c r="AD117" i="115" s="1"/>
  <c r="V179" i="115"/>
  <c r="V194" i="115" s="1"/>
  <c r="AE30" i="115"/>
  <c r="AE41" i="115" s="1"/>
  <c r="O106" i="115"/>
  <c r="O117" i="115" s="1"/>
  <c r="AY13" i="116"/>
  <c r="AY16" i="116"/>
  <c r="AY28" i="116"/>
  <c r="AY41" i="116"/>
  <c r="AY15" i="116"/>
  <c r="AY29" i="116"/>
  <c r="AY42" i="116"/>
  <c r="AY27" i="116"/>
  <c r="AY40" i="116"/>
  <c r="AY14" i="116"/>
  <c r="AY26" i="116"/>
  <c r="AY39" i="116"/>
  <c r="D103" i="115"/>
  <c r="D118" i="115" s="1"/>
  <c r="P103" i="115"/>
  <c r="P118" i="115" s="1"/>
  <c r="AB103" i="115"/>
  <c r="AB118" i="115" s="1"/>
  <c r="E103" i="115"/>
  <c r="E118" i="115" s="1"/>
  <c r="Q103" i="115"/>
  <c r="Q118" i="115" s="1"/>
  <c r="AC103" i="115"/>
  <c r="AC118" i="115" s="1"/>
  <c r="N106" i="115"/>
  <c r="N117" i="115" s="1"/>
  <c r="Z106" i="115"/>
  <c r="Z117" i="115" s="1"/>
  <c r="H179" i="115"/>
  <c r="H194" i="115" s="1"/>
  <c r="M182" i="115"/>
  <c r="M193" i="115" s="1"/>
  <c r="W106" i="115"/>
  <c r="W117" i="115" s="1"/>
  <c r="C182" i="115"/>
  <c r="C193" i="115" s="1"/>
  <c r="O182" i="115"/>
  <c r="O193" i="115" s="1"/>
  <c r="AD68" i="115"/>
  <c r="AD79" i="115" s="1"/>
  <c r="S68" i="115"/>
  <c r="S79" i="115" s="1"/>
  <c r="AF141" i="115"/>
  <c r="AF156" i="115" s="1"/>
  <c r="C103" i="115"/>
  <c r="C118" i="115" s="1"/>
  <c r="O103" i="115"/>
  <c r="O118" i="115" s="1"/>
  <c r="AA103" i="115"/>
  <c r="AA118" i="115" s="1"/>
  <c r="E65" i="115"/>
  <c r="E80" i="115" s="1"/>
  <c r="F65" i="115"/>
  <c r="F80" i="115" s="1"/>
  <c r="M106" i="115"/>
  <c r="M117" i="115" s="1"/>
  <c r="Y106" i="115"/>
  <c r="Y117" i="115" s="1"/>
  <c r="F182" i="115"/>
  <c r="F193" i="115" s="1"/>
  <c r="R182" i="115"/>
  <c r="R193" i="115" s="1"/>
  <c r="AD182" i="115"/>
  <c r="AD193" i="115" s="1"/>
  <c r="K182" i="115"/>
  <c r="K193" i="115" s="1"/>
  <c r="S182" i="115"/>
  <c r="S193" i="115" s="1"/>
  <c r="AE182" i="115"/>
  <c r="AE193" i="115" s="1"/>
  <c r="T182" i="115"/>
  <c r="T193" i="115" s="1"/>
  <c r="H106" i="115"/>
  <c r="H117" i="115" s="1"/>
  <c r="T106" i="115"/>
  <c r="T117" i="115" s="1"/>
  <c r="AF106" i="115"/>
  <c r="AF117" i="115" s="1"/>
  <c r="AX190" i="115"/>
  <c r="G65" i="115"/>
  <c r="G80" i="115" s="1"/>
  <c r="R103" i="115"/>
  <c r="R118" i="115" s="1"/>
  <c r="L141" i="115"/>
  <c r="L156" i="115" s="1"/>
  <c r="AB179" i="115"/>
  <c r="AB194" i="115" s="1"/>
  <c r="H103" i="115"/>
  <c r="H118" i="115" s="1"/>
  <c r="AF103" i="115"/>
  <c r="AF118" i="115" s="1"/>
  <c r="S27" i="115"/>
  <c r="S42" i="115" s="1"/>
  <c r="AY65" i="115"/>
  <c r="H27" i="115"/>
  <c r="H42" i="115" s="1"/>
  <c r="T27" i="115"/>
  <c r="T42" i="115" s="1"/>
  <c r="AF27" i="115"/>
  <c r="AF42" i="115" s="1"/>
  <c r="F103" i="115"/>
  <c r="F118" i="115" s="1"/>
  <c r="AD103" i="115"/>
  <c r="AD118" i="115" s="1"/>
  <c r="AX65" i="115"/>
  <c r="AX80" i="115" s="1"/>
  <c r="T103" i="115"/>
  <c r="T118" i="115" s="1"/>
  <c r="Y27" i="115"/>
  <c r="Y42" i="115" s="1"/>
  <c r="L27" i="115"/>
  <c r="L42" i="115" s="1"/>
  <c r="X27" i="115"/>
  <c r="X42" i="115" s="1"/>
  <c r="E179" i="115"/>
  <c r="E194" i="115" s="1"/>
  <c r="AF65" i="115"/>
  <c r="AF80" i="115" s="1"/>
  <c r="G103" i="115"/>
  <c r="G118" i="115" s="1"/>
  <c r="S103" i="115"/>
  <c r="S118" i="115" s="1"/>
  <c r="AE103" i="115"/>
  <c r="AE118" i="115" s="1"/>
  <c r="AA179" i="115"/>
  <c r="AA194" i="115" s="1"/>
  <c r="Z141" i="115"/>
  <c r="Z156" i="115" s="1"/>
  <c r="T65" i="115"/>
  <c r="T80" i="115" s="1"/>
  <c r="P160" i="115"/>
  <c r="F190" i="115"/>
  <c r="R190" i="115"/>
  <c r="K160" i="115"/>
  <c r="F38" i="115"/>
  <c r="H38" i="115"/>
  <c r="T38" i="115"/>
  <c r="H122" i="115"/>
  <c r="AA106" i="115"/>
  <c r="AA117" i="115" s="1"/>
  <c r="AA182" i="115"/>
  <c r="AA193" i="115" s="1"/>
  <c r="AF182" i="115"/>
  <c r="AF193" i="115" s="1"/>
  <c r="X141" i="115"/>
  <c r="X156" i="115" s="1"/>
  <c r="C141" i="115"/>
  <c r="C156" i="115" s="1"/>
  <c r="O141" i="115"/>
  <c r="O156" i="115" s="1"/>
  <c r="AA141" i="115"/>
  <c r="AA156" i="115" s="1"/>
  <c r="Q179" i="115"/>
  <c r="Q194" i="115" s="1"/>
  <c r="AC179" i="115"/>
  <c r="AC194" i="115" s="1"/>
  <c r="P65" i="115"/>
  <c r="P80" i="115" s="1"/>
  <c r="D141" i="115"/>
  <c r="D156" i="115" s="1"/>
  <c r="P141" i="115"/>
  <c r="P156" i="115" s="1"/>
  <c r="AB141" i="115"/>
  <c r="AB156" i="115" s="1"/>
  <c r="H141" i="115"/>
  <c r="H156" i="115" s="1"/>
  <c r="T141" i="115"/>
  <c r="T156" i="115" s="1"/>
  <c r="F179" i="115"/>
  <c r="F194" i="115" s="1"/>
  <c r="R179" i="115"/>
  <c r="R194" i="115" s="1"/>
  <c r="AD179" i="115"/>
  <c r="AD194" i="115" s="1"/>
  <c r="V27" i="115"/>
  <c r="V42" i="115" s="1"/>
  <c r="E141" i="115"/>
  <c r="E156" i="115" s="1"/>
  <c r="Q141" i="115"/>
  <c r="Q156" i="115" s="1"/>
  <c r="AC141" i="115"/>
  <c r="AC156" i="115" s="1"/>
  <c r="I141" i="115"/>
  <c r="I156" i="115" s="1"/>
  <c r="U141" i="115"/>
  <c r="U156" i="115" s="1"/>
  <c r="AX141" i="115"/>
  <c r="AX156" i="115" s="1"/>
  <c r="G179" i="115"/>
  <c r="G194" i="115" s="1"/>
  <c r="S179" i="115"/>
  <c r="S194" i="115" s="1"/>
  <c r="AE179" i="115"/>
  <c r="AE194" i="115" s="1"/>
  <c r="J179" i="115"/>
  <c r="J194" i="115" s="1"/>
  <c r="I103" i="115"/>
  <c r="I118" i="115" s="1"/>
  <c r="W27" i="115"/>
  <c r="W42" i="115" s="1"/>
  <c r="T179" i="115"/>
  <c r="T194" i="115" s="1"/>
  <c r="AF179" i="115"/>
  <c r="AF194" i="115" s="1"/>
  <c r="F27" i="115"/>
  <c r="F42" i="115" s="1"/>
  <c r="R27" i="115"/>
  <c r="R42" i="115" s="1"/>
  <c r="AD27" i="115"/>
  <c r="AD42" i="115" s="1"/>
  <c r="AE141" i="115"/>
  <c r="AE156" i="115" s="1"/>
  <c r="I179" i="115"/>
  <c r="I194" i="115" s="1"/>
  <c r="U179" i="115"/>
  <c r="U194" i="115" s="1"/>
  <c r="AX179" i="115"/>
  <c r="AX194" i="115" s="1"/>
  <c r="U106" i="115"/>
  <c r="U117" i="115" s="1"/>
  <c r="L144" i="115"/>
  <c r="L155" i="115" s="1"/>
  <c r="N30" i="115"/>
  <c r="N41" i="115" s="1"/>
  <c r="I106" i="115"/>
  <c r="I117" i="115" s="1"/>
  <c r="K144" i="115"/>
  <c r="K155" i="115" s="1"/>
  <c r="T68" i="115"/>
  <c r="T79" i="115" s="1"/>
  <c r="G68" i="115"/>
  <c r="G79" i="115" s="1"/>
  <c r="AE68" i="115"/>
  <c r="AE79" i="115" s="1"/>
  <c r="Q68" i="115"/>
  <c r="Q79" i="115" s="1"/>
  <c r="AC68" i="115"/>
  <c r="AC79" i="115" s="1"/>
  <c r="K106" i="115"/>
  <c r="K117" i="115" s="1"/>
  <c r="L182" i="115"/>
  <c r="L193" i="115" s="1"/>
  <c r="W46" i="115"/>
  <c r="F77" i="115"/>
  <c r="H68" i="115"/>
  <c r="H79" i="115" s="1"/>
  <c r="AF68" i="115"/>
  <c r="AF79" i="115" s="1"/>
  <c r="W115" i="115"/>
  <c r="C160" i="115"/>
  <c r="J182" i="115"/>
  <c r="J193" i="115" s="1"/>
  <c r="T190" i="115"/>
  <c r="U144" i="115"/>
  <c r="U155" i="115" s="1"/>
  <c r="T76" i="115"/>
  <c r="N114" i="115"/>
  <c r="K68" i="115"/>
  <c r="K79" i="115" s="1"/>
  <c r="C115" i="115"/>
  <c r="J103" i="115"/>
  <c r="J118" i="115" s="1"/>
  <c r="L106" i="115"/>
  <c r="L117" i="115" s="1"/>
  <c r="K190" i="115"/>
  <c r="P115" i="115"/>
  <c r="M144" i="115"/>
  <c r="M155" i="115" s="1"/>
  <c r="AY30" i="115"/>
  <c r="AY41" i="115" s="1"/>
  <c r="L65" i="115"/>
  <c r="L80" i="115" s="1"/>
  <c r="X65" i="115"/>
  <c r="X80" i="115" s="1"/>
  <c r="Q84" i="115"/>
  <c r="AY114" i="115"/>
  <c r="F84" i="115"/>
  <c r="R114" i="115"/>
  <c r="L103" i="115"/>
  <c r="L118" i="115" s="1"/>
  <c r="X103" i="115"/>
  <c r="X118" i="115" s="1"/>
  <c r="AY106" i="115"/>
  <c r="AY117" i="115" s="1"/>
  <c r="E152" i="115"/>
  <c r="R160" i="115"/>
  <c r="I190" i="115"/>
  <c r="U190" i="115"/>
  <c r="L179" i="115"/>
  <c r="L194" i="115" s="1"/>
  <c r="X179" i="115"/>
  <c r="X194" i="115" s="1"/>
  <c r="X182" i="115"/>
  <c r="X193" i="115" s="1"/>
  <c r="X106" i="115"/>
  <c r="X117" i="115" s="1"/>
  <c r="G160" i="115"/>
  <c r="L39" i="115"/>
  <c r="E84" i="115"/>
  <c r="K103" i="115"/>
  <c r="K118" i="115" s="1"/>
  <c r="I27" i="115"/>
  <c r="I42" i="115" s="1"/>
  <c r="U27" i="115"/>
  <c r="U42" i="115" s="1"/>
  <c r="C30" i="115"/>
  <c r="C41" i="115" s="1"/>
  <c r="O30" i="115"/>
  <c r="O41" i="115" s="1"/>
  <c r="L77" i="115"/>
  <c r="X46" i="115"/>
  <c r="S84" i="115"/>
  <c r="F122" i="115"/>
  <c r="AY160" i="115"/>
  <c r="Y84" i="115"/>
  <c r="AY182" i="115"/>
  <c r="AY193" i="115" s="1"/>
  <c r="Y182" i="115"/>
  <c r="Y193" i="115" s="1"/>
  <c r="L68" i="115"/>
  <c r="L79" i="115" s="1"/>
  <c r="Q114" i="115"/>
  <c r="W103" i="115"/>
  <c r="W118" i="115" s="1"/>
  <c r="AX106" i="115"/>
  <c r="AX117" i="115" s="1"/>
  <c r="H190" i="115"/>
  <c r="N65" i="115"/>
  <c r="N80" i="115" s="1"/>
  <c r="Z65" i="115"/>
  <c r="Z80" i="115" s="1"/>
  <c r="Q65" i="115"/>
  <c r="Q80" i="115" s="1"/>
  <c r="N103" i="115"/>
  <c r="N118" i="115" s="1"/>
  <c r="Z103" i="115"/>
  <c r="Z118" i="115" s="1"/>
  <c r="N179" i="115"/>
  <c r="N194" i="115" s="1"/>
  <c r="Z179" i="115"/>
  <c r="Z194" i="115" s="1"/>
  <c r="AX68" i="115"/>
  <c r="AX79" i="115" s="1"/>
  <c r="K27" i="115"/>
  <c r="K42" i="115" s="1"/>
  <c r="Z77" i="115"/>
  <c r="Y46" i="115"/>
  <c r="O65" i="115"/>
  <c r="O80" i="115" s="1"/>
  <c r="AA65" i="115"/>
  <c r="AA80" i="115" s="1"/>
  <c r="R65" i="115"/>
  <c r="R80" i="115" s="1"/>
  <c r="E122" i="115"/>
  <c r="E144" i="115"/>
  <c r="E155" i="115" s="1"/>
  <c r="Q144" i="115"/>
  <c r="Q155" i="115" s="1"/>
  <c r="AC144" i="115"/>
  <c r="AC155" i="115" s="1"/>
  <c r="K39" i="115"/>
  <c r="W68" i="115"/>
  <c r="W79" i="115" s="1"/>
  <c r="C76" i="115"/>
  <c r="S65" i="115"/>
  <c r="S80" i="115" s="1"/>
  <c r="AE65" i="115"/>
  <c r="AE80" i="115" s="1"/>
  <c r="U115" i="115"/>
  <c r="F106" i="115"/>
  <c r="F117" i="115" s="1"/>
  <c r="R106" i="115"/>
  <c r="R117" i="115" s="1"/>
  <c r="H182" i="115"/>
  <c r="H193" i="115" s="1"/>
  <c r="C38" i="115"/>
  <c r="M27" i="115"/>
  <c r="M42" i="115" s="1"/>
  <c r="G30" i="115"/>
  <c r="G41" i="115" s="1"/>
  <c r="S30" i="115"/>
  <c r="S41" i="115" s="1"/>
  <c r="D77" i="115"/>
  <c r="AX46" i="115"/>
  <c r="E46" i="115"/>
  <c r="F68" i="115"/>
  <c r="F79" i="115" s="1"/>
  <c r="R68" i="115"/>
  <c r="R79" i="115" s="1"/>
  <c r="V115" i="115"/>
  <c r="V122" i="115"/>
  <c r="E182" i="115"/>
  <c r="E193" i="115" s="1"/>
  <c r="Q182" i="115"/>
  <c r="Q193" i="115" s="1"/>
  <c r="G27" i="115"/>
  <c r="G42" i="115" s="1"/>
  <c r="AE27" i="115"/>
  <c r="AE42" i="115" s="1"/>
  <c r="D68" i="115"/>
  <c r="D79" i="115" s="1"/>
  <c r="P68" i="115"/>
  <c r="P79" i="115" s="1"/>
  <c r="AB68" i="115"/>
  <c r="AB79" i="115" s="1"/>
  <c r="Z76" i="115"/>
  <c r="X115" i="115"/>
  <c r="D38" i="115"/>
  <c r="L30" i="115"/>
  <c r="L41" i="115" s="1"/>
  <c r="X30" i="115"/>
  <c r="X41" i="115" s="1"/>
  <c r="E76" i="115"/>
  <c r="D76" i="115"/>
  <c r="P76" i="115"/>
  <c r="M46" i="115"/>
  <c r="Y76" i="115"/>
  <c r="E68" i="115"/>
  <c r="E79" i="115" s="1"/>
  <c r="C77" i="115"/>
  <c r="G141" i="115"/>
  <c r="G156" i="115" s="1"/>
  <c r="S141" i="115"/>
  <c r="S156" i="115" s="1"/>
  <c r="N144" i="115"/>
  <c r="N155" i="115" s="1"/>
  <c r="Z144" i="115"/>
  <c r="Z155" i="115" s="1"/>
  <c r="E8" i="115"/>
  <c r="E27" i="115"/>
  <c r="E42" i="115" s="1"/>
  <c r="Q27" i="115"/>
  <c r="Q42" i="115" s="1"/>
  <c r="AC27" i="115"/>
  <c r="AC42" i="115" s="1"/>
  <c r="Z30" i="115"/>
  <c r="Z41" i="115" s="1"/>
  <c r="AX30" i="115"/>
  <c r="AX41" i="115" s="1"/>
  <c r="R84" i="115"/>
  <c r="AY84" i="115"/>
  <c r="Z114" i="115"/>
  <c r="M152" i="115"/>
  <c r="C144" i="115"/>
  <c r="C155" i="115" s="1"/>
  <c r="AA144" i="115"/>
  <c r="AA155" i="115" s="1"/>
  <c r="F76" i="115"/>
  <c r="R76" i="115"/>
  <c r="C46" i="115"/>
  <c r="O46" i="115"/>
  <c r="AA76" i="115"/>
  <c r="E77" i="115"/>
  <c r="AY179" i="115"/>
  <c r="AY194" i="115" s="1"/>
  <c r="V182" i="115"/>
  <c r="V193" i="115" s="1"/>
  <c r="P84" i="115"/>
  <c r="U103" i="115"/>
  <c r="U118" i="115" s="1"/>
  <c r="P114" i="115"/>
  <c r="G144" i="115"/>
  <c r="G155" i="115" s="1"/>
  <c r="S144" i="115"/>
  <c r="S155" i="115" s="1"/>
  <c r="AE144" i="115"/>
  <c r="AE155" i="115" s="1"/>
  <c r="G38" i="115"/>
  <c r="P39" i="115"/>
  <c r="N84" i="115"/>
  <c r="Z84" i="115"/>
  <c r="V103" i="115"/>
  <c r="V118" i="115" s="1"/>
  <c r="U153" i="115"/>
  <c r="I38" i="115"/>
  <c r="U38" i="115"/>
  <c r="E39" i="115"/>
  <c r="Q39" i="115"/>
  <c r="D65" i="115"/>
  <c r="D80" i="115" s="1"/>
  <c r="AB65" i="115"/>
  <c r="AB80" i="115" s="1"/>
  <c r="E115" i="115"/>
  <c r="Q115" i="115"/>
  <c r="S38" i="115"/>
  <c r="V38" i="115"/>
  <c r="J27" i="115"/>
  <c r="J42" i="115" s="1"/>
  <c r="N27" i="115"/>
  <c r="N42" i="115" s="1"/>
  <c r="Z27" i="115"/>
  <c r="Z42" i="115" s="1"/>
  <c r="G76" i="115"/>
  <c r="S76" i="115"/>
  <c r="AC65" i="115"/>
  <c r="AC80" i="115" s="1"/>
  <c r="H65" i="115"/>
  <c r="H80" i="115" s="1"/>
  <c r="O84" i="115"/>
  <c r="AA84" i="115"/>
  <c r="D84" i="115"/>
  <c r="M141" i="115"/>
  <c r="M156" i="115" s="1"/>
  <c r="Y141" i="115"/>
  <c r="Y156" i="115" s="1"/>
  <c r="V144" i="115"/>
  <c r="V155" i="115" s="1"/>
  <c r="J38" i="115"/>
  <c r="L8" i="115"/>
  <c r="K8" i="115"/>
  <c r="N39" i="115"/>
  <c r="Z39" i="115"/>
  <c r="AA39" i="115"/>
  <c r="C27" i="115"/>
  <c r="C42" i="115" s="1"/>
  <c r="O27" i="115"/>
  <c r="O42" i="115" s="1"/>
  <c r="AA27" i="115"/>
  <c r="AA42" i="115" s="1"/>
  <c r="AD65" i="115"/>
  <c r="AD80" i="115" s="1"/>
  <c r="I65" i="115"/>
  <c r="I80" i="115" s="1"/>
  <c r="U65" i="115"/>
  <c r="U80" i="115" s="1"/>
  <c r="I68" i="115"/>
  <c r="I79" i="115" s="1"/>
  <c r="D114" i="115"/>
  <c r="D115" i="115"/>
  <c r="AX103" i="115"/>
  <c r="AX118" i="115" s="1"/>
  <c r="L153" i="115"/>
  <c r="J141" i="115"/>
  <c r="J156" i="115" s="1"/>
  <c r="V141" i="115"/>
  <c r="V156" i="115" s="1"/>
  <c r="AY141" i="115"/>
  <c r="AY156" i="115" s="1"/>
  <c r="N141" i="115"/>
  <c r="N156" i="115" s="1"/>
  <c r="W144" i="115"/>
  <c r="W155" i="115" s="1"/>
  <c r="AX144" i="115"/>
  <c r="AX155" i="115" s="1"/>
  <c r="C179" i="115"/>
  <c r="C194" i="115" s="1"/>
  <c r="O179" i="115"/>
  <c r="O194" i="115" s="1"/>
  <c r="L38" i="115"/>
  <c r="X38" i="115"/>
  <c r="H30" i="115"/>
  <c r="H41" i="115" s="1"/>
  <c r="T30" i="115"/>
  <c r="T41" i="115" s="1"/>
  <c r="AF30" i="115"/>
  <c r="AF41" i="115" s="1"/>
  <c r="I46" i="115"/>
  <c r="U46" i="115"/>
  <c r="J65" i="115"/>
  <c r="J80" i="115" s="1"/>
  <c r="V65" i="115"/>
  <c r="V80" i="115" s="1"/>
  <c r="J68" i="115"/>
  <c r="J79" i="115" s="1"/>
  <c r="V68" i="115"/>
  <c r="V79" i="115" s="1"/>
  <c r="E114" i="115"/>
  <c r="AY103" i="115"/>
  <c r="AY118" i="115" s="1"/>
  <c r="D122" i="115"/>
  <c r="K141" i="115"/>
  <c r="K156" i="115" s="1"/>
  <c r="W141" i="115"/>
  <c r="W156" i="115" s="1"/>
  <c r="AY144" i="115"/>
  <c r="AY155" i="115" s="1"/>
  <c r="D179" i="115"/>
  <c r="D194" i="115" s="1"/>
  <c r="AX39" i="115"/>
  <c r="J30" i="115"/>
  <c r="J41" i="115" s="1"/>
  <c r="V30" i="115"/>
  <c r="V41" i="115" s="1"/>
  <c r="AH30" i="115"/>
  <c r="AH41" i="115" s="1"/>
  <c r="I30" i="115"/>
  <c r="I41" i="115" s="1"/>
  <c r="U30" i="115"/>
  <c r="U41" i="115" s="1"/>
  <c r="AG30" i="115"/>
  <c r="AG41" i="115" s="1"/>
  <c r="Z46" i="115"/>
  <c r="AY46" i="115"/>
  <c r="N68" i="115"/>
  <c r="N79" i="115" s="1"/>
  <c r="Z68" i="115"/>
  <c r="Z79" i="115" s="1"/>
  <c r="I115" i="115"/>
  <c r="N115" i="115"/>
  <c r="S106" i="115"/>
  <c r="S117" i="115" s="1"/>
  <c r="I122" i="115"/>
  <c r="U122" i="115"/>
  <c r="W182" i="115"/>
  <c r="W193" i="115" s="1"/>
  <c r="N8" i="115"/>
  <c r="C68" i="115"/>
  <c r="C79" i="115" s="1"/>
  <c r="O68" i="115"/>
  <c r="O79" i="115" s="1"/>
  <c r="AA68" i="115"/>
  <c r="AA79" i="115" s="1"/>
  <c r="AY68" i="115"/>
  <c r="M68" i="115"/>
  <c r="M79" i="115" s="1"/>
  <c r="Y68" i="115"/>
  <c r="Y79" i="115" s="1"/>
  <c r="N182" i="115"/>
  <c r="N193" i="115" s="1"/>
  <c r="Z182" i="115"/>
  <c r="Z193" i="115" s="1"/>
  <c r="AX182" i="115"/>
  <c r="AX193" i="115" s="1"/>
  <c r="AF39" i="116"/>
  <c r="AA42" i="116"/>
  <c r="AC57" i="115"/>
  <c r="AC78" i="115" s="1"/>
  <c r="AB29" i="116"/>
  <c r="AX29" i="116"/>
  <c r="AB16" i="116"/>
  <c r="AX16" i="116"/>
  <c r="AX40" i="116"/>
  <c r="AE42" i="116"/>
  <c r="AX14" i="116"/>
  <c r="AD15" i="116"/>
  <c r="H133" i="115"/>
  <c r="H154" i="115" s="1"/>
  <c r="AC172" i="115"/>
  <c r="AC38" i="116" s="1"/>
  <c r="AD57" i="115"/>
  <c r="AD78" i="115" s="1"/>
  <c r="AF12" i="116" a="1"/>
  <c r="AF12" i="116" s="1"/>
  <c r="Z40" i="116"/>
  <c r="AA40" i="116"/>
  <c r="G95" i="115"/>
  <c r="G116" i="115" s="1"/>
  <c r="AE12" i="116" a="1"/>
  <c r="AE12" i="116" s="1"/>
  <c r="AA14" i="116"/>
  <c r="AC12" i="116" a="1"/>
  <c r="AC12" i="116" s="1"/>
  <c r="AE13" i="116"/>
  <c r="AF15" i="116"/>
  <c r="AD39" i="116"/>
  <c r="AX39" i="116"/>
  <c r="AF28" i="116"/>
  <c r="L19" i="115"/>
  <c r="L40" i="115" s="1"/>
  <c r="X19" i="115"/>
  <c r="X40" i="115" s="1"/>
  <c r="E57" i="115"/>
  <c r="E78" i="115" s="1"/>
  <c r="AD12" i="116" a="1"/>
  <c r="AD12" i="116" s="1"/>
  <c r="AF13" i="116"/>
  <c r="Z14" i="116"/>
  <c r="AE39" i="116"/>
  <c r="Z42" i="116"/>
  <c r="AB14" i="116"/>
  <c r="AC16" i="116"/>
  <c r="Q95" i="115"/>
  <c r="Q116" i="115" s="1"/>
  <c r="AD16" i="116"/>
  <c r="F133" i="115"/>
  <c r="F154" i="115" s="1"/>
  <c r="AD133" i="115"/>
  <c r="AD154" i="115" s="1"/>
  <c r="AB40" i="116"/>
  <c r="N57" i="115"/>
  <c r="N78" i="115" s="1"/>
  <c r="AE16" i="116"/>
  <c r="G172" i="115"/>
  <c r="G171" i="115" s="1"/>
  <c r="G192" i="115" s="1"/>
  <c r="AE172" i="115"/>
  <c r="AE38" i="116" s="1"/>
  <c r="AX172" i="115"/>
  <c r="AC40" i="116"/>
  <c r="AD29" i="116"/>
  <c r="AC19" i="115"/>
  <c r="AC40" i="115" s="1"/>
  <c r="Y19" i="115"/>
  <c r="Y40" i="115" s="1"/>
  <c r="D19" i="115"/>
  <c r="D40" i="115" s="1"/>
  <c r="AB19" i="115"/>
  <c r="AB40" i="115" s="1"/>
  <c r="J57" i="115"/>
  <c r="J78" i="115" s="1"/>
  <c r="V57" i="115"/>
  <c r="V78" i="115" s="1"/>
  <c r="P57" i="115"/>
  <c r="P78" i="115" s="1"/>
  <c r="AE14" i="116"/>
  <c r="AF16" i="116"/>
  <c r="AD40" i="116"/>
  <c r="AE29" i="116"/>
  <c r="K57" i="115"/>
  <c r="K78" i="115" s="1"/>
  <c r="W57" i="115"/>
  <c r="W78" i="115" s="1"/>
  <c r="D57" i="115"/>
  <c r="D78" i="115" s="1"/>
  <c r="AB57" i="115"/>
  <c r="AB78" i="115" s="1"/>
  <c r="AF14" i="116"/>
  <c r="AE40" i="116"/>
  <c r="AF42" i="116"/>
  <c r="AC29" i="116"/>
  <c r="C19" i="115"/>
  <c r="C40" i="115" s="1"/>
  <c r="Z39" i="116"/>
  <c r="AF40" i="116"/>
  <c r="M57" i="115"/>
  <c r="M78" i="115" s="1"/>
  <c r="Y57" i="115"/>
  <c r="Y78" i="115" s="1"/>
  <c r="AB13" i="116"/>
  <c r="AC15" i="116"/>
  <c r="AA39" i="116"/>
  <c r="AC41" i="116"/>
  <c r="W19" i="115"/>
  <c r="W40" i="115" s="1"/>
  <c r="AC13" i="116"/>
  <c r="AB26" i="116"/>
  <c r="AD41" i="116"/>
  <c r="AC95" i="115"/>
  <c r="AC116" i="115" s="1"/>
  <c r="AD14" i="116"/>
  <c r="O95" i="115"/>
  <c r="O116" i="115" s="1"/>
  <c r="P95" i="115"/>
  <c r="P116" i="115" s="1"/>
  <c r="AB12" i="116" a="1"/>
  <c r="AB12" i="116" s="1"/>
  <c r="AD13" i="116"/>
  <c r="AX13" i="116"/>
  <c r="AE15" i="116"/>
  <c r="AC26" i="116"/>
  <c r="AE41" i="116"/>
  <c r="AX41" i="116"/>
  <c r="M133" i="115"/>
  <c r="M154" i="115" s="1"/>
  <c r="Y133" i="115"/>
  <c r="Y154" i="115" s="1"/>
  <c r="AF41" i="116"/>
  <c r="AD26" i="116"/>
  <c r="AX26" i="116"/>
  <c r="AF29" i="116"/>
  <c r="F57" i="115"/>
  <c r="F78" i="115" s="1"/>
  <c r="K19" i="115"/>
  <c r="K40" i="115" s="1"/>
  <c r="E19" i="115"/>
  <c r="E40" i="115" s="1"/>
  <c r="Q19" i="115"/>
  <c r="Q40" i="115" s="1"/>
  <c r="M172" i="115"/>
  <c r="M171" i="115" s="1"/>
  <c r="M192" i="115" s="1"/>
  <c r="AD172" i="115"/>
  <c r="AB39" i="116"/>
  <c r="AB42" i="116"/>
  <c r="AX42" i="116"/>
  <c r="AE26" i="116"/>
  <c r="J19" i="115"/>
  <c r="J40" i="115" s="1"/>
  <c r="N172" i="115"/>
  <c r="N171" i="115" s="1"/>
  <c r="N192" i="115" s="1"/>
  <c r="J133" i="115"/>
  <c r="J154" i="115" s="1"/>
  <c r="V133" i="115"/>
  <c r="V154" i="115" s="1"/>
  <c r="AC39" i="116"/>
  <c r="AC42" i="116"/>
  <c r="AF26" i="116"/>
  <c r="Z27" i="116"/>
  <c r="R57" i="115"/>
  <c r="R78" i="115" s="1"/>
  <c r="N19" i="115"/>
  <c r="N40" i="115" s="1"/>
  <c r="Z19" i="115"/>
  <c r="Z40" i="115" s="1"/>
  <c r="C95" i="115"/>
  <c r="C116" i="115" s="1"/>
  <c r="AA95" i="115"/>
  <c r="AA116" i="115" s="1"/>
  <c r="K133" i="115"/>
  <c r="K154" i="115" s="1"/>
  <c r="W133" i="115"/>
  <c r="W154" i="115" s="1"/>
  <c r="AD42" i="116"/>
  <c r="AA27" i="116"/>
  <c r="I95" i="115"/>
  <c r="I116" i="115" s="1"/>
  <c r="O19" i="115"/>
  <c r="O40" i="115" s="1"/>
  <c r="H57" i="115"/>
  <c r="H78" i="115" s="1"/>
  <c r="T57" i="115"/>
  <c r="T78" i="115" s="1"/>
  <c r="AF57" i="115"/>
  <c r="AF78" i="115" s="1"/>
  <c r="Z57" i="115"/>
  <c r="Z78" i="115" s="1"/>
  <c r="AX95" i="115"/>
  <c r="G133" i="115"/>
  <c r="G154" i="115" s="1"/>
  <c r="S133" i="115"/>
  <c r="S154" i="115" s="1"/>
  <c r="AB27" i="116"/>
  <c r="AX27" i="116"/>
  <c r="U95" i="115"/>
  <c r="U116" i="115" s="1"/>
  <c r="M19" i="115"/>
  <c r="M40" i="115" s="1"/>
  <c r="I57" i="115"/>
  <c r="I78" i="115" s="1"/>
  <c r="U57" i="115"/>
  <c r="U78" i="115" s="1"/>
  <c r="C57" i="115"/>
  <c r="C78" i="115" s="1"/>
  <c r="O57" i="115"/>
  <c r="O78" i="115" s="1"/>
  <c r="AA57" i="115"/>
  <c r="AA78" i="115" s="1"/>
  <c r="AC27" i="116"/>
  <c r="AD27" i="116"/>
  <c r="AC28" i="116"/>
  <c r="AX28" i="116"/>
  <c r="AE27" i="116"/>
  <c r="AD28" i="116"/>
  <c r="Q57" i="115"/>
  <c r="Q78" i="115" s="1"/>
  <c r="H95" i="115"/>
  <c r="H116" i="115" s="1"/>
  <c r="T95" i="115"/>
  <c r="T116" i="115" s="1"/>
  <c r="AF95" i="115"/>
  <c r="AF116" i="115" s="1"/>
  <c r="AF27" i="116"/>
  <c r="AE28" i="116"/>
  <c r="AC14" i="116"/>
  <c r="V19" i="115"/>
  <c r="V40" i="115" s="1"/>
  <c r="G57" i="115"/>
  <c r="G78" i="115" s="1"/>
  <c r="S57" i="115"/>
  <c r="S78" i="115" s="1"/>
  <c r="AE57" i="115"/>
  <c r="AE78" i="115" s="1"/>
  <c r="AX57" i="115"/>
  <c r="AX78" i="115" s="1"/>
  <c r="L57" i="115"/>
  <c r="L78" i="115" s="1"/>
  <c r="X57" i="115"/>
  <c r="X78" i="115" s="1"/>
  <c r="D95" i="115"/>
  <c r="D116" i="115" s="1"/>
  <c r="AB95" i="115"/>
  <c r="AB116" i="115" s="1"/>
  <c r="R95" i="115"/>
  <c r="R116" i="115" s="1"/>
  <c r="AX15" i="116"/>
  <c r="AY57" i="115"/>
  <c r="AY95" i="115"/>
  <c r="S95" i="115"/>
  <c r="S116" i="115" s="1"/>
  <c r="N95" i="115"/>
  <c r="N116" i="115" s="1"/>
  <c r="S172" i="115"/>
  <c r="S171" i="115" s="1"/>
  <c r="S192" i="115" s="1"/>
  <c r="I133" i="115"/>
  <c r="I154" i="115" s="1"/>
  <c r="U8" i="115"/>
  <c r="J8" i="115"/>
  <c r="W8" i="115"/>
  <c r="AX160" i="115"/>
  <c r="C8" i="115"/>
  <c r="AA8" i="115"/>
  <c r="M38" i="115"/>
  <c r="Y8" i="115"/>
  <c r="Y160" i="115"/>
  <c r="N38" i="115"/>
  <c r="Z38" i="115"/>
  <c r="C191" i="115"/>
  <c r="E160" i="115"/>
  <c r="Q160" i="115"/>
  <c r="F160" i="115"/>
  <c r="G190" i="115"/>
  <c r="D182" i="115"/>
  <c r="D193" i="115" s="1"/>
  <c r="P182" i="115"/>
  <c r="P193" i="115" s="1"/>
  <c r="AB182" i="115"/>
  <c r="AB193" i="115" s="1"/>
  <c r="AC182" i="115"/>
  <c r="AC193" i="115" s="1"/>
  <c r="G182" i="115"/>
  <c r="G193" i="115" s="1"/>
  <c r="S8" i="115"/>
  <c r="S39" i="115"/>
  <c r="Z8" i="115"/>
  <c r="M39" i="115"/>
  <c r="Y39" i="115"/>
  <c r="K38" i="115"/>
  <c r="W38" i="115"/>
  <c r="C39" i="115"/>
  <c r="O39" i="115"/>
  <c r="AY39" i="115"/>
  <c r="D27" i="115"/>
  <c r="D42" i="115" s="1"/>
  <c r="P27" i="115"/>
  <c r="P42" i="115" s="1"/>
  <c r="AB27" i="115"/>
  <c r="AB42" i="115" s="1"/>
  <c r="K153" i="115"/>
  <c r="Q8" i="115"/>
  <c r="Q38" i="115"/>
  <c r="E172" i="115"/>
  <c r="E171" i="115" s="1"/>
  <c r="E192" i="115" s="1"/>
  <c r="E133" i="115"/>
  <c r="E154" i="115" s="1"/>
  <c r="J191" i="115"/>
  <c r="J160" i="115"/>
  <c r="J190" i="115"/>
  <c r="W39" i="115"/>
  <c r="F95" i="115"/>
  <c r="F116" i="115" s="1"/>
  <c r="X76" i="115"/>
  <c r="X77" i="115"/>
  <c r="AA77" i="115"/>
  <c r="H19" i="115"/>
  <c r="H40" i="115" s="1"/>
  <c r="AD19" i="115"/>
  <c r="AD40" i="115" s="1"/>
  <c r="AA38" i="115"/>
  <c r="AX84" i="115"/>
  <c r="AX115" i="115"/>
  <c r="AX114" i="115"/>
  <c r="N122" i="115"/>
  <c r="N153" i="115"/>
  <c r="N152" i="115"/>
  <c r="Z152" i="115"/>
  <c r="Z122" i="115"/>
  <c r="Z153" i="115"/>
  <c r="AX122" i="115"/>
  <c r="AX153" i="115"/>
  <c r="AX152" i="115"/>
  <c r="K122" i="115"/>
  <c r="W122" i="115"/>
  <c r="O38" i="115"/>
  <c r="O8" i="115"/>
  <c r="S153" i="115"/>
  <c r="S152" i="115"/>
  <c r="S122" i="115"/>
  <c r="I39" i="115"/>
  <c r="V39" i="115"/>
  <c r="V8" i="115"/>
  <c r="V77" i="115"/>
  <c r="V76" i="115"/>
  <c r="V46" i="115"/>
  <c r="Y77" i="115"/>
  <c r="C114" i="115"/>
  <c r="C84" i="115"/>
  <c r="G191" i="115"/>
  <c r="M191" i="115"/>
  <c r="AD95" i="115"/>
  <c r="AD116" i="115" s="1"/>
  <c r="Y38" i="115"/>
  <c r="L76" i="115"/>
  <c r="L46" i="115"/>
  <c r="R77" i="115"/>
  <c r="AA114" i="115"/>
  <c r="O152" i="115"/>
  <c r="G8" i="115"/>
  <c r="G39" i="115"/>
  <c r="G153" i="115"/>
  <c r="G152" i="115"/>
  <c r="M8" i="115"/>
  <c r="E38" i="115"/>
  <c r="M77" i="115"/>
  <c r="G122" i="115"/>
  <c r="D152" i="115"/>
  <c r="O114" i="115"/>
  <c r="AF19" i="115"/>
  <c r="AF40" i="115" s="1"/>
  <c r="F19" i="115"/>
  <c r="F40" i="115" s="1"/>
  <c r="P19" i="115"/>
  <c r="P40" i="115" s="1"/>
  <c r="I8" i="115"/>
  <c r="AA30" i="115"/>
  <c r="AA41" i="115" s="1"/>
  <c r="U39" i="115"/>
  <c r="N133" i="115"/>
  <c r="N154" i="115" s="1"/>
  <c r="J39" i="115"/>
  <c r="J77" i="115"/>
  <c r="J76" i="115"/>
  <c r="J46" i="115"/>
  <c r="V191" i="115"/>
  <c r="V160" i="115"/>
  <c r="V190" i="115"/>
  <c r="S160" i="115"/>
  <c r="S190" i="115"/>
  <c r="S191" i="115"/>
  <c r="Y191" i="115"/>
  <c r="X39" i="115"/>
  <c r="X8" i="115"/>
  <c r="T19" i="115"/>
  <c r="T40" i="115" s="1"/>
  <c r="R19" i="115"/>
  <c r="R40" i="115" s="1"/>
  <c r="H8" i="115"/>
  <c r="AY115" i="115"/>
  <c r="Q133" i="115"/>
  <c r="Q154" i="115" s="1"/>
  <c r="Q172" i="115"/>
  <c r="Q171" i="115" s="1"/>
  <c r="Q192" i="115" s="1"/>
  <c r="AC133" i="115"/>
  <c r="AC154" i="115" s="1"/>
  <c r="Z133" i="115"/>
  <c r="Z154" i="115" s="1"/>
  <c r="AX133" i="115"/>
  <c r="AX154" i="115" s="1"/>
  <c r="X133" i="115"/>
  <c r="X154" i="115" s="1"/>
  <c r="W190" i="115"/>
  <c r="W191" i="115"/>
  <c r="W160" i="115"/>
  <c r="E191" i="115"/>
  <c r="N191" i="115"/>
  <c r="Z191" i="115"/>
  <c r="AX191" i="115"/>
  <c r="K76" i="115"/>
  <c r="K46" i="115"/>
  <c r="K77" i="115"/>
  <c r="W76" i="115"/>
  <c r="W77" i="115"/>
  <c r="H46" i="115"/>
  <c r="T46" i="115"/>
  <c r="J114" i="115"/>
  <c r="J84" i="115"/>
  <c r="J115" i="115"/>
  <c r="V114" i="115"/>
  <c r="V84" i="115"/>
  <c r="E95" i="115"/>
  <c r="E116" i="115" s="1"/>
  <c r="M153" i="115"/>
  <c r="L190" i="115"/>
  <c r="L160" i="115"/>
  <c r="X190" i="115"/>
  <c r="X160" i="115"/>
  <c r="X191" i="115"/>
  <c r="Y190" i="115"/>
  <c r="W152" i="115"/>
  <c r="F8" i="115"/>
  <c r="F39" i="115"/>
  <c r="R8" i="115"/>
  <c r="R39" i="115"/>
  <c r="D8" i="115"/>
  <c r="P8" i="115"/>
  <c r="P38" i="115"/>
  <c r="D39" i="115"/>
  <c r="AA19" i="115"/>
  <c r="AA40" i="115" s="1"/>
  <c r="L115" i="115"/>
  <c r="L84" i="115"/>
  <c r="L114" i="115"/>
  <c r="X114" i="115"/>
  <c r="X84" i="115"/>
  <c r="J95" i="115"/>
  <c r="J116" i="115" s="1"/>
  <c r="V95" i="115"/>
  <c r="V116" i="115" s="1"/>
  <c r="AE95" i="115"/>
  <c r="AE116" i="115" s="1"/>
  <c r="C122" i="115"/>
  <c r="C152" i="115"/>
  <c r="O122" i="115"/>
  <c r="O153" i="115"/>
  <c r="AA152" i="115"/>
  <c r="AA122" i="115"/>
  <c r="AA153" i="115"/>
  <c r="AY122" i="115"/>
  <c r="AY153" i="115"/>
  <c r="AY152" i="115"/>
  <c r="L122" i="115"/>
  <c r="X122" i="115"/>
  <c r="F144" i="115"/>
  <c r="F155" i="115" s="1"/>
  <c r="R144" i="115"/>
  <c r="R155" i="115" s="1"/>
  <c r="AD144" i="115"/>
  <c r="AD155" i="115" s="1"/>
  <c r="D144" i="115"/>
  <c r="D155" i="115" s="1"/>
  <c r="P144" i="115"/>
  <c r="P155" i="115" s="1"/>
  <c r="AB144" i="115"/>
  <c r="AB155" i="115" s="1"/>
  <c r="Z190" i="115"/>
  <c r="K191" i="115"/>
  <c r="K30" i="115"/>
  <c r="K41" i="115" s="1"/>
  <c r="AX76" i="115"/>
  <c r="AX77" i="115"/>
  <c r="D153" i="115"/>
  <c r="P122" i="115"/>
  <c r="P153" i="115"/>
  <c r="P152" i="115"/>
  <c r="C153" i="115"/>
  <c r="F191" i="115"/>
  <c r="L191" i="115"/>
  <c r="W30" i="115"/>
  <c r="W41" i="115" s="1"/>
  <c r="AI30" i="115"/>
  <c r="AI41" i="115" s="1"/>
  <c r="N46" i="115"/>
  <c r="N76" i="115"/>
  <c r="N77" i="115"/>
  <c r="H39" i="115"/>
  <c r="T39" i="115"/>
  <c r="T8" i="115"/>
  <c r="R38" i="115"/>
  <c r="O115" i="115"/>
  <c r="L172" i="115"/>
  <c r="L171" i="115" s="1"/>
  <c r="L192" i="115" s="1"/>
  <c r="L95" i="115"/>
  <c r="L116" i="115" s="1"/>
  <c r="X95" i="115"/>
  <c r="X116" i="115" s="1"/>
  <c r="E153" i="115"/>
  <c r="Q153" i="115"/>
  <c r="Q152" i="115"/>
  <c r="Q122" i="115"/>
  <c r="H144" i="115"/>
  <c r="H155" i="115" s="1"/>
  <c r="T144" i="115"/>
  <c r="T155" i="115" s="1"/>
  <c r="AF144" i="115"/>
  <c r="AF155" i="115" s="1"/>
  <c r="M65" i="115"/>
  <c r="M80" i="115" s="1"/>
  <c r="Y65" i="115"/>
  <c r="Y80" i="115" s="1"/>
  <c r="K84" i="115"/>
  <c r="K115" i="115"/>
  <c r="W84" i="115"/>
  <c r="W114" i="115"/>
  <c r="G84" i="115"/>
  <c r="K95" i="115"/>
  <c r="K116" i="115" s="1"/>
  <c r="K172" i="115"/>
  <c r="K171" i="115" s="1"/>
  <c r="K192" i="115" s="1"/>
  <c r="W95" i="115"/>
  <c r="W116" i="115" s="1"/>
  <c r="F153" i="115"/>
  <c r="F152" i="115"/>
  <c r="R153" i="115"/>
  <c r="R152" i="115"/>
  <c r="R122" i="115"/>
  <c r="D172" i="115"/>
  <c r="D171" i="115" s="1"/>
  <c r="D192" i="115" s="1"/>
  <c r="D133" i="115"/>
  <c r="D154" i="115" s="1"/>
  <c r="P133" i="115"/>
  <c r="P154" i="115" s="1"/>
  <c r="P172" i="115"/>
  <c r="P171" i="115" s="1"/>
  <c r="P192" i="115" s="1"/>
  <c r="AB133" i="115"/>
  <c r="AB154" i="115" s="1"/>
  <c r="AB172" i="115"/>
  <c r="Q77" i="115"/>
  <c r="M84" i="115"/>
  <c r="Y114" i="115"/>
  <c r="Y115" i="115"/>
  <c r="Y172" i="115"/>
  <c r="Y171" i="115" s="1"/>
  <c r="Y192" i="115" s="1"/>
  <c r="Y95" i="115"/>
  <c r="Y116" i="115" s="1"/>
  <c r="H153" i="115"/>
  <c r="H152" i="115"/>
  <c r="T153" i="115"/>
  <c r="T152" i="115"/>
  <c r="T122" i="115"/>
  <c r="R133" i="115"/>
  <c r="R154" i="115" s="1"/>
  <c r="R172" i="115"/>
  <c r="R171" i="115" s="1"/>
  <c r="R192" i="115" s="1"/>
  <c r="L133" i="115"/>
  <c r="L154" i="115" s="1"/>
  <c r="O76" i="115"/>
  <c r="AA46" i="115"/>
  <c r="AY76" i="115"/>
  <c r="O77" i="115"/>
  <c r="AY77" i="115"/>
  <c r="U68" i="115"/>
  <c r="U79" i="115" s="1"/>
  <c r="AA115" i="115"/>
  <c r="Z172" i="115"/>
  <c r="Z95" i="115"/>
  <c r="Z116" i="115" s="1"/>
  <c r="K114" i="115"/>
  <c r="M115" i="115"/>
  <c r="AE133" i="115"/>
  <c r="AE154" i="115" s="1"/>
  <c r="Q46" i="115"/>
  <c r="M76" i="115"/>
  <c r="P77" i="115"/>
  <c r="Q76" i="115"/>
  <c r="M103" i="115"/>
  <c r="M118" i="115" s="1"/>
  <c r="Y103" i="115"/>
  <c r="Y118" i="115" s="1"/>
  <c r="H172" i="115"/>
  <c r="H171" i="115" s="1"/>
  <c r="H192" i="115" s="1"/>
  <c r="T172" i="115"/>
  <c r="T171" i="115" s="1"/>
  <c r="T192" i="115" s="1"/>
  <c r="T133" i="115"/>
  <c r="T154" i="115" s="1"/>
  <c r="AF172" i="115"/>
  <c r="AF133" i="115"/>
  <c r="AF154" i="115" s="1"/>
  <c r="P179" i="115"/>
  <c r="P194" i="115" s="1"/>
  <c r="I19" i="115"/>
  <c r="I40" i="115" s="1"/>
  <c r="U19" i="115"/>
  <c r="U40" i="115" s="1"/>
  <c r="G19" i="115"/>
  <c r="G40" i="115" s="1"/>
  <c r="S19" i="115"/>
  <c r="S40" i="115" s="1"/>
  <c r="AE19" i="115"/>
  <c r="AE40" i="115" s="1"/>
  <c r="H76" i="115"/>
  <c r="Z115" i="115"/>
  <c r="M95" i="115"/>
  <c r="M116" i="115" s="1"/>
  <c r="V106" i="115"/>
  <c r="V117" i="115" s="1"/>
  <c r="M114" i="115"/>
  <c r="I172" i="115"/>
  <c r="I171" i="115" s="1"/>
  <c r="I192" i="115" s="1"/>
  <c r="U172" i="115"/>
  <c r="U171" i="115" s="1"/>
  <c r="U192" i="115" s="1"/>
  <c r="U133" i="115"/>
  <c r="U154" i="115" s="1"/>
  <c r="R191" i="115"/>
  <c r="F172" i="115"/>
  <c r="F171" i="115" s="1"/>
  <c r="F192" i="115" s="1"/>
  <c r="F46" i="115"/>
  <c r="R46" i="115"/>
  <c r="F115" i="115"/>
  <c r="R115" i="115"/>
  <c r="D106" i="115"/>
  <c r="D117" i="115" s="1"/>
  <c r="P106" i="115"/>
  <c r="P117" i="115" s="1"/>
  <c r="AB106" i="115"/>
  <c r="AB117" i="115" s="1"/>
  <c r="AB17" i="116" s="1"/>
  <c r="E190" i="115"/>
  <c r="Q190" i="115"/>
  <c r="D190" i="115"/>
  <c r="G46" i="115"/>
  <c r="G77" i="115"/>
  <c r="S46" i="115"/>
  <c r="S77" i="115"/>
  <c r="D46" i="115"/>
  <c r="P46" i="115"/>
  <c r="G115" i="115"/>
  <c r="G114" i="115"/>
  <c r="S115" i="115"/>
  <c r="S114" i="115"/>
  <c r="E106" i="115"/>
  <c r="E117" i="115" s="1"/>
  <c r="Q106" i="115"/>
  <c r="Q117" i="115" s="1"/>
  <c r="AC106" i="115"/>
  <c r="AC117" i="115" s="1"/>
  <c r="H77" i="115"/>
  <c r="T77" i="115"/>
  <c r="H115" i="115"/>
  <c r="H114" i="115"/>
  <c r="H84" i="115"/>
  <c r="T115" i="115"/>
  <c r="T114" i="115"/>
  <c r="T84" i="115"/>
  <c r="I77" i="115"/>
  <c r="I76" i="115"/>
  <c r="U77" i="115"/>
  <c r="U76" i="115"/>
  <c r="K65" i="115"/>
  <c r="K80" i="115" s="1"/>
  <c r="W65" i="115"/>
  <c r="W80" i="115" s="1"/>
  <c r="I114" i="115"/>
  <c r="I84" i="115"/>
  <c r="U114" i="115"/>
  <c r="U84" i="115"/>
  <c r="F114" i="115"/>
  <c r="J122" i="115"/>
  <c r="C133" i="115"/>
  <c r="C154" i="115" s="1"/>
  <c r="O133" i="115"/>
  <c r="O154" i="115" s="1"/>
  <c r="AA133" i="115"/>
  <c r="AA154" i="115" s="1"/>
  <c r="AY133" i="115"/>
  <c r="AY154" i="115" s="1"/>
  <c r="Q191" i="115"/>
  <c r="V153" i="115"/>
  <c r="J172" i="115"/>
  <c r="J171" i="115" s="1"/>
  <c r="J192" i="115" s="1"/>
  <c r="V172" i="115"/>
  <c r="V171" i="115" s="1"/>
  <c r="V192" i="115" s="1"/>
  <c r="F141" i="115"/>
  <c r="F156" i="115" s="1"/>
  <c r="R141" i="115"/>
  <c r="R156" i="115" s="1"/>
  <c r="AD141" i="115"/>
  <c r="AD156" i="115" s="1"/>
  <c r="D160" i="115"/>
  <c r="Z160" i="115"/>
  <c r="M160" i="115"/>
  <c r="M190" i="115"/>
  <c r="D191" i="115"/>
  <c r="K152" i="115"/>
  <c r="W153" i="115"/>
  <c r="W172" i="115"/>
  <c r="W171" i="115" s="1"/>
  <c r="W192" i="115" s="1"/>
  <c r="N160" i="115"/>
  <c r="N190" i="115"/>
  <c r="L152" i="115"/>
  <c r="X153" i="115"/>
  <c r="X172" i="115"/>
  <c r="X171" i="115" s="1"/>
  <c r="X192" i="115" s="1"/>
  <c r="O191" i="115"/>
  <c r="O160" i="115"/>
  <c r="O190" i="115"/>
  <c r="AA191" i="115"/>
  <c r="AA160" i="115"/>
  <c r="AY191" i="115"/>
  <c r="AY190" i="115"/>
  <c r="C190" i="115"/>
  <c r="AA190" i="115"/>
  <c r="M122" i="115"/>
  <c r="Y153" i="115"/>
  <c r="Y152" i="115"/>
  <c r="Y122" i="115"/>
  <c r="P190" i="115"/>
  <c r="P191" i="115"/>
  <c r="I152" i="115"/>
  <c r="U152" i="115"/>
  <c r="X152" i="115"/>
  <c r="J152" i="115"/>
  <c r="V152" i="115"/>
  <c r="K179" i="115"/>
  <c r="K194" i="115" s="1"/>
  <c r="W179" i="115"/>
  <c r="W194" i="115" s="1"/>
  <c r="I153" i="115"/>
  <c r="H191" i="115"/>
  <c r="H160" i="115"/>
  <c r="T191" i="115"/>
  <c r="T160" i="115"/>
  <c r="I182" i="115"/>
  <c r="I193" i="115" s="1"/>
  <c r="U182" i="115"/>
  <c r="U193" i="115" s="1"/>
  <c r="C172" i="115"/>
  <c r="C171" i="115" s="1"/>
  <c r="C192" i="115" s="1"/>
  <c r="O172" i="115"/>
  <c r="O171" i="115" s="1"/>
  <c r="O192" i="115" s="1"/>
  <c r="AA172" i="115"/>
  <c r="AY172" i="115"/>
  <c r="J153" i="115"/>
  <c r="I191" i="115"/>
  <c r="I160" i="115"/>
  <c r="U191" i="115"/>
  <c r="U160" i="115"/>
  <c r="M179" i="115"/>
  <c r="M194" i="115" s="1"/>
  <c r="Y179" i="115"/>
  <c r="Y194" i="115" s="1"/>
  <c r="G24" i="47"/>
  <c r="G23" i="47"/>
  <c r="G22" i="47"/>
  <c r="G21" i="47"/>
  <c r="G20" i="47"/>
  <c r="G18" i="47"/>
  <c r="G17" i="47"/>
  <c r="G16" i="47"/>
  <c r="G15" i="47"/>
  <c r="G14" i="47"/>
  <c r="G13" i="47"/>
  <c r="G12" i="47"/>
  <c r="G11" i="47"/>
  <c r="G10" i="47"/>
  <c r="G9" i="47"/>
  <c r="G8" i="47"/>
  <c r="L24" i="47"/>
  <c r="L23" i="47"/>
  <c r="L22" i="47"/>
  <c r="L21" i="47"/>
  <c r="L20" i="47"/>
  <c r="L18" i="47"/>
  <c r="L17" i="47"/>
  <c r="L16" i="47"/>
  <c r="L15" i="47"/>
  <c r="L14" i="47"/>
  <c r="L13" i="47"/>
  <c r="L12" i="47"/>
  <c r="L11" i="47"/>
  <c r="L10" i="47"/>
  <c r="L9" i="47"/>
  <c r="L8" i="47"/>
  <c r="Q24" i="47"/>
  <c r="Q23" i="47"/>
  <c r="Q22" i="47"/>
  <c r="Q21" i="47"/>
  <c r="Q20" i="47"/>
  <c r="Q18" i="47"/>
  <c r="Q17" i="47"/>
  <c r="Q16" i="47"/>
  <c r="Q15" i="47"/>
  <c r="Q14" i="47"/>
  <c r="Q13" i="47"/>
  <c r="Q12" i="47"/>
  <c r="Q11" i="47"/>
  <c r="Q10" i="47"/>
  <c r="Q9" i="47"/>
  <c r="Q8" i="47"/>
  <c r="V24" i="47"/>
  <c r="V23" i="47"/>
  <c r="V22" i="47"/>
  <c r="V21" i="47"/>
  <c r="V20" i="47"/>
  <c r="V18" i="47"/>
  <c r="V17" i="47"/>
  <c r="V16" i="47"/>
  <c r="V15" i="47"/>
  <c r="V14" i="47"/>
  <c r="V13" i="47"/>
  <c r="V12" i="47"/>
  <c r="V11" i="47"/>
  <c r="V10" i="47"/>
  <c r="V9" i="47"/>
  <c r="V8" i="47"/>
  <c r="AA24" i="47"/>
  <c r="AA23" i="47"/>
  <c r="AA22" i="47"/>
  <c r="AA21" i="47"/>
  <c r="AA20" i="47"/>
  <c r="AA18" i="47"/>
  <c r="AA17" i="47"/>
  <c r="AA16" i="47"/>
  <c r="AA15" i="47"/>
  <c r="AA14" i="47"/>
  <c r="AA13" i="47"/>
  <c r="AA12" i="47"/>
  <c r="AA11" i="47"/>
  <c r="AA10" i="47"/>
  <c r="AA9" i="47"/>
  <c r="AA8" i="47"/>
  <c r="AF24" i="47"/>
  <c r="AF23" i="47"/>
  <c r="AF22" i="47"/>
  <c r="AF21" i="47"/>
  <c r="AF20" i="47"/>
  <c r="AF18" i="47"/>
  <c r="AF17" i="47"/>
  <c r="AF16" i="47"/>
  <c r="AF15" i="47"/>
  <c r="AF14" i="47"/>
  <c r="AF13" i="47"/>
  <c r="AF12" i="47"/>
  <c r="AF11" i="47"/>
  <c r="AF10" i="47"/>
  <c r="AF9" i="47"/>
  <c r="AF8" i="47"/>
  <c r="G96" i="47"/>
  <c r="G94" i="47"/>
  <c r="G93" i="47"/>
  <c r="G91" i="47"/>
  <c r="G89" i="47"/>
  <c r="G88" i="47"/>
  <c r="G87" i="47"/>
  <c r="G86" i="47"/>
  <c r="G84" i="47"/>
  <c r="L96" i="47"/>
  <c r="L94" i="47"/>
  <c r="L93" i="47"/>
  <c r="L91" i="47"/>
  <c r="L89" i="47"/>
  <c r="L88" i="47"/>
  <c r="L87" i="47"/>
  <c r="L86" i="47"/>
  <c r="L84" i="47"/>
  <c r="Q96" i="47"/>
  <c r="Q95" i="47"/>
  <c r="Q94" i="47"/>
  <c r="Q93" i="47"/>
  <c r="Q91" i="47"/>
  <c r="Q89" i="47"/>
  <c r="Q88" i="47"/>
  <c r="Q87" i="47"/>
  <c r="Q86" i="47"/>
  <c r="Q84" i="47"/>
  <c r="V96" i="47"/>
  <c r="V94" i="47"/>
  <c r="V93" i="47"/>
  <c r="V91" i="47"/>
  <c r="V89" i="47"/>
  <c r="V88" i="47"/>
  <c r="V87" i="47"/>
  <c r="V86" i="47"/>
  <c r="V84" i="47"/>
  <c r="AA96" i="47"/>
  <c r="AA94" i="47"/>
  <c r="AA93" i="47"/>
  <c r="AA91" i="47"/>
  <c r="AA89" i="47"/>
  <c r="AA88" i="47"/>
  <c r="AA87" i="47"/>
  <c r="AA86" i="47"/>
  <c r="AA84" i="47"/>
  <c r="AF96" i="47"/>
  <c r="AF94" i="47"/>
  <c r="AF93" i="47"/>
  <c r="AF91" i="47"/>
  <c r="AF89" i="47"/>
  <c r="AF88" i="47"/>
  <c r="AF87" i="47"/>
  <c r="AF86" i="47"/>
  <c r="AF84" i="47"/>
  <c r="P19" i="47"/>
  <c r="O19" i="47"/>
  <c r="N19" i="47"/>
  <c r="M19" i="47"/>
  <c r="F85" i="47"/>
  <c r="F90" i="47" s="1"/>
  <c r="F92" i="47" s="1"/>
  <c r="E85" i="47"/>
  <c r="E90" i="47" s="1"/>
  <c r="E92" i="47" s="1"/>
  <c r="D85" i="47"/>
  <c r="D90" i="47" s="1"/>
  <c r="D92" i="47" s="1"/>
  <c r="C85" i="47"/>
  <c r="K85" i="47"/>
  <c r="K90" i="47" s="1"/>
  <c r="K92" i="47" s="1"/>
  <c r="J85" i="47"/>
  <c r="J90" i="47" s="1"/>
  <c r="J92" i="47" s="1"/>
  <c r="I85" i="47"/>
  <c r="I90" i="47" s="1"/>
  <c r="I92" i="47" s="1"/>
  <c r="H85" i="47"/>
  <c r="H90" i="47" s="1"/>
  <c r="P85" i="47"/>
  <c r="P90" i="47" s="1"/>
  <c r="P92" i="47" s="1"/>
  <c r="P97" i="47" s="1"/>
  <c r="O85" i="47"/>
  <c r="O90" i="47" s="1"/>
  <c r="O92" i="47" s="1"/>
  <c r="O97" i="47" s="1"/>
  <c r="N85" i="47"/>
  <c r="N90" i="47" s="1"/>
  <c r="N92" i="47" s="1"/>
  <c r="N97" i="47" s="1"/>
  <c r="M85" i="47"/>
  <c r="M90" i="47" s="1"/>
  <c r="U85" i="47"/>
  <c r="U90" i="47" s="1"/>
  <c r="U92" i="47" s="1"/>
  <c r="T85" i="47"/>
  <c r="T90" i="47" s="1"/>
  <c r="T92" i="47" s="1"/>
  <c r="S85" i="47"/>
  <c r="S90" i="47" s="1"/>
  <c r="S92" i="47" s="1"/>
  <c r="R85" i="47"/>
  <c r="R90" i="47" s="1"/>
  <c r="Z85" i="47"/>
  <c r="Z90" i="47" s="1"/>
  <c r="Z92" i="47" s="1"/>
  <c r="Y85" i="47"/>
  <c r="Y90" i="47" s="1"/>
  <c r="Y92" i="47" s="1"/>
  <c r="X85" i="47"/>
  <c r="X90" i="47" s="1"/>
  <c r="X92" i="47" s="1"/>
  <c r="W85" i="47"/>
  <c r="W90" i="47" s="1"/>
  <c r="AE85" i="47"/>
  <c r="AE90" i="47" s="1"/>
  <c r="AE92" i="47" s="1"/>
  <c r="AD85" i="47"/>
  <c r="AD90" i="47" s="1"/>
  <c r="AD92" i="47" s="1"/>
  <c r="AC85" i="47"/>
  <c r="AC90" i="47" s="1"/>
  <c r="AC92" i="47" s="1"/>
  <c r="AB85" i="47"/>
  <c r="F95" i="47"/>
  <c r="F19" i="47" s="1"/>
  <c r="E95" i="47"/>
  <c r="E19" i="47" s="1"/>
  <c r="D95" i="47"/>
  <c r="C95" i="47"/>
  <c r="C19" i="47" s="1"/>
  <c r="K95" i="47"/>
  <c r="K19" i="47" s="1"/>
  <c r="J95" i="47"/>
  <c r="J19" i="47" s="1"/>
  <c r="I95" i="47"/>
  <c r="I19" i="47" s="1"/>
  <c r="H95" i="47"/>
  <c r="H19" i="47" s="1"/>
  <c r="U95" i="47"/>
  <c r="U19" i="47" s="1"/>
  <c r="T95" i="47"/>
  <c r="T19" i="47" s="1"/>
  <c r="S95" i="47"/>
  <c r="S19" i="47" s="1"/>
  <c r="R95" i="47"/>
  <c r="R19" i="47" s="1"/>
  <c r="Z95" i="47"/>
  <c r="Z19" i="47" s="1"/>
  <c r="Y95" i="47"/>
  <c r="Y19" i="47" s="1"/>
  <c r="X95" i="47"/>
  <c r="X19" i="47" s="1"/>
  <c r="W95" i="47"/>
  <c r="W19" i="47" s="1"/>
  <c r="AE95" i="47"/>
  <c r="AE19" i="47" s="1"/>
  <c r="AD95" i="47"/>
  <c r="AD19" i="47" s="1"/>
  <c r="AC95" i="47"/>
  <c r="AC19" i="47" s="1"/>
  <c r="AB95" i="47"/>
  <c r="AB19" i="47" s="1"/>
  <c r="R17" i="116" l="1"/>
  <c r="AC17" i="116"/>
  <c r="R30" i="116"/>
  <c r="Y30" i="116"/>
  <c r="AY80" i="115"/>
  <c r="AY78" i="115"/>
  <c r="AY79" i="115"/>
  <c r="AY43" i="116" s="1"/>
  <c r="Y17" i="116"/>
  <c r="AD17" i="116"/>
  <c r="V31" i="116"/>
  <c r="W17" i="116"/>
  <c r="R43" i="116"/>
  <c r="AE17" i="116"/>
  <c r="AD43" i="116"/>
  <c r="Z17" i="116"/>
  <c r="AB18" i="116"/>
  <c r="AY17" i="116"/>
  <c r="AE30" i="116"/>
  <c r="U17" i="116"/>
  <c r="AY116" i="115"/>
  <c r="AY112" i="115" s="1"/>
  <c r="T17" i="116"/>
  <c r="AY30" i="116"/>
  <c r="AY113" i="115"/>
  <c r="X31" i="116"/>
  <c r="X18" i="116"/>
  <c r="AF18" i="116"/>
  <c r="Y18" i="116"/>
  <c r="T18" i="116"/>
  <c r="R18" i="116"/>
  <c r="V18" i="116"/>
  <c r="AE43" i="116"/>
  <c r="AD30" i="116"/>
  <c r="J37" i="115"/>
  <c r="F75" i="115"/>
  <c r="V44" i="116"/>
  <c r="S30" i="116"/>
  <c r="U37" i="115"/>
  <c r="N113" i="115"/>
  <c r="E113" i="115"/>
  <c r="L37" i="115"/>
  <c r="X97" i="47"/>
  <c r="V37" i="115"/>
  <c r="AD18" i="116"/>
  <c r="Z37" i="115"/>
  <c r="W18" i="116"/>
  <c r="S18" i="116"/>
  <c r="F37" i="115"/>
  <c r="P113" i="115"/>
  <c r="R189" i="115"/>
  <c r="C75" i="115"/>
  <c r="AX189" i="115"/>
  <c r="AX116" i="115"/>
  <c r="AX112" i="115" s="1"/>
  <c r="AX111" i="115" s="1"/>
  <c r="AD44" i="116"/>
  <c r="AF31" i="116"/>
  <c r="R44" i="116"/>
  <c r="S31" i="116"/>
  <c r="AA44" i="116"/>
  <c r="T31" i="116"/>
  <c r="AD31" i="116"/>
  <c r="R31" i="116"/>
  <c r="X44" i="116"/>
  <c r="S44" i="116"/>
  <c r="U31" i="116"/>
  <c r="D37" i="115"/>
  <c r="D113" i="115"/>
  <c r="R113" i="115"/>
  <c r="E75" i="115"/>
  <c r="T37" i="115"/>
  <c r="P75" i="115"/>
  <c r="Q113" i="115"/>
  <c r="Z74" i="115"/>
  <c r="Z73" i="115" s="1"/>
  <c r="D75" i="115"/>
  <c r="S37" i="115"/>
  <c r="G37" i="115"/>
  <c r="C37" i="115"/>
  <c r="M151" i="115"/>
  <c r="T75" i="115"/>
  <c r="Z75" i="115"/>
  <c r="AA75" i="115"/>
  <c r="K189" i="115"/>
  <c r="Y97" i="47"/>
  <c r="Z31" i="116"/>
  <c r="AA31" i="116"/>
  <c r="AF44" i="116"/>
  <c r="Z18" i="116"/>
  <c r="T44" i="116"/>
  <c r="L36" i="115"/>
  <c r="L35" i="115" s="1"/>
  <c r="X30" i="116"/>
  <c r="X43" i="116"/>
  <c r="Z43" i="116"/>
  <c r="AX43" i="116"/>
  <c r="V30" i="116"/>
  <c r="AX30" i="116"/>
  <c r="AF43" i="116"/>
  <c r="AF30" i="116"/>
  <c r="X17" i="116"/>
  <c r="Y43" i="116"/>
  <c r="T97" i="47"/>
  <c r="E97" i="47"/>
  <c r="U97" i="47"/>
  <c r="F97" i="47"/>
  <c r="J97" i="47"/>
  <c r="V85" i="47"/>
  <c r="AA19" i="47"/>
  <c r="G85" i="47"/>
  <c r="Q19" i="47"/>
  <c r="S43" i="116"/>
  <c r="J36" i="115"/>
  <c r="J35" i="115" s="1"/>
  <c r="G95" i="47"/>
  <c r="S97" i="47"/>
  <c r="D97" i="47"/>
  <c r="G189" i="115"/>
  <c r="Z36" i="115"/>
  <c r="Z35" i="115" s="1"/>
  <c r="AC44" i="116"/>
  <c r="AC18" i="116"/>
  <c r="U44" i="116"/>
  <c r="AC97" i="47"/>
  <c r="AA43" i="116"/>
  <c r="AE44" i="116"/>
  <c r="AF85" i="47"/>
  <c r="V95" i="47"/>
  <c r="AD97" i="47"/>
  <c r="U18" i="116"/>
  <c r="C74" i="115"/>
  <c r="C73" i="115" s="1"/>
  <c r="AF19" i="47"/>
  <c r="L19" i="47"/>
  <c r="AA18" i="116"/>
  <c r="AE97" i="47"/>
  <c r="I97" i="47"/>
  <c r="S75" i="115"/>
  <c r="T43" i="116"/>
  <c r="T30" i="116"/>
  <c r="D36" i="115"/>
  <c r="D35" i="115" s="1"/>
  <c r="Z30" i="116"/>
  <c r="S17" i="116"/>
  <c r="Z97" i="47"/>
  <c r="K97" i="47"/>
  <c r="Y75" i="115"/>
  <c r="F74" i="115"/>
  <c r="F73" i="115" s="1"/>
  <c r="D74" i="115"/>
  <c r="D73" i="115" s="1"/>
  <c r="E74" i="115"/>
  <c r="E73" i="115" s="1"/>
  <c r="AX17" i="116"/>
  <c r="AF17" i="116"/>
  <c r="W92" i="47"/>
  <c r="AA90" i="47"/>
  <c r="H92" i="47"/>
  <c r="L90" i="47"/>
  <c r="V90" i="47"/>
  <c r="R92" i="47"/>
  <c r="V19" i="47"/>
  <c r="Q90" i="47"/>
  <c r="M92" i="47"/>
  <c r="Q85" i="47"/>
  <c r="L95" i="47"/>
  <c r="AB44" i="116"/>
  <c r="W43" i="116"/>
  <c r="C90" i="47"/>
  <c r="Y44" i="116"/>
  <c r="Y31" i="116"/>
  <c r="G36" i="115"/>
  <c r="G35" i="115" s="1"/>
  <c r="F188" i="115"/>
  <c r="F187" i="115" s="1"/>
  <c r="P112" i="115"/>
  <c r="P111" i="115" s="1"/>
  <c r="L85" i="47"/>
  <c r="AF95" i="47"/>
  <c r="Z44" i="116"/>
  <c r="AB31" i="116"/>
  <c r="AB90" i="47"/>
  <c r="M150" i="115"/>
  <c r="M149" i="115" s="1"/>
  <c r="G188" i="115"/>
  <c r="G187" i="115" s="1"/>
  <c r="AC31" i="116"/>
  <c r="D19" i="47"/>
  <c r="G19" i="47" s="1"/>
  <c r="AA95" i="47"/>
  <c r="N112" i="115"/>
  <c r="N111" i="115" s="1"/>
  <c r="S74" i="115"/>
  <c r="S73" i="115" s="1"/>
  <c r="P74" i="115"/>
  <c r="P73" i="115" s="1"/>
  <c r="AA30" i="116"/>
  <c r="AE18" i="116"/>
  <c r="AE31" i="116"/>
  <c r="W31" i="116"/>
  <c r="W44" i="116"/>
  <c r="V17" i="116"/>
  <c r="E112" i="115"/>
  <c r="E111" i="115" s="1"/>
  <c r="AA85" i="47"/>
  <c r="V43" i="116"/>
  <c r="AA17" i="116"/>
  <c r="W30" i="116"/>
  <c r="Z11" i="116"/>
  <c r="C36" i="115"/>
  <c r="C35" i="115" s="1"/>
  <c r="AX171" i="115"/>
  <c r="AB11" i="116"/>
  <c r="S37" i="116"/>
  <c r="H188" i="115"/>
  <c r="H187" i="115" s="1"/>
  <c r="AC171" i="115"/>
  <c r="AC192" i="115" s="1"/>
  <c r="F36" i="115"/>
  <c r="F35" i="115" s="1"/>
  <c r="M36" i="115"/>
  <c r="M35" i="115" s="1"/>
  <c r="Y11" i="116"/>
  <c r="E150" i="115"/>
  <c r="E149" i="115" s="1"/>
  <c r="AE25" i="116"/>
  <c r="AE11" i="116"/>
  <c r="AE171" i="115"/>
  <c r="AE192" i="115" s="1"/>
  <c r="AE37" i="116" s="1"/>
  <c r="X11" i="116"/>
  <c r="AC25" i="116"/>
  <c r="X36" i="115"/>
  <c r="X35" i="115" s="1"/>
  <c r="Y37" i="116"/>
  <c r="H36" i="115"/>
  <c r="H35" i="115" s="1"/>
  <c r="T188" i="115"/>
  <c r="T187" i="115" s="1"/>
  <c r="Q112" i="115"/>
  <c r="Q111" i="115" s="1"/>
  <c r="W11" i="116"/>
  <c r="V36" i="115"/>
  <c r="V35" i="115" s="1"/>
  <c r="AD11" i="116"/>
  <c r="R11" i="116"/>
  <c r="Z112" i="115"/>
  <c r="Z111" i="115" s="1"/>
  <c r="W37" i="116"/>
  <c r="T37" i="116"/>
  <c r="S11" i="116"/>
  <c r="AC11" i="116"/>
  <c r="Z171" i="115"/>
  <c r="Z192" i="115" s="1"/>
  <c r="Z188" i="115" s="1"/>
  <c r="Z38" i="116"/>
  <c r="U37" i="116"/>
  <c r="R37" i="116"/>
  <c r="I188" i="115"/>
  <c r="I187" i="115" s="1"/>
  <c r="AF11" i="116"/>
  <c r="AB171" i="115"/>
  <c r="AB192" i="115" s="1"/>
  <c r="AB38" i="116"/>
  <c r="AB25" i="116"/>
  <c r="V37" i="116"/>
  <c r="AF171" i="115"/>
  <c r="AF192" i="115" s="1"/>
  <c r="AF38" i="116"/>
  <c r="AF25" i="116"/>
  <c r="V11" i="116"/>
  <c r="N36" i="115"/>
  <c r="N35" i="115" s="1"/>
  <c r="T11" i="116"/>
  <c r="AA11" i="116"/>
  <c r="I36" i="115"/>
  <c r="I35" i="115" s="1"/>
  <c r="AY171" i="115"/>
  <c r="AD171" i="115"/>
  <c r="AD192" i="115" s="1"/>
  <c r="AD38" i="116"/>
  <c r="AD25" i="116"/>
  <c r="D112" i="115"/>
  <c r="D111" i="115" s="1"/>
  <c r="X37" i="116"/>
  <c r="G74" i="115"/>
  <c r="G73" i="115" s="1"/>
  <c r="R112" i="115"/>
  <c r="R111" i="115" s="1"/>
  <c r="AA171" i="115"/>
  <c r="AA192" i="115" s="1"/>
  <c r="AA188" i="115" s="1"/>
  <c r="AA38" i="116"/>
  <c r="R74" i="115"/>
  <c r="R73" i="115" s="1"/>
  <c r="U188" i="115"/>
  <c r="U11" i="116"/>
  <c r="N37" i="115"/>
  <c r="U189" i="115"/>
  <c r="M37" i="115"/>
  <c r="AC30" i="116"/>
  <c r="AC43" i="116"/>
  <c r="AB30" i="116"/>
  <c r="AB43" i="116"/>
  <c r="U43" i="116"/>
  <c r="U30" i="116"/>
  <c r="X151" i="115"/>
  <c r="X150" i="115"/>
  <c r="X149" i="115" s="1"/>
  <c r="G113" i="115"/>
  <c r="G112" i="115"/>
  <c r="G111" i="115" s="1"/>
  <c r="Y189" i="115"/>
  <c r="Y188" i="115"/>
  <c r="Q36" i="115"/>
  <c r="Q35" i="115" s="1"/>
  <c r="Q37" i="115"/>
  <c r="I113" i="115"/>
  <c r="I112" i="115"/>
  <c r="I111" i="115" s="1"/>
  <c r="Q150" i="115"/>
  <c r="Q149" i="115" s="1"/>
  <c r="Q151" i="115"/>
  <c r="J74" i="115"/>
  <c r="J73" i="115" s="1"/>
  <c r="J75" i="115"/>
  <c r="C113" i="115"/>
  <c r="C112" i="115"/>
  <c r="C111" i="115" s="1"/>
  <c r="AX113" i="115"/>
  <c r="I75" i="115"/>
  <c r="I74" i="115"/>
  <c r="I73" i="115" s="1"/>
  <c r="AA151" i="115"/>
  <c r="AA150" i="115"/>
  <c r="AA149" i="115" s="1"/>
  <c r="X189" i="115"/>
  <c r="X188" i="115"/>
  <c r="V188" i="115"/>
  <c r="V189" i="115"/>
  <c r="AA74" i="115"/>
  <c r="AA73" i="115" s="1"/>
  <c r="S36" i="115"/>
  <c r="U151" i="115"/>
  <c r="U150" i="115"/>
  <c r="U149" i="115" s="1"/>
  <c r="T113" i="115"/>
  <c r="T112" i="115"/>
  <c r="T111" i="115" s="1"/>
  <c r="D188" i="115"/>
  <c r="D187" i="115" s="1"/>
  <c r="D189" i="115"/>
  <c r="AY75" i="115"/>
  <c r="P150" i="115"/>
  <c r="P149" i="115" s="1"/>
  <c r="P151" i="115"/>
  <c r="S151" i="115"/>
  <c r="S150" i="115"/>
  <c r="S149" i="115" s="1"/>
  <c r="H189" i="115"/>
  <c r="S189" i="115"/>
  <c r="S188" i="115"/>
  <c r="O188" i="115"/>
  <c r="O187" i="115" s="1"/>
  <c r="O189" i="115"/>
  <c r="R36" i="115"/>
  <c r="R37" i="115"/>
  <c r="F189" i="115"/>
  <c r="L151" i="115"/>
  <c r="L150" i="115"/>
  <c r="L149" i="115" s="1"/>
  <c r="H113" i="115"/>
  <c r="H112" i="115"/>
  <c r="H111" i="115" s="1"/>
  <c r="Q188" i="115"/>
  <c r="Q187" i="115" s="1"/>
  <c r="Q189" i="115"/>
  <c r="R151" i="115"/>
  <c r="R150" i="115"/>
  <c r="R149" i="115" s="1"/>
  <c r="AY150" i="115"/>
  <c r="AY149" i="115" s="1"/>
  <c r="AY151" i="115"/>
  <c r="V113" i="115"/>
  <c r="V112" i="115"/>
  <c r="V111" i="115" s="1"/>
  <c r="W188" i="115"/>
  <c r="W189" i="115"/>
  <c r="E151" i="115"/>
  <c r="D150" i="115"/>
  <c r="D149" i="115" s="1"/>
  <c r="D151" i="115"/>
  <c r="I37" i="115"/>
  <c r="V74" i="115"/>
  <c r="V73" i="115" s="1"/>
  <c r="V75" i="115"/>
  <c r="T74" i="115"/>
  <c r="T73" i="115" s="1"/>
  <c r="G75" i="115"/>
  <c r="U36" i="115"/>
  <c r="I151" i="115"/>
  <c r="I150" i="115"/>
  <c r="I149" i="115" s="1"/>
  <c r="AA189" i="115"/>
  <c r="W75" i="115"/>
  <c r="W74" i="115"/>
  <c r="W73" i="115" s="1"/>
  <c r="K188" i="115"/>
  <c r="K187" i="115" s="1"/>
  <c r="Y74" i="115"/>
  <c r="Y73" i="115" s="1"/>
  <c r="I189" i="115"/>
  <c r="C188" i="115"/>
  <c r="C187" i="115" s="1"/>
  <c r="C189" i="115"/>
  <c r="F151" i="115"/>
  <c r="F150" i="115"/>
  <c r="F149" i="115" s="1"/>
  <c r="L113" i="115"/>
  <c r="L112" i="115"/>
  <c r="L111" i="115" s="1"/>
  <c r="X37" i="115"/>
  <c r="AA112" i="115"/>
  <c r="AA111" i="115" s="1"/>
  <c r="AA113" i="115"/>
  <c r="O36" i="115"/>
  <c r="O35" i="115" s="1"/>
  <c r="O37" i="115"/>
  <c r="N150" i="115"/>
  <c r="N149" i="115" s="1"/>
  <c r="N151" i="115"/>
  <c r="Z113" i="115"/>
  <c r="H37" i="115"/>
  <c r="W37" i="115"/>
  <c r="W36" i="115"/>
  <c r="Q74" i="115"/>
  <c r="Q73" i="115" s="1"/>
  <c r="Q75" i="115"/>
  <c r="E188" i="115"/>
  <c r="E187" i="115" s="1"/>
  <c r="E189" i="115"/>
  <c r="Y112" i="115"/>
  <c r="Y111" i="115" s="1"/>
  <c r="Y113" i="115"/>
  <c r="O150" i="115"/>
  <c r="O149" i="115" s="1"/>
  <c r="O151" i="115"/>
  <c r="Z150" i="115"/>
  <c r="Z149" i="115" s="1"/>
  <c r="Z151" i="115"/>
  <c r="AY189" i="115"/>
  <c r="N189" i="115"/>
  <c r="N188" i="115"/>
  <c r="N187" i="115" s="1"/>
  <c r="M112" i="115"/>
  <c r="M111" i="115" s="1"/>
  <c r="M113" i="115"/>
  <c r="T151" i="115"/>
  <c r="T150" i="115"/>
  <c r="T149" i="115" s="1"/>
  <c r="AX75" i="115"/>
  <c r="AX74" i="115"/>
  <c r="AX73" i="115" s="1"/>
  <c r="W151" i="115"/>
  <c r="W150" i="115"/>
  <c r="W149" i="115" s="1"/>
  <c r="J113" i="115"/>
  <c r="J112" i="115"/>
  <c r="J111" i="115" s="1"/>
  <c r="T189" i="115"/>
  <c r="O112" i="115"/>
  <c r="O111" i="115" s="1"/>
  <c r="O113" i="115"/>
  <c r="E37" i="115"/>
  <c r="E36" i="115"/>
  <c r="E35" i="115" s="1"/>
  <c r="AA36" i="115"/>
  <c r="AA37" i="115"/>
  <c r="K37" i="115"/>
  <c r="K36" i="115"/>
  <c r="K35" i="115" s="1"/>
  <c r="R75" i="115"/>
  <c r="R188" i="115"/>
  <c r="K151" i="115"/>
  <c r="K150" i="115"/>
  <c r="K149" i="115" s="1"/>
  <c r="L189" i="115"/>
  <c r="L188" i="115"/>
  <c r="L187" i="115" s="1"/>
  <c r="X75" i="115"/>
  <c r="X74" i="115"/>
  <c r="X73" i="115" s="1"/>
  <c r="F113" i="115"/>
  <c r="F112" i="115"/>
  <c r="F111" i="115" s="1"/>
  <c r="V151" i="115"/>
  <c r="V150" i="115"/>
  <c r="V149" i="115" s="1"/>
  <c r="P188" i="115"/>
  <c r="P187" i="115" s="1"/>
  <c r="P189" i="115"/>
  <c r="S113" i="115"/>
  <c r="S112" i="115"/>
  <c r="S111" i="115" s="1"/>
  <c r="M75" i="115"/>
  <c r="M74" i="115"/>
  <c r="M73" i="115" s="1"/>
  <c r="P37" i="115"/>
  <c r="P36" i="115"/>
  <c r="P35" i="115" s="1"/>
  <c r="K75" i="115"/>
  <c r="K74" i="115"/>
  <c r="K73" i="115" s="1"/>
  <c r="U74" i="115"/>
  <c r="U73" i="115" s="1"/>
  <c r="U75" i="115"/>
  <c r="Y37" i="115"/>
  <c r="Y36" i="115"/>
  <c r="Z189" i="115"/>
  <c r="Y150" i="115"/>
  <c r="Y149" i="115" s="1"/>
  <c r="Y151" i="115"/>
  <c r="H75" i="115"/>
  <c r="H74" i="115"/>
  <c r="H73" i="115" s="1"/>
  <c r="M189" i="115"/>
  <c r="M188" i="115"/>
  <c r="M187" i="115" s="1"/>
  <c r="O74" i="115"/>
  <c r="O73" i="115" s="1"/>
  <c r="O75" i="115"/>
  <c r="C150" i="115"/>
  <c r="C149" i="115" s="1"/>
  <c r="C151" i="115"/>
  <c r="K113" i="115"/>
  <c r="K112" i="115"/>
  <c r="K111" i="115" s="1"/>
  <c r="W113" i="115"/>
  <c r="W112" i="115"/>
  <c r="W111" i="115" s="1"/>
  <c r="X113" i="115"/>
  <c r="X112" i="115"/>
  <c r="X111" i="115" s="1"/>
  <c r="J151" i="115"/>
  <c r="J150" i="115"/>
  <c r="J149" i="115" s="1"/>
  <c r="U113" i="115"/>
  <c r="U112" i="115"/>
  <c r="U111" i="115" s="1"/>
  <c r="H151" i="115"/>
  <c r="H150" i="115"/>
  <c r="H149" i="115" s="1"/>
  <c r="N75" i="115"/>
  <c r="N74" i="115"/>
  <c r="N73" i="115" s="1"/>
  <c r="G151" i="115"/>
  <c r="G150" i="115"/>
  <c r="G149" i="115" s="1"/>
  <c r="L75" i="115"/>
  <c r="L74" i="115"/>
  <c r="L73" i="115" s="1"/>
  <c r="AX150" i="115"/>
  <c r="AX149" i="115" s="1"/>
  <c r="AX151" i="115"/>
  <c r="J189" i="115"/>
  <c r="J188" i="115"/>
  <c r="J187" i="115" s="1"/>
  <c r="T36" i="115"/>
  <c r="AY74" i="115" l="1"/>
  <c r="AY73" i="115" s="1"/>
  <c r="AY192" i="115"/>
  <c r="AY188" i="115" s="1"/>
  <c r="AY187" i="115" s="1"/>
  <c r="U10" i="116"/>
  <c r="AY111" i="115"/>
  <c r="V10" i="116"/>
  <c r="Z10" i="116"/>
  <c r="R10" i="116"/>
  <c r="AX192" i="115"/>
  <c r="AX188" i="115" s="1"/>
  <c r="AX187" i="115" s="1"/>
  <c r="T10" i="116"/>
  <c r="S10" i="116"/>
  <c r="X10" i="116"/>
  <c r="Y10" i="116"/>
  <c r="G90" i="47"/>
  <c r="C92" i="47"/>
  <c r="Q92" i="47"/>
  <c r="M97" i="47"/>
  <c r="Q97" i="47" s="1"/>
  <c r="L92" i="47"/>
  <c r="H97" i="47"/>
  <c r="L97" i="47" s="1"/>
  <c r="AB92" i="47"/>
  <c r="AF90" i="47"/>
  <c r="T22" i="116"/>
  <c r="W97" i="47"/>
  <c r="AA97" i="47" s="1"/>
  <c r="AA92" i="47"/>
  <c r="V92" i="47"/>
  <c r="R97" i="47"/>
  <c r="V97" i="47" s="1"/>
  <c r="W10" i="116"/>
  <c r="AA10" i="116"/>
  <c r="Z8" i="116"/>
  <c r="AC37" i="116"/>
  <c r="V8" i="116"/>
  <c r="AC24" i="116"/>
  <c r="Z9" i="116"/>
  <c r="AE24" i="116"/>
  <c r="V9" i="116"/>
  <c r="U35" i="116"/>
  <c r="U187" i="115"/>
  <c r="U22" i="116"/>
  <c r="X8" i="116"/>
  <c r="AF24" i="116"/>
  <c r="AF37" i="116"/>
  <c r="AD24" i="116"/>
  <c r="AD37" i="116"/>
  <c r="AA24" i="116"/>
  <c r="AA37" i="116"/>
  <c r="AB24" i="116"/>
  <c r="AB37" i="116"/>
  <c r="Z24" i="116"/>
  <c r="Z37" i="116"/>
  <c r="X9" i="116"/>
  <c r="X36" i="116"/>
  <c r="X23" i="116"/>
  <c r="Z36" i="116"/>
  <c r="Z23" i="116"/>
  <c r="W35" i="115"/>
  <c r="W8" i="116" s="1"/>
  <c r="W9" i="116"/>
  <c r="R36" i="116"/>
  <c r="V36" i="116"/>
  <c r="V23" i="116"/>
  <c r="U36" i="116"/>
  <c r="U23" i="116"/>
  <c r="Y36" i="116"/>
  <c r="Y23" i="116"/>
  <c r="Y35" i="115"/>
  <c r="Y8" i="116" s="1"/>
  <c r="Y9" i="116"/>
  <c r="S36" i="116"/>
  <c r="S23" i="116"/>
  <c r="T35" i="115"/>
  <c r="T8" i="116" s="1"/>
  <c r="T9" i="116"/>
  <c r="U35" i="115"/>
  <c r="U8" i="116" s="1"/>
  <c r="U9" i="116"/>
  <c r="W36" i="116"/>
  <c r="W23" i="116"/>
  <c r="S35" i="115"/>
  <c r="S8" i="116" s="1"/>
  <c r="S9" i="116"/>
  <c r="AA23" i="116"/>
  <c r="AA36" i="116"/>
  <c r="R35" i="115"/>
  <c r="R8" i="116" s="1"/>
  <c r="R9" i="116"/>
  <c r="T36" i="116"/>
  <c r="T23" i="116"/>
  <c r="AA35" i="115"/>
  <c r="AA8" i="116" s="1"/>
  <c r="AA9" i="116"/>
  <c r="T35" i="116"/>
  <c r="R23" i="116"/>
  <c r="X187" i="115"/>
  <c r="X22" i="116"/>
  <c r="X35" i="116"/>
  <c r="W187" i="115"/>
  <c r="W35" i="116"/>
  <c r="W22" i="116"/>
  <c r="AA187" i="115"/>
  <c r="AA35" i="116"/>
  <c r="AA22" i="116"/>
  <c r="S187" i="115"/>
  <c r="S22" i="116"/>
  <c r="S35" i="116"/>
  <c r="V187" i="115"/>
  <c r="V35" i="116"/>
  <c r="V22" i="116"/>
  <c r="Z187" i="115"/>
  <c r="Z35" i="116"/>
  <c r="Z22" i="116"/>
  <c r="R187" i="115"/>
  <c r="R22" i="116"/>
  <c r="R35" i="116"/>
  <c r="Y187" i="115"/>
  <c r="Y22" i="116"/>
  <c r="Y35" i="116"/>
  <c r="AB97" i="47" l="1"/>
  <c r="AF97" i="47" s="1"/>
  <c r="AF92" i="47"/>
  <c r="G92" i="47"/>
  <c r="C97" i="47"/>
  <c r="G97" i="47" s="1"/>
  <c r="U34" i="116"/>
  <c r="U21" i="116"/>
  <c r="T34" i="116"/>
  <c r="T21" i="116"/>
  <c r="Z21" i="116"/>
  <c r="Z34" i="116"/>
  <c r="R21" i="116"/>
  <c r="R34" i="116"/>
  <c r="AA21" i="116"/>
  <c r="AA34" i="116"/>
  <c r="W21" i="116"/>
  <c r="W34" i="116"/>
  <c r="Y34" i="116"/>
  <c r="Y21" i="116"/>
  <c r="S34" i="116"/>
  <c r="S21" i="116"/>
  <c r="X21" i="116"/>
  <c r="X34" i="116"/>
  <c r="V21" i="116"/>
  <c r="V34" i="116"/>
  <c r="AB72" i="108" l="1"/>
  <c r="AC72" i="108"/>
  <c r="AD72" i="108"/>
  <c r="AA46" i="45" l="1"/>
  <c r="AA30" i="45"/>
  <c r="AA29" i="45"/>
  <c r="AB28" i="45"/>
  <c r="AW32" i="115"/>
  <c r="AW70" i="115" l="1"/>
  <c r="B7" i="88"/>
  <c r="C7" i="88"/>
  <c r="D7" i="88"/>
  <c r="E7" i="88"/>
  <c r="F7" i="88"/>
  <c r="G7" i="88"/>
  <c r="H7" i="88"/>
  <c r="I7" i="88"/>
  <c r="J7" i="88"/>
  <c r="K7" i="88"/>
  <c r="L7" i="88"/>
  <c r="M7" i="88"/>
  <c r="N7" i="88"/>
  <c r="O7" i="88"/>
  <c r="P7" i="88"/>
  <c r="Q7" i="88"/>
  <c r="R7" i="88"/>
  <c r="S7" i="88"/>
  <c r="T7" i="88"/>
  <c r="U7" i="88"/>
  <c r="V7" i="88"/>
  <c r="W7" i="88"/>
  <c r="X7" i="88"/>
  <c r="B8" i="88"/>
  <c r="C8" i="88"/>
  <c r="D8" i="88"/>
  <c r="E8" i="88"/>
  <c r="F8" i="88"/>
  <c r="G8" i="88"/>
  <c r="H8" i="88"/>
  <c r="I8" i="88"/>
  <c r="J8" i="88"/>
  <c r="K8" i="88"/>
  <c r="L8" i="88"/>
  <c r="M8" i="88"/>
  <c r="N8" i="88"/>
  <c r="O8" i="88"/>
  <c r="P8" i="88"/>
  <c r="Q8" i="88"/>
  <c r="R8" i="88"/>
  <c r="S8" i="88"/>
  <c r="T8" i="88"/>
  <c r="U8" i="88"/>
  <c r="V8" i="88"/>
  <c r="W8" i="88"/>
  <c r="X8" i="88"/>
  <c r="B9" i="88"/>
  <c r="C9" i="88"/>
  <c r="D9" i="88"/>
  <c r="E9" i="88"/>
  <c r="F9" i="88"/>
  <c r="G9" i="88"/>
  <c r="H9" i="88"/>
  <c r="I9" i="88"/>
  <c r="J9" i="88"/>
  <c r="K9" i="88"/>
  <c r="L9" i="88"/>
  <c r="M9" i="88"/>
  <c r="N9" i="88"/>
  <c r="O9" i="88"/>
  <c r="P9" i="88"/>
  <c r="Q9" i="88"/>
  <c r="R9" i="88"/>
  <c r="S9" i="88"/>
  <c r="T9" i="88"/>
  <c r="U9" i="88"/>
  <c r="V9" i="88"/>
  <c r="W9" i="88"/>
  <c r="X9" i="88"/>
  <c r="B10" i="88"/>
  <c r="C10" i="88"/>
  <c r="D10" i="88"/>
  <c r="E10" i="88"/>
  <c r="F10" i="88"/>
  <c r="G10" i="88"/>
  <c r="H10" i="88"/>
  <c r="I10" i="88"/>
  <c r="J10" i="88"/>
  <c r="K10" i="88"/>
  <c r="L10" i="88"/>
  <c r="M10" i="88"/>
  <c r="N10" i="88"/>
  <c r="O10" i="88"/>
  <c r="P10" i="88"/>
  <c r="Q10" i="88"/>
  <c r="R10" i="88"/>
  <c r="S10" i="88"/>
  <c r="T10" i="88"/>
  <c r="U10" i="88"/>
  <c r="V10" i="88"/>
  <c r="W10" i="88"/>
  <c r="X10" i="88"/>
  <c r="B11" i="88"/>
  <c r="C11" i="88"/>
  <c r="D11" i="88"/>
  <c r="E11" i="88"/>
  <c r="F11" i="88"/>
  <c r="G11" i="88"/>
  <c r="H11" i="88"/>
  <c r="I11" i="88"/>
  <c r="J11" i="88"/>
  <c r="K11" i="88"/>
  <c r="L11" i="88"/>
  <c r="M11" i="88"/>
  <c r="N11" i="88"/>
  <c r="O11" i="88"/>
  <c r="P11" i="88"/>
  <c r="Q11" i="88"/>
  <c r="R11" i="88"/>
  <c r="S11" i="88"/>
  <c r="T11" i="88"/>
  <c r="U11" i="88"/>
  <c r="V11" i="88"/>
  <c r="W11" i="88"/>
  <c r="X11" i="88"/>
  <c r="AW41" i="93" l="1"/>
  <c r="AW49" i="93"/>
  <c r="V23" i="99"/>
  <c r="AK118" i="88"/>
  <c r="AK83" i="88"/>
  <c r="AK57" i="88"/>
  <c r="AK48" i="88"/>
  <c r="AK31" i="88" l="1"/>
  <c r="P7" i="92" l="1"/>
  <c r="S39" i="97"/>
  <c r="T207" i="104"/>
  <c r="S41" i="97" l="1"/>
  <c r="S11" i="98"/>
  <c r="S13" i="98" s="1"/>
  <c r="S16" i="98" s="1"/>
  <c r="S18" i="98" s="1"/>
  <c r="T26" i="104"/>
  <c r="T9" i="104"/>
  <c r="T12" i="104"/>
  <c r="T16" i="104"/>
  <c r="T15" i="104"/>
  <c r="T14" i="104"/>
  <c r="T25" i="104"/>
  <c r="T18" i="104"/>
  <c r="T19" i="104"/>
  <c r="T21" i="104"/>
  <c r="T13" i="104"/>
  <c r="T20" i="104"/>
  <c r="T22" i="104"/>
  <c r="T10" i="104"/>
  <c r="T24" i="104"/>
  <c r="S21" i="98"/>
  <c r="S11" i="97"/>
  <c r="S11" i="99"/>
  <c r="S34" i="97"/>
  <c r="T201" i="104"/>
  <c r="T223" i="104"/>
  <c r="T195" i="104"/>
  <c r="T191" i="104" s="1"/>
  <c r="T179" i="104"/>
  <c r="T173" i="104"/>
  <c r="T167" i="104"/>
  <c r="T163" i="104" s="1"/>
  <c r="T183" i="104" s="1"/>
  <c r="T142" i="104"/>
  <c r="T138" i="104" s="1"/>
  <c r="T158" i="104" s="1"/>
  <c r="T117" i="104"/>
  <c r="T113" i="104" s="1"/>
  <c r="T133" i="104" s="1"/>
  <c r="T77" i="104"/>
  <c r="T92" i="104"/>
  <c r="T88" i="104" s="1"/>
  <c r="T108" i="104" s="1"/>
  <c r="T71" i="104"/>
  <c r="T65" i="104"/>
  <c r="T61" i="104" s="1"/>
  <c r="T50" i="104"/>
  <c r="T44" i="104"/>
  <c r="T38" i="104"/>
  <c r="T17" i="104" l="1"/>
  <c r="T23" i="104"/>
  <c r="T34" i="104"/>
  <c r="T7" i="104" s="1"/>
  <c r="T11" i="104"/>
  <c r="S13" i="99"/>
  <c r="S13" i="97"/>
  <c r="T211" i="104"/>
  <c r="T81" i="104"/>
  <c r="T54" i="104" l="1"/>
  <c r="T27" i="104" s="1"/>
  <c r="S16" i="99"/>
  <c r="S18" i="99" l="1"/>
  <c r="S19" i="99" s="1"/>
  <c r="S21" i="99" s="1"/>
  <c r="AK41" i="88" l="1"/>
  <c r="AK42" i="88"/>
  <c r="AK43" i="88"/>
  <c r="AK44" i="88"/>
  <c r="AK45" i="88"/>
  <c r="AJ67" i="88"/>
  <c r="AK67" i="88"/>
  <c r="AJ68" i="88"/>
  <c r="AK68" i="88"/>
  <c r="AJ69" i="88"/>
  <c r="AK69" i="88"/>
  <c r="AJ71" i="88"/>
  <c r="AK111" i="88"/>
  <c r="AK112" i="88"/>
  <c r="AK113" i="88"/>
  <c r="AK114" i="88"/>
  <c r="AK115" i="88"/>
  <c r="C145" i="88"/>
  <c r="D145" i="88"/>
  <c r="E145" i="88"/>
  <c r="F145" i="88"/>
  <c r="G145" i="88"/>
  <c r="H145" i="88"/>
  <c r="I145" i="88"/>
  <c r="J145" i="88"/>
  <c r="K145" i="88"/>
  <c r="L145" i="88"/>
  <c r="M145" i="88"/>
  <c r="N145" i="88"/>
  <c r="O145" i="88"/>
  <c r="P145" i="88"/>
  <c r="AK162" i="88"/>
  <c r="AK171" i="88"/>
  <c r="AK180" i="88"/>
  <c r="S180" i="88"/>
  <c r="T180" i="88"/>
  <c r="U180" i="88"/>
  <c r="O180" i="88"/>
  <c r="P180" i="88"/>
  <c r="Q180" i="88"/>
  <c r="R180" i="88"/>
  <c r="K180" i="88"/>
  <c r="L180" i="88"/>
  <c r="M180" i="88"/>
  <c r="N180" i="88"/>
  <c r="G180" i="88"/>
  <c r="H180" i="88"/>
  <c r="I180" i="88"/>
  <c r="J180" i="88"/>
  <c r="C180" i="88"/>
  <c r="D180" i="88"/>
  <c r="E180" i="88"/>
  <c r="F180" i="88"/>
  <c r="B180" i="88"/>
  <c r="S162" i="88"/>
  <c r="T162" i="88"/>
  <c r="U162" i="88"/>
  <c r="O162" i="88"/>
  <c r="P162" i="88"/>
  <c r="Q162" i="88"/>
  <c r="R162" i="88"/>
  <c r="K162" i="88"/>
  <c r="L162" i="88"/>
  <c r="M162" i="88"/>
  <c r="N162" i="88"/>
  <c r="G162" i="88"/>
  <c r="H162" i="88"/>
  <c r="I162" i="88"/>
  <c r="J162" i="88"/>
  <c r="C162" i="88"/>
  <c r="D162" i="88"/>
  <c r="E162" i="88"/>
  <c r="F162" i="88"/>
  <c r="B162" i="88"/>
  <c r="S171" i="88"/>
  <c r="T171" i="88"/>
  <c r="U171" i="88"/>
  <c r="R171" i="88"/>
  <c r="O171" i="88"/>
  <c r="P171" i="88"/>
  <c r="Q171" i="88"/>
  <c r="N171" i="88"/>
  <c r="K171" i="88"/>
  <c r="L171" i="88"/>
  <c r="M171" i="88"/>
  <c r="J171" i="88"/>
  <c r="G171" i="88"/>
  <c r="H171" i="88"/>
  <c r="I171" i="88"/>
  <c r="F171" i="88"/>
  <c r="C171" i="88"/>
  <c r="D171" i="88"/>
  <c r="E171" i="88"/>
  <c r="B171" i="88"/>
  <c r="AK11" i="88" l="1"/>
  <c r="AK10" i="88"/>
  <c r="AK8" i="88"/>
  <c r="AK66" i="88"/>
  <c r="AK9" i="88"/>
  <c r="E154" i="88"/>
  <c r="E6" i="88" s="1"/>
  <c r="Q154" i="88"/>
  <c r="Q6" i="88" s="1"/>
  <c r="D154" i="88"/>
  <c r="D6" i="88" s="1"/>
  <c r="P154" i="88"/>
  <c r="P6" i="88" s="1"/>
  <c r="C154" i="88"/>
  <c r="C6" i="88" s="1"/>
  <c r="O154" i="88"/>
  <c r="O6" i="88" s="1"/>
  <c r="F154" i="88"/>
  <c r="F6" i="88" s="1"/>
  <c r="R154" i="88"/>
  <c r="R6" i="88" s="1"/>
  <c r="U154" i="88"/>
  <c r="U6" i="88" s="1"/>
  <c r="T154" i="88"/>
  <c r="T6" i="88" s="1"/>
  <c r="J154" i="88"/>
  <c r="J6" i="88" s="1"/>
  <c r="H154" i="88"/>
  <c r="H6" i="88" s="1"/>
  <c r="G154" i="88"/>
  <c r="G6" i="88" s="1"/>
  <c r="AK154" i="88"/>
  <c r="AK7" i="88" s="1"/>
  <c r="N154" i="88"/>
  <c r="N6" i="88" s="1"/>
  <c r="S154" i="88"/>
  <c r="S6" i="88" s="1"/>
  <c r="M154" i="88"/>
  <c r="M6" i="88" s="1"/>
  <c r="I154" i="88"/>
  <c r="I6" i="88" s="1"/>
  <c r="L154" i="88"/>
  <c r="L6" i="88" s="1"/>
  <c r="B154" i="88"/>
  <c r="B6" i="88" s="1"/>
  <c r="K154" i="88"/>
  <c r="K6" i="88" s="1"/>
  <c r="AK40" i="88"/>
  <c r="AK110" i="88"/>
  <c r="AK6" i="88" l="1"/>
  <c r="P17" i="100" l="1"/>
  <c r="P7" i="100"/>
  <c r="P26" i="92" l="1"/>
  <c r="P57" i="92"/>
  <c r="P28" i="92"/>
  <c r="P16" i="94"/>
  <c r="P59" i="92"/>
  <c r="P39" i="92"/>
  <c r="P48" i="92"/>
  <c r="P6" i="94"/>
  <c r="P52" i="92"/>
  <c r="P20" i="92"/>
  <c r="P16" i="92"/>
  <c r="P6" i="92" l="1"/>
  <c r="P19" i="92"/>
  <c r="P51" i="92"/>
  <c r="P23" i="94"/>
  <c r="P38" i="92"/>
  <c r="AC59" i="20"/>
  <c r="AD59" i="20"/>
  <c r="AH180" i="88" l="1"/>
  <c r="AV86" i="115" l="1"/>
  <c r="U68" i="34"/>
  <c r="V68" i="34"/>
  <c r="V28" i="34"/>
  <c r="U8" i="34"/>
  <c r="V8" i="34"/>
  <c r="U45" i="34"/>
  <c r="V45" i="34"/>
  <c r="AB48" i="108"/>
  <c r="AC48" i="108"/>
  <c r="AD48" i="108"/>
  <c r="AC38" i="108"/>
  <c r="AD38" i="108"/>
  <c r="AC28" i="108"/>
  <c r="AD28" i="108"/>
  <c r="AC18" i="108"/>
  <c r="AD18" i="108"/>
  <c r="AC8" i="108"/>
  <c r="AD8" i="108"/>
  <c r="AA17" i="45"/>
  <c r="AB17" i="45"/>
  <c r="AD17" i="45"/>
  <c r="AA11" i="45"/>
  <c r="AB11" i="45"/>
  <c r="AD11" i="45"/>
  <c r="AA8" i="45"/>
  <c r="AB8" i="45"/>
  <c r="AD8" i="45"/>
  <c r="AB45" i="45"/>
  <c r="AD45" i="45"/>
  <c r="AB42" i="45"/>
  <c r="AD42" i="45"/>
  <c r="AB39" i="45"/>
  <c r="AD39" i="45"/>
  <c r="AB37" i="45"/>
  <c r="AD37" i="45"/>
  <c r="AB34" i="45"/>
  <c r="AD34" i="45"/>
  <c r="AB31" i="45"/>
  <c r="AD31" i="45"/>
  <c r="AD28" i="45"/>
  <c r="AX59" i="20"/>
  <c r="S43" i="48"/>
  <c r="AW11" i="20"/>
  <c r="AX11" i="20"/>
  <c r="AW66" i="20"/>
  <c r="AW34" i="20" s="1"/>
  <c r="AX66" i="20"/>
  <c r="AX34" i="20" s="1"/>
  <c r="AW67" i="20"/>
  <c r="AW35" i="20" s="1"/>
  <c r="AX67" i="20"/>
  <c r="AW68" i="20"/>
  <c r="AW36" i="20" s="1"/>
  <c r="AX68" i="20"/>
  <c r="AX36" i="20" s="1"/>
  <c r="AW63" i="20"/>
  <c r="AX63" i="20"/>
  <c r="AW64" i="20"/>
  <c r="AW32" i="20" s="1"/>
  <c r="AX64" i="20"/>
  <c r="AX32" i="20" s="1"/>
  <c r="AX112" i="20"/>
  <c r="AX113" i="20"/>
  <c r="AW105" i="20"/>
  <c r="AX105" i="20"/>
  <c r="AX77" i="20" s="1"/>
  <c r="AW104" i="20"/>
  <c r="AX104" i="20"/>
  <c r="AX23" i="20"/>
  <c r="AX28" i="20"/>
  <c r="AX29" i="20"/>
  <c r="AY43" i="20"/>
  <c r="AY44" i="20"/>
  <c r="AY45" i="20"/>
  <c r="AY46" i="20"/>
  <c r="AY47" i="20"/>
  <c r="AY48" i="20"/>
  <c r="AY49" i="20"/>
  <c r="AY50" i="20"/>
  <c r="AY51" i="20"/>
  <c r="AY52" i="20"/>
  <c r="AY53" i="20"/>
  <c r="AY89" i="20"/>
  <c r="AY90" i="20"/>
  <c r="AY91" i="20"/>
  <c r="AY92" i="20"/>
  <c r="AY93" i="20"/>
  <c r="AY94" i="20"/>
  <c r="AY95" i="20"/>
  <c r="AY96" i="20"/>
  <c r="AY97" i="20"/>
  <c r="AY98" i="20"/>
  <c r="AY99" i="20"/>
  <c r="S6" i="48"/>
  <c r="T6" i="48"/>
  <c r="U6" i="48"/>
  <c r="S7" i="48"/>
  <c r="T7" i="48"/>
  <c r="U7" i="48"/>
  <c r="S9" i="48"/>
  <c r="T9" i="48"/>
  <c r="U9" i="48"/>
  <c r="S26" i="48"/>
  <c r="S28" i="48" s="1"/>
  <c r="T26" i="48"/>
  <c r="T28" i="48" s="1"/>
  <c r="U26" i="48"/>
  <c r="U28" i="48" s="1"/>
  <c r="S16" i="48"/>
  <c r="S18" i="48" s="1"/>
  <c r="T16" i="48"/>
  <c r="T18" i="48" s="1"/>
  <c r="U16" i="48"/>
  <c r="U18" i="48" s="1"/>
  <c r="T51" i="48"/>
  <c r="U51" i="48"/>
  <c r="T52" i="48"/>
  <c r="U52" i="48"/>
  <c r="U54" i="48"/>
  <c r="T55" i="48"/>
  <c r="U55" i="48"/>
  <c r="T56" i="48"/>
  <c r="U56" i="48"/>
  <c r="T57" i="48"/>
  <c r="U57" i="48"/>
  <c r="T59" i="48"/>
  <c r="U59" i="48"/>
  <c r="T61" i="48"/>
  <c r="U61" i="48"/>
  <c r="T64" i="48"/>
  <c r="U64" i="48"/>
  <c r="AX224" i="18"/>
  <c r="AX225" i="18"/>
  <c r="AX226" i="18"/>
  <c r="AX157" i="18"/>
  <c r="AX158" i="18"/>
  <c r="AX159" i="18"/>
  <c r="AX192" i="18"/>
  <c r="AX193" i="18"/>
  <c r="AX195" i="18"/>
  <c r="AX196" i="18"/>
  <c r="AX197" i="18"/>
  <c r="AX198" i="18"/>
  <c r="AX138" i="18"/>
  <c r="AX139" i="18"/>
  <c r="AX141" i="18"/>
  <c r="AX142" i="18"/>
  <c r="AX143" i="18"/>
  <c r="AX144" i="18"/>
  <c r="AX54" i="18"/>
  <c r="AX55" i="18"/>
  <c r="AX57" i="18"/>
  <c r="AX58" i="18"/>
  <c r="AX59" i="18"/>
  <c r="AX60" i="18"/>
  <c r="AX18" i="18"/>
  <c r="AX19" i="18"/>
  <c r="AX21" i="18"/>
  <c r="AX22" i="18"/>
  <c r="AX23" i="18"/>
  <c r="AX24" i="18"/>
  <c r="AX90" i="18"/>
  <c r="AX91" i="18"/>
  <c r="AX93" i="18"/>
  <c r="AX94" i="18"/>
  <c r="AX95" i="18"/>
  <c r="AX96" i="18"/>
  <c r="AY126" i="18"/>
  <c r="AY127" i="18"/>
  <c r="AY128" i="18"/>
  <c r="AY129" i="18"/>
  <c r="AY130" i="18"/>
  <c r="AY131" i="18"/>
  <c r="AY132" i="18"/>
  <c r="AY133" i="18"/>
  <c r="AY174" i="18"/>
  <c r="AY175" i="18"/>
  <c r="AY176" i="18"/>
  <c r="AY177" i="18"/>
  <c r="AY178" i="18"/>
  <c r="AY179" i="18"/>
  <c r="AY180" i="18"/>
  <c r="AY181" i="18"/>
  <c r="AW187" i="18"/>
  <c r="AX187" i="18"/>
  <c r="AW188" i="18"/>
  <c r="AX188" i="18"/>
  <c r="AZ21" i="74"/>
  <c r="AY117" i="74"/>
  <c r="AY106" i="74"/>
  <c r="AY90" i="74"/>
  <c r="AY91" i="74"/>
  <c r="AY92" i="74"/>
  <c r="AY93" i="74"/>
  <c r="AY95" i="74"/>
  <c r="AY79" i="74"/>
  <c r="AY80" i="74"/>
  <c r="AY81" i="74"/>
  <c r="AY83" i="74"/>
  <c r="AY84" i="74"/>
  <c r="AY76" i="74"/>
  <c r="AY64" i="74"/>
  <c r="AY65" i="74"/>
  <c r="AY127" i="74" s="1"/>
  <c r="AY66" i="74"/>
  <c r="AY67" i="74"/>
  <c r="AY68" i="74"/>
  <c r="AA54" i="75" s="1"/>
  <c r="AY69" i="74"/>
  <c r="AY72" i="74"/>
  <c r="AY53" i="74"/>
  <c r="AY54" i="74"/>
  <c r="AY55" i="74"/>
  <c r="AY57" i="74"/>
  <c r="AY58" i="74"/>
  <c r="AY50" i="74"/>
  <c r="AY38" i="74"/>
  <c r="AY39" i="74"/>
  <c r="AY40" i="74"/>
  <c r="AY41" i="74"/>
  <c r="AY42" i="74"/>
  <c r="AY43" i="74"/>
  <c r="AY46" i="74"/>
  <c r="AY12" i="74"/>
  <c r="AY13" i="74"/>
  <c r="AY14" i="74"/>
  <c r="AY15" i="74"/>
  <c r="AY16" i="74"/>
  <c r="AY17" i="74"/>
  <c r="AY20" i="74"/>
  <c r="AY21" i="74"/>
  <c r="AY22" i="74"/>
  <c r="AY23" i="74"/>
  <c r="AY24" i="74"/>
  <c r="AY25" i="74"/>
  <c r="AY26" i="74"/>
  <c r="AY27" i="74"/>
  <c r="AY28" i="74"/>
  <c r="AY29" i="74"/>
  <c r="AY31" i="74"/>
  <c r="AY32" i="74"/>
  <c r="AY33" i="74"/>
  <c r="AX117" i="74"/>
  <c r="AX105" i="74"/>
  <c r="AX90" i="74"/>
  <c r="AX91" i="74"/>
  <c r="AX92" i="74"/>
  <c r="AX93" i="74"/>
  <c r="AX94" i="74"/>
  <c r="AX95" i="74"/>
  <c r="AX79" i="74"/>
  <c r="AX80" i="74"/>
  <c r="AX81" i="74"/>
  <c r="AX83" i="74"/>
  <c r="AX84" i="74"/>
  <c r="AX76" i="74"/>
  <c r="AX64" i="74"/>
  <c r="AX65" i="74"/>
  <c r="AX127" i="74" s="1"/>
  <c r="AX66" i="74"/>
  <c r="AX67" i="74"/>
  <c r="AX68" i="74"/>
  <c r="AX69" i="74"/>
  <c r="AX72" i="74"/>
  <c r="AX53" i="74"/>
  <c r="AX54" i="74"/>
  <c r="AX55" i="74"/>
  <c r="AX57" i="74"/>
  <c r="AX58" i="74"/>
  <c r="AX59" i="74"/>
  <c r="AX50" i="74"/>
  <c r="AX38" i="74"/>
  <c r="AX39" i="74"/>
  <c r="AX40" i="74"/>
  <c r="AX41" i="74"/>
  <c r="AX42" i="74"/>
  <c r="AX43" i="74"/>
  <c r="AX46" i="74"/>
  <c r="AX12" i="74"/>
  <c r="AX13" i="74"/>
  <c r="AX14" i="74"/>
  <c r="AX15" i="74"/>
  <c r="AX16" i="74"/>
  <c r="AX17" i="74"/>
  <c r="AX20" i="74"/>
  <c r="AX21" i="74"/>
  <c r="AX22" i="74"/>
  <c r="AX23" i="74"/>
  <c r="AX24" i="74"/>
  <c r="AX25" i="74"/>
  <c r="AX26" i="74"/>
  <c r="AX27" i="74"/>
  <c r="AX28" i="74"/>
  <c r="AX29" i="74"/>
  <c r="AX31" i="74"/>
  <c r="AX32" i="74"/>
  <c r="AW91" i="74"/>
  <c r="AW65" i="74"/>
  <c r="AW127" i="74" s="1"/>
  <c r="AW39" i="74"/>
  <c r="AW13" i="74"/>
  <c r="AW21" i="74"/>
  <c r="AW22" i="74"/>
  <c r="AW23" i="74"/>
  <c r="AW25" i="74"/>
  <c r="AW26" i="74"/>
  <c r="AT24" i="5"/>
  <c r="AW114" i="6"/>
  <c r="AX84" i="20" l="1"/>
  <c r="T10" i="48"/>
  <c r="T46" i="34"/>
  <c r="AX85" i="20"/>
  <c r="AX27" i="20"/>
  <c r="AX76" i="20"/>
  <c r="AX16" i="20"/>
  <c r="AW53" i="6"/>
  <c r="AW55" i="6" s="1"/>
  <c r="AW60" i="6" s="1"/>
  <c r="AW61" i="6" s="1"/>
  <c r="AW63" i="6" s="1"/>
  <c r="AW90" i="74" s="1"/>
  <c r="AX20" i="18"/>
  <c r="AX10" i="18"/>
  <c r="AW76" i="20"/>
  <c r="AX56" i="18"/>
  <c r="AW77" i="20"/>
  <c r="AW117" i="74"/>
  <c r="AW135" i="115"/>
  <c r="AV8" i="20"/>
  <c r="S36" i="48" s="1"/>
  <c r="AV11" i="20"/>
  <c r="AW12" i="74"/>
  <c r="AW11" i="74" s="1"/>
  <c r="AX62" i="20"/>
  <c r="AA39" i="75"/>
  <c r="Z39" i="75"/>
  <c r="AA41" i="75"/>
  <c r="AA36" i="75"/>
  <c r="Z55" i="75"/>
  <c r="Z50" i="75"/>
  <c r="U53" i="48"/>
  <c r="U58" i="48" s="1"/>
  <c r="U60" i="48" s="1"/>
  <c r="U62" i="48" s="1"/>
  <c r="U63" i="48" s="1"/>
  <c r="Z36" i="75"/>
  <c r="U10" i="48"/>
  <c r="S10" i="48"/>
  <c r="AC7" i="108"/>
  <c r="AW18" i="20" s="1"/>
  <c r="AY30" i="74"/>
  <c r="AA43" i="75"/>
  <c r="Z44" i="75"/>
  <c r="AA66" i="75"/>
  <c r="AX140" i="18"/>
  <c r="AX194" i="18"/>
  <c r="AX201" i="18" s="1"/>
  <c r="Z41" i="75"/>
  <c r="AX82" i="74"/>
  <c r="Z40" i="75"/>
  <c r="Z65" i="75"/>
  <c r="AD7" i="108"/>
  <c r="AD57" i="108" s="1"/>
  <c r="AA40" i="75"/>
  <c r="AA44" i="75"/>
  <c r="AA52" i="75"/>
  <c r="U8" i="48"/>
  <c r="AX19" i="74"/>
  <c r="AX18" i="74" s="1"/>
  <c r="T8" i="48"/>
  <c r="AW173" i="115"/>
  <c r="AX56" i="74"/>
  <c r="S8" i="48"/>
  <c r="AX45" i="74"/>
  <c r="AX111" i="20"/>
  <c r="AY56" i="74"/>
  <c r="AY45" i="74"/>
  <c r="AY44" i="74" s="1"/>
  <c r="AY82" i="74"/>
  <c r="AX71" i="74"/>
  <c r="Z26" i="75"/>
  <c r="Z12" i="75" s="1"/>
  <c r="Z54" i="75"/>
  <c r="AY71" i="74"/>
  <c r="AY70" i="74" s="1"/>
  <c r="AX92" i="18"/>
  <c r="AY19" i="74"/>
  <c r="AY18" i="74" s="1"/>
  <c r="AX30" i="74"/>
  <c r="Z43" i="75"/>
  <c r="AD27" i="45"/>
  <c r="AW59" i="115"/>
  <c r="AW96" i="115"/>
  <c r="AW21" i="115"/>
  <c r="AX6" i="18"/>
  <c r="AW134" i="115"/>
  <c r="AW97" i="115"/>
  <c r="AX7" i="18"/>
  <c r="AX106" i="20"/>
  <c r="Z27" i="75"/>
  <c r="Z13" i="75" s="1"/>
  <c r="AA50" i="75"/>
  <c r="Z53" i="75"/>
  <c r="Z28" i="75"/>
  <c r="AX130" i="74" s="1"/>
  <c r="AA29" i="75"/>
  <c r="AY131" i="74" s="1"/>
  <c r="Z29" i="75"/>
  <c r="AX131" i="74" s="1"/>
  <c r="AX189" i="18"/>
  <c r="AW31" i="20"/>
  <c r="AX31" i="20"/>
  <c r="AW62" i="20"/>
  <c r="AX65" i="20"/>
  <c r="AX70" i="20"/>
  <c r="AW189" i="18"/>
  <c r="AA27" i="75"/>
  <c r="AY129" i="74" s="1"/>
  <c r="AA28" i="75"/>
  <c r="AY130" i="74" s="1"/>
  <c r="AA26" i="75"/>
  <c r="AA12" i="75" s="1"/>
  <c r="T53" i="48"/>
  <c r="T58" i="48" s="1"/>
  <c r="T60" i="48" s="1"/>
  <c r="T62" i="48" s="1"/>
  <c r="T63" i="48" s="1"/>
  <c r="AX35" i="20"/>
  <c r="Z52" i="75"/>
  <c r="AA55" i="75"/>
  <c r="AW106" i="20"/>
  <c r="AA24" i="75"/>
  <c r="AY126" i="74" s="1"/>
  <c r="AA53" i="75"/>
  <c r="AY11" i="74"/>
  <c r="AY10" i="74" s="1"/>
  <c r="AX11" i="74"/>
  <c r="AX10" i="74" s="1"/>
  <c r="Z24" i="75"/>
  <c r="AX126" i="74" s="1"/>
  <c r="AX37" i="74"/>
  <c r="AY37" i="74"/>
  <c r="AA32" i="75"/>
  <c r="Z32" i="75"/>
  <c r="AB27" i="45"/>
  <c r="AY15" i="20"/>
  <c r="AV7" i="20"/>
  <c r="AW38" i="74"/>
  <c r="AW37" i="74" s="1"/>
  <c r="T68" i="34"/>
  <c r="AB38" i="108"/>
  <c r="AB28" i="108"/>
  <c r="AB18" i="108"/>
  <c r="AB8" i="108"/>
  <c r="AW64" i="74"/>
  <c r="AW63" i="74" s="1"/>
  <c r="AX11" i="18"/>
  <c r="AX12" i="18"/>
  <c r="AX9" i="18"/>
  <c r="AY63" i="74"/>
  <c r="AX63" i="74"/>
  <c r="AV6" i="20" l="1"/>
  <c r="AW78" i="20"/>
  <c r="AX83" i="20"/>
  <c r="AX99" i="18"/>
  <c r="AX30" i="20"/>
  <c r="AX38" i="20"/>
  <c r="AX78" i="20"/>
  <c r="AX71" i="20"/>
  <c r="AX22" i="20"/>
  <c r="AX145" i="18"/>
  <c r="AX27" i="18"/>
  <c r="AX63" i="18"/>
  <c r="AA42" i="75"/>
  <c r="AA18" i="75" s="1"/>
  <c r="AX61" i="18"/>
  <c r="AX62" i="18"/>
  <c r="AX25" i="18"/>
  <c r="AX26" i="18"/>
  <c r="AX199" i="18"/>
  <c r="AX200" i="18"/>
  <c r="AX147" i="18"/>
  <c r="AX146" i="18"/>
  <c r="S39" i="48"/>
  <c r="AX128" i="74"/>
  <c r="AX129" i="74"/>
  <c r="AA31" i="75"/>
  <c r="AY9" i="74"/>
  <c r="Z14" i="75"/>
  <c r="AC57" i="108"/>
  <c r="AX98" i="18"/>
  <c r="AX97" i="18"/>
  <c r="Z42" i="75"/>
  <c r="Z18" i="75" s="1"/>
  <c r="AA30" i="75"/>
  <c r="AX70" i="74"/>
  <c r="AX8" i="18"/>
  <c r="AX44" i="74"/>
  <c r="Z30" i="75" s="1"/>
  <c r="Z17" i="75" s="1"/>
  <c r="Z16" i="75" s="1"/>
  <c r="Z31" i="75"/>
  <c r="T45" i="34"/>
  <c r="AW172" i="115"/>
  <c r="AA13" i="75"/>
  <c r="Z15" i="75"/>
  <c r="AA15" i="75"/>
  <c r="AW30" i="20"/>
  <c r="Y24" i="75"/>
  <c r="AW126" i="74" s="1"/>
  <c r="Y23" i="75"/>
  <c r="Y11" i="75" s="1"/>
  <c r="S35" i="48"/>
  <c r="AX33" i="20"/>
  <c r="AX69" i="20"/>
  <c r="AY128" i="74"/>
  <c r="AA14" i="75"/>
  <c r="AY36" i="74"/>
  <c r="AA23" i="75"/>
  <c r="AA11" i="75" s="1"/>
  <c r="AX36" i="74"/>
  <c r="Z23" i="75"/>
  <c r="Z11" i="75" s="1"/>
  <c r="Y50" i="75"/>
  <c r="AB7" i="108"/>
  <c r="AY62" i="74"/>
  <c r="AX62" i="74"/>
  <c r="AX124" i="47"/>
  <c r="AW38" i="114"/>
  <c r="AW33" i="114"/>
  <c r="AW37" i="114"/>
  <c r="AX15" i="18" l="1"/>
  <c r="AY18" i="20"/>
  <c r="AX39" i="20"/>
  <c r="AA10" i="75"/>
  <c r="AW30" i="114"/>
  <c r="Z10" i="75"/>
  <c r="AX14" i="18"/>
  <c r="AX13" i="18"/>
  <c r="AY125" i="74"/>
  <c r="AA17" i="75"/>
  <c r="AA16" i="75" s="1"/>
  <c r="AY132" i="74"/>
  <c r="AX132" i="74"/>
  <c r="AV25" i="114"/>
  <c r="AV38" i="114" s="1"/>
  <c r="AW125" i="74"/>
  <c r="AX37" i="20"/>
  <c r="AX125" i="74"/>
  <c r="S34" i="48"/>
  <c r="AX35" i="74"/>
  <c r="Z22" i="75"/>
  <c r="AA22" i="75"/>
  <c r="AV13" i="114"/>
  <c r="AV9" i="114"/>
  <c r="AW75" i="19"/>
  <c r="AV8" i="114"/>
  <c r="AV20" i="114"/>
  <c r="AV10" i="114"/>
  <c r="AV24" i="114"/>
  <c r="AV23" i="114"/>
  <c r="AV12" i="114"/>
  <c r="AV22" i="114"/>
  <c r="AV18" i="114"/>
  <c r="AV15" i="114"/>
  <c r="AV19" i="114"/>
  <c r="AV26" i="114"/>
  <c r="AV14" i="114"/>
  <c r="AV18" i="20"/>
  <c r="AB57" i="108"/>
  <c r="AW34" i="114"/>
  <c r="AW69" i="19"/>
  <c r="AV33" i="114" l="1"/>
  <c r="AY124" i="74"/>
  <c r="AY123" i="74" s="1"/>
  <c r="AX124" i="74"/>
  <c r="AX123" i="74" s="1"/>
  <c r="AW40" i="114"/>
  <c r="AV37" i="114"/>
  <c r="AV7" i="114"/>
  <c r="AV17" i="114"/>
  <c r="AV11" i="114"/>
  <c r="AV21" i="114"/>
  <c r="AW8" i="19"/>
  <c r="AV30" i="114" l="1"/>
  <c r="AV34" i="114"/>
  <c r="AV27" i="114"/>
  <c r="AX85" i="47"/>
  <c r="AX86" i="47"/>
  <c r="AX87" i="47"/>
  <c r="AX88" i="47"/>
  <c r="AX89" i="47"/>
  <c r="AX91" i="47"/>
  <c r="AX93" i="47"/>
  <c r="AX94" i="47"/>
  <c r="AX95" i="47"/>
  <c r="AX96" i="47"/>
  <c r="AW124" i="47"/>
  <c r="AV40" i="114" l="1"/>
  <c r="AW146" i="115"/>
  <c r="AW184" i="115"/>
  <c r="AW145" i="115"/>
  <c r="AW107" i="115"/>
  <c r="AW183" i="115"/>
  <c r="AW31" i="115"/>
  <c r="AW30" i="115" s="1"/>
  <c r="AW41" i="115" s="1"/>
  <c r="AW108" i="115"/>
  <c r="AW69" i="115"/>
  <c r="AW114" i="47"/>
  <c r="AW7" i="12"/>
  <c r="AW8" i="12"/>
  <c r="AW9" i="12"/>
  <c r="AW15" i="12"/>
  <c r="AW80" i="19"/>
  <c r="AW73" i="19"/>
  <c r="AW53" i="19"/>
  <c r="AW47" i="19"/>
  <c r="AW40" i="19"/>
  <c r="AW26" i="19"/>
  <c r="AW18" i="19"/>
  <c r="AW89" i="47"/>
  <c r="AX39" i="9"/>
  <c r="AZ21" i="9"/>
  <c r="AW10" i="5" l="1"/>
  <c r="AW143" i="115"/>
  <c r="AW55" i="115"/>
  <c r="AW131" i="115"/>
  <c r="AW52" i="115"/>
  <c r="AW47" i="115"/>
  <c r="AW128" i="115"/>
  <c r="AW56" i="115"/>
  <c r="AW132" i="115"/>
  <c r="AW123" i="115"/>
  <c r="AW67" i="115"/>
  <c r="AW48" i="115"/>
  <c r="AW124" i="115"/>
  <c r="AW104" i="115"/>
  <c r="AW142" i="115"/>
  <c r="AW66" i="115"/>
  <c r="AY28" i="115"/>
  <c r="AY27" i="115" s="1"/>
  <c r="AY42" i="115" s="1"/>
  <c r="AX16" i="9"/>
  <c r="AX28" i="115"/>
  <c r="AX27" i="115" s="1"/>
  <c r="AX42" i="115" s="1"/>
  <c r="AW9" i="115"/>
  <c r="AW29" i="115"/>
  <c r="AW166" i="115"/>
  <c r="AW170" i="115"/>
  <c r="AW180" i="115"/>
  <c r="AW71" i="115"/>
  <c r="AW68" i="115" s="1"/>
  <c r="AW79" i="115" s="1"/>
  <c r="AW109" i="115"/>
  <c r="AW106" i="115" s="1"/>
  <c r="AW117" i="115" s="1"/>
  <c r="AW17" i="116" s="1"/>
  <c r="AW17" i="115"/>
  <c r="AW162" i="115"/>
  <c r="AW169" i="115"/>
  <c r="AW85" i="115"/>
  <c r="AW86" i="115"/>
  <c r="AW185" i="115"/>
  <c r="AW182" i="115" s="1"/>
  <c r="AW193" i="115" s="1"/>
  <c r="AW147" i="115"/>
  <c r="AW144" i="115" s="1"/>
  <c r="AW155" i="115" s="1"/>
  <c r="AW14" i="115"/>
  <c r="AW161" i="115"/>
  <c r="AW181" i="115"/>
  <c r="AW105" i="115"/>
  <c r="AW90" i="115"/>
  <c r="AW18" i="115"/>
  <c r="AW93" i="115"/>
  <c r="AW94" i="115"/>
  <c r="AW88" i="47"/>
  <c r="AW7" i="19"/>
  <c r="AW46" i="74"/>
  <c r="AW91" i="47"/>
  <c r="AW27" i="74"/>
  <c r="AW28" i="74"/>
  <c r="AW39" i="9"/>
  <c r="AW32" i="74"/>
  <c r="AW72" i="74"/>
  <c r="AW93" i="47"/>
  <c r="AW76" i="74"/>
  <c r="AW53" i="74"/>
  <c r="AW54" i="74"/>
  <c r="AW81" i="74"/>
  <c r="AW29" i="74"/>
  <c r="AW83" i="74"/>
  <c r="AW87" i="47"/>
  <c r="AW57" i="74"/>
  <c r="AW86" i="47"/>
  <c r="AW50" i="74"/>
  <c r="AW55" i="74"/>
  <c r="AW24" i="74"/>
  <c r="AW79" i="74"/>
  <c r="AW31" i="74"/>
  <c r="AW96" i="47"/>
  <c r="AW80" i="74"/>
  <c r="AW85" i="47"/>
  <c r="AW84" i="74"/>
  <c r="AW20" i="74"/>
  <c r="AW95" i="47"/>
  <c r="AW94" i="47"/>
  <c r="AW58" i="74"/>
  <c r="AW78" i="19"/>
  <c r="AW86" i="19" s="1"/>
  <c r="AW10" i="9"/>
  <c r="AX41" i="9"/>
  <c r="AW88" i="19" l="1"/>
  <c r="AW141" i="115"/>
  <c r="AW156" i="115" s="1"/>
  <c r="AX22" i="9"/>
  <c r="AY44" i="116"/>
  <c r="AY18" i="116"/>
  <c r="AY84" i="47"/>
  <c r="AW122" i="115"/>
  <c r="AW76" i="115"/>
  <c r="AW77" i="115"/>
  <c r="AW152" i="115"/>
  <c r="AW153" i="115"/>
  <c r="AW46" i="115"/>
  <c r="AW41" i="9"/>
  <c r="AW65" i="115"/>
  <c r="AW80" i="115" s="1"/>
  <c r="AW103" i="115"/>
  <c r="AW118" i="115" s="1"/>
  <c r="AX46" i="9"/>
  <c r="AW179" i="115"/>
  <c r="AW194" i="115" s="1"/>
  <c r="AX24" i="9"/>
  <c r="AX29" i="9" s="1"/>
  <c r="AX84" i="47"/>
  <c r="AX44" i="116"/>
  <c r="AX31" i="116"/>
  <c r="AX18" i="116"/>
  <c r="AY31" i="116"/>
  <c r="AW39" i="115"/>
  <c r="AW43" i="116"/>
  <c r="AW30" i="116"/>
  <c r="AW190" i="115"/>
  <c r="AW160" i="115"/>
  <c r="AW191" i="115"/>
  <c r="AW115" i="115"/>
  <c r="AW114" i="115"/>
  <c r="AW84" i="115"/>
  <c r="Y41" i="75"/>
  <c r="AW16" i="9"/>
  <c r="AW28" i="115"/>
  <c r="AW27" i="115" s="1"/>
  <c r="AW42" i="115" s="1"/>
  <c r="Y44" i="75"/>
  <c r="Y39" i="75"/>
  <c r="AW45" i="19"/>
  <c r="Y36" i="75"/>
  <c r="AW19" i="74"/>
  <c r="AW18" i="74" s="1"/>
  <c r="AW56" i="74"/>
  <c r="Y43" i="75"/>
  <c r="Y40" i="75"/>
  <c r="AW71" i="74"/>
  <c r="AW30" i="74"/>
  <c r="AW45" i="74"/>
  <c r="Y32" i="75"/>
  <c r="AW82" i="74"/>
  <c r="AW151" i="115" l="1"/>
  <c r="AY110" i="74"/>
  <c r="AA70" i="75" s="1"/>
  <c r="AY109" i="74"/>
  <c r="AY90" i="47"/>
  <c r="AY92" i="47" s="1"/>
  <c r="AY97" i="47" s="1"/>
  <c r="AW75" i="115"/>
  <c r="AX90" i="47"/>
  <c r="AW46" i="9"/>
  <c r="AW18" i="116"/>
  <c r="AX110" i="74"/>
  <c r="Z70" i="75" s="1"/>
  <c r="AW84" i="47"/>
  <c r="AW90" i="47" s="1"/>
  <c r="AW92" i="47" s="1"/>
  <c r="AW22" i="9"/>
  <c r="AW113" i="115"/>
  <c r="AW31" i="116"/>
  <c r="AW44" i="116"/>
  <c r="AW189" i="115"/>
  <c r="Y42" i="75"/>
  <c r="Y18" i="75" s="1"/>
  <c r="AW51" i="19"/>
  <c r="AW44" i="74"/>
  <c r="Y30" i="75" s="1"/>
  <c r="Y17" i="75" s="1"/>
  <c r="Y16" i="75" s="1"/>
  <c r="Y31" i="75"/>
  <c r="AW70" i="74"/>
  <c r="AY108" i="74" l="1"/>
  <c r="AA68" i="75" s="1"/>
  <c r="AA69" i="75"/>
  <c r="AX92" i="47"/>
  <c r="AW24" i="9"/>
  <c r="AW29" i="9" s="1"/>
  <c r="AW110" i="74"/>
  <c r="Y70" i="75" s="1"/>
  <c r="AX109" i="74"/>
  <c r="AW97" i="47"/>
  <c r="AW58" i="19"/>
  <c r="AW132" i="74"/>
  <c r="AX97" i="47" l="1"/>
  <c r="AX108" i="74"/>
  <c r="Z68" i="75" s="1"/>
  <c r="Z69" i="75"/>
  <c r="AW60" i="19"/>
  <c r="AW109" i="74"/>
  <c r="AW226" i="5"/>
  <c r="AW32" i="5"/>
  <c r="AX32" i="5"/>
  <c r="AY289" i="5"/>
  <c r="AY298" i="5"/>
  <c r="AY301" i="5"/>
  <c r="AX293" i="5"/>
  <c r="AY297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142" i="5"/>
  <c r="AZ141" i="5"/>
  <c r="AZ140" i="5"/>
  <c r="AZ139" i="5"/>
  <c r="AZ138" i="5"/>
  <c r="AZ137" i="5"/>
  <c r="AZ136" i="5"/>
  <c r="AZ135" i="5"/>
  <c r="AZ134" i="5"/>
  <c r="AZ133" i="5"/>
  <c r="AZ132" i="5"/>
  <c r="AZ131" i="5"/>
  <c r="AZ130" i="5"/>
  <c r="AZ129" i="5"/>
  <c r="AZ128" i="5"/>
  <c r="AZ127" i="5"/>
  <c r="AZ126" i="5"/>
  <c r="AZ125" i="5"/>
  <c r="AZ124" i="5"/>
  <c r="AZ164" i="5"/>
  <c r="AZ162" i="5"/>
  <c r="AZ193" i="5"/>
  <c r="AZ192" i="5"/>
  <c r="AZ191" i="5"/>
  <c r="AZ190" i="5"/>
  <c r="AZ189" i="5"/>
  <c r="AZ188" i="5"/>
  <c r="AZ187" i="5"/>
  <c r="AZ186" i="5"/>
  <c r="AZ185" i="5"/>
  <c r="AZ184" i="5"/>
  <c r="AZ183" i="5"/>
  <c r="AZ182" i="5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214" i="5"/>
  <c r="AZ212" i="5"/>
  <c r="AZ211" i="5"/>
  <c r="AZ210" i="5"/>
  <c r="AZ209" i="5"/>
  <c r="AZ208" i="5"/>
  <c r="AZ207" i="5"/>
  <c r="AZ206" i="5"/>
  <c r="AZ205" i="5"/>
  <c r="AZ204" i="5"/>
  <c r="AZ203" i="5"/>
  <c r="AZ202" i="5"/>
  <c r="AZ201" i="5"/>
  <c r="AZ200" i="5"/>
  <c r="AZ199" i="5"/>
  <c r="AZ198" i="5"/>
  <c r="AZ197" i="5"/>
  <c r="AX10" i="5"/>
  <c r="AZ26" i="5"/>
  <c r="AX270" i="5"/>
  <c r="AX243" i="5"/>
  <c r="AX148" i="5"/>
  <c r="AX289" i="5"/>
  <c r="AW270" i="5"/>
  <c r="AW243" i="5"/>
  <c r="AW148" i="5"/>
  <c r="AW303" i="5"/>
  <c r="AY47" i="47" l="1"/>
  <c r="AW272" i="5"/>
  <c r="AW228" i="5"/>
  <c r="AW248" i="5"/>
  <c r="AW153" i="5"/>
  <c r="AX153" i="5"/>
  <c r="AX248" i="5"/>
  <c r="AX272" i="5"/>
  <c r="AW10" i="115"/>
  <c r="AW38" i="115" s="1"/>
  <c r="AZ25" i="74"/>
  <c r="AX15" i="5"/>
  <c r="AX17" i="5" s="1"/>
  <c r="AZ22" i="74"/>
  <c r="AZ54" i="115"/>
  <c r="AZ164" i="115"/>
  <c r="AZ15" i="115"/>
  <c r="AZ13" i="115"/>
  <c r="AZ23" i="74"/>
  <c r="AZ165" i="115"/>
  <c r="AZ167" i="115"/>
  <c r="AZ89" i="115"/>
  <c r="AZ127" i="115"/>
  <c r="AZ88" i="115"/>
  <c r="AZ16" i="115"/>
  <c r="AZ26" i="74"/>
  <c r="AZ51" i="115"/>
  <c r="AZ126" i="115"/>
  <c r="AZ168" i="115"/>
  <c r="AZ50" i="115"/>
  <c r="AZ91" i="115"/>
  <c r="AZ92" i="115"/>
  <c r="AZ129" i="115"/>
  <c r="AZ130" i="115"/>
  <c r="AZ53" i="115"/>
  <c r="AZ12" i="115"/>
  <c r="AY10" i="115"/>
  <c r="AX38" i="5"/>
  <c r="AX10" i="115"/>
  <c r="AW68" i="11"/>
  <c r="AW38" i="5"/>
  <c r="AW43" i="5" s="1"/>
  <c r="AW45" i="5" s="1"/>
  <c r="AW108" i="74"/>
  <c r="Y68" i="75" s="1"/>
  <c r="Y69" i="75"/>
  <c r="AW15" i="5"/>
  <c r="AW298" i="5"/>
  <c r="AW293" i="5"/>
  <c r="AX290" i="5"/>
  <c r="AX118" i="74" s="1"/>
  <c r="AX291" i="5"/>
  <c r="AY105" i="74"/>
  <c r="AA65" i="75" s="1"/>
  <c r="AW295" i="5"/>
  <c r="AW289" i="5"/>
  <c r="AX296" i="5"/>
  <c r="AX297" i="5"/>
  <c r="AX285" i="5"/>
  <c r="AX298" i="5"/>
  <c r="AY291" i="5"/>
  <c r="AY296" i="5"/>
  <c r="AW285" i="5"/>
  <c r="AX303" i="5"/>
  <c r="AW290" i="5"/>
  <c r="AW118" i="74" s="1"/>
  <c r="AW291" i="5"/>
  <c r="AY303" i="5"/>
  <c r="AY58" i="47" s="1"/>
  <c r="AY41" i="47" s="1"/>
  <c r="AW288" i="5"/>
  <c r="AY288" i="5"/>
  <c r="AW296" i="5"/>
  <c r="AX301" i="5"/>
  <c r="AX295" i="5"/>
  <c r="AY293" i="5"/>
  <c r="AY285" i="5"/>
  <c r="AW301" i="5"/>
  <c r="AY290" i="5"/>
  <c r="AY118" i="74" s="1"/>
  <c r="AW297" i="5"/>
  <c r="AX288" i="5"/>
  <c r="AY102" i="74"/>
  <c r="AA62" i="75" s="1"/>
  <c r="AN17" i="22"/>
  <c r="AY302" i="5" l="1"/>
  <c r="AY98" i="74"/>
  <c r="AY20" i="47"/>
  <c r="AY52" i="47"/>
  <c r="AX155" i="5"/>
  <c r="AX160" i="5" s="1"/>
  <c r="AX161" i="5" s="1"/>
  <c r="AX163" i="5" s="1"/>
  <c r="AX102" i="74" s="1"/>
  <c r="Z62" i="75" s="1"/>
  <c r="AW250" i="5"/>
  <c r="AW233" i="5"/>
  <c r="AW234" i="5" s="1"/>
  <c r="AW155" i="5"/>
  <c r="AW160" i="5" s="1"/>
  <c r="AW8" i="115"/>
  <c r="AW277" i="5"/>
  <c r="AW278" i="5" s="1"/>
  <c r="AW280" i="5" s="1"/>
  <c r="AX277" i="5"/>
  <c r="AX278" i="5" s="1"/>
  <c r="AX280" i="5" s="1"/>
  <c r="AX250" i="5"/>
  <c r="AW292" i="5"/>
  <c r="AX43" i="5"/>
  <c r="AX287" i="5"/>
  <c r="AX286" i="5" s="1"/>
  <c r="AY292" i="5"/>
  <c r="AY287" i="5"/>
  <c r="AY286" i="5" s="1"/>
  <c r="AX38" i="115"/>
  <c r="AX8" i="115"/>
  <c r="AY38" i="115"/>
  <c r="AY8" i="115"/>
  <c r="AW37" i="115"/>
  <c r="AY294" i="5"/>
  <c r="AW17" i="5"/>
  <c r="AY299" i="5"/>
  <c r="AW287" i="5"/>
  <c r="AY300" i="5" l="1"/>
  <c r="AY54" i="47"/>
  <c r="AA58" i="75"/>
  <c r="AY97" i="74"/>
  <c r="AW255" i="5"/>
  <c r="AW256" i="5" s="1"/>
  <c r="AW258" i="5" s="1"/>
  <c r="AW106" i="74" s="1"/>
  <c r="Y66" i="75" s="1"/>
  <c r="AW161" i="5"/>
  <c r="AW236" i="5"/>
  <c r="AX255" i="5"/>
  <c r="AX256" i="5" s="1"/>
  <c r="AX258" i="5" s="1"/>
  <c r="AX106" i="74" s="1"/>
  <c r="Z66" i="75" s="1"/>
  <c r="AX45" i="5"/>
  <c r="AX292" i="5"/>
  <c r="AX22" i="5"/>
  <c r="AX23" i="5" s="1"/>
  <c r="AX25" i="5" s="1"/>
  <c r="AY37" i="115"/>
  <c r="AX37" i="115"/>
  <c r="AW10" i="116"/>
  <c r="AW36" i="116"/>
  <c r="AW23" i="116"/>
  <c r="AW22" i="5"/>
  <c r="AW23" i="5" s="1"/>
  <c r="AW25" i="5" s="1"/>
  <c r="AW286" i="5"/>
  <c r="AY23" i="116" l="1"/>
  <c r="AY36" i="116"/>
  <c r="AY10" i="116"/>
  <c r="AY96" i="74"/>
  <c r="AA57" i="75"/>
  <c r="AY59" i="47"/>
  <c r="AW163" i="5"/>
  <c r="AW102" i="74" s="1"/>
  <c r="AW105" i="74"/>
  <c r="Y65" i="75" s="1"/>
  <c r="AW50" i="5"/>
  <c r="AW294" i="5"/>
  <c r="AX50" i="5"/>
  <c r="AX294" i="5"/>
  <c r="AX10" i="116"/>
  <c r="AX36" i="116"/>
  <c r="AX23" i="116"/>
  <c r="AA56" i="75" l="1"/>
  <c r="AY61" i="47"/>
  <c r="AX51" i="5"/>
  <c r="AW51" i="5"/>
  <c r="AW299" i="5"/>
  <c r="AX299" i="5"/>
  <c r="Y62" i="75"/>
  <c r="AN7" i="22"/>
  <c r="AN39" i="22"/>
  <c r="AN32" i="22"/>
  <c r="AX53" i="5" l="1"/>
  <c r="AX98" i="74"/>
  <c r="AX300" i="5"/>
  <c r="AW53" i="5"/>
  <c r="AW98" i="74"/>
  <c r="AW300" i="5"/>
  <c r="T205" i="34"/>
  <c r="AN6" i="22"/>
  <c r="T207" i="34"/>
  <c r="T229" i="34"/>
  <c r="AN31" i="22"/>
  <c r="T222" i="34"/>
  <c r="T217" i="34"/>
  <c r="AX97" i="74" l="1"/>
  <c r="Z58" i="75"/>
  <c r="AX302" i="5"/>
  <c r="Y58" i="75"/>
  <c r="AW97" i="74"/>
  <c r="AW302" i="5"/>
  <c r="T204" i="34"/>
  <c r="T228" i="34"/>
  <c r="T216" i="34"/>
  <c r="AW120" i="47"/>
  <c r="AW121" i="47"/>
  <c r="AX121" i="47"/>
  <c r="AW122" i="47"/>
  <c r="AX122" i="47"/>
  <c r="AW123" i="47"/>
  <c r="AX123" i="47"/>
  <c r="AX125" i="47"/>
  <c r="AW127" i="47"/>
  <c r="AX127" i="47"/>
  <c r="AW129" i="47"/>
  <c r="AX129" i="47"/>
  <c r="AW130" i="47"/>
  <c r="AX130" i="47"/>
  <c r="AW131" i="47"/>
  <c r="AX131" i="47"/>
  <c r="AW132" i="47"/>
  <c r="AX132" i="47"/>
  <c r="AW29" i="12"/>
  <c r="AY29" i="12"/>
  <c r="AY31" i="12" s="1"/>
  <c r="AY36" i="12" s="1"/>
  <c r="AZ23" i="12"/>
  <c r="AZ18" i="12"/>
  <c r="AZ17" i="12"/>
  <c r="AZ16" i="12"/>
  <c r="AZ10" i="12"/>
  <c r="AW103" i="47"/>
  <c r="AX103" i="47"/>
  <c r="AW104" i="47"/>
  <c r="AX104" i="47"/>
  <c r="AW105" i="47"/>
  <c r="AX105" i="47"/>
  <c r="AW106" i="47"/>
  <c r="AX106" i="47"/>
  <c r="AW107" i="47"/>
  <c r="AX107" i="47"/>
  <c r="AW109" i="47"/>
  <c r="AX109" i="47"/>
  <c r="AW111" i="47"/>
  <c r="AX111" i="47"/>
  <c r="AW112" i="47"/>
  <c r="AX112" i="47"/>
  <c r="AW113" i="47"/>
  <c r="AX113" i="47"/>
  <c r="AW25" i="10"/>
  <c r="AX31" i="10"/>
  <c r="AY25" i="10"/>
  <c r="AW12" i="10"/>
  <c r="AX12" i="10"/>
  <c r="AZ36" i="10"/>
  <c r="AX66" i="47"/>
  <c r="AX67" i="47"/>
  <c r="AX68" i="47"/>
  <c r="AX69" i="47"/>
  <c r="AX71" i="47"/>
  <c r="AX73" i="47"/>
  <c r="AX74" i="47"/>
  <c r="AX75" i="47"/>
  <c r="AX76" i="47"/>
  <c r="AX78" i="47"/>
  <c r="AW47" i="47"/>
  <c r="AX47" i="47"/>
  <c r="AW49" i="47"/>
  <c r="AX49" i="47"/>
  <c r="AW50" i="47"/>
  <c r="AX50" i="47"/>
  <c r="AW51" i="47"/>
  <c r="AX51" i="47"/>
  <c r="AW53" i="47"/>
  <c r="AX53" i="47"/>
  <c r="AW55" i="47"/>
  <c r="AX55" i="47"/>
  <c r="AW56" i="47"/>
  <c r="AX56" i="47"/>
  <c r="AW57" i="47"/>
  <c r="AX57" i="47"/>
  <c r="AW58" i="47"/>
  <c r="AX58" i="47"/>
  <c r="AW60" i="47"/>
  <c r="AW23" i="47"/>
  <c r="AX23" i="47"/>
  <c r="AW151" i="6"/>
  <c r="AZ153" i="6"/>
  <c r="AZ24" i="6"/>
  <c r="AX10" i="6"/>
  <c r="AZ91" i="74"/>
  <c r="AZ26" i="6"/>
  <c r="T148" i="34" l="1"/>
  <c r="AY31" i="10"/>
  <c r="AY33" i="10" s="1"/>
  <c r="AY38" i="10" s="1"/>
  <c r="AY102" i="47"/>
  <c r="AY108" i="47" s="1"/>
  <c r="AY110" i="47" s="1"/>
  <c r="AY115" i="47" s="1"/>
  <c r="AY64" i="47"/>
  <c r="AX14" i="10"/>
  <c r="AX31" i="47"/>
  <c r="AX96" i="74"/>
  <c r="Z56" i="75" s="1"/>
  <c r="Z57" i="75"/>
  <c r="AW96" i="74"/>
  <c r="Y56" i="75" s="1"/>
  <c r="Y57" i="75"/>
  <c r="T9" i="34"/>
  <c r="T36" i="34"/>
  <c r="AW102" i="115"/>
  <c r="T174" i="34"/>
  <c r="AW100" i="115"/>
  <c r="AW101" i="115"/>
  <c r="AW99" i="115"/>
  <c r="AW137" i="115"/>
  <c r="AV64" i="20"/>
  <c r="AV32" i="20" s="1"/>
  <c r="AX15" i="6"/>
  <c r="AX39" i="47"/>
  <c r="AY116" i="74"/>
  <c r="AY119" i="74" s="1"/>
  <c r="AW20" i="115"/>
  <c r="AX102" i="47"/>
  <c r="AX33" i="10"/>
  <c r="AX13" i="47"/>
  <c r="AZ98" i="115"/>
  <c r="AY22" i="115"/>
  <c r="AW22" i="115"/>
  <c r="AZ13" i="74"/>
  <c r="AX64" i="47"/>
  <c r="AX29" i="47" s="1"/>
  <c r="AZ39" i="74"/>
  <c r="AZ136" i="115"/>
  <c r="AZ60" i="115"/>
  <c r="AZ65" i="74"/>
  <c r="AZ127" i="74" s="1"/>
  <c r="AX22" i="115"/>
  <c r="AZ174" i="115"/>
  <c r="AX32" i="47"/>
  <c r="AW14" i="10"/>
  <c r="AW178" i="115"/>
  <c r="AX41" i="47"/>
  <c r="AX33" i="47"/>
  <c r="AW62" i="115"/>
  <c r="AW24" i="115"/>
  <c r="AW63" i="115"/>
  <c r="AW64" i="115"/>
  <c r="AW139" i="115"/>
  <c r="AW140" i="115"/>
  <c r="AW176" i="115"/>
  <c r="AW61" i="115"/>
  <c r="AW175" i="115"/>
  <c r="AW138" i="115"/>
  <c r="AW25" i="115"/>
  <c r="AW26" i="115"/>
  <c r="AW177" i="115"/>
  <c r="AW31" i="10"/>
  <c r="AW33" i="10" s="1"/>
  <c r="T183" i="34"/>
  <c r="AW10" i="6"/>
  <c r="AW66" i="74"/>
  <c r="AW123" i="6"/>
  <c r="AW14" i="74"/>
  <c r="AV67" i="20"/>
  <c r="AV63" i="20"/>
  <c r="AW68" i="74"/>
  <c r="AW40" i="74"/>
  <c r="AV59" i="20"/>
  <c r="AW15" i="74"/>
  <c r="AV104" i="20"/>
  <c r="AW16" i="74"/>
  <c r="AW17" i="74"/>
  <c r="AV187" i="18"/>
  <c r="AW42" i="74"/>
  <c r="AW65" i="47"/>
  <c r="AV105" i="20"/>
  <c r="AV188" i="18"/>
  <c r="AW69" i="74"/>
  <c r="AW43" i="74"/>
  <c r="AV66" i="20"/>
  <c r="AV34" i="20" s="1"/>
  <c r="AW67" i="74"/>
  <c r="AV68" i="20"/>
  <c r="AW41" i="74"/>
  <c r="AW102" i="47"/>
  <c r="AX126" i="47"/>
  <c r="AW68" i="47"/>
  <c r="AK7" i="33"/>
  <c r="AW66" i="47"/>
  <c r="AW71" i="47"/>
  <c r="AW36" i="47" s="1"/>
  <c r="AW78" i="47"/>
  <c r="AW208" i="6"/>
  <c r="AW73" i="47"/>
  <c r="AW38" i="47" s="1"/>
  <c r="AW76" i="47"/>
  <c r="AW67" i="47"/>
  <c r="AW32" i="47" s="1"/>
  <c r="AW75" i="47"/>
  <c r="AW40" i="47" s="1"/>
  <c r="AW69" i="47"/>
  <c r="AK17" i="33"/>
  <c r="AK16" i="33" s="1"/>
  <c r="AW74" i="47"/>
  <c r="AW39" i="47" s="1"/>
  <c r="AX38" i="47"/>
  <c r="T198" i="34"/>
  <c r="T192" i="34"/>
  <c r="T166" i="34"/>
  <c r="AW31" i="12"/>
  <c r="AW36" i="12" s="1"/>
  <c r="T159" i="34"/>
  <c r="T142" i="34"/>
  <c r="T18" i="34"/>
  <c r="AX40" i="47"/>
  <c r="AX36" i="47"/>
  <c r="T29" i="34"/>
  <c r="T123" i="34"/>
  <c r="AW183" i="6"/>
  <c r="AW159" i="6"/>
  <c r="AY12" i="116" l="1" a="1"/>
  <c r="AY12" i="116" s="1"/>
  <c r="AY25" i="116"/>
  <c r="AY38" i="116"/>
  <c r="AY70" i="47"/>
  <c r="AY29" i="47"/>
  <c r="AX10" i="47"/>
  <c r="AX19" i="10"/>
  <c r="AW25" i="116"/>
  <c r="AX108" i="47"/>
  <c r="AX17" i="6"/>
  <c r="AX22" i="6" s="1"/>
  <c r="AX23" i="6" s="1"/>
  <c r="AX25" i="6" s="1"/>
  <c r="AX89" i="74" s="1"/>
  <c r="AV77" i="20"/>
  <c r="AX19" i="47"/>
  <c r="AX20" i="47"/>
  <c r="AX17" i="47"/>
  <c r="AX18" i="47"/>
  <c r="AX15" i="47"/>
  <c r="AX12" i="47"/>
  <c r="AX11" i="47"/>
  <c r="AX128" i="47"/>
  <c r="AX38" i="10"/>
  <c r="AW16" i="116"/>
  <c r="AW95" i="115"/>
  <c r="AW116" i="115" s="1"/>
  <c r="AW15" i="116"/>
  <c r="T158" i="34"/>
  <c r="AX70" i="47"/>
  <c r="AX72" i="47" s="1"/>
  <c r="AX77" i="47" s="1"/>
  <c r="AX79" i="47" s="1"/>
  <c r="AW19" i="10"/>
  <c r="AX8" i="47"/>
  <c r="AX19" i="115"/>
  <c r="AX12" i="116" a="1"/>
  <c r="AX12" i="116" s="1"/>
  <c r="AX38" i="116"/>
  <c r="AX25" i="116"/>
  <c r="AW38" i="116"/>
  <c r="AW12" i="116" a="1"/>
  <c r="AW12" i="116" s="1"/>
  <c r="AY19" i="115"/>
  <c r="AW133" i="115"/>
  <c r="AW154" i="115" s="1"/>
  <c r="AW150" i="115" s="1"/>
  <c r="AW149" i="115" s="1"/>
  <c r="AW57" i="115"/>
  <c r="AW78" i="115" s="1"/>
  <c r="AW74" i="115" s="1"/>
  <c r="AW73" i="115" s="1"/>
  <c r="AW14" i="116"/>
  <c r="AW171" i="115"/>
  <c r="AW192" i="115" s="1"/>
  <c r="Y27" i="75"/>
  <c r="Y13" i="75" s="1"/>
  <c r="AW29" i="116"/>
  <c r="AW42" i="116"/>
  <c r="AW40" i="116"/>
  <c r="AW27" i="116"/>
  <c r="AW23" i="115"/>
  <c r="AW39" i="116" s="1"/>
  <c r="AW41" i="116"/>
  <c r="AW28" i="116"/>
  <c r="Y28" i="75"/>
  <c r="Y14" i="75" s="1"/>
  <c r="AW19" i="47"/>
  <c r="AW164" i="6"/>
  <c r="AW11" i="47"/>
  <c r="AW214" i="6"/>
  <c r="AW18" i="47"/>
  <c r="AW189" i="6"/>
  <c r="AW17" i="47"/>
  <c r="AK28" i="33"/>
  <c r="AW15" i="47"/>
  <c r="AW108" i="47"/>
  <c r="AW15" i="6"/>
  <c r="AW129" i="6"/>
  <c r="T122" i="34"/>
  <c r="T28" i="34"/>
  <c r="Y29" i="75"/>
  <c r="AW131" i="74" s="1"/>
  <c r="T141" i="34"/>
  <c r="AK6" i="33"/>
  <c r="AV27" i="20"/>
  <c r="AV65" i="20"/>
  <c r="AV189" i="18"/>
  <c r="AW62" i="74"/>
  <c r="AV36" i="20"/>
  <c r="AV35" i="20"/>
  <c r="AV70" i="20"/>
  <c r="AW10" i="74"/>
  <c r="AV106" i="20"/>
  <c r="AV76" i="20"/>
  <c r="AV31" i="20"/>
  <c r="AV62" i="20"/>
  <c r="Y26" i="75"/>
  <c r="Y12" i="75" s="1"/>
  <c r="AW36" i="74"/>
  <c r="AW38" i="10"/>
  <c r="AW43" i="47"/>
  <c r="AW33" i="47"/>
  <c r="AW31" i="47"/>
  <c r="AW41" i="47"/>
  <c r="T191" i="34"/>
  <c r="T8" i="34"/>
  <c r="AX110" i="47" l="1"/>
  <c r="AX115" i="47" s="1"/>
  <c r="AY40" i="115"/>
  <c r="AY11" i="116" s="1"/>
  <c r="AX88" i="74"/>
  <c r="Z48" i="75" s="1"/>
  <c r="Z49" i="75"/>
  <c r="AY8" i="47"/>
  <c r="AY14" i="47" s="1"/>
  <c r="AY16" i="47" s="1"/>
  <c r="AY21" i="47" s="1"/>
  <c r="AY24" i="47" s="1"/>
  <c r="AY72" i="47"/>
  <c r="AY35" i="47"/>
  <c r="AX116" i="74"/>
  <c r="AX119" i="74" s="1"/>
  <c r="AV30" i="20"/>
  <c r="AW116" i="74"/>
  <c r="AW119" i="74" s="1"/>
  <c r="AX40" i="115"/>
  <c r="AX37" i="116" s="1"/>
  <c r="AX133" i="47"/>
  <c r="AV78" i="20"/>
  <c r="T65" i="48"/>
  <c r="T66" i="48" s="1"/>
  <c r="AW10" i="47"/>
  <c r="AW129" i="74"/>
  <c r="AW13" i="116"/>
  <c r="AW19" i="115"/>
  <c r="AW130" i="74"/>
  <c r="AW112" i="115"/>
  <c r="AW188" i="115"/>
  <c r="AW26" i="116"/>
  <c r="AW64" i="47"/>
  <c r="AW70" i="47" s="1"/>
  <c r="AW191" i="6"/>
  <c r="AW17" i="6"/>
  <c r="AW216" i="6"/>
  <c r="AW20" i="47"/>
  <c r="AW22" i="47"/>
  <c r="AW110" i="47"/>
  <c r="AW12" i="47"/>
  <c r="AW166" i="6"/>
  <c r="AW134" i="6"/>
  <c r="Y15" i="75"/>
  <c r="Y10" i="75" s="1"/>
  <c r="AV33" i="20"/>
  <c r="AV39" i="20" s="1"/>
  <c r="AV38" i="20"/>
  <c r="AW128" i="74"/>
  <c r="Y22" i="75"/>
  <c r="AV71" i="20"/>
  <c r="AV69" i="20"/>
  <c r="AY36" i="115" l="1"/>
  <c r="AY22" i="116" s="1"/>
  <c r="AY37" i="116"/>
  <c r="AY24" i="116"/>
  <c r="AY77" i="47"/>
  <c r="AY37" i="47"/>
  <c r="U65" i="48"/>
  <c r="U66" i="48" s="1"/>
  <c r="AY89" i="74"/>
  <c r="AX24" i="116"/>
  <c r="AX36" i="115"/>
  <c r="AX35" i="116" s="1"/>
  <c r="AX11" i="116"/>
  <c r="AW40" i="115"/>
  <c r="AW29" i="47"/>
  <c r="AW124" i="74"/>
  <c r="AW123" i="74" s="1"/>
  <c r="AW187" i="115"/>
  <c r="AW111" i="115"/>
  <c r="AW196" i="6"/>
  <c r="AW197" i="6" s="1"/>
  <c r="AW199" i="6" s="1"/>
  <c r="AW94" i="74" s="1"/>
  <c r="Y54" i="75" s="1"/>
  <c r="AW115" i="47"/>
  <c r="AW221" i="6"/>
  <c r="AW222" i="6" s="1"/>
  <c r="AW224" i="6" s="1"/>
  <c r="AW95" i="74" s="1"/>
  <c r="Y55" i="75" s="1"/>
  <c r="AV37" i="20"/>
  <c r="AW136" i="6"/>
  <c r="AW171" i="6"/>
  <c r="AW172" i="6" s="1"/>
  <c r="AW174" i="6" s="1"/>
  <c r="AW93" i="74" s="1"/>
  <c r="Y53" i="75" s="1"/>
  <c r="AW22" i="6"/>
  <c r="AW23" i="6" s="1"/>
  <c r="AW25" i="6" s="1"/>
  <c r="AW89" i="74" s="1"/>
  <c r="AW72" i="47"/>
  <c r="AW15" i="11"/>
  <c r="AY9" i="116" l="1"/>
  <c r="AY35" i="115"/>
  <c r="AY35" i="116"/>
  <c r="AY88" i="74"/>
  <c r="AA48" i="75" s="1"/>
  <c r="AX22" i="116"/>
  <c r="AY8" i="116"/>
  <c r="Y49" i="75"/>
  <c r="AX9" i="116"/>
  <c r="AA49" i="75"/>
  <c r="AX35" i="115"/>
  <c r="AX8" i="116" s="1"/>
  <c r="AY79" i="47"/>
  <c r="AY44" i="47" s="1"/>
  <c r="AY42" i="47"/>
  <c r="AW44" i="11"/>
  <c r="AW8" i="47"/>
  <c r="AW10" i="11"/>
  <c r="AW34" i="11"/>
  <c r="AW54" i="11"/>
  <c r="AW25" i="11"/>
  <c r="AW24" i="11"/>
  <c r="AW36" i="11"/>
  <c r="AW11" i="11"/>
  <c r="AW35" i="11"/>
  <c r="AW48" i="11"/>
  <c r="AW19" i="11"/>
  <c r="AW33" i="11"/>
  <c r="AW57" i="11"/>
  <c r="AW55" i="11"/>
  <c r="AW23" i="11"/>
  <c r="AW30" i="11"/>
  <c r="AW17" i="11"/>
  <c r="AW22" i="11"/>
  <c r="AW29" i="11"/>
  <c r="AW9" i="11"/>
  <c r="AW16" i="11"/>
  <c r="AW21" i="11"/>
  <c r="AW28" i="11"/>
  <c r="AW31" i="11"/>
  <c r="AW11" i="12"/>
  <c r="AW12" i="11"/>
  <c r="AW56" i="11"/>
  <c r="AW20" i="11"/>
  <c r="AW38" i="11"/>
  <c r="AW14" i="11"/>
  <c r="AW27" i="11"/>
  <c r="AW43" i="11"/>
  <c r="AW32" i="11"/>
  <c r="AW13" i="11"/>
  <c r="AW37" i="11"/>
  <c r="AW41" i="11"/>
  <c r="AW36" i="115"/>
  <c r="AW24" i="116"/>
  <c r="AW11" i="116"/>
  <c r="AW37" i="116"/>
  <c r="AW141" i="6"/>
  <c r="AW142" i="6" s="1"/>
  <c r="AW144" i="6" s="1"/>
  <c r="AW92" i="74" s="1"/>
  <c r="Y52" i="75" s="1"/>
  <c r="AW77" i="47"/>
  <c r="AW80" i="93"/>
  <c r="AX80" i="93"/>
  <c r="AW75" i="93"/>
  <c r="AX75" i="93"/>
  <c r="AW69" i="93"/>
  <c r="AX69" i="93"/>
  <c r="AY69" i="93"/>
  <c r="AW64" i="93"/>
  <c r="AX64" i="93"/>
  <c r="AW53" i="93"/>
  <c r="AX53" i="93"/>
  <c r="AY53" i="93"/>
  <c r="AW47" i="93"/>
  <c r="AX47" i="93"/>
  <c r="AY47" i="93"/>
  <c r="AW40" i="93"/>
  <c r="AX40" i="93"/>
  <c r="AW18" i="93"/>
  <c r="AX18" i="93"/>
  <c r="AY18" i="93"/>
  <c r="AW26" i="93"/>
  <c r="AX26" i="93"/>
  <c r="AY26" i="93"/>
  <c r="AX8" i="93"/>
  <c r="AY8" i="93"/>
  <c r="AW8" i="93"/>
  <c r="AZ87" i="93"/>
  <c r="AZ85" i="93"/>
  <c r="AZ74" i="93"/>
  <c r="AZ68" i="93"/>
  <c r="AZ67" i="93"/>
  <c r="AX85" i="74"/>
  <c r="AY85" i="74"/>
  <c r="AX26" i="11"/>
  <c r="AX18" i="11"/>
  <c r="AY34" i="116" l="1"/>
  <c r="AY21" i="116"/>
  <c r="AW88" i="74"/>
  <c r="Y48" i="75" s="1"/>
  <c r="AY65" i="93"/>
  <c r="AX21" i="116"/>
  <c r="AX34" i="116"/>
  <c r="AW53" i="11"/>
  <c r="AW59" i="74"/>
  <c r="AW35" i="74" s="1"/>
  <c r="AX7" i="11"/>
  <c r="AX73" i="93"/>
  <c r="AX78" i="93" s="1"/>
  <c r="AX86" i="93" s="1"/>
  <c r="AX88" i="93" s="1"/>
  <c r="AW47" i="11"/>
  <c r="AW8" i="11"/>
  <c r="AW26" i="11"/>
  <c r="AW40" i="11"/>
  <c r="AW12" i="12"/>
  <c r="AW14" i="12" s="1"/>
  <c r="AW19" i="12" s="1"/>
  <c r="AW125" i="47"/>
  <c r="AW35" i="115"/>
  <c r="AW9" i="116"/>
  <c r="AW35" i="116"/>
  <c r="AW22" i="116"/>
  <c r="AX61" i="74"/>
  <c r="AY61" i="74"/>
  <c r="AW79" i="47"/>
  <c r="AX7" i="93"/>
  <c r="AX45" i="93" s="1"/>
  <c r="AX51" i="93" s="1"/>
  <c r="AX58" i="93" s="1"/>
  <c r="AX60" i="93" s="1"/>
  <c r="AY7" i="93"/>
  <c r="AW73" i="93"/>
  <c r="AW7" i="93"/>
  <c r="AY64" i="93" l="1"/>
  <c r="AW85" i="74"/>
  <c r="AW61" i="74" s="1"/>
  <c r="AZ11" i="6"/>
  <c r="AZ20" i="6"/>
  <c r="AZ109" i="6"/>
  <c r="AW7" i="11"/>
  <c r="AW45" i="11" s="1"/>
  <c r="AX33" i="74"/>
  <c r="Z45" i="75" s="1"/>
  <c r="Z19" i="75" s="1"/>
  <c r="Z9" i="75" s="1"/>
  <c r="AX45" i="11"/>
  <c r="AW45" i="93"/>
  <c r="AW51" i="93" s="1"/>
  <c r="AW126" i="47"/>
  <c r="AW13" i="47"/>
  <c r="AW21" i="116"/>
  <c r="AW34" i="116"/>
  <c r="AW8" i="116"/>
  <c r="AW78" i="93"/>
  <c r="AA39" i="45"/>
  <c r="AA45" i="45"/>
  <c r="AA42" i="45"/>
  <c r="AA34" i="45"/>
  <c r="AA31" i="45"/>
  <c r="AA28" i="45"/>
  <c r="AB18" i="114"/>
  <c r="AC18" i="114"/>
  <c r="AD18" i="114"/>
  <c r="AB19" i="114"/>
  <c r="AC19" i="114"/>
  <c r="AD19" i="114"/>
  <c r="AB20" i="114"/>
  <c r="AC20" i="114"/>
  <c r="AD20" i="114"/>
  <c r="AB22" i="114"/>
  <c r="AC22" i="114"/>
  <c r="AD22" i="114"/>
  <c r="AB23" i="114"/>
  <c r="AC23" i="114"/>
  <c r="AD23" i="114"/>
  <c r="AB24" i="114"/>
  <c r="AC24" i="114"/>
  <c r="AD24" i="114"/>
  <c r="AB25" i="114"/>
  <c r="AC25" i="114"/>
  <c r="AD25" i="114"/>
  <c r="AB26" i="114"/>
  <c r="AC26" i="114"/>
  <c r="AD26" i="114"/>
  <c r="AA26" i="114"/>
  <c r="AA25" i="114"/>
  <c r="AA24" i="114"/>
  <c r="AA23" i="114"/>
  <c r="AA22" i="114"/>
  <c r="AA20" i="114"/>
  <c r="AA19" i="114"/>
  <c r="AA18" i="114"/>
  <c r="W18" i="114"/>
  <c r="X18" i="114"/>
  <c r="Y18" i="114"/>
  <c r="W19" i="114"/>
  <c r="X19" i="114"/>
  <c r="Y19" i="114"/>
  <c r="W20" i="114"/>
  <c r="X20" i="114"/>
  <c r="Y20" i="114"/>
  <c r="W22" i="114"/>
  <c r="X22" i="114"/>
  <c r="Y22" i="114"/>
  <c r="W23" i="114"/>
  <c r="X23" i="114"/>
  <c r="Y23" i="114"/>
  <c r="W24" i="114"/>
  <c r="X24" i="114"/>
  <c r="Y24" i="114"/>
  <c r="W25" i="114"/>
  <c r="X25" i="114"/>
  <c r="Y25" i="114"/>
  <c r="W26" i="114"/>
  <c r="X26" i="114"/>
  <c r="Y26" i="114"/>
  <c r="V26" i="114"/>
  <c r="V25" i="114"/>
  <c r="V24" i="114"/>
  <c r="V23" i="114"/>
  <c r="V22" i="114"/>
  <c r="V20" i="114"/>
  <c r="V19" i="114"/>
  <c r="V18" i="114"/>
  <c r="R18" i="114"/>
  <c r="S18" i="114"/>
  <c r="T18" i="114"/>
  <c r="R19" i="114"/>
  <c r="S19" i="114"/>
  <c r="T19" i="114"/>
  <c r="R20" i="114"/>
  <c r="S20" i="114"/>
  <c r="T20" i="114"/>
  <c r="R22" i="114"/>
  <c r="S22" i="114"/>
  <c r="T22" i="114"/>
  <c r="R23" i="114"/>
  <c r="S23" i="114"/>
  <c r="T23" i="114"/>
  <c r="R24" i="114"/>
  <c r="S24" i="114"/>
  <c r="T24" i="114"/>
  <c r="R25" i="114"/>
  <c r="S25" i="114"/>
  <c r="T25" i="114"/>
  <c r="R26" i="114"/>
  <c r="S26" i="114"/>
  <c r="T26" i="114"/>
  <c r="Q26" i="114"/>
  <c r="Q25" i="114"/>
  <c r="Q24" i="114"/>
  <c r="Q23" i="114"/>
  <c r="Q22" i="114"/>
  <c r="Q20" i="114"/>
  <c r="Q19" i="114"/>
  <c r="Q18" i="114"/>
  <c r="M18" i="114"/>
  <c r="N18" i="114"/>
  <c r="O18" i="114"/>
  <c r="M19" i="114"/>
  <c r="N19" i="114"/>
  <c r="O19" i="114"/>
  <c r="M20" i="114"/>
  <c r="N20" i="114"/>
  <c r="O20" i="114"/>
  <c r="M22" i="114"/>
  <c r="N22" i="114"/>
  <c r="O22" i="114"/>
  <c r="M23" i="114"/>
  <c r="N23" i="114"/>
  <c r="O23" i="114"/>
  <c r="M24" i="114"/>
  <c r="N24" i="114"/>
  <c r="O24" i="114"/>
  <c r="M25" i="114"/>
  <c r="N25" i="114"/>
  <c r="O25" i="114"/>
  <c r="M26" i="114"/>
  <c r="N26" i="114"/>
  <c r="O26" i="114"/>
  <c r="L26" i="114"/>
  <c r="L25" i="114"/>
  <c r="L24" i="114"/>
  <c r="L23" i="114"/>
  <c r="L22" i="114"/>
  <c r="L20" i="114"/>
  <c r="L19" i="114"/>
  <c r="L18" i="114"/>
  <c r="H18" i="114"/>
  <c r="I18" i="114"/>
  <c r="J18" i="114"/>
  <c r="H19" i="114"/>
  <c r="I19" i="114"/>
  <c r="J19" i="114"/>
  <c r="H20" i="114"/>
  <c r="I20" i="114"/>
  <c r="J20" i="114"/>
  <c r="H22" i="114"/>
  <c r="I22" i="114"/>
  <c r="J22" i="114"/>
  <c r="H23" i="114"/>
  <c r="I23" i="114"/>
  <c r="J23" i="114"/>
  <c r="H24" i="114"/>
  <c r="I24" i="114"/>
  <c r="J24" i="114"/>
  <c r="H25" i="114"/>
  <c r="I25" i="114"/>
  <c r="J25" i="114"/>
  <c r="H26" i="114"/>
  <c r="I26" i="114"/>
  <c r="J26" i="114"/>
  <c r="G26" i="114"/>
  <c r="G25" i="114"/>
  <c r="G24" i="114"/>
  <c r="G23" i="114"/>
  <c r="G22" i="114"/>
  <c r="G20" i="114"/>
  <c r="G19" i="114"/>
  <c r="G18" i="114"/>
  <c r="C18" i="114"/>
  <c r="D18" i="114"/>
  <c r="E18" i="114"/>
  <c r="C19" i="114"/>
  <c r="D19" i="114"/>
  <c r="E19" i="114"/>
  <c r="C20" i="114"/>
  <c r="D20" i="114"/>
  <c r="E20" i="114"/>
  <c r="C22" i="114"/>
  <c r="D22" i="114"/>
  <c r="E22" i="114"/>
  <c r="C23" i="114"/>
  <c r="D23" i="114"/>
  <c r="E23" i="114"/>
  <c r="C24" i="114"/>
  <c r="D24" i="114"/>
  <c r="E24" i="114"/>
  <c r="C25" i="114"/>
  <c r="D25" i="114"/>
  <c r="E25" i="114"/>
  <c r="C26" i="114"/>
  <c r="D26" i="114"/>
  <c r="E26" i="114"/>
  <c r="B26" i="114"/>
  <c r="B25" i="114"/>
  <c r="B24" i="114"/>
  <c r="B23" i="114"/>
  <c r="B22" i="114"/>
  <c r="B20" i="114"/>
  <c r="B19" i="114"/>
  <c r="B18" i="114"/>
  <c r="AQ15" i="114"/>
  <c r="AM15" i="114"/>
  <c r="AN15" i="114"/>
  <c r="AB8" i="114"/>
  <c r="AC8" i="114"/>
  <c r="AD8" i="114"/>
  <c r="AB9" i="114"/>
  <c r="AC9" i="114"/>
  <c r="AD9" i="114"/>
  <c r="AB10" i="114"/>
  <c r="AC10" i="114"/>
  <c r="AD10" i="114"/>
  <c r="AB12" i="114"/>
  <c r="AC12" i="114"/>
  <c r="AD12" i="114"/>
  <c r="AB13" i="114"/>
  <c r="AC13" i="114"/>
  <c r="AD13" i="114"/>
  <c r="AB14" i="114"/>
  <c r="AC14" i="114"/>
  <c r="AD14" i="114"/>
  <c r="AB15" i="114"/>
  <c r="AC15" i="114"/>
  <c r="AD15" i="114"/>
  <c r="AA15" i="114"/>
  <c r="AA14" i="114"/>
  <c r="AA13" i="114"/>
  <c r="AA12" i="114"/>
  <c r="AA10" i="114"/>
  <c r="AA9" i="114"/>
  <c r="AA8" i="114"/>
  <c r="W8" i="114"/>
  <c r="X8" i="114"/>
  <c r="Y8" i="114"/>
  <c r="W9" i="114"/>
  <c r="X9" i="114"/>
  <c r="Y9" i="114"/>
  <c r="W10" i="114"/>
  <c r="X10" i="114"/>
  <c r="Y10" i="114"/>
  <c r="W12" i="114"/>
  <c r="X12" i="114"/>
  <c r="Y12" i="114"/>
  <c r="W13" i="114"/>
  <c r="X13" i="114"/>
  <c r="Y13" i="114"/>
  <c r="W14" i="114"/>
  <c r="X14" i="114"/>
  <c r="Y14" i="114"/>
  <c r="W15" i="114"/>
  <c r="X15" i="114"/>
  <c r="Y15" i="114"/>
  <c r="V15" i="114"/>
  <c r="V14" i="114"/>
  <c r="V13" i="114"/>
  <c r="V12" i="114"/>
  <c r="V10" i="114"/>
  <c r="V9" i="114"/>
  <c r="V8" i="114"/>
  <c r="R8" i="114"/>
  <c r="S8" i="114"/>
  <c r="T8" i="114"/>
  <c r="R9" i="114"/>
  <c r="S9" i="114"/>
  <c r="T9" i="114"/>
  <c r="R10" i="114"/>
  <c r="S10" i="114"/>
  <c r="T10" i="114"/>
  <c r="R12" i="114"/>
  <c r="S12" i="114"/>
  <c r="T12" i="114"/>
  <c r="R13" i="114"/>
  <c r="S13" i="114"/>
  <c r="T13" i="114"/>
  <c r="R14" i="114"/>
  <c r="S14" i="114"/>
  <c r="T14" i="114"/>
  <c r="R15" i="114"/>
  <c r="S15" i="114"/>
  <c r="T15" i="114"/>
  <c r="Q15" i="114"/>
  <c r="Q14" i="114"/>
  <c r="Q13" i="114"/>
  <c r="Q12" i="114"/>
  <c r="Q10" i="114"/>
  <c r="Q9" i="114"/>
  <c r="Q8" i="114"/>
  <c r="M8" i="114"/>
  <c r="N8" i="114"/>
  <c r="O8" i="114"/>
  <c r="M9" i="114"/>
  <c r="N9" i="114"/>
  <c r="O9" i="114"/>
  <c r="M10" i="114"/>
  <c r="N10" i="114"/>
  <c r="O10" i="114"/>
  <c r="M12" i="114"/>
  <c r="N12" i="114"/>
  <c r="O12" i="114"/>
  <c r="M13" i="114"/>
  <c r="N13" i="114"/>
  <c r="O13" i="114"/>
  <c r="M14" i="114"/>
  <c r="N14" i="114"/>
  <c r="O14" i="114"/>
  <c r="M15" i="114"/>
  <c r="N15" i="114"/>
  <c r="O15" i="114"/>
  <c r="L15" i="114"/>
  <c r="L14" i="114"/>
  <c r="L13" i="114"/>
  <c r="L12" i="114"/>
  <c r="L10" i="114"/>
  <c r="L9" i="114"/>
  <c r="L8" i="114"/>
  <c r="H8" i="114"/>
  <c r="I8" i="114"/>
  <c r="J8" i="114"/>
  <c r="H9" i="114"/>
  <c r="I9" i="114"/>
  <c r="J9" i="114"/>
  <c r="H10" i="114"/>
  <c r="I10" i="114"/>
  <c r="J10" i="114"/>
  <c r="H12" i="114"/>
  <c r="I12" i="114"/>
  <c r="J12" i="114"/>
  <c r="H13" i="114"/>
  <c r="I13" i="114"/>
  <c r="J13" i="114"/>
  <c r="H14" i="114"/>
  <c r="I14" i="114"/>
  <c r="J14" i="114"/>
  <c r="H15" i="114"/>
  <c r="I15" i="114"/>
  <c r="J15" i="114"/>
  <c r="G15" i="114"/>
  <c r="G14" i="114"/>
  <c r="G13" i="114"/>
  <c r="G12" i="114"/>
  <c r="G10" i="114"/>
  <c r="G9" i="114"/>
  <c r="G8" i="114"/>
  <c r="C8" i="114"/>
  <c r="D8" i="114"/>
  <c r="E8" i="114"/>
  <c r="C9" i="114"/>
  <c r="D9" i="114"/>
  <c r="E9" i="114"/>
  <c r="C10" i="114"/>
  <c r="D10" i="114"/>
  <c r="E10" i="114"/>
  <c r="C12" i="114"/>
  <c r="D12" i="114"/>
  <c r="E12" i="114"/>
  <c r="C13" i="114"/>
  <c r="D13" i="114"/>
  <c r="E13" i="114"/>
  <c r="C14" i="114"/>
  <c r="D14" i="114"/>
  <c r="E14" i="114"/>
  <c r="C15" i="114"/>
  <c r="D15" i="114"/>
  <c r="E15" i="114"/>
  <c r="B15" i="114"/>
  <c r="B14" i="114"/>
  <c r="B13" i="114"/>
  <c r="B12" i="114"/>
  <c r="B10" i="114"/>
  <c r="B9" i="114"/>
  <c r="B8" i="114"/>
  <c r="AY73" i="93" l="1"/>
  <c r="AW33" i="74"/>
  <c r="Y45" i="75" s="1"/>
  <c r="Y19" i="75" s="1"/>
  <c r="Y9" i="75" s="1"/>
  <c r="AX51" i="11"/>
  <c r="AX9" i="74"/>
  <c r="Z21" i="75" s="1"/>
  <c r="AX120" i="74" s="1"/>
  <c r="AA21" i="114"/>
  <c r="AW128" i="47"/>
  <c r="AW86" i="93"/>
  <c r="AW58" i="93"/>
  <c r="Y11" i="114"/>
  <c r="S11" i="114"/>
  <c r="J11" i="114"/>
  <c r="L11" i="114"/>
  <c r="AA11" i="114"/>
  <c r="W11" i="114"/>
  <c r="G11" i="114"/>
  <c r="I11" i="114"/>
  <c r="X11" i="114"/>
  <c r="T21" i="114"/>
  <c r="R21" i="114"/>
  <c r="AD11" i="114"/>
  <c r="Q11" i="114"/>
  <c r="R11" i="114"/>
  <c r="H21" i="114"/>
  <c r="O11" i="114"/>
  <c r="D21" i="114"/>
  <c r="K15" i="114"/>
  <c r="N11" i="114"/>
  <c r="C21" i="114"/>
  <c r="X21" i="114"/>
  <c r="M11" i="114"/>
  <c r="AB11" i="114"/>
  <c r="W21" i="114"/>
  <c r="AB21" i="114"/>
  <c r="E11" i="114"/>
  <c r="S21" i="114"/>
  <c r="H11" i="114"/>
  <c r="T17" i="114"/>
  <c r="M21" i="114"/>
  <c r="U15" i="114"/>
  <c r="O21" i="114"/>
  <c r="Q21" i="114"/>
  <c r="T11" i="114"/>
  <c r="T7" i="114"/>
  <c r="V11" i="114"/>
  <c r="N21" i="114"/>
  <c r="Y21" i="114"/>
  <c r="AC21" i="114"/>
  <c r="AC11" i="114"/>
  <c r="D11" i="114"/>
  <c r="J21" i="114"/>
  <c r="V21" i="114"/>
  <c r="I21" i="114"/>
  <c r="C11" i="114"/>
  <c r="P15" i="114"/>
  <c r="E21" i="114"/>
  <c r="L21" i="114"/>
  <c r="G21" i="114"/>
  <c r="AD21" i="114"/>
  <c r="AW51" i="11"/>
  <c r="F15" i="114"/>
  <c r="B11" i="114"/>
  <c r="T27" i="114" l="1"/>
  <c r="AY78" i="93"/>
  <c r="AW9" i="74"/>
  <c r="Y21" i="75" s="1"/>
  <c r="AW120" i="74" s="1"/>
  <c r="AX59" i="11"/>
  <c r="S27" i="114"/>
  <c r="AA27" i="114"/>
  <c r="AW88" i="93"/>
  <c r="AW133" i="47"/>
  <c r="AW60" i="93"/>
  <c r="R27" i="114"/>
  <c r="K11" i="114"/>
  <c r="F11" i="114"/>
  <c r="AW59" i="11"/>
  <c r="AC7" i="114"/>
  <c r="AD17" i="114"/>
  <c r="AA17" i="114"/>
  <c r="W39" i="114"/>
  <c r="X39" i="114"/>
  <c r="Y39" i="114"/>
  <c r="W17" i="114"/>
  <c r="W36" i="114"/>
  <c r="X36" i="114"/>
  <c r="Y36" i="114"/>
  <c r="W38" i="114"/>
  <c r="X38" i="114"/>
  <c r="Y38" i="114"/>
  <c r="V38" i="114"/>
  <c r="V36" i="114"/>
  <c r="V17" i="114"/>
  <c r="V39" i="114"/>
  <c r="V7" i="114"/>
  <c r="R7" i="114"/>
  <c r="S7" i="114"/>
  <c r="R39" i="114"/>
  <c r="S39" i="114"/>
  <c r="T39" i="114"/>
  <c r="R36" i="114"/>
  <c r="S36" i="114"/>
  <c r="T36" i="114"/>
  <c r="R38" i="114"/>
  <c r="S38" i="114"/>
  <c r="T38" i="114"/>
  <c r="Q38" i="114"/>
  <c r="Q36" i="114"/>
  <c r="Q39" i="114"/>
  <c r="N7" i="114"/>
  <c r="M39" i="114"/>
  <c r="N39" i="114"/>
  <c r="O39" i="114"/>
  <c r="O17" i="114"/>
  <c r="M36" i="114"/>
  <c r="N36" i="114"/>
  <c r="O36" i="114"/>
  <c r="M38" i="114"/>
  <c r="N38" i="114"/>
  <c r="O38" i="114"/>
  <c r="L38" i="114"/>
  <c r="L36" i="114"/>
  <c r="L17" i="114"/>
  <c r="L39" i="114"/>
  <c r="H39" i="114"/>
  <c r="I39" i="114"/>
  <c r="J39" i="114"/>
  <c r="H17" i="114"/>
  <c r="H36" i="114"/>
  <c r="I36" i="114"/>
  <c r="J36" i="114"/>
  <c r="H38" i="114"/>
  <c r="I38" i="114"/>
  <c r="J38" i="114"/>
  <c r="G38" i="114"/>
  <c r="G36" i="114"/>
  <c r="G17" i="114"/>
  <c r="G39" i="114"/>
  <c r="G7" i="114"/>
  <c r="C17" i="114"/>
  <c r="D17" i="114"/>
  <c r="E17" i="114"/>
  <c r="C36" i="114"/>
  <c r="D36" i="114"/>
  <c r="E36" i="114"/>
  <c r="C38" i="114"/>
  <c r="D38" i="114"/>
  <c r="E38" i="114"/>
  <c r="B38" i="114"/>
  <c r="B36" i="114"/>
  <c r="B39" i="114"/>
  <c r="C39" i="114"/>
  <c r="D39" i="114"/>
  <c r="E39" i="114"/>
  <c r="AY86" i="93" l="1"/>
  <c r="AX61" i="11"/>
  <c r="AX71" i="11"/>
  <c r="AW61" i="11"/>
  <c r="AW71" i="11"/>
  <c r="E31" i="114"/>
  <c r="E7" i="114"/>
  <c r="AC17" i="114"/>
  <c r="J7" i="114"/>
  <c r="Y7" i="114"/>
  <c r="AB17" i="114"/>
  <c r="I7" i="114"/>
  <c r="Q17" i="114"/>
  <c r="X7" i="114"/>
  <c r="H7" i="114"/>
  <c r="W7" i="114"/>
  <c r="D31" i="114"/>
  <c r="D7" i="114"/>
  <c r="C7" i="114"/>
  <c r="N17" i="114"/>
  <c r="M17" i="114"/>
  <c r="L7" i="114"/>
  <c r="S17" i="114"/>
  <c r="AA7" i="114"/>
  <c r="O7" i="114"/>
  <c r="R17" i="114"/>
  <c r="AD7" i="114"/>
  <c r="B32" i="114"/>
  <c r="J17" i="114"/>
  <c r="M7" i="114"/>
  <c r="Y17" i="114"/>
  <c r="AB7" i="114"/>
  <c r="B31" i="114"/>
  <c r="B7" i="114"/>
  <c r="B17" i="114"/>
  <c r="F17" i="114" s="1"/>
  <c r="I17" i="114"/>
  <c r="Q7" i="114"/>
  <c r="U7" i="114" s="1"/>
  <c r="X17" i="114"/>
  <c r="C31" i="114"/>
  <c r="P38" i="114"/>
  <c r="AE38" i="114"/>
  <c r="C32" i="114"/>
  <c r="X35" i="114"/>
  <c r="L35" i="114"/>
  <c r="L27" i="114"/>
  <c r="Q37" i="114"/>
  <c r="S32" i="114"/>
  <c r="Y37" i="114"/>
  <c r="Y35" i="114"/>
  <c r="K39" i="114"/>
  <c r="M31" i="114"/>
  <c r="E35" i="114"/>
  <c r="I35" i="114"/>
  <c r="H35" i="114"/>
  <c r="G27" i="114"/>
  <c r="V27" i="114"/>
  <c r="J37" i="114"/>
  <c r="J35" i="114"/>
  <c r="T32" i="114"/>
  <c r="W35" i="114"/>
  <c r="B35" i="114"/>
  <c r="B21" i="114"/>
  <c r="F36" i="114"/>
  <c r="Q27" i="114"/>
  <c r="U38" i="114"/>
  <c r="K36" i="114"/>
  <c r="K38" i="114"/>
  <c r="P36" i="114"/>
  <c r="AE36" i="114"/>
  <c r="U36" i="114"/>
  <c r="F38" i="114"/>
  <c r="I37" i="114"/>
  <c r="H37" i="114"/>
  <c r="W37" i="114"/>
  <c r="Q31" i="114"/>
  <c r="D35" i="114"/>
  <c r="N35" i="114"/>
  <c r="Q32" i="114"/>
  <c r="Z39" i="114"/>
  <c r="C35" i="114"/>
  <c r="Z36" i="114"/>
  <c r="X37" i="114"/>
  <c r="O35" i="114"/>
  <c r="Z38" i="114"/>
  <c r="R32" i="114"/>
  <c r="U39" i="114"/>
  <c r="P39" i="114"/>
  <c r="F39" i="114"/>
  <c r="AE39" i="114"/>
  <c r="M37" i="114"/>
  <c r="M35" i="114"/>
  <c r="Q33" i="114"/>
  <c r="G37" i="114"/>
  <c r="I32" i="114"/>
  <c r="O33" i="114"/>
  <c r="Q35" i="114"/>
  <c r="V37" i="114"/>
  <c r="X32" i="114"/>
  <c r="B37" i="114"/>
  <c r="S35" i="114"/>
  <c r="E37" i="114"/>
  <c r="C37" i="114"/>
  <c r="O37" i="114"/>
  <c r="T35" i="114"/>
  <c r="S37" i="114"/>
  <c r="R37" i="114"/>
  <c r="R35" i="114"/>
  <c r="D37" i="114"/>
  <c r="N37" i="114"/>
  <c r="T37" i="114"/>
  <c r="G35" i="114"/>
  <c r="L37" i="114"/>
  <c r="V35" i="114"/>
  <c r="J31" i="114"/>
  <c r="Y31" i="114"/>
  <c r="W32" i="114"/>
  <c r="I31" i="114"/>
  <c r="H31" i="114"/>
  <c r="T33" i="114"/>
  <c r="W31" i="114"/>
  <c r="N33" i="114"/>
  <c r="L31" i="114"/>
  <c r="S33" i="114"/>
  <c r="H32" i="114"/>
  <c r="X31" i="114"/>
  <c r="R33" i="114"/>
  <c r="L32" i="114"/>
  <c r="D33" i="114"/>
  <c r="N32" i="114"/>
  <c r="E33" i="114"/>
  <c r="M33" i="114"/>
  <c r="T31" i="114"/>
  <c r="L33" i="114"/>
  <c r="O32" i="114"/>
  <c r="C33" i="114"/>
  <c r="J33" i="114"/>
  <c r="I33" i="114"/>
  <c r="M32" i="114"/>
  <c r="V31" i="114"/>
  <c r="E32" i="114"/>
  <c r="G32" i="114"/>
  <c r="H33" i="114"/>
  <c r="O31" i="114"/>
  <c r="V32" i="114"/>
  <c r="W33" i="114"/>
  <c r="S31" i="114"/>
  <c r="R31" i="114"/>
  <c r="Y33" i="114"/>
  <c r="B33" i="114"/>
  <c r="G31" i="114"/>
  <c r="X33" i="114"/>
  <c r="D32" i="114"/>
  <c r="G33" i="114"/>
  <c r="J32" i="114"/>
  <c r="N31" i="114"/>
  <c r="V33" i="114"/>
  <c r="Y32" i="114"/>
  <c r="F25" i="114"/>
  <c r="U9" i="114"/>
  <c r="Z8" i="114"/>
  <c r="P10" i="114"/>
  <c r="F8" i="114"/>
  <c r="K12" i="114"/>
  <c r="K24" i="114"/>
  <c r="Z12" i="114"/>
  <c r="Z24" i="114"/>
  <c r="AE18" i="114"/>
  <c r="K13" i="114"/>
  <c r="K25" i="114"/>
  <c r="Z13" i="114"/>
  <c r="Z25" i="114"/>
  <c r="P23" i="114"/>
  <c r="F23" i="114"/>
  <c r="K19" i="114"/>
  <c r="Z19" i="114"/>
  <c r="AE23" i="114"/>
  <c r="P14" i="114"/>
  <c r="F13" i="114"/>
  <c r="U26" i="114"/>
  <c r="F20" i="114"/>
  <c r="P22" i="114"/>
  <c r="F22" i="114"/>
  <c r="F26" i="114"/>
  <c r="P8" i="114"/>
  <c r="U13" i="114"/>
  <c r="U25" i="114"/>
  <c r="F9" i="114"/>
  <c r="U19" i="114"/>
  <c r="U8" i="114"/>
  <c r="P9" i="114"/>
  <c r="AE9" i="114"/>
  <c r="Z10" i="114"/>
  <c r="P25" i="114"/>
  <c r="P13" i="114"/>
  <c r="AE22" i="114"/>
  <c r="K18" i="114"/>
  <c r="F10" i="114"/>
  <c r="F18" i="114"/>
  <c r="K23" i="114"/>
  <c r="U20" i="114"/>
  <c r="Z23" i="114"/>
  <c r="F14" i="114"/>
  <c r="K22" i="114"/>
  <c r="K9" i="114"/>
  <c r="U18" i="114"/>
  <c r="AE20" i="114"/>
  <c r="K14" i="114"/>
  <c r="U23" i="114"/>
  <c r="Z14" i="114"/>
  <c r="AE19" i="114"/>
  <c r="K20" i="114"/>
  <c r="P24" i="114"/>
  <c r="P12" i="114"/>
  <c r="U10" i="114"/>
  <c r="P26" i="114"/>
  <c r="U24" i="114"/>
  <c r="U22" i="114"/>
  <c r="AE26" i="114"/>
  <c r="Z20" i="114"/>
  <c r="F24" i="114"/>
  <c r="K26" i="114"/>
  <c r="P18" i="114"/>
  <c r="Z22" i="114"/>
  <c r="Z26" i="114"/>
  <c r="AE24" i="114"/>
  <c r="F12" i="114"/>
  <c r="K10" i="114"/>
  <c r="AE13" i="114"/>
  <c r="AE25" i="114"/>
  <c r="P20" i="114"/>
  <c r="Z9" i="114"/>
  <c r="P19" i="114"/>
  <c r="K8" i="114"/>
  <c r="U12" i="114"/>
  <c r="AE8" i="114"/>
  <c r="AE10" i="114"/>
  <c r="AE12" i="114"/>
  <c r="F19" i="114"/>
  <c r="AE14" i="114"/>
  <c r="Z18" i="114"/>
  <c r="U14" i="114"/>
  <c r="AA118" i="74"/>
  <c r="AY88" i="93" l="1"/>
  <c r="AX67" i="11"/>
  <c r="AX65" i="11"/>
  <c r="AX111" i="74"/>
  <c r="Z71" i="75" s="1"/>
  <c r="AW65" i="11"/>
  <c r="AE17" i="114"/>
  <c r="K17" i="114"/>
  <c r="AW111" i="74"/>
  <c r="Y71" i="75" s="1"/>
  <c r="AW67" i="11"/>
  <c r="D30" i="114"/>
  <c r="K7" i="114"/>
  <c r="AE11" i="114"/>
  <c r="W30" i="114"/>
  <c r="Z7" i="114"/>
  <c r="R30" i="114"/>
  <c r="P7" i="114"/>
  <c r="E30" i="114"/>
  <c r="F7" i="114"/>
  <c r="F31" i="114"/>
  <c r="AE7" i="114"/>
  <c r="D27" i="114"/>
  <c r="AB30" i="114"/>
  <c r="AA30" i="114"/>
  <c r="AA34" i="114"/>
  <c r="B30" i="114"/>
  <c r="B27" i="114"/>
  <c r="F21" i="114"/>
  <c r="Q30" i="114"/>
  <c r="H27" i="114"/>
  <c r="S30" i="114"/>
  <c r="G30" i="114"/>
  <c r="AC34" i="114"/>
  <c r="E27" i="114"/>
  <c r="N30" i="114"/>
  <c r="I30" i="114"/>
  <c r="M27" i="114"/>
  <c r="C27" i="114"/>
  <c r="AB34" i="114"/>
  <c r="AD30" i="114"/>
  <c r="H30" i="114"/>
  <c r="O30" i="114"/>
  <c r="T30" i="114"/>
  <c r="X30" i="114"/>
  <c r="Q34" i="114"/>
  <c r="W27" i="114"/>
  <c r="Y30" i="114"/>
  <c r="U11" i="114"/>
  <c r="J30" i="114"/>
  <c r="AC30" i="114"/>
  <c r="V30" i="114"/>
  <c r="L30" i="114"/>
  <c r="I27" i="114"/>
  <c r="J34" i="114"/>
  <c r="M30" i="114"/>
  <c r="C30" i="114"/>
  <c r="AB27" i="114"/>
  <c r="U21" i="114"/>
  <c r="Y27" i="114"/>
  <c r="W34" i="114"/>
  <c r="AD27" i="114"/>
  <c r="Z11" i="114"/>
  <c r="O27" i="114"/>
  <c r="Y34" i="114"/>
  <c r="H34" i="114"/>
  <c r="E34" i="114"/>
  <c r="O34" i="114"/>
  <c r="X27" i="114"/>
  <c r="N27" i="114"/>
  <c r="L34" i="114"/>
  <c r="P35" i="114"/>
  <c r="M34" i="114"/>
  <c r="X34" i="114"/>
  <c r="F35" i="114"/>
  <c r="D34" i="114"/>
  <c r="C34" i="114"/>
  <c r="K35" i="114"/>
  <c r="G34" i="114"/>
  <c r="AD34" i="114"/>
  <c r="B34" i="114"/>
  <c r="Z21" i="114"/>
  <c r="N34" i="114"/>
  <c r="Z35" i="114"/>
  <c r="V34" i="114"/>
  <c r="AE21" i="114"/>
  <c r="I34" i="114"/>
  <c r="J27" i="114"/>
  <c r="T34" i="114"/>
  <c r="AC27" i="114"/>
  <c r="R34" i="114"/>
  <c r="S34" i="114"/>
  <c r="P11" i="114"/>
  <c r="U37" i="114"/>
  <c r="U32" i="114"/>
  <c r="Z37" i="114"/>
  <c r="K37" i="114"/>
  <c r="AE35" i="114"/>
  <c r="AE37" i="114"/>
  <c r="Z33" i="114"/>
  <c r="P37" i="114"/>
  <c r="U33" i="114"/>
  <c r="F37" i="114"/>
  <c r="U35" i="114"/>
  <c r="AE33" i="114"/>
  <c r="K32" i="114"/>
  <c r="P33" i="114"/>
  <c r="F32" i="114"/>
  <c r="K31" i="114"/>
  <c r="AE31" i="114"/>
  <c r="AE32" i="114"/>
  <c r="P31" i="114"/>
  <c r="Z31" i="114"/>
  <c r="K33" i="114"/>
  <c r="F33" i="114"/>
  <c r="U31" i="114"/>
  <c r="Z32" i="114"/>
  <c r="P32" i="114"/>
  <c r="U27" i="114"/>
  <c r="AA102" i="108"/>
  <c r="AA92" i="108"/>
  <c r="AA147" i="108" l="1"/>
  <c r="D40" i="114"/>
  <c r="AA154" i="108"/>
  <c r="AA144" i="108"/>
  <c r="AA151" i="108"/>
  <c r="AA40" i="114"/>
  <c r="Q40" i="114"/>
  <c r="R40" i="114"/>
  <c r="E40" i="114"/>
  <c r="AB40" i="114"/>
  <c r="W40" i="114"/>
  <c r="P27" i="114"/>
  <c r="F27" i="114"/>
  <c r="B40" i="114"/>
  <c r="Y40" i="114"/>
  <c r="U30" i="114"/>
  <c r="F30" i="114"/>
  <c r="G40" i="114"/>
  <c r="S40" i="114"/>
  <c r="AD40" i="114"/>
  <c r="J40" i="114"/>
  <c r="AC40" i="114"/>
  <c r="I40" i="114"/>
  <c r="N40" i="114"/>
  <c r="K27" i="114"/>
  <c r="K30" i="114"/>
  <c r="X40" i="114"/>
  <c r="P30" i="114"/>
  <c r="L40" i="114"/>
  <c r="C40" i="114"/>
  <c r="O40" i="114"/>
  <c r="M40" i="114"/>
  <c r="AE30" i="114"/>
  <c r="Z30" i="114"/>
  <c r="V40" i="114"/>
  <c r="T40" i="114"/>
  <c r="H40" i="114"/>
  <c r="Z27" i="114"/>
  <c r="AE27" i="114"/>
  <c r="AE34" i="114"/>
  <c r="P34" i="114"/>
  <c r="U34" i="114"/>
  <c r="K34" i="114"/>
  <c r="Z34" i="114"/>
  <c r="F34" i="114"/>
  <c r="AA140" i="108"/>
  <c r="AA126" i="108"/>
  <c r="AA123" i="108"/>
  <c r="AA137" i="108"/>
  <c r="AA113" i="108"/>
  <c r="AA107" i="108"/>
  <c r="AA48" i="108"/>
  <c r="AA77" i="108"/>
  <c r="AA87" i="108" s="1"/>
  <c r="AE40" i="114" l="1"/>
  <c r="F40" i="114"/>
  <c r="U40" i="114"/>
  <c r="K40" i="114"/>
  <c r="P40" i="114"/>
  <c r="Z40" i="114"/>
  <c r="AA37" i="45"/>
  <c r="AA27" i="45" s="1"/>
  <c r="AZ8" i="6" l="1"/>
  <c r="M8" i="104" l="1"/>
  <c r="M10" i="104"/>
  <c r="M11" i="104"/>
  <c r="M12" i="104"/>
  <c r="M13" i="104"/>
  <c r="M14" i="104"/>
  <c r="M16" i="104"/>
  <c r="M18" i="104"/>
  <c r="M19" i="104"/>
  <c r="M20" i="104"/>
  <c r="M15" i="104"/>
  <c r="M9" i="104"/>
  <c r="V22" i="98"/>
  <c r="V8" i="97" l="1"/>
  <c r="R39" i="97"/>
  <c r="R41" i="97" s="1"/>
  <c r="V41" i="97" s="1"/>
  <c r="R11" i="98"/>
  <c r="V20" i="99"/>
  <c r="V22" i="99"/>
  <c r="V12" i="98"/>
  <c r="V18" i="97"/>
  <c r="V36" i="97"/>
  <c r="V10" i="99"/>
  <c r="V19" i="97"/>
  <c r="V37" i="97"/>
  <c r="V12" i="99"/>
  <c r="V38" i="97"/>
  <c r="V15" i="99"/>
  <c r="V40" i="97"/>
  <c r="V23" i="97"/>
  <c r="V15" i="98"/>
  <c r="V17" i="99"/>
  <c r="V20" i="97"/>
  <c r="V9" i="97"/>
  <c r="V10" i="97"/>
  <c r="V24" i="97"/>
  <c r="V42" i="97"/>
  <c r="V17" i="98"/>
  <c r="V12" i="97"/>
  <c r="V43" i="97"/>
  <c r="R21" i="98"/>
  <c r="V19" i="98"/>
  <c r="V14" i="99"/>
  <c r="V44" i="97"/>
  <c r="V21" i="97"/>
  <c r="V14" i="98"/>
  <c r="V14" i="97"/>
  <c r="V32" i="97"/>
  <c r="V45" i="97"/>
  <c r="V31" i="97"/>
  <c r="V16" i="97"/>
  <c r="V33" i="97"/>
  <c r="V8" i="99"/>
  <c r="V39" i="97"/>
  <c r="V22" i="97"/>
  <c r="V15" i="97"/>
  <c r="V17" i="97"/>
  <c r="V35" i="97"/>
  <c r="V9" i="99"/>
  <c r="R11" i="99"/>
  <c r="R34" i="97"/>
  <c r="R11" i="97"/>
  <c r="AZ24" i="5"/>
  <c r="S25" i="104"/>
  <c r="S13" i="104"/>
  <c r="S17" i="104"/>
  <c r="S19" i="104"/>
  <c r="S7" i="104"/>
  <c r="S20" i="104"/>
  <c r="S16" i="104"/>
  <c r="S21" i="104"/>
  <c r="S9" i="104"/>
  <c r="S24" i="104"/>
  <c r="S27" i="104"/>
  <c r="S15" i="104"/>
  <c r="S23" i="104"/>
  <c r="S11" i="104"/>
  <c r="S12" i="104"/>
  <c r="S18" i="104"/>
  <c r="S8" i="104"/>
  <c r="S26" i="104"/>
  <c r="S14" i="104"/>
  <c r="S22" i="104"/>
  <c r="S10" i="104"/>
  <c r="R13" i="98" l="1"/>
  <c r="V11" i="99"/>
  <c r="V11" i="97"/>
  <c r="V34" i="97"/>
  <c r="R13" i="99"/>
  <c r="R13" i="97"/>
  <c r="R16" i="99" l="1"/>
  <c r="R18" i="99" s="1"/>
  <c r="R16" i="98"/>
  <c r="AZ271" i="5"/>
  <c r="V13" i="97"/>
  <c r="V13" i="99"/>
  <c r="V16" i="99" l="1"/>
  <c r="R19" i="99"/>
  <c r="V18" i="99"/>
  <c r="R18" i="98"/>
  <c r="S192" i="34"/>
  <c r="O42" i="96"/>
  <c r="O18" i="96"/>
  <c r="O17" i="100"/>
  <c r="O7" i="100"/>
  <c r="O16" i="94"/>
  <c r="O6" i="94"/>
  <c r="O32" i="96"/>
  <c r="O8" i="96"/>
  <c r="R21" i="99" l="1"/>
  <c r="V21" i="99" s="1"/>
  <c r="V19" i="99"/>
  <c r="S207" i="34"/>
  <c r="S205" i="34"/>
  <c r="S183" i="34" l="1"/>
  <c r="S148" i="34"/>
  <c r="AJ17" i="33"/>
  <c r="AJ16" i="33" s="1"/>
  <c r="AJ7" i="33"/>
  <c r="AM39" i="22"/>
  <c r="AM32" i="22"/>
  <c r="AM17" i="22"/>
  <c r="AM7" i="22"/>
  <c r="S229" i="34"/>
  <c r="S222" i="34"/>
  <c r="S217" i="34"/>
  <c r="S204" i="34"/>
  <c r="S198" i="34"/>
  <c r="S174" i="34"/>
  <c r="S166" i="34"/>
  <c r="S159" i="34"/>
  <c r="S142" i="34"/>
  <c r="S133" i="34"/>
  <c r="S132" i="34" s="1"/>
  <c r="S123" i="34"/>
  <c r="S77" i="34"/>
  <c r="S69" i="34"/>
  <c r="S58" i="34"/>
  <c r="S46" i="34"/>
  <c r="S36" i="34"/>
  <c r="S29" i="34"/>
  <c r="S18" i="34"/>
  <c r="S9" i="34"/>
  <c r="AJ35" i="33"/>
  <c r="S122" i="34" l="1"/>
  <c r="AJ28" i="33"/>
  <c r="S141" i="34"/>
  <c r="S45" i="34"/>
  <c r="AJ6" i="33"/>
  <c r="S191" i="34"/>
  <c r="S228" i="34"/>
  <c r="S216" i="34"/>
  <c r="S158" i="34"/>
  <c r="AM31" i="22"/>
  <c r="AM6" i="22"/>
  <c r="S68" i="34"/>
  <c r="S28" i="34"/>
  <c r="S8" i="34"/>
  <c r="AH16" i="88" l="1"/>
  <c r="AH17" i="88"/>
  <c r="AH18" i="88"/>
  <c r="AH19" i="88"/>
  <c r="AZ223" i="6"/>
  <c r="AZ225" i="6"/>
  <c r="AH15" i="88" l="1"/>
  <c r="AH31" i="88"/>
  <c r="AV64" i="115"/>
  <c r="AV140" i="115"/>
  <c r="AV102" i="115"/>
  <c r="AZ213" i="6"/>
  <c r="AZ207" i="6"/>
  <c r="AV178" i="115"/>
  <c r="AZ206" i="6"/>
  <c r="AV26" i="115"/>
  <c r="AZ217" i="6"/>
  <c r="AZ210" i="6"/>
  <c r="AZ209" i="6"/>
  <c r="AZ220" i="6"/>
  <c r="AZ219" i="6"/>
  <c r="AZ215" i="6"/>
  <c r="AZ212" i="6"/>
  <c r="AZ218" i="6"/>
  <c r="AZ211" i="6"/>
  <c r="AH127" i="88"/>
  <c r="AV208" i="6"/>
  <c r="AH136" i="88"/>
  <c r="AH74" i="88"/>
  <c r="AH83" i="88"/>
  <c r="AH118" i="88"/>
  <c r="AH57" i="88"/>
  <c r="AH48" i="88"/>
  <c r="AU113" i="20"/>
  <c r="AU112" i="20"/>
  <c r="AU23" i="20"/>
  <c r="AZ140" i="115" l="1"/>
  <c r="AV16" i="116"/>
  <c r="AZ208" i="6"/>
  <c r="AZ26" i="115"/>
  <c r="AV42" i="116"/>
  <c r="AV29" i="116"/>
  <c r="AZ178" i="115"/>
  <c r="AZ17" i="74"/>
  <c r="AZ64" i="115"/>
  <c r="AZ102" i="115"/>
  <c r="AZ69" i="74"/>
  <c r="AZ43" i="74"/>
  <c r="AV214" i="6"/>
  <c r="AU152" i="18"/>
  <c r="AU157" i="18" s="1"/>
  <c r="AU111" i="20"/>
  <c r="AU104" i="18"/>
  <c r="AZ214" i="6" l="1"/>
  <c r="AU110" i="18"/>
  <c r="AZ16" i="116"/>
  <c r="AU159" i="18"/>
  <c r="AB29" i="75"/>
  <c r="AB15" i="75" s="1"/>
  <c r="AZ29" i="116"/>
  <c r="AZ42" i="116"/>
  <c r="AV216" i="6"/>
  <c r="AU158" i="18"/>
  <c r="AU109" i="18"/>
  <c r="AU111" i="18"/>
  <c r="AZ216" i="6" l="1"/>
  <c r="AZ131" i="74"/>
  <c r="AV221" i="6"/>
  <c r="R64" i="48"/>
  <c r="R37" i="48"/>
  <c r="R40" i="48"/>
  <c r="R41" i="48"/>
  <c r="R42" i="48"/>
  <c r="R43" i="48"/>
  <c r="R26" i="48"/>
  <c r="R28" i="48" s="1"/>
  <c r="R16" i="48"/>
  <c r="R18" i="48" s="1"/>
  <c r="R6" i="48"/>
  <c r="R7" i="48"/>
  <c r="R9" i="48"/>
  <c r="AU28" i="20"/>
  <c r="AU29" i="20"/>
  <c r="AU83" i="20"/>
  <c r="AU84" i="20"/>
  <c r="AU85" i="20"/>
  <c r="AU75" i="20"/>
  <c r="AU79" i="20"/>
  <c r="AU80" i="20"/>
  <c r="AU81" i="20"/>
  <c r="AH111" i="88"/>
  <c r="AH112" i="88"/>
  <c r="AH113" i="88"/>
  <c r="AH114" i="88"/>
  <c r="AH115" i="88"/>
  <c r="AH67" i="88"/>
  <c r="AH68" i="88"/>
  <c r="AH69" i="88"/>
  <c r="AH70" i="88"/>
  <c r="AH41" i="88"/>
  <c r="AH42" i="88"/>
  <c r="AH43" i="88"/>
  <c r="AH44" i="88"/>
  <c r="AH45" i="88"/>
  <c r="AU187" i="18"/>
  <c r="AU188" i="18"/>
  <c r="AY188" i="18" s="1"/>
  <c r="AV222" i="6" l="1"/>
  <c r="AV224" i="6" s="1"/>
  <c r="AZ224" i="6" s="1"/>
  <c r="AZ221" i="6"/>
  <c r="AH162" i="88"/>
  <c r="AZ76" i="93"/>
  <c r="AU80" i="18"/>
  <c r="AU87" i="18" s="1"/>
  <c r="AZ77" i="93"/>
  <c r="AH171" i="88"/>
  <c r="AU32" i="18"/>
  <c r="AU38" i="18" s="1"/>
  <c r="AY187" i="18"/>
  <c r="AU22" i="18"/>
  <c r="AU207" i="18"/>
  <c r="AH110" i="88"/>
  <c r="AU54" i="18"/>
  <c r="AH40" i="88"/>
  <c r="R8" i="48"/>
  <c r="AU23" i="18"/>
  <c r="AU57" i="18"/>
  <c r="AU21" i="18"/>
  <c r="AU68" i="18"/>
  <c r="AU219" i="18"/>
  <c r="AU198" i="18"/>
  <c r="AU189" i="18"/>
  <c r="AU44" i="18"/>
  <c r="AU193" i="18"/>
  <c r="AU24" i="18"/>
  <c r="AU197" i="18"/>
  <c r="AU18" i="18"/>
  <c r="AU55" i="18"/>
  <c r="AU192" i="18"/>
  <c r="AU196" i="18"/>
  <c r="AU231" i="18"/>
  <c r="AU195" i="18"/>
  <c r="AU59" i="18"/>
  <c r="AU60" i="18"/>
  <c r="AU58" i="18"/>
  <c r="AU19" i="18"/>
  <c r="R10" i="48"/>
  <c r="AZ222" i="6" l="1"/>
  <c r="AZ95" i="74"/>
  <c r="AU39" i="18"/>
  <c r="AU37" i="18"/>
  <c r="AU212" i="18"/>
  <c r="AU236" i="18"/>
  <c r="AU225" i="18"/>
  <c r="AU73" i="18"/>
  <c r="AU49" i="18"/>
  <c r="AU51" i="18"/>
  <c r="AU86" i="18"/>
  <c r="AU50" i="18"/>
  <c r="AU213" i="18"/>
  <c r="AU85" i="18"/>
  <c r="AH154" i="88"/>
  <c r="AY189" i="18"/>
  <c r="AU214" i="18"/>
  <c r="AU56" i="18"/>
  <c r="AU194" i="18"/>
  <c r="AU75" i="18"/>
  <c r="AU74" i="18"/>
  <c r="AU226" i="18"/>
  <c r="AU224" i="18"/>
  <c r="AU20" i="18"/>
  <c r="AU237" i="18"/>
  <c r="AU238" i="18"/>
  <c r="AU63" i="18" l="1"/>
  <c r="AB55" i="75"/>
  <c r="AU25" i="18"/>
  <c r="AU200" i="18"/>
  <c r="AU62" i="18"/>
  <c r="AU61" i="18"/>
  <c r="AU199" i="18"/>
  <c r="AU201" i="18"/>
  <c r="AU27" i="18"/>
  <c r="AU26" i="18"/>
  <c r="AZ48" i="11"/>
  <c r="AZ49" i="11"/>
  <c r="AZ56" i="11"/>
  <c r="AZ55" i="11"/>
  <c r="AZ54" i="11"/>
  <c r="AZ77" i="19"/>
  <c r="AZ76" i="19"/>
  <c r="AZ56" i="19"/>
  <c r="AZ55" i="19"/>
  <c r="AZ54" i="19"/>
  <c r="AZ48" i="19"/>
  <c r="AZ55" i="93" l="1"/>
  <c r="AZ54" i="93"/>
  <c r="AZ49" i="93"/>
  <c r="AZ48" i="93"/>
  <c r="AZ56" i="93"/>
  <c r="AV95" i="74"/>
  <c r="AV91" i="74"/>
  <c r="AV69" i="74"/>
  <c r="AV65" i="74"/>
  <c r="AV127" i="74" s="1"/>
  <c r="AV43" i="74"/>
  <c r="AV39" i="74"/>
  <c r="AV26" i="74"/>
  <c r="AV25" i="74"/>
  <c r="AV23" i="74"/>
  <c r="AV22" i="74"/>
  <c r="AV21" i="74"/>
  <c r="AV17" i="74"/>
  <c r="AV13" i="74"/>
  <c r="AV127" i="47"/>
  <c r="AV120" i="47"/>
  <c r="AV23" i="47"/>
  <c r="AZ8" i="9"/>
  <c r="AZ265" i="5"/>
  <c r="AZ221" i="5"/>
  <c r="AZ36" i="5"/>
  <c r="AV60" i="47"/>
  <c r="AV22" i="115"/>
  <c r="AZ104" i="6" l="1"/>
  <c r="AZ157" i="5"/>
  <c r="AV93" i="115"/>
  <c r="AV137" i="115"/>
  <c r="AZ253" i="5"/>
  <c r="AZ45" i="9"/>
  <c r="AZ44" i="9"/>
  <c r="AZ232" i="5"/>
  <c r="AZ98" i="6"/>
  <c r="AV52" i="115"/>
  <c r="AZ231" i="5"/>
  <c r="AZ251" i="5"/>
  <c r="AZ257" i="5"/>
  <c r="AV47" i="115"/>
  <c r="AZ42" i="9"/>
  <c r="AZ64" i="6"/>
  <c r="AZ103" i="6"/>
  <c r="AZ254" i="5"/>
  <c r="AZ273" i="5"/>
  <c r="AZ99" i="6"/>
  <c r="AZ256" i="5"/>
  <c r="AZ269" i="5"/>
  <c r="AZ110" i="6"/>
  <c r="AZ230" i="5"/>
  <c r="AZ249" i="5"/>
  <c r="AV123" i="115"/>
  <c r="AZ11" i="9"/>
  <c r="AZ40" i="9"/>
  <c r="AZ143" i="6"/>
  <c r="AV61" i="115"/>
  <c r="AZ115" i="6"/>
  <c r="AZ252" i="5"/>
  <c r="AZ113" i="6"/>
  <c r="AZ43" i="9"/>
  <c r="AZ108" i="6"/>
  <c r="AZ154" i="5"/>
  <c r="AZ229" i="5"/>
  <c r="AZ247" i="5"/>
  <c r="AV85" i="115"/>
  <c r="AZ38" i="9"/>
  <c r="AZ275" i="5"/>
  <c r="AZ274" i="5"/>
  <c r="AZ235" i="5"/>
  <c r="AZ107" i="6"/>
  <c r="AZ156" i="5"/>
  <c r="AZ227" i="5"/>
  <c r="AV56" i="115"/>
  <c r="AZ281" i="5"/>
  <c r="AZ37" i="9"/>
  <c r="AZ97" i="6"/>
  <c r="AZ276" i="5"/>
  <c r="AZ62" i="6"/>
  <c r="AV134" i="115"/>
  <c r="AZ237" i="5"/>
  <c r="AZ259" i="5"/>
  <c r="AZ145" i="6"/>
  <c r="AZ159" i="5"/>
  <c r="AV96" i="115"/>
  <c r="AZ152" i="5"/>
  <c r="AZ106" i="6"/>
  <c r="AZ225" i="5"/>
  <c r="AV99" i="115"/>
  <c r="AZ105" i="6"/>
  <c r="AZ158" i="5"/>
  <c r="AV55" i="115"/>
  <c r="AV94" i="115"/>
  <c r="AZ279" i="5"/>
  <c r="AZ28" i="9"/>
  <c r="AZ37" i="5"/>
  <c r="AZ35" i="5"/>
  <c r="AZ54" i="5"/>
  <c r="AZ52" i="5"/>
  <c r="AZ34" i="5"/>
  <c r="AZ42" i="5"/>
  <c r="AZ9" i="5"/>
  <c r="AZ46" i="5"/>
  <c r="AZ31" i="5"/>
  <c r="AZ48" i="5"/>
  <c r="AV48" i="115"/>
  <c r="AZ8" i="5"/>
  <c r="AZ44" i="5"/>
  <c r="AZ30" i="5"/>
  <c r="AZ49" i="5"/>
  <c r="AZ47" i="5"/>
  <c r="AZ20" i="9"/>
  <c r="AV66" i="115"/>
  <c r="AZ20" i="5"/>
  <c r="AV142" i="115"/>
  <c r="AZ23" i="47"/>
  <c r="AV180" i="115"/>
  <c r="AZ245" i="5"/>
  <c r="AV132" i="115"/>
  <c r="AZ264" i="5"/>
  <c r="AV161" i="115"/>
  <c r="AZ33" i="5"/>
  <c r="AV162" i="115"/>
  <c r="AZ35" i="9"/>
  <c r="AV143" i="115"/>
  <c r="AZ242" i="5"/>
  <c r="AV170" i="115"/>
  <c r="AZ36" i="9"/>
  <c r="AV67" i="115"/>
  <c r="AZ223" i="5"/>
  <c r="AV131" i="115"/>
  <c r="AZ219" i="5"/>
  <c r="AV17" i="115"/>
  <c r="AZ33" i="9"/>
  <c r="AV29" i="115"/>
  <c r="AZ146" i="5"/>
  <c r="AV14" i="115"/>
  <c r="AZ147" i="5"/>
  <c r="AV166" i="115"/>
  <c r="AZ220" i="5"/>
  <c r="AV169" i="115"/>
  <c r="AZ149" i="5"/>
  <c r="AV90" i="115"/>
  <c r="AZ241" i="5"/>
  <c r="AV18" i="115"/>
  <c r="AZ34" i="9"/>
  <c r="AV181" i="115"/>
  <c r="AV105" i="115"/>
  <c r="AV103" i="115" s="1"/>
  <c r="AV118" i="115" s="1"/>
  <c r="AZ124" i="6"/>
  <c r="AV175" i="115"/>
  <c r="AZ40" i="5"/>
  <c r="AV124" i="115"/>
  <c r="AZ150" i="5"/>
  <c r="AV128" i="115"/>
  <c r="AV9" i="115"/>
  <c r="AZ14" i="5"/>
  <c r="AZ12" i="5"/>
  <c r="AZ13" i="5"/>
  <c r="AZ16" i="5"/>
  <c r="AZ18" i="5"/>
  <c r="AZ19" i="5"/>
  <c r="AZ11" i="5"/>
  <c r="AZ100" i="6"/>
  <c r="AZ14" i="9"/>
  <c r="AZ13" i="9"/>
  <c r="AZ25" i="9"/>
  <c r="AZ19" i="9"/>
  <c r="AZ27" i="9"/>
  <c r="AZ23" i="9"/>
  <c r="AZ18" i="9"/>
  <c r="AZ26" i="9"/>
  <c r="AZ12" i="9"/>
  <c r="AZ9" i="9"/>
  <c r="AZ17" i="9"/>
  <c r="AZ15" i="9"/>
  <c r="AV80" i="74"/>
  <c r="AZ246" i="5"/>
  <c r="AZ41" i="5"/>
  <c r="AV79" i="74"/>
  <c r="AZ224" i="5"/>
  <c r="AZ244" i="5"/>
  <c r="AZ21" i="5"/>
  <c r="AZ39" i="5"/>
  <c r="AV106" i="74"/>
  <c r="AZ258" i="5"/>
  <c r="AZ268" i="5"/>
  <c r="AZ263" i="5"/>
  <c r="AZ267" i="5"/>
  <c r="AZ266" i="5"/>
  <c r="AV76" i="74"/>
  <c r="AZ76" i="74" s="1"/>
  <c r="AZ151" i="5"/>
  <c r="AZ222" i="5"/>
  <c r="AZ127" i="47"/>
  <c r="AZ120" i="47"/>
  <c r="AZ132" i="6"/>
  <c r="AZ131" i="6"/>
  <c r="AZ101" i="6"/>
  <c r="AZ122" i="6"/>
  <c r="AZ140" i="6"/>
  <c r="AZ139" i="6"/>
  <c r="AZ137" i="6"/>
  <c r="AZ128" i="6"/>
  <c r="AZ138" i="6"/>
  <c r="AV117" i="74"/>
  <c r="AZ102" i="6"/>
  <c r="AZ127" i="6"/>
  <c r="AZ126" i="6"/>
  <c r="AZ133" i="6"/>
  <c r="AZ135" i="6"/>
  <c r="AZ121" i="6"/>
  <c r="AZ125" i="6"/>
  <c r="AZ130" i="6"/>
  <c r="AV111" i="6"/>
  <c r="AV112" i="6" s="1"/>
  <c r="AV55" i="47"/>
  <c r="AV57" i="47"/>
  <c r="AV56" i="47"/>
  <c r="AZ56" i="47" s="1"/>
  <c r="AV48" i="47"/>
  <c r="AV51" i="47"/>
  <c r="AZ51" i="47" s="1"/>
  <c r="AV50" i="47"/>
  <c r="AZ50" i="47" s="1"/>
  <c r="AV53" i="47"/>
  <c r="AZ53" i="47" s="1"/>
  <c r="AV49" i="47"/>
  <c r="AZ49" i="47" s="1"/>
  <c r="AV50" i="74"/>
  <c r="X55" i="75"/>
  <c r="AV84" i="74"/>
  <c r="AV14" i="74"/>
  <c r="X29" i="75"/>
  <c r="AV131" i="74" s="1"/>
  <c r="AV89" i="47"/>
  <c r="AV40" i="74"/>
  <c r="AV95" i="47"/>
  <c r="AV10" i="5"/>
  <c r="AV298" i="5"/>
  <c r="AZ298" i="5" s="1"/>
  <c r="AV24" i="74"/>
  <c r="AV57" i="74"/>
  <c r="AV96" i="47"/>
  <c r="AV91" i="47"/>
  <c r="AV20" i="74"/>
  <c r="AV226" i="5"/>
  <c r="AV10" i="9"/>
  <c r="AV93" i="47"/>
  <c r="AV88" i="47"/>
  <c r="AV66" i="74"/>
  <c r="AV243" i="5"/>
  <c r="AV87" i="47"/>
  <c r="AV58" i="74"/>
  <c r="AV94" i="47"/>
  <c r="AV39" i="9"/>
  <c r="AV83" i="74"/>
  <c r="AV85" i="47"/>
  <c r="AV303" i="5"/>
  <c r="AV54" i="74"/>
  <c r="AV285" i="5"/>
  <c r="AZ285" i="5" s="1"/>
  <c r="AV289" i="5"/>
  <c r="AZ289" i="5" s="1"/>
  <c r="AV288" i="5"/>
  <c r="AZ288" i="5" s="1"/>
  <c r="AV53" i="74"/>
  <c r="AV296" i="5"/>
  <c r="AZ296" i="5" s="1"/>
  <c r="AV81" i="74"/>
  <c r="AV297" i="5"/>
  <c r="AZ297" i="5" s="1"/>
  <c r="AV27" i="74"/>
  <c r="AV28" i="74"/>
  <c r="AV29" i="74"/>
  <c r="AV46" i="74"/>
  <c r="AV301" i="5"/>
  <c r="AZ301" i="5" s="1"/>
  <c r="AV31" i="74"/>
  <c r="AV290" i="5"/>
  <c r="AV32" i="74"/>
  <c r="AV291" i="5"/>
  <c r="AZ291" i="5" s="1"/>
  <c r="AV55" i="74"/>
  <c r="AV86" i="47"/>
  <c r="AV72" i="74"/>
  <c r="AV293" i="5"/>
  <c r="AZ293" i="5" s="1"/>
  <c r="AV270" i="5"/>
  <c r="AV295" i="5"/>
  <c r="AZ295" i="5" s="1"/>
  <c r="AV148" i="5"/>
  <c r="AV123" i="6"/>
  <c r="AV84" i="115" l="1"/>
  <c r="AZ106" i="74"/>
  <c r="AZ143" i="115"/>
  <c r="AZ99" i="115"/>
  <c r="AV114" i="6"/>
  <c r="AZ114" i="6" s="1"/>
  <c r="AZ112" i="6"/>
  <c r="AZ117" i="74"/>
  <c r="AZ55" i="115"/>
  <c r="AZ124" i="115"/>
  <c r="AZ137" i="115"/>
  <c r="AZ61" i="115"/>
  <c r="AZ123" i="115"/>
  <c r="AZ131" i="115"/>
  <c r="AZ132" i="115"/>
  <c r="AZ128" i="115"/>
  <c r="AZ47" i="115"/>
  <c r="AZ67" i="115"/>
  <c r="AZ84" i="74"/>
  <c r="AZ66" i="115"/>
  <c r="AZ142" i="115"/>
  <c r="AZ104" i="115"/>
  <c r="AZ18" i="115"/>
  <c r="AZ17" i="115"/>
  <c r="AV172" i="115"/>
  <c r="AZ14" i="115"/>
  <c r="AV65" i="115"/>
  <c r="AV80" i="115" s="1"/>
  <c r="AV179" i="115"/>
  <c r="AV194" i="115" s="1"/>
  <c r="AV46" i="115"/>
  <c r="AZ54" i="74"/>
  <c r="AV153" i="115"/>
  <c r="AZ39" i="9"/>
  <c r="AZ29" i="115"/>
  <c r="AZ111" i="6"/>
  <c r="AV77" i="115"/>
  <c r="AV114" i="115"/>
  <c r="AV76" i="115"/>
  <c r="AV23" i="115"/>
  <c r="AV13" i="116" s="1"/>
  <c r="AV28" i="115"/>
  <c r="AV27" i="115" s="1"/>
  <c r="AV42" i="115" s="1"/>
  <c r="AV141" i="115"/>
  <c r="AV156" i="115" s="1"/>
  <c r="AV10" i="115"/>
  <c r="AV38" i="115" s="1"/>
  <c r="AZ22" i="115"/>
  <c r="AZ58" i="74"/>
  <c r="AZ50" i="74"/>
  <c r="AV115" i="115"/>
  <c r="AV152" i="115"/>
  <c r="AZ46" i="74"/>
  <c r="AZ53" i="74"/>
  <c r="AZ20" i="74"/>
  <c r="AZ48" i="115"/>
  <c r="AZ180" i="115"/>
  <c r="AZ93" i="115"/>
  <c r="AZ134" i="115"/>
  <c r="AZ32" i="74"/>
  <c r="AZ90" i="115"/>
  <c r="AZ52" i="115"/>
  <c r="AV122" i="115"/>
  <c r="AZ169" i="115"/>
  <c r="AZ175" i="115"/>
  <c r="AZ28" i="74"/>
  <c r="AZ56" i="115"/>
  <c r="AZ86" i="115"/>
  <c r="AZ85" i="115"/>
  <c r="AV39" i="115"/>
  <c r="AZ166" i="115"/>
  <c r="AZ162" i="115"/>
  <c r="AZ94" i="115"/>
  <c r="AV190" i="115"/>
  <c r="AV160" i="115"/>
  <c r="AV191" i="115"/>
  <c r="AZ181" i="115"/>
  <c r="AZ105" i="115"/>
  <c r="AZ161" i="115"/>
  <c r="AZ96" i="115"/>
  <c r="AZ9" i="115"/>
  <c r="AZ170" i="115"/>
  <c r="AZ10" i="5"/>
  <c r="X66" i="75"/>
  <c r="AZ14" i="74"/>
  <c r="AZ55" i="74"/>
  <c r="AZ31" i="74"/>
  <c r="AZ79" i="74"/>
  <c r="AZ40" i="74"/>
  <c r="AZ83" i="74"/>
  <c r="AZ27" i="74"/>
  <c r="AZ66" i="74"/>
  <c r="AZ81" i="74"/>
  <c r="AZ29" i="74"/>
  <c r="AZ72" i="74"/>
  <c r="AZ24" i="74"/>
  <c r="AZ57" i="74"/>
  <c r="AZ80" i="74"/>
  <c r="AZ10" i="9"/>
  <c r="AZ94" i="47"/>
  <c r="AZ85" i="47"/>
  <c r="AZ95" i="47"/>
  <c r="AZ93" i="47"/>
  <c r="AZ91" i="47"/>
  <c r="AZ89" i="47"/>
  <c r="AZ88" i="47"/>
  <c r="AZ86" i="47"/>
  <c r="AZ87" i="47"/>
  <c r="AZ96" i="47"/>
  <c r="AV58" i="47"/>
  <c r="AZ58" i="47" s="1"/>
  <c r="AZ303" i="5"/>
  <c r="AV248" i="5"/>
  <c r="AZ243" i="5"/>
  <c r="AZ32" i="5"/>
  <c r="AV118" i="74"/>
  <c r="AZ290" i="5"/>
  <c r="AZ118" i="74" s="1"/>
  <c r="AV272" i="5"/>
  <c r="AZ270" i="5"/>
  <c r="AV153" i="5"/>
  <c r="AZ148" i="5"/>
  <c r="AV228" i="5"/>
  <c r="AZ226" i="5"/>
  <c r="AX30" i="47"/>
  <c r="AX52" i="47"/>
  <c r="AZ123" i="6"/>
  <c r="X36" i="75"/>
  <c r="AV47" i="47"/>
  <c r="AV82" i="74"/>
  <c r="AV15" i="5"/>
  <c r="X15" i="75"/>
  <c r="X26" i="75"/>
  <c r="X12" i="75" s="1"/>
  <c r="AV41" i="9"/>
  <c r="X40" i="75"/>
  <c r="X41" i="75"/>
  <c r="AV56" i="74"/>
  <c r="AV19" i="74"/>
  <c r="AV18" i="74" s="1"/>
  <c r="AV16" i="9"/>
  <c r="X44" i="75"/>
  <c r="AV38" i="5"/>
  <c r="X39" i="75"/>
  <c r="AV45" i="74"/>
  <c r="X32" i="75"/>
  <c r="AV71" i="74"/>
  <c r="AV30" i="74"/>
  <c r="X43" i="75"/>
  <c r="AV129" i="6"/>
  <c r="R51" i="48"/>
  <c r="AZ141" i="115" l="1"/>
  <c r="AZ156" i="115" s="1"/>
  <c r="AB66" i="75"/>
  <c r="AZ122" i="115"/>
  <c r="AZ152" i="115"/>
  <c r="AZ153" i="115"/>
  <c r="AZ65" i="115"/>
  <c r="AZ80" i="115" s="1"/>
  <c r="AZ23" i="115"/>
  <c r="AZ13" i="116" s="1"/>
  <c r="AZ103" i="115"/>
  <c r="AZ118" i="115" s="1"/>
  <c r="AZ28" i="115"/>
  <c r="AZ27" i="115" s="1"/>
  <c r="AZ42" i="115" s="1"/>
  <c r="AB40" i="75"/>
  <c r="AV44" i="116"/>
  <c r="AV151" i="115"/>
  <c r="AX9" i="47"/>
  <c r="AV39" i="116"/>
  <c r="AV8" i="115"/>
  <c r="AV75" i="115"/>
  <c r="AZ32" i="6"/>
  <c r="AZ43" i="6"/>
  <c r="AZ31" i="6"/>
  <c r="AZ41" i="9"/>
  <c r="AV26" i="116"/>
  <c r="AV113" i="115"/>
  <c r="AZ56" i="6"/>
  <c r="AZ57" i="6"/>
  <c r="AZ37" i="6"/>
  <c r="AZ52" i="6"/>
  <c r="AZ58" i="6"/>
  <c r="AZ48" i="6"/>
  <c r="AZ36" i="6"/>
  <c r="AZ59" i="6"/>
  <c r="AZ38" i="6"/>
  <c r="AZ42" i="6"/>
  <c r="AZ34" i="6"/>
  <c r="AV31" i="116"/>
  <c r="AZ38" i="5"/>
  <c r="AV18" i="116"/>
  <c r="AB39" i="75"/>
  <c r="AV20" i="115"/>
  <c r="AB26" i="75"/>
  <c r="AB12" i="75" s="1"/>
  <c r="AZ77" i="115"/>
  <c r="AB44" i="75"/>
  <c r="AZ46" i="115"/>
  <c r="AZ45" i="74"/>
  <c r="AZ44" i="74" s="1"/>
  <c r="AZ76" i="115"/>
  <c r="AB32" i="75"/>
  <c r="AZ10" i="115"/>
  <c r="AZ38" i="115" s="1"/>
  <c r="AZ179" i="115"/>
  <c r="AZ194" i="115" s="1"/>
  <c r="AZ51" i="6"/>
  <c r="AV59" i="115"/>
  <c r="AZ172" i="115"/>
  <c r="AZ49" i="6"/>
  <c r="AV97" i="115"/>
  <c r="AZ115" i="115"/>
  <c r="AZ114" i="115"/>
  <c r="AZ84" i="115"/>
  <c r="AZ35" i="6"/>
  <c r="AV173" i="115"/>
  <c r="AZ50" i="6"/>
  <c r="AV135" i="115"/>
  <c r="AZ39" i="115"/>
  <c r="AZ191" i="115"/>
  <c r="AZ160" i="115"/>
  <c r="AZ190" i="115"/>
  <c r="AZ30" i="74"/>
  <c r="AV189" i="115"/>
  <c r="AV37" i="115"/>
  <c r="AZ54" i="6"/>
  <c r="AV21" i="115"/>
  <c r="AZ16" i="6"/>
  <c r="AZ14" i="6"/>
  <c r="AZ13" i="6"/>
  <c r="AZ12" i="6"/>
  <c r="AZ19" i="74"/>
  <c r="AZ18" i="74" s="1"/>
  <c r="AZ33" i="6"/>
  <c r="AU11" i="20"/>
  <c r="AZ30" i="6"/>
  <c r="AU7" i="20"/>
  <c r="AB36" i="75"/>
  <c r="AB43" i="75"/>
  <c r="AZ56" i="74"/>
  <c r="AZ82" i="74"/>
  <c r="AB41" i="75"/>
  <c r="AZ40" i="6"/>
  <c r="AU8" i="20"/>
  <c r="AZ71" i="74"/>
  <c r="AZ70" i="74" s="1"/>
  <c r="AZ16" i="9"/>
  <c r="X42" i="75"/>
  <c r="X18" i="75" s="1"/>
  <c r="AV155" i="5"/>
  <c r="AZ153" i="5"/>
  <c r="AV277" i="5"/>
  <c r="AV278" i="5" s="1"/>
  <c r="AZ272" i="5"/>
  <c r="AZ15" i="5"/>
  <c r="AV250" i="5"/>
  <c r="AZ248" i="5"/>
  <c r="AV233" i="5"/>
  <c r="AZ228" i="5"/>
  <c r="AX54" i="47"/>
  <c r="AX35" i="47"/>
  <c r="AV52" i="47"/>
  <c r="AV54" i="47" s="1"/>
  <c r="AZ47" i="47"/>
  <c r="AZ44" i="6"/>
  <c r="R52" i="48"/>
  <c r="R53" i="48" s="1"/>
  <c r="AZ9" i="6"/>
  <c r="AV10" i="6"/>
  <c r="AZ41" i="6"/>
  <c r="AZ18" i="6"/>
  <c r="AZ129" i="6"/>
  <c r="AZ45" i="6"/>
  <c r="AZ21" i="6"/>
  <c r="AZ19" i="6"/>
  <c r="AZ47" i="6"/>
  <c r="AZ39" i="6"/>
  <c r="AZ46" i="6"/>
  <c r="AV17" i="5"/>
  <c r="R55" i="48"/>
  <c r="R59" i="48"/>
  <c r="R56" i="48"/>
  <c r="R57" i="48"/>
  <c r="AV134" i="6"/>
  <c r="AV128" i="74"/>
  <c r="R54" i="48"/>
  <c r="AV22" i="9"/>
  <c r="AZ22" i="9" s="1"/>
  <c r="AV46" i="9"/>
  <c r="AV84" i="47"/>
  <c r="AZ84" i="47" s="1"/>
  <c r="AV53" i="6"/>
  <c r="AV12" i="74"/>
  <c r="AV11" i="74" s="1"/>
  <c r="R61" i="48"/>
  <c r="AV43" i="5"/>
  <c r="AV287" i="5"/>
  <c r="AV64" i="74"/>
  <c r="AV70" i="74"/>
  <c r="AV38" i="74"/>
  <c r="X31" i="75"/>
  <c r="AV44" i="74"/>
  <c r="X30" i="75" s="1"/>
  <c r="AY7" i="20" l="1"/>
  <c r="AU6" i="20"/>
  <c r="AZ151" i="115"/>
  <c r="AZ18" i="116"/>
  <c r="AZ26" i="116"/>
  <c r="AZ39" i="116"/>
  <c r="AZ59" i="115"/>
  <c r="AZ135" i="115"/>
  <c r="AV280" i="5"/>
  <c r="AZ280" i="5" s="1"/>
  <c r="AZ278" i="5"/>
  <c r="AX14" i="47"/>
  <c r="AX16" i="47" s="1"/>
  <c r="AX21" i="47" s="1"/>
  <c r="AU10" i="20"/>
  <c r="AV10" i="116"/>
  <c r="AZ277" i="5"/>
  <c r="AZ156" i="6"/>
  <c r="AV63" i="115"/>
  <c r="AZ173" i="6"/>
  <c r="AZ154" i="6"/>
  <c r="AZ198" i="6"/>
  <c r="AZ175" i="6"/>
  <c r="AZ158" i="6"/>
  <c r="AZ157" i="6"/>
  <c r="AV139" i="115"/>
  <c r="AZ43" i="5"/>
  <c r="AZ128" i="74"/>
  <c r="AZ75" i="115"/>
  <c r="AV100" i="115"/>
  <c r="AB42" i="75"/>
  <c r="AB18" i="75" s="1"/>
  <c r="AZ8" i="115"/>
  <c r="AZ64" i="74"/>
  <c r="AZ63" i="74" s="1"/>
  <c r="AV177" i="115"/>
  <c r="AZ12" i="74"/>
  <c r="AZ11" i="74" s="1"/>
  <c r="AZ21" i="115"/>
  <c r="AB30" i="75"/>
  <c r="AZ132" i="74" s="1"/>
  <c r="AZ155" i="6"/>
  <c r="AV176" i="115"/>
  <c r="AZ20" i="115"/>
  <c r="AZ113" i="115"/>
  <c r="AZ97" i="115"/>
  <c r="AV25" i="116"/>
  <c r="AV38" i="116"/>
  <c r="AV138" i="115"/>
  <c r="AZ184" i="6"/>
  <c r="AV101" i="115"/>
  <c r="AV36" i="116"/>
  <c r="AV23" i="116"/>
  <c r="AZ173" i="115"/>
  <c r="AZ31" i="116"/>
  <c r="AZ44" i="116"/>
  <c r="AV12" i="116" a="1"/>
  <c r="AV12" i="116" s="1"/>
  <c r="AV62" i="115"/>
  <c r="AV25" i="115"/>
  <c r="AZ189" i="115"/>
  <c r="AZ37" i="115"/>
  <c r="AZ38" i="74"/>
  <c r="AZ37" i="74" s="1"/>
  <c r="AB31" i="75"/>
  <c r="AZ160" i="6"/>
  <c r="AY8" i="20"/>
  <c r="R36" i="48"/>
  <c r="AZ233" i="5"/>
  <c r="AV234" i="5"/>
  <c r="AY11" i="20"/>
  <c r="R39" i="48"/>
  <c r="AZ152" i="6"/>
  <c r="AU59" i="20"/>
  <c r="R35" i="48"/>
  <c r="AZ46" i="9"/>
  <c r="AZ17" i="5"/>
  <c r="AV255" i="5"/>
  <c r="AZ250" i="5"/>
  <c r="AV160" i="5"/>
  <c r="AZ155" i="5"/>
  <c r="AV286" i="5"/>
  <c r="AZ286" i="5" s="1"/>
  <c r="AZ287" i="5"/>
  <c r="AV22" i="5"/>
  <c r="AV23" i="5" s="1"/>
  <c r="AX59" i="47"/>
  <c r="AX37" i="47"/>
  <c r="AZ161" i="6"/>
  <c r="AZ162" i="6"/>
  <c r="AV78" i="47"/>
  <c r="AZ200" i="6"/>
  <c r="AZ167" i="6"/>
  <c r="AZ187" i="6"/>
  <c r="AV15" i="6"/>
  <c r="AZ10" i="6"/>
  <c r="AU104" i="20"/>
  <c r="AZ181" i="6"/>
  <c r="AV55" i="6"/>
  <c r="AZ53" i="6"/>
  <c r="AZ165" i="6"/>
  <c r="AZ170" i="6"/>
  <c r="AZ169" i="6"/>
  <c r="AZ185" i="6"/>
  <c r="AZ134" i="6"/>
  <c r="AU105" i="20"/>
  <c r="AZ182" i="6"/>
  <c r="AZ168" i="6"/>
  <c r="AZ190" i="6"/>
  <c r="AZ194" i="6"/>
  <c r="AZ193" i="6"/>
  <c r="AV69" i="47"/>
  <c r="AZ69" i="47" s="1"/>
  <c r="AZ188" i="6"/>
  <c r="AZ186" i="6"/>
  <c r="AZ192" i="6"/>
  <c r="AZ163" i="6"/>
  <c r="AZ195" i="6"/>
  <c r="AV90" i="47"/>
  <c r="AZ90" i="47" s="1"/>
  <c r="AV136" i="6"/>
  <c r="R58" i="48"/>
  <c r="R60" i="48" s="1"/>
  <c r="R62" i="48" s="1"/>
  <c r="R63" i="48" s="1"/>
  <c r="AV75" i="47"/>
  <c r="AV110" i="74"/>
  <c r="X70" i="75" s="1"/>
  <c r="AV24" i="9"/>
  <c r="AV68" i="47"/>
  <c r="AY63" i="20"/>
  <c r="AU68" i="20"/>
  <c r="AU67" i="20"/>
  <c r="AU66" i="20"/>
  <c r="AU64" i="20"/>
  <c r="AV76" i="47"/>
  <c r="AV132" i="74"/>
  <c r="AV73" i="47"/>
  <c r="AV74" i="47"/>
  <c r="AV71" i="47"/>
  <c r="AV15" i="74"/>
  <c r="X24" i="75"/>
  <c r="AV126" i="74" s="1"/>
  <c r="AV37" i="74"/>
  <c r="AV59" i="47"/>
  <c r="AV65" i="47"/>
  <c r="AV183" i="6"/>
  <c r="AV16" i="74"/>
  <c r="AV67" i="74"/>
  <c r="AV45" i="5"/>
  <c r="AV292" i="5"/>
  <c r="AZ292" i="5" s="1"/>
  <c r="AV67" i="47"/>
  <c r="X17" i="75"/>
  <c r="X16" i="75" s="1"/>
  <c r="AV41" i="74"/>
  <c r="AV68" i="74"/>
  <c r="AV66" i="47"/>
  <c r="AV42" i="74"/>
  <c r="AV63" i="74"/>
  <c r="AV159" i="6"/>
  <c r="AZ82" i="19"/>
  <c r="AZ83" i="19"/>
  <c r="AZ84" i="19"/>
  <c r="AZ81" i="19"/>
  <c r="AZ72" i="19"/>
  <c r="AZ71" i="19"/>
  <c r="AZ70" i="19"/>
  <c r="AZ66" i="19"/>
  <c r="AZ65" i="19"/>
  <c r="AZ64" i="19"/>
  <c r="AZ57" i="19"/>
  <c r="AZ49" i="19"/>
  <c r="AZ42" i="19"/>
  <c r="AZ43" i="19"/>
  <c r="AZ44" i="19"/>
  <c r="AZ41" i="19"/>
  <c r="AZ38" i="19"/>
  <c r="AZ28" i="19"/>
  <c r="AZ29" i="19"/>
  <c r="AZ30" i="19"/>
  <c r="AZ31" i="19"/>
  <c r="AZ32" i="19"/>
  <c r="AZ33" i="19"/>
  <c r="AZ34" i="19"/>
  <c r="AZ35" i="19"/>
  <c r="AZ36" i="19"/>
  <c r="AZ37" i="19"/>
  <c r="AZ27" i="19"/>
  <c r="AZ20" i="19"/>
  <c r="AZ21" i="19"/>
  <c r="AZ22" i="19"/>
  <c r="AZ23" i="19"/>
  <c r="AZ24" i="19"/>
  <c r="AZ25" i="19"/>
  <c r="AZ19" i="19"/>
  <c r="AZ10" i="19"/>
  <c r="AZ11" i="19"/>
  <c r="AZ12" i="19"/>
  <c r="AZ13" i="19"/>
  <c r="AZ14" i="19"/>
  <c r="AZ15" i="19"/>
  <c r="AZ16" i="19"/>
  <c r="AZ17" i="19"/>
  <c r="AZ9" i="19"/>
  <c r="AY64" i="20" l="1"/>
  <c r="AY67" i="20"/>
  <c r="AU16" i="20"/>
  <c r="AZ101" i="115"/>
  <c r="AZ139" i="115"/>
  <c r="AZ63" i="115"/>
  <c r="AZ62" i="115"/>
  <c r="AZ138" i="115"/>
  <c r="AV25" i="5"/>
  <c r="AZ23" i="5"/>
  <c r="AV53" i="19"/>
  <c r="AZ53" i="19" s="1"/>
  <c r="AZ255" i="5"/>
  <c r="AV24" i="115"/>
  <c r="AV14" i="116" s="1"/>
  <c r="AV133" i="115"/>
  <c r="AV154" i="115" s="1"/>
  <c r="AZ183" i="6"/>
  <c r="AV57" i="115"/>
  <c r="AV78" i="115" s="1"/>
  <c r="AZ45" i="5"/>
  <c r="AV95" i="115"/>
  <c r="AV116" i="115" s="1"/>
  <c r="AV28" i="116"/>
  <c r="AB17" i="75"/>
  <c r="AB23" i="75"/>
  <c r="AB11" i="75" s="1"/>
  <c r="AZ177" i="115"/>
  <c r="AZ25" i="115"/>
  <c r="AZ38" i="116"/>
  <c r="AV41" i="116"/>
  <c r="AB24" i="75"/>
  <c r="AZ126" i="74" s="1"/>
  <c r="AZ10" i="116"/>
  <c r="AZ23" i="116"/>
  <c r="AZ36" i="116"/>
  <c r="AZ25" i="116"/>
  <c r="AZ176" i="115"/>
  <c r="AV171" i="115"/>
  <c r="AV192" i="115" s="1"/>
  <c r="AZ100" i="115"/>
  <c r="AV15" i="116"/>
  <c r="AZ12" i="116" a="1"/>
  <c r="AZ12" i="116" s="1"/>
  <c r="AZ22" i="5"/>
  <c r="AU19" i="114"/>
  <c r="AY19" i="114" s="1"/>
  <c r="AU15" i="114"/>
  <c r="AU18" i="114"/>
  <c r="AY18" i="114" s="1"/>
  <c r="AU20" i="114"/>
  <c r="AY20" i="114" s="1"/>
  <c r="AV7" i="12"/>
  <c r="AU25" i="114"/>
  <c r="AU24" i="114"/>
  <c r="AY24" i="114" s="1"/>
  <c r="AV80" i="19"/>
  <c r="AZ80" i="19" s="1"/>
  <c r="AU23" i="114"/>
  <c r="AU13" i="114"/>
  <c r="AU10" i="114"/>
  <c r="AU9" i="114"/>
  <c r="AV15" i="12"/>
  <c r="AZ15" i="12" s="1"/>
  <c r="AU14" i="114"/>
  <c r="AY14" i="114" s="1"/>
  <c r="AU22" i="114"/>
  <c r="AY22" i="114" s="1"/>
  <c r="AU12" i="114"/>
  <c r="AU34" i="20"/>
  <c r="AY66" i="20"/>
  <c r="AV236" i="5"/>
  <c r="AZ234" i="5"/>
  <c r="AV43" i="47"/>
  <c r="AZ78" i="47"/>
  <c r="AU77" i="20"/>
  <c r="AY77" i="20" s="1"/>
  <c r="AY105" i="20"/>
  <c r="AZ160" i="5"/>
  <c r="AV161" i="5"/>
  <c r="AV163" i="5"/>
  <c r="AV39" i="47"/>
  <c r="AZ74" i="47"/>
  <c r="AV40" i="47"/>
  <c r="AZ75" i="47"/>
  <c r="AU76" i="20"/>
  <c r="AY76" i="20" s="1"/>
  <c r="AY104" i="20"/>
  <c r="AZ41" i="74"/>
  <c r="AV38" i="47"/>
  <c r="AZ73" i="47"/>
  <c r="AZ42" i="74"/>
  <c r="AV32" i="47"/>
  <c r="AZ67" i="47"/>
  <c r="AY6" i="20"/>
  <c r="R34" i="48"/>
  <c r="AV30" i="47"/>
  <c r="AZ65" i="47"/>
  <c r="AV33" i="47"/>
  <c r="AZ68" i="47"/>
  <c r="AZ67" i="74"/>
  <c r="AV41" i="47"/>
  <c r="AZ41" i="47" s="1"/>
  <c r="AZ76" i="47"/>
  <c r="AZ110" i="74"/>
  <c r="AB70" i="75" s="1"/>
  <c r="AU36" i="20"/>
  <c r="AY68" i="20"/>
  <c r="AZ68" i="74"/>
  <c r="AV31" i="47"/>
  <c r="AZ31" i="47" s="1"/>
  <c r="AZ66" i="47"/>
  <c r="AU27" i="20"/>
  <c r="AV36" i="47"/>
  <c r="AZ71" i="47"/>
  <c r="AZ16" i="74"/>
  <c r="AZ15" i="74"/>
  <c r="R38" i="48"/>
  <c r="R44" i="48" s="1"/>
  <c r="AU26" i="114"/>
  <c r="AV18" i="19"/>
  <c r="AZ18" i="19" s="1"/>
  <c r="AU8" i="114"/>
  <c r="AZ24" i="9"/>
  <c r="AX42" i="47"/>
  <c r="AU106" i="20"/>
  <c r="AY106" i="20" s="1"/>
  <c r="AV60" i="6"/>
  <c r="AV61" i="6" s="1"/>
  <c r="AZ55" i="6"/>
  <c r="AZ159" i="6"/>
  <c r="AZ136" i="6"/>
  <c r="AZ151" i="6"/>
  <c r="AV17" i="6"/>
  <c r="AZ15" i="6"/>
  <c r="AV92" i="47"/>
  <c r="AZ92" i="47" s="1"/>
  <c r="AV141" i="6"/>
  <c r="AV142" i="6" s="1"/>
  <c r="AV189" i="6"/>
  <c r="AV29" i="9"/>
  <c r="AU70" i="20"/>
  <c r="AU35" i="20"/>
  <c r="AU32" i="20"/>
  <c r="AU62" i="20"/>
  <c r="AU65" i="20"/>
  <c r="AU31" i="20"/>
  <c r="X28" i="75"/>
  <c r="AV130" i="74" s="1"/>
  <c r="X27" i="75"/>
  <c r="AV129" i="74" s="1"/>
  <c r="AV10" i="74"/>
  <c r="AV50" i="5"/>
  <c r="AV294" i="5"/>
  <c r="AZ294" i="5" s="1"/>
  <c r="AV164" i="6"/>
  <c r="AV64" i="47"/>
  <c r="AZ64" i="47" s="1"/>
  <c r="AV62" i="74"/>
  <c r="AV61" i="47"/>
  <c r="AV36" i="74"/>
  <c r="X23" i="75"/>
  <c r="AV125" i="74" s="1"/>
  <c r="AV47" i="19"/>
  <c r="AZ47" i="19" s="1"/>
  <c r="AV75" i="19"/>
  <c r="AZ75" i="19" s="1"/>
  <c r="AV40" i="19"/>
  <c r="AZ40" i="19" s="1"/>
  <c r="AV69" i="19"/>
  <c r="AZ69" i="19" s="1"/>
  <c r="AV8" i="19"/>
  <c r="AZ8" i="19" s="1"/>
  <c r="AV26" i="19"/>
  <c r="AZ26" i="19" s="1"/>
  <c r="AY36" i="20" l="1"/>
  <c r="AY31" i="20"/>
  <c r="AY62" i="20"/>
  <c r="AY32" i="20"/>
  <c r="AY35" i="20"/>
  <c r="AY34" i="20"/>
  <c r="AU22" i="20"/>
  <c r="AY8" i="114"/>
  <c r="AY9" i="114"/>
  <c r="AY13" i="114"/>
  <c r="AY12" i="114"/>
  <c r="AZ7" i="12"/>
  <c r="AV63" i="6"/>
  <c r="AZ61" i="6"/>
  <c r="AV144" i="6"/>
  <c r="AZ142" i="6"/>
  <c r="AZ25" i="5"/>
  <c r="AZ57" i="115"/>
  <c r="AZ78" i="115" s="1"/>
  <c r="AZ133" i="115"/>
  <c r="AZ154" i="115" s="1"/>
  <c r="AZ95" i="115"/>
  <c r="AZ116" i="115" s="1"/>
  <c r="AB16" i="75"/>
  <c r="AZ15" i="116"/>
  <c r="AV19" i="115"/>
  <c r="AV40" i="115" s="1"/>
  <c r="AV11" i="116" s="1"/>
  <c r="AV27" i="116"/>
  <c r="AV40" i="116"/>
  <c r="AZ189" i="6"/>
  <c r="AZ60" i="6"/>
  <c r="AZ161" i="5"/>
  <c r="AV51" i="5"/>
  <c r="AZ28" i="116"/>
  <c r="AZ125" i="74"/>
  <c r="AZ41" i="116"/>
  <c r="AY32" i="114"/>
  <c r="AZ24" i="115"/>
  <c r="AZ171" i="115"/>
  <c r="AZ192" i="115" s="1"/>
  <c r="AZ36" i="47"/>
  <c r="AZ10" i="74"/>
  <c r="AB28" i="75"/>
  <c r="AB14" i="75" s="1"/>
  <c r="AU78" i="20"/>
  <c r="AZ39" i="47"/>
  <c r="AU37" i="114"/>
  <c r="AY37" i="114" s="1"/>
  <c r="AY39" i="114"/>
  <c r="AY26" i="114"/>
  <c r="AU38" i="114"/>
  <c r="AY38" i="114" s="1"/>
  <c r="AY25" i="114"/>
  <c r="AY36" i="114"/>
  <c r="AY23" i="114"/>
  <c r="AV73" i="19"/>
  <c r="AZ73" i="19" s="1"/>
  <c r="AU21" i="114"/>
  <c r="AY21" i="114" s="1"/>
  <c r="AU11" i="114"/>
  <c r="AU17" i="114"/>
  <c r="AY17" i="114" s="1"/>
  <c r="AU33" i="114"/>
  <c r="AY33" i="114" s="1"/>
  <c r="AY10" i="114"/>
  <c r="AB27" i="75"/>
  <c r="AB13" i="75" s="1"/>
  <c r="AZ36" i="74"/>
  <c r="AZ32" i="47"/>
  <c r="AV105" i="74"/>
  <c r="X65" i="75" s="1"/>
  <c r="AZ236" i="5"/>
  <c r="AZ33" i="47"/>
  <c r="AZ163" i="5"/>
  <c r="AV102" i="74"/>
  <c r="X62" i="75" s="1"/>
  <c r="AZ62" i="74"/>
  <c r="AU71" i="20"/>
  <c r="AV9" i="12"/>
  <c r="AZ9" i="12" s="1"/>
  <c r="AU7" i="114"/>
  <c r="AY7" i="114" s="1"/>
  <c r="AZ29" i="9"/>
  <c r="AV299" i="5"/>
  <c r="AZ299" i="5" s="1"/>
  <c r="AZ50" i="5"/>
  <c r="AZ164" i="6"/>
  <c r="AV166" i="6"/>
  <c r="AZ141" i="6"/>
  <c r="AV22" i="6"/>
  <c r="AV23" i="6" s="1"/>
  <c r="AZ17" i="6"/>
  <c r="AV191" i="6"/>
  <c r="AV97" i="47"/>
  <c r="X14" i="75"/>
  <c r="AV109" i="74"/>
  <c r="X22" i="75"/>
  <c r="AV124" i="74"/>
  <c r="AV123" i="74" s="1"/>
  <c r="AU69" i="20"/>
  <c r="AU30" i="20"/>
  <c r="AU33" i="20"/>
  <c r="AU38" i="20"/>
  <c r="X13" i="75"/>
  <c r="X11" i="75"/>
  <c r="AV29" i="47"/>
  <c r="AV70" i="47"/>
  <c r="AZ70" i="47" s="1"/>
  <c r="AV7" i="19"/>
  <c r="AZ7" i="19" s="1"/>
  <c r="AZ37" i="10"/>
  <c r="AZ33" i="12"/>
  <c r="AZ25" i="12"/>
  <c r="AZ26" i="12"/>
  <c r="AZ28" i="12"/>
  <c r="AZ24" i="12"/>
  <c r="AV60" i="11"/>
  <c r="AZ60" i="11" s="1"/>
  <c r="AZ27" i="93"/>
  <c r="AY30" i="20" l="1"/>
  <c r="AY11" i="114"/>
  <c r="AZ144" i="6"/>
  <c r="AV92" i="74"/>
  <c r="X52" i="75" s="1"/>
  <c r="AV90" i="74"/>
  <c r="X50" i="75" s="1"/>
  <c r="AZ63" i="6"/>
  <c r="AZ19" i="115"/>
  <c r="AZ40" i="115" s="1"/>
  <c r="AZ37" i="116" s="1"/>
  <c r="AZ102" i="74"/>
  <c r="AB62" i="75" s="1"/>
  <c r="AZ105" i="74"/>
  <c r="AB65" i="75" s="1"/>
  <c r="AV37" i="116"/>
  <c r="AV24" i="116"/>
  <c r="AV25" i="6"/>
  <c r="AZ23" i="6"/>
  <c r="AZ13" i="10"/>
  <c r="AZ6" i="10"/>
  <c r="AZ51" i="5"/>
  <c r="AV98" i="74"/>
  <c r="X58" i="75" s="1"/>
  <c r="AV300" i="5"/>
  <c r="AZ300" i="5" s="1"/>
  <c r="AZ166" i="6"/>
  <c r="AV53" i="5"/>
  <c r="AZ191" i="6"/>
  <c r="AZ109" i="115"/>
  <c r="AZ81" i="93"/>
  <c r="AZ16" i="10"/>
  <c r="AV70" i="115"/>
  <c r="AZ28" i="10"/>
  <c r="AZ24" i="93"/>
  <c r="AZ66" i="93"/>
  <c r="AV146" i="115"/>
  <c r="AZ27" i="10"/>
  <c r="AB10" i="75"/>
  <c r="AZ71" i="93"/>
  <c r="AV132" i="47"/>
  <c r="AZ35" i="12"/>
  <c r="AZ34" i="10"/>
  <c r="AV114" i="47"/>
  <c r="AZ114" i="47" s="1"/>
  <c r="AZ18" i="10"/>
  <c r="AZ9" i="93"/>
  <c r="AZ70" i="93"/>
  <c r="AV129" i="47"/>
  <c r="AZ129" i="47" s="1"/>
  <c r="AZ32" i="12"/>
  <c r="AZ10" i="93"/>
  <c r="AZ72" i="93"/>
  <c r="AV131" i="47"/>
  <c r="AZ34" i="12"/>
  <c r="AZ17" i="10"/>
  <c r="AZ83" i="93"/>
  <c r="AV32" i="115"/>
  <c r="AZ23" i="10"/>
  <c r="AV31" i="115"/>
  <c r="AV109" i="115"/>
  <c r="AZ84" i="93"/>
  <c r="AZ11" i="10"/>
  <c r="AZ16" i="93"/>
  <c r="AV108" i="115"/>
  <c r="AZ26" i="10"/>
  <c r="AZ10" i="10"/>
  <c r="AZ15" i="10"/>
  <c r="AZ41" i="93"/>
  <c r="AZ44" i="93"/>
  <c r="AZ43" i="93"/>
  <c r="AZ82" i="93"/>
  <c r="AZ30" i="10"/>
  <c r="AV69" i="115"/>
  <c r="AZ9" i="10"/>
  <c r="AZ35" i="10"/>
  <c r="AV184" i="115"/>
  <c r="AZ24" i="10"/>
  <c r="AZ19" i="93"/>
  <c r="AV124" i="47"/>
  <c r="AZ124" i="47" s="1"/>
  <c r="AZ27" i="12"/>
  <c r="AZ29" i="10"/>
  <c r="AV145" i="115"/>
  <c r="AZ8" i="10"/>
  <c r="AZ32" i="10"/>
  <c r="AV71" i="115"/>
  <c r="AZ65" i="93"/>
  <c r="AV107" i="115"/>
  <c r="AV183" i="115"/>
  <c r="AZ7" i="10"/>
  <c r="AY78" i="20"/>
  <c r="AZ14" i="116"/>
  <c r="AZ27" i="116"/>
  <c r="AZ40" i="116"/>
  <c r="AZ130" i="74"/>
  <c r="AU27" i="114"/>
  <c r="AU30" i="114"/>
  <c r="AY31" i="114"/>
  <c r="AU34" i="114"/>
  <c r="AY34" i="114" s="1"/>
  <c r="AY35" i="114"/>
  <c r="AV78" i="19"/>
  <c r="AZ78" i="19" s="1"/>
  <c r="AB22" i="75"/>
  <c r="AZ129" i="74"/>
  <c r="AZ109" i="74"/>
  <c r="AU39" i="20"/>
  <c r="AZ97" i="47"/>
  <c r="AZ29" i="47"/>
  <c r="AZ22" i="6"/>
  <c r="R65" i="48"/>
  <c r="R66" i="48" s="1"/>
  <c r="AV12" i="11"/>
  <c r="AZ12" i="93"/>
  <c r="AV38" i="11"/>
  <c r="AZ38" i="93"/>
  <c r="AV14" i="11"/>
  <c r="AZ14" i="93"/>
  <c r="AV15" i="11"/>
  <c r="AZ15" i="93"/>
  <c r="AV17" i="11"/>
  <c r="AZ17" i="11" s="1"/>
  <c r="AZ17" i="93"/>
  <c r="AV28" i="11"/>
  <c r="AZ28" i="93"/>
  <c r="AV13" i="11"/>
  <c r="AZ13" i="93"/>
  <c r="AV27" i="11"/>
  <c r="AV37" i="11"/>
  <c r="AZ37" i="93"/>
  <c r="AV34" i="11"/>
  <c r="AZ34" i="93"/>
  <c r="AV33" i="11"/>
  <c r="AZ33" i="93"/>
  <c r="AV57" i="11"/>
  <c r="AZ57" i="11" s="1"/>
  <c r="AZ57" i="93"/>
  <c r="AV25" i="11"/>
  <c r="AZ25" i="11" s="1"/>
  <c r="AZ25" i="93"/>
  <c r="AV32" i="11"/>
  <c r="AZ32" i="93"/>
  <c r="AV36" i="11"/>
  <c r="AZ36" i="93"/>
  <c r="AV35" i="11"/>
  <c r="AZ35" i="93"/>
  <c r="AV31" i="11"/>
  <c r="AZ31" i="93"/>
  <c r="AV11" i="11"/>
  <c r="AZ11" i="93"/>
  <c r="AV30" i="11"/>
  <c r="AZ30" i="93"/>
  <c r="AV21" i="11"/>
  <c r="AZ21" i="11" s="1"/>
  <c r="AZ21" i="93"/>
  <c r="AV20" i="11"/>
  <c r="AZ20" i="11" s="1"/>
  <c r="AZ20" i="93"/>
  <c r="AV23" i="11"/>
  <c r="AZ23" i="11" s="1"/>
  <c r="AZ23" i="93"/>
  <c r="AV22" i="11"/>
  <c r="AZ22" i="11" s="1"/>
  <c r="AZ22" i="93"/>
  <c r="AV29" i="11"/>
  <c r="AZ29" i="93"/>
  <c r="AV109" i="47"/>
  <c r="AV123" i="47"/>
  <c r="AV171" i="6"/>
  <c r="AV172" i="6" s="1"/>
  <c r="AV196" i="6"/>
  <c r="AV197" i="6" s="1"/>
  <c r="AV45" i="19"/>
  <c r="AZ45" i="19" s="1"/>
  <c r="AV113" i="47"/>
  <c r="AV112" i="47"/>
  <c r="AV107" i="47"/>
  <c r="AV106" i="47"/>
  <c r="AV11" i="12"/>
  <c r="AV111" i="47"/>
  <c r="AV12" i="10"/>
  <c r="AV130" i="47"/>
  <c r="AZ130" i="47" s="1"/>
  <c r="AV121" i="47"/>
  <c r="AV105" i="47"/>
  <c r="AV8" i="12"/>
  <c r="AV104" i="47"/>
  <c r="AV103" i="47"/>
  <c r="X10" i="75"/>
  <c r="AU37" i="20"/>
  <c r="AV108" i="74"/>
  <c r="X68" i="75" s="1"/>
  <c r="X69" i="75"/>
  <c r="AV72" i="47"/>
  <c r="AZ72" i="47" s="1"/>
  <c r="AV35" i="47"/>
  <c r="AV47" i="93"/>
  <c r="AV80" i="93"/>
  <c r="AV42" i="11"/>
  <c r="AV44" i="11"/>
  <c r="AZ44" i="11" s="1"/>
  <c r="AV29" i="12"/>
  <c r="AV41" i="11"/>
  <c r="AZ41" i="11" s="1"/>
  <c r="AV43" i="11"/>
  <c r="AV26" i="93"/>
  <c r="AV10" i="11"/>
  <c r="AV25" i="10"/>
  <c r="AV18" i="93"/>
  <c r="AV24" i="11"/>
  <c r="AZ24" i="11" s="1"/>
  <c r="AV16" i="11"/>
  <c r="AV19" i="11"/>
  <c r="AZ19" i="11" s="1"/>
  <c r="AV9" i="11"/>
  <c r="AV75" i="93"/>
  <c r="AZ75" i="93" s="1"/>
  <c r="AV69" i="93"/>
  <c r="AV64" i="93"/>
  <c r="AV40" i="93"/>
  <c r="AV8" i="93"/>
  <c r="AZ12" i="11" l="1"/>
  <c r="AZ30" i="11"/>
  <c r="AZ28" i="11"/>
  <c r="AZ16" i="11"/>
  <c r="AZ13" i="11"/>
  <c r="AZ10" i="11"/>
  <c r="AZ29" i="11"/>
  <c r="AZ11" i="11"/>
  <c r="AZ36" i="11"/>
  <c r="AZ31" i="11"/>
  <c r="AZ33" i="11"/>
  <c r="AZ27" i="11"/>
  <c r="AZ32" i="11"/>
  <c r="AZ15" i="11"/>
  <c r="AZ14" i="11"/>
  <c r="AZ37" i="11"/>
  <c r="AZ35" i="11"/>
  <c r="AZ34" i="11"/>
  <c r="AZ9" i="11"/>
  <c r="AZ42" i="11"/>
  <c r="AZ38" i="11"/>
  <c r="AZ90" i="74"/>
  <c r="AZ92" i="74"/>
  <c r="AZ11" i="116"/>
  <c r="AZ24" i="116"/>
  <c r="AV174" i="6"/>
  <c r="AZ172" i="6"/>
  <c r="AZ98" i="74"/>
  <c r="AB58" i="75" s="1"/>
  <c r="AV97" i="74"/>
  <c r="X57" i="75" s="1"/>
  <c r="AV199" i="6"/>
  <c r="AZ197" i="6"/>
  <c r="AV89" i="74"/>
  <c r="AZ25" i="6"/>
  <c r="AZ12" i="10"/>
  <c r="AV86" i="19"/>
  <c r="AZ86" i="19" s="1"/>
  <c r="AV302" i="5"/>
  <c r="AZ302" i="5" s="1"/>
  <c r="AZ53" i="5"/>
  <c r="AZ196" i="6"/>
  <c r="AZ109" i="47"/>
  <c r="AZ111" i="47"/>
  <c r="AZ106" i="47"/>
  <c r="AZ105" i="47"/>
  <c r="AZ132" i="47"/>
  <c r="AZ131" i="47"/>
  <c r="AV30" i="115"/>
  <c r="AV41" i="115" s="1"/>
  <c r="AV36" i="115" s="1"/>
  <c r="AV35" i="115" s="1"/>
  <c r="AZ25" i="10"/>
  <c r="AY27" i="114"/>
  <c r="AZ146" i="115"/>
  <c r="AZ71" i="115"/>
  <c r="AZ64" i="93"/>
  <c r="AZ31" i="115"/>
  <c r="AZ108" i="115"/>
  <c r="AZ145" i="115"/>
  <c r="AZ183" i="115"/>
  <c r="AZ107" i="115"/>
  <c r="AZ70" i="115"/>
  <c r="AV106" i="115"/>
  <c r="AV117" i="115" s="1"/>
  <c r="AZ8" i="12"/>
  <c r="AZ185" i="115" s="1"/>
  <c r="AV147" i="115"/>
  <c r="AV144" i="115" s="1"/>
  <c r="AV155" i="115" s="1"/>
  <c r="AV150" i="115" s="1"/>
  <c r="AV149" i="115" s="1"/>
  <c r="AV185" i="115"/>
  <c r="AV182" i="115" s="1"/>
  <c r="AV193" i="115" s="1"/>
  <c r="AZ69" i="93"/>
  <c r="AZ18" i="93"/>
  <c r="AZ47" i="93"/>
  <c r="AZ69" i="115"/>
  <c r="AZ32" i="115"/>
  <c r="AV31" i="12"/>
  <c r="AZ29" i="12"/>
  <c r="AZ26" i="93"/>
  <c r="AV68" i="115"/>
  <c r="AV79" i="115" s="1"/>
  <c r="AV74" i="115" s="1"/>
  <c r="AV73" i="115" s="1"/>
  <c r="AZ184" i="115"/>
  <c r="AZ124" i="74"/>
  <c r="AZ123" i="74" s="1"/>
  <c r="AU40" i="114"/>
  <c r="AY30" i="114"/>
  <c r="AZ108" i="74"/>
  <c r="AB68" i="75" s="1"/>
  <c r="AB69" i="75"/>
  <c r="AV125" i="47"/>
  <c r="AZ125" i="47" s="1"/>
  <c r="AZ11" i="12"/>
  <c r="AZ121" i="47"/>
  <c r="AZ123" i="47"/>
  <c r="AZ112" i="47"/>
  <c r="AZ107" i="47"/>
  <c r="AZ103" i="47"/>
  <c r="AZ104" i="47"/>
  <c r="AZ113" i="47"/>
  <c r="AZ171" i="6"/>
  <c r="AV26" i="11"/>
  <c r="AZ26" i="11" s="1"/>
  <c r="AV59" i="74"/>
  <c r="AV35" i="74" s="1"/>
  <c r="AV18" i="47"/>
  <c r="AV19" i="47"/>
  <c r="AV11" i="47"/>
  <c r="AV15" i="47"/>
  <c r="AV17" i="47"/>
  <c r="AV20" i="47"/>
  <c r="AV31" i="10"/>
  <c r="AV12" i="47"/>
  <c r="AV14" i="10"/>
  <c r="AV9" i="47"/>
  <c r="AV51" i="19"/>
  <c r="AZ51" i="19" s="1"/>
  <c r="AV102" i="47"/>
  <c r="AV73" i="93"/>
  <c r="AV12" i="12"/>
  <c r="AV122" i="47"/>
  <c r="AZ122" i="47" s="1"/>
  <c r="AV18" i="11"/>
  <c r="AV77" i="47"/>
  <c r="AZ77" i="47" s="1"/>
  <c r="AV37" i="47"/>
  <c r="AV8" i="11"/>
  <c r="AV40" i="11"/>
  <c r="AV47" i="11"/>
  <c r="AZ47" i="11" s="1"/>
  <c r="AV7" i="93"/>
  <c r="AV53" i="93"/>
  <c r="AV53" i="11"/>
  <c r="AZ8" i="11" l="1"/>
  <c r="AZ53" i="11"/>
  <c r="AZ18" i="11"/>
  <c r="AB52" i="75"/>
  <c r="AB50" i="75"/>
  <c r="AV93" i="74"/>
  <c r="X53" i="75" s="1"/>
  <c r="AZ174" i="6"/>
  <c r="AZ97" i="74"/>
  <c r="AB57" i="75" s="1"/>
  <c r="AV96" i="74"/>
  <c r="X56" i="75" s="1"/>
  <c r="AZ89" i="74"/>
  <c r="AV94" i="74"/>
  <c r="X54" i="75" s="1"/>
  <c r="AZ199" i="6"/>
  <c r="AV88" i="19"/>
  <c r="AZ88" i="19" s="1"/>
  <c r="X49" i="75"/>
  <c r="AZ14" i="10"/>
  <c r="AZ31" i="10"/>
  <c r="AZ30" i="115"/>
  <c r="AZ41" i="115" s="1"/>
  <c r="AZ36" i="115" s="1"/>
  <c r="AZ35" i="115" s="1"/>
  <c r="AZ182" i="115"/>
  <c r="AZ193" i="115" s="1"/>
  <c r="AV30" i="116"/>
  <c r="AV43" i="116"/>
  <c r="AV188" i="115"/>
  <c r="AV36" i="12"/>
  <c r="AZ36" i="12" s="1"/>
  <c r="AZ31" i="12"/>
  <c r="AZ106" i="115"/>
  <c r="AZ117" i="115" s="1"/>
  <c r="AZ53" i="93"/>
  <c r="AZ147" i="115"/>
  <c r="AZ144" i="115" s="1"/>
  <c r="AZ155" i="115" s="1"/>
  <c r="AZ150" i="115" s="1"/>
  <c r="AZ149" i="115" s="1"/>
  <c r="AZ7" i="93"/>
  <c r="AV17" i="116"/>
  <c r="AV112" i="115"/>
  <c r="AZ68" i="115"/>
  <c r="AZ79" i="115" s="1"/>
  <c r="AZ74" i="115" s="1"/>
  <c r="AZ73" i="115" s="1"/>
  <c r="AZ20" i="47"/>
  <c r="AZ15" i="47"/>
  <c r="AZ12" i="47"/>
  <c r="AZ18" i="47"/>
  <c r="AY40" i="114"/>
  <c r="AV13" i="47"/>
  <c r="AV58" i="19"/>
  <c r="AZ58" i="19" s="1"/>
  <c r="AV14" i="12"/>
  <c r="AZ12" i="12"/>
  <c r="AV116" i="74"/>
  <c r="AV119" i="74" s="1"/>
  <c r="AZ11" i="47"/>
  <c r="AZ102" i="47"/>
  <c r="AV78" i="93"/>
  <c r="AZ73" i="93"/>
  <c r="AV19" i="10"/>
  <c r="AV126" i="47"/>
  <c r="AZ126" i="47" s="1"/>
  <c r="AV33" i="10"/>
  <c r="AV8" i="47"/>
  <c r="AZ8" i="47" s="1"/>
  <c r="AV108" i="47"/>
  <c r="AV10" i="47"/>
  <c r="AV79" i="47"/>
  <c r="AV42" i="47"/>
  <c r="AV85" i="74"/>
  <c r="AV61" i="74" s="1"/>
  <c r="AV7" i="11"/>
  <c r="AZ7" i="11" s="1"/>
  <c r="AV45" i="93"/>
  <c r="AB49" i="75" l="1"/>
  <c r="AZ96" i="74"/>
  <c r="AZ93" i="74"/>
  <c r="AV88" i="74"/>
  <c r="X48" i="75" s="1"/>
  <c r="AZ94" i="74"/>
  <c r="AZ116" i="74"/>
  <c r="AZ119" i="74" s="1"/>
  <c r="AZ108" i="47"/>
  <c r="AZ30" i="116"/>
  <c r="AZ188" i="115"/>
  <c r="AZ35" i="116" s="1"/>
  <c r="AZ33" i="10"/>
  <c r="AZ43" i="116"/>
  <c r="AZ17" i="116"/>
  <c r="AZ112" i="115"/>
  <c r="AV111" i="115"/>
  <c r="AV8" i="116" s="1"/>
  <c r="AV9" i="116"/>
  <c r="AV22" i="116"/>
  <c r="AV35" i="116"/>
  <c r="AV187" i="115"/>
  <c r="AZ19" i="10"/>
  <c r="AV51" i="93"/>
  <c r="AZ10" i="47"/>
  <c r="AZ13" i="47"/>
  <c r="AZ85" i="74"/>
  <c r="AV44" i="47"/>
  <c r="AZ79" i="47"/>
  <c r="AV19" i="12"/>
  <c r="AZ19" i="12" s="1"/>
  <c r="AZ14" i="12"/>
  <c r="AV60" i="19"/>
  <c r="AZ60" i="19" s="1"/>
  <c r="AV86" i="93"/>
  <c r="AZ78" i="93"/>
  <c r="AV38" i="10"/>
  <c r="AV110" i="47"/>
  <c r="AZ110" i="47" s="1"/>
  <c r="AV14" i="47"/>
  <c r="AV128" i="47"/>
  <c r="AZ128" i="47" s="1"/>
  <c r="AV33" i="74"/>
  <c r="AV45" i="11"/>
  <c r="AA72" i="108"/>
  <c r="AB53" i="75" l="1"/>
  <c r="AB56" i="75"/>
  <c r="AB54" i="75"/>
  <c r="AZ88" i="74"/>
  <c r="AB48" i="75" s="1"/>
  <c r="AZ22" i="116"/>
  <c r="AZ187" i="115"/>
  <c r="AZ21" i="116" s="1"/>
  <c r="AV21" i="116"/>
  <c r="AV34" i="116"/>
  <c r="AA8" i="108"/>
  <c r="AV58" i="93"/>
  <c r="AV60" i="93" s="1"/>
  <c r="AZ86" i="93"/>
  <c r="AZ111" i="115"/>
  <c r="AZ9" i="116"/>
  <c r="AZ33" i="74"/>
  <c r="AZ61" i="74"/>
  <c r="AZ38" i="10"/>
  <c r="AA18" i="108"/>
  <c r="AA28" i="108"/>
  <c r="AA38" i="108"/>
  <c r="AV68" i="11"/>
  <c r="AZ68" i="11" s="1"/>
  <c r="AV16" i="47"/>
  <c r="AV88" i="93"/>
  <c r="AV51" i="11"/>
  <c r="AV133" i="47"/>
  <c r="AV115" i="47"/>
  <c r="AV9" i="74"/>
  <c r="X21" i="75" s="1"/>
  <c r="AV120" i="74" s="1"/>
  <c r="X45" i="75"/>
  <c r="X19" i="75" s="1"/>
  <c r="X9" i="75" s="1"/>
  <c r="F144" i="34"/>
  <c r="F142" i="34" s="1"/>
  <c r="F141" i="34" s="1"/>
  <c r="F127" i="34"/>
  <c r="F123" i="34" s="1"/>
  <c r="F122" i="34" s="1"/>
  <c r="F174" i="34"/>
  <c r="F173" i="34" s="1"/>
  <c r="Z17" i="45"/>
  <c r="Z8" i="45"/>
  <c r="Z11" i="45"/>
  <c r="Y30" i="45"/>
  <c r="Y29" i="45"/>
  <c r="W45" i="45"/>
  <c r="X45" i="45"/>
  <c r="Z45" i="45"/>
  <c r="Y45" i="45"/>
  <c r="Z42" i="45"/>
  <c r="Z39" i="45"/>
  <c r="Z34" i="45"/>
  <c r="Z31" i="45"/>
  <c r="Z28" i="45"/>
  <c r="U31" i="45"/>
  <c r="Z37" i="45"/>
  <c r="V28" i="45"/>
  <c r="X28" i="45"/>
  <c r="AS124" i="115"/>
  <c r="Q64" i="48"/>
  <c r="Q43" i="48"/>
  <c r="Q26" i="48"/>
  <c r="Q28" i="48" s="1"/>
  <c r="Q16" i="48"/>
  <c r="Q18" i="48" s="1"/>
  <c r="Q6" i="48"/>
  <c r="Q7" i="48"/>
  <c r="Q9" i="48"/>
  <c r="P16" i="99"/>
  <c r="AG42" i="88"/>
  <c r="C191" i="104"/>
  <c r="C211" i="104" s="1"/>
  <c r="D191" i="104"/>
  <c r="D211" i="104" s="1"/>
  <c r="E191" i="104"/>
  <c r="E211" i="104" s="1"/>
  <c r="F191" i="104"/>
  <c r="F211" i="104" s="1"/>
  <c r="G191" i="104"/>
  <c r="G211" i="104" s="1"/>
  <c r="H191" i="104"/>
  <c r="H211" i="104" s="1"/>
  <c r="I191" i="104"/>
  <c r="I211" i="104" s="1"/>
  <c r="J191" i="104"/>
  <c r="J211" i="104" s="1"/>
  <c r="K191" i="104"/>
  <c r="K211" i="104" s="1"/>
  <c r="L191" i="104"/>
  <c r="L211" i="104" s="1"/>
  <c r="M191" i="104"/>
  <c r="D163" i="104"/>
  <c r="D183" i="104" s="1"/>
  <c r="E163" i="104"/>
  <c r="E183" i="104" s="1"/>
  <c r="F163" i="104"/>
  <c r="F183" i="104" s="1"/>
  <c r="G163" i="104"/>
  <c r="G183" i="104" s="1"/>
  <c r="H163" i="104"/>
  <c r="H183" i="104" s="1"/>
  <c r="I163" i="104"/>
  <c r="I183" i="104" s="1"/>
  <c r="J163" i="104"/>
  <c r="J183" i="104" s="1"/>
  <c r="K163" i="104"/>
  <c r="K183" i="104" s="1"/>
  <c r="L163" i="104"/>
  <c r="L183" i="104" s="1"/>
  <c r="M163" i="104"/>
  <c r="M183" i="104" s="1"/>
  <c r="C163" i="104"/>
  <c r="C183" i="104" s="1"/>
  <c r="D138" i="104"/>
  <c r="D158" i="104" s="1"/>
  <c r="E138" i="104"/>
  <c r="E158" i="104" s="1"/>
  <c r="F138" i="104"/>
  <c r="F158" i="104" s="1"/>
  <c r="G138" i="104"/>
  <c r="G158" i="104" s="1"/>
  <c r="H138" i="104"/>
  <c r="H158" i="104" s="1"/>
  <c r="I138" i="104"/>
  <c r="I158" i="104" s="1"/>
  <c r="J138" i="104"/>
  <c r="J158" i="104" s="1"/>
  <c r="K138" i="104"/>
  <c r="K158" i="104" s="1"/>
  <c r="L138" i="104"/>
  <c r="L158" i="104" s="1"/>
  <c r="M138" i="104"/>
  <c r="M158" i="104" s="1"/>
  <c r="C138" i="104"/>
  <c r="C158" i="104" s="1"/>
  <c r="D113" i="104"/>
  <c r="D133" i="104" s="1"/>
  <c r="E113" i="104"/>
  <c r="E133" i="104" s="1"/>
  <c r="F113" i="104"/>
  <c r="F133" i="104" s="1"/>
  <c r="G113" i="104"/>
  <c r="G133" i="104" s="1"/>
  <c r="H113" i="104"/>
  <c r="H133" i="104" s="1"/>
  <c r="I113" i="104"/>
  <c r="I133" i="104" s="1"/>
  <c r="J113" i="104"/>
  <c r="J133" i="104" s="1"/>
  <c r="K113" i="104"/>
  <c r="K133" i="104" s="1"/>
  <c r="L113" i="104"/>
  <c r="L133" i="104" s="1"/>
  <c r="M113" i="104"/>
  <c r="M133" i="104" s="1"/>
  <c r="C113" i="104"/>
  <c r="C133" i="104" s="1"/>
  <c r="D88" i="104"/>
  <c r="D108" i="104" s="1"/>
  <c r="E88" i="104"/>
  <c r="E108" i="104" s="1"/>
  <c r="F88" i="104"/>
  <c r="F108" i="104" s="1"/>
  <c r="G88" i="104"/>
  <c r="G108" i="104" s="1"/>
  <c r="H88" i="104"/>
  <c r="H108" i="104" s="1"/>
  <c r="I88" i="104"/>
  <c r="I108" i="104" s="1"/>
  <c r="J88" i="104"/>
  <c r="J108" i="104" s="1"/>
  <c r="K88" i="104"/>
  <c r="K108" i="104" s="1"/>
  <c r="L88" i="104"/>
  <c r="L108" i="104" s="1"/>
  <c r="M88" i="104"/>
  <c r="M108" i="104" s="1"/>
  <c r="C88" i="104"/>
  <c r="C108" i="104" s="1"/>
  <c r="D77" i="104"/>
  <c r="E77" i="104"/>
  <c r="F77" i="104"/>
  <c r="G77" i="104"/>
  <c r="H77" i="104"/>
  <c r="I77" i="104"/>
  <c r="J77" i="104"/>
  <c r="K77" i="104"/>
  <c r="L77" i="104"/>
  <c r="M77" i="104"/>
  <c r="C77" i="104"/>
  <c r="C71" i="104"/>
  <c r="D71" i="104"/>
  <c r="E71" i="104"/>
  <c r="E81" i="104" s="1"/>
  <c r="F71" i="104"/>
  <c r="G71" i="104"/>
  <c r="G81" i="104" s="1"/>
  <c r="J61" i="104"/>
  <c r="K61" i="104"/>
  <c r="L61" i="104"/>
  <c r="M61" i="104"/>
  <c r="I61" i="104"/>
  <c r="H61" i="104"/>
  <c r="H71" i="104"/>
  <c r="I71" i="104"/>
  <c r="J71" i="104"/>
  <c r="K71" i="104"/>
  <c r="L71" i="104"/>
  <c r="M71" i="104"/>
  <c r="M17" i="104" s="1"/>
  <c r="AP29" i="20"/>
  <c r="AQ28" i="20"/>
  <c r="AQ29" i="20"/>
  <c r="AR28" i="20"/>
  <c r="AR29" i="20"/>
  <c r="AS81" i="20"/>
  <c r="AS75" i="20"/>
  <c r="Q40" i="48"/>
  <c r="AG180" i="88"/>
  <c r="AG171" i="88"/>
  <c r="AG162" i="88"/>
  <c r="AS96" i="18"/>
  <c r="AS95" i="18"/>
  <c r="AS94" i="18"/>
  <c r="AS93" i="18"/>
  <c r="AS91" i="18"/>
  <c r="AS90" i="18"/>
  <c r="AS60" i="18"/>
  <c r="AS59" i="18"/>
  <c r="AS231" i="18"/>
  <c r="AU16" i="12"/>
  <c r="AT15" i="12"/>
  <c r="AT143" i="115"/>
  <c r="AU282" i="5"/>
  <c r="AT106" i="74"/>
  <c r="AT90" i="115"/>
  <c r="AT124" i="115"/>
  <c r="AT86" i="115"/>
  <c r="AT25" i="5"/>
  <c r="AT78" i="47"/>
  <c r="AT94" i="74"/>
  <c r="AT69" i="47"/>
  <c r="AT101" i="115"/>
  <c r="AT93" i="74"/>
  <c r="AT62" i="115"/>
  <c r="AT100" i="115"/>
  <c r="AS59" i="20"/>
  <c r="AS63" i="20"/>
  <c r="AS64" i="20"/>
  <c r="AS32" i="20" s="1"/>
  <c r="AS67" i="20"/>
  <c r="AT92" i="74"/>
  <c r="AT137" i="115"/>
  <c r="AT70" i="6"/>
  <c r="AT22" i="115" s="1"/>
  <c r="AT90" i="74"/>
  <c r="AT97" i="115"/>
  <c r="AT59" i="115"/>
  <c r="AS8" i="20"/>
  <c r="AS11" i="20"/>
  <c r="AT89" i="74"/>
  <c r="AT108" i="115"/>
  <c r="AT145" i="115"/>
  <c r="AS24" i="114"/>
  <c r="AS20" i="114"/>
  <c r="AS22" i="114"/>
  <c r="AS18" i="114"/>
  <c r="AS9" i="114"/>
  <c r="AS10" i="114"/>
  <c r="AU87" i="93"/>
  <c r="AU85" i="93"/>
  <c r="AU74" i="93"/>
  <c r="AU67" i="93"/>
  <c r="P101" i="108"/>
  <c r="O101" i="108"/>
  <c r="P100" i="108"/>
  <c r="O100" i="108"/>
  <c r="P99" i="108"/>
  <c r="O99" i="108"/>
  <c r="P98" i="108"/>
  <c r="O98" i="108"/>
  <c r="K151" i="108"/>
  <c r="Y44" i="45"/>
  <c r="Y43" i="45"/>
  <c r="Y41" i="45"/>
  <c r="Y40" i="45"/>
  <c r="Y38" i="45"/>
  <c r="Y37" i="45" s="1"/>
  <c r="Y36" i="45"/>
  <c r="Y35" i="45"/>
  <c r="Y33" i="45"/>
  <c r="Y32" i="45"/>
  <c r="M30" i="45"/>
  <c r="M28" i="45" s="1"/>
  <c r="K123" i="108"/>
  <c r="L123" i="108"/>
  <c r="M123" i="108"/>
  <c r="N123" i="108"/>
  <c r="O123" i="108"/>
  <c r="P123" i="108"/>
  <c r="Q123" i="108"/>
  <c r="R123" i="108"/>
  <c r="S123" i="108"/>
  <c r="T123" i="108"/>
  <c r="U123" i="108"/>
  <c r="V123" i="108"/>
  <c r="W123" i="108"/>
  <c r="X123" i="108"/>
  <c r="O126" i="108"/>
  <c r="P126" i="108"/>
  <c r="Q126" i="108"/>
  <c r="R126" i="108"/>
  <c r="S126" i="108"/>
  <c r="T126" i="108"/>
  <c r="U126" i="108"/>
  <c r="V126" i="108"/>
  <c r="W126" i="108"/>
  <c r="X126" i="108"/>
  <c r="K130" i="108"/>
  <c r="L130" i="108"/>
  <c r="M130" i="108"/>
  <c r="N130" i="108"/>
  <c r="O130" i="108"/>
  <c r="P130" i="108"/>
  <c r="Q130" i="108"/>
  <c r="R130" i="108"/>
  <c r="S130" i="108"/>
  <c r="T130" i="108"/>
  <c r="U130" i="108"/>
  <c r="V130" i="108"/>
  <c r="W130" i="108"/>
  <c r="X130" i="108"/>
  <c r="O133" i="108"/>
  <c r="P133" i="108"/>
  <c r="Q133" i="108"/>
  <c r="R133" i="108"/>
  <c r="S133" i="108"/>
  <c r="T133" i="108"/>
  <c r="U133" i="108"/>
  <c r="V133" i="108"/>
  <c r="W133" i="108"/>
  <c r="X133" i="108"/>
  <c r="L137" i="108"/>
  <c r="M137" i="108"/>
  <c r="N137" i="108"/>
  <c r="O137" i="108"/>
  <c r="P137" i="108"/>
  <c r="Q137" i="108"/>
  <c r="R137" i="108"/>
  <c r="S137" i="108"/>
  <c r="T137" i="108"/>
  <c r="U137" i="108"/>
  <c r="V137" i="108"/>
  <c r="W137" i="108"/>
  <c r="X137" i="108"/>
  <c r="O140" i="108"/>
  <c r="P140" i="108"/>
  <c r="Q140" i="108"/>
  <c r="R140" i="108"/>
  <c r="S140" i="108"/>
  <c r="T140" i="108"/>
  <c r="U140" i="108"/>
  <c r="V140" i="108"/>
  <c r="W140" i="108"/>
  <c r="X140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O147" i="108"/>
  <c r="P147" i="108"/>
  <c r="Q147" i="108"/>
  <c r="R147" i="108"/>
  <c r="S147" i="108"/>
  <c r="T147" i="108"/>
  <c r="U147" i="108"/>
  <c r="V147" i="108"/>
  <c r="W147" i="108"/>
  <c r="X147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O154" i="108"/>
  <c r="P154" i="108"/>
  <c r="Q154" i="108"/>
  <c r="R154" i="108"/>
  <c r="S154" i="108"/>
  <c r="T154" i="108"/>
  <c r="U154" i="108"/>
  <c r="V154" i="108"/>
  <c r="W154" i="108"/>
  <c r="X154" i="108"/>
  <c r="AO18" i="20"/>
  <c r="X113" i="108"/>
  <c r="W113" i="108"/>
  <c r="V113" i="108"/>
  <c r="U113" i="108"/>
  <c r="T113" i="108"/>
  <c r="S113" i="108"/>
  <c r="R113" i="108"/>
  <c r="Q113" i="108"/>
  <c r="P113" i="108"/>
  <c r="O113" i="108"/>
  <c r="N113" i="108"/>
  <c r="M113" i="108"/>
  <c r="L113" i="108"/>
  <c r="K113" i="108"/>
  <c r="J113" i="108"/>
  <c r="I113" i="108"/>
  <c r="H113" i="108"/>
  <c r="G113" i="108"/>
  <c r="F113" i="108"/>
  <c r="E113" i="108"/>
  <c r="D113" i="108"/>
  <c r="C113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X102" i="108"/>
  <c r="W102" i="108"/>
  <c r="V102" i="108"/>
  <c r="U102" i="108"/>
  <c r="T102" i="108"/>
  <c r="S102" i="108"/>
  <c r="R102" i="108"/>
  <c r="Q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X92" i="108"/>
  <c r="W92" i="108"/>
  <c r="V92" i="108"/>
  <c r="U92" i="108"/>
  <c r="T92" i="108"/>
  <c r="S92" i="108"/>
  <c r="R92" i="108"/>
  <c r="Q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Z72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F48" i="108"/>
  <c r="F57" i="108" s="1"/>
  <c r="E48" i="108"/>
  <c r="E57" i="108" s="1"/>
  <c r="D48" i="108"/>
  <c r="D57" i="108" s="1"/>
  <c r="C48" i="108"/>
  <c r="C57" i="108" s="1"/>
  <c r="K42" i="45"/>
  <c r="L42" i="45"/>
  <c r="M42" i="45"/>
  <c r="N42" i="45"/>
  <c r="P42" i="45"/>
  <c r="Q42" i="45"/>
  <c r="R42" i="45"/>
  <c r="S42" i="45"/>
  <c r="T42" i="45"/>
  <c r="U42" i="45"/>
  <c r="K39" i="45"/>
  <c r="L39" i="45"/>
  <c r="M39" i="45"/>
  <c r="N39" i="45"/>
  <c r="O39" i="45"/>
  <c r="P39" i="45"/>
  <c r="Q39" i="45"/>
  <c r="R39" i="45"/>
  <c r="S39" i="45"/>
  <c r="T39" i="45"/>
  <c r="U39" i="45"/>
  <c r="V39" i="45"/>
  <c r="W39" i="45"/>
  <c r="S34" i="45"/>
  <c r="T34" i="45"/>
  <c r="U34" i="45"/>
  <c r="V34" i="45"/>
  <c r="K34" i="45"/>
  <c r="L34" i="45"/>
  <c r="M34" i="45"/>
  <c r="N34" i="45"/>
  <c r="R31" i="45"/>
  <c r="S31" i="45"/>
  <c r="T31" i="45"/>
  <c r="V31" i="45"/>
  <c r="W31" i="45"/>
  <c r="X31" i="45"/>
  <c r="K31" i="45"/>
  <c r="L31" i="45"/>
  <c r="M31" i="45"/>
  <c r="N31" i="45"/>
  <c r="W28" i="45"/>
  <c r="U28" i="45"/>
  <c r="T28" i="45"/>
  <c r="K28" i="45"/>
  <c r="L28" i="45"/>
  <c r="N28" i="45"/>
  <c r="O28" i="45"/>
  <c r="AS62" i="115"/>
  <c r="P9" i="48"/>
  <c r="P64" i="48"/>
  <c r="O16" i="99"/>
  <c r="AS15" i="12"/>
  <c r="AR19" i="114"/>
  <c r="AR24" i="114"/>
  <c r="AR20" i="114"/>
  <c r="AR22" i="114"/>
  <c r="AR23" i="114"/>
  <c r="AR18" i="114"/>
  <c r="AR25" i="114"/>
  <c r="AR9" i="114"/>
  <c r="AR10" i="114"/>
  <c r="AR12" i="114"/>
  <c r="AR13" i="114"/>
  <c r="AR14" i="114"/>
  <c r="AR15" i="114"/>
  <c r="AS91" i="74"/>
  <c r="AS98" i="115"/>
  <c r="AF49" i="15"/>
  <c r="AG49" i="15"/>
  <c r="AF36" i="15"/>
  <c r="AG36" i="15"/>
  <c r="AF19" i="15"/>
  <c r="AG19" i="15"/>
  <c r="F19" i="77" s="1" a="1"/>
  <c r="F19" i="77" s="1"/>
  <c r="AF6" i="15"/>
  <c r="AG6" i="15"/>
  <c r="F6" i="77" s="1" a="1"/>
  <c r="F6" i="77" s="1"/>
  <c r="AK81" i="20"/>
  <c r="AR85" i="20"/>
  <c r="AR81" i="20"/>
  <c r="AR80" i="20"/>
  <c r="AR79" i="20"/>
  <c r="AR75" i="20"/>
  <c r="AS123" i="115"/>
  <c r="AS106" i="74"/>
  <c r="AS93" i="115"/>
  <c r="AS102" i="74"/>
  <c r="AS90" i="115"/>
  <c r="AD68" i="20"/>
  <c r="AC67" i="20"/>
  <c r="AD67" i="20"/>
  <c r="AC66" i="20"/>
  <c r="AD66" i="20"/>
  <c r="AC64" i="20"/>
  <c r="AD64" i="20"/>
  <c r="AC63" i="20"/>
  <c r="AD63" i="20"/>
  <c r="AS20" i="115"/>
  <c r="AS135" i="115"/>
  <c r="AS59" i="115"/>
  <c r="AS90" i="74"/>
  <c r="AR11" i="20"/>
  <c r="AR8" i="20"/>
  <c r="P36" i="48" s="1"/>
  <c r="AR7" i="20"/>
  <c r="AS140" i="115"/>
  <c r="AS64" i="115"/>
  <c r="AS94" i="74"/>
  <c r="AS78" i="47"/>
  <c r="AS139" i="115"/>
  <c r="AS69" i="47"/>
  <c r="AS93" i="74"/>
  <c r="AR59" i="20"/>
  <c r="AR63" i="20"/>
  <c r="AR64" i="20"/>
  <c r="AR32" i="20" s="1"/>
  <c r="AR67" i="20"/>
  <c r="AS92" i="74"/>
  <c r="AS61" i="115"/>
  <c r="P43" i="48"/>
  <c r="P42" i="48"/>
  <c r="P37" i="48"/>
  <c r="AA23" i="87"/>
  <c r="AB16" i="87" s="1"/>
  <c r="AB23" i="87" s="1"/>
  <c r="AC16" i="87" s="1"/>
  <c r="AC23" i="87" s="1"/>
  <c r="AD16" i="87" s="1"/>
  <c r="AD23" i="87" s="1"/>
  <c r="AE16" i="87" s="1"/>
  <c r="AE23" i="87" s="1"/>
  <c r="AF16" i="87" s="1"/>
  <c r="AF23" i="87" s="1"/>
  <c r="AG16" i="87" s="1"/>
  <c r="AG23" i="87" s="1"/>
  <c r="AH16" i="87" s="1"/>
  <c r="AF180" i="88"/>
  <c r="AF171" i="88"/>
  <c r="AF162" i="88"/>
  <c r="AF101" i="88"/>
  <c r="Q11" i="45"/>
  <c r="R11" i="45"/>
  <c r="S11" i="45"/>
  <c r="T11" i="45"/>
  <c r="U11" i="45"/>
  <c r="V11" i="45"/>
  <c r="W11" i="45"/>
  <c r="X11" i="45"/>
  <c r="Y11" i="45"/>
  <c r="Y17" i="45"/>
  <c r="Y8" i="45"/>
  <c r="O8" i="45"/>
  <c r="Q8" i="45"/>
  <c r="R8" i="45"/>
  <c r="S8" i="45"/>
  <c r="T8" i="45"/>
  <c r="U8" i="45"/>
  <c r="V8" i="45"/>
  <c r="W8" i="45"/>
  <c r="X8" i="45"/>
  <c r="X17" i="45"/>
  <c r="S17" i="45"/>
  <c r="V17" i="45"/>
  <c r="W17" i="45"/>
  <c r="X44" i="45"/>
  <c r="X41" i="45"/>
  <c r="X39" i="45" s="1"/>
  <c r="X36" i="45"/>
  <c r="X34" i="45" s="1"/>
  <c r="X38" i="45"/>
  <c r="X37" i="45" s="1"/>
  <c r="X43" i="45"/>
  <c r="D23" i="99"/>
  <c r="E23" i="99" s="1"/>
  <c r="F23" i="99" s="1"/>
  <c r="G23" i="99" s="1"/>
  <c r="H23" i="99" s="1"/>
  <c r="I23" i="99" s="1"/>
  <c r="J23" i="99" s="1"/>
  <c r="K23" i="99" s="1"/>
  <c r="L23" i="99" s="1"/>
  <c r="AB65" i="11"/>
  <c r="AC65" i="11"/>
  <c r="AD65" i="11"/>
  <c r="AE65" i="11"/>
  <c r="AR49" i="47"/>
  <c r="N16" i="99"/>
  <c r="AQ22" i="114"/>
  <c r="AR62" i="115"/>
  <c r="AU85" i="19"/>
  <c r="AU87" i="19"/>
  <c r="AU74" i="19"/>
  <c r="AR146" i="115"/>
  <c r="AL11" i="12"/>
  <c r="AQ20" i="114"/>
  <c r="AQ23" i="114"/>
  <c r="AQ18" i="114"/>
  <c r="AQ19" i="114"/>
  <c r="AQ9" i="114"/>
  <c r="AQ10" i="114"/>
  <c r="AQ12" i="114"/>
  <c r="AQ13" i="114"/>
  <c r="AQ8" i="114"/>
  <c r="AR124" i="47"/>
  <c r="AR85" i="115"/>
  <c r="AR106" i="74"/>
  <c r="AR94" i="115"/>
  <c r="AR132" i="115"/>
  <c r="AR55" i="115"/>
  <c r="AR105" i="74"/>
  <c r="AR102" i="74"/>
  <c r="AR98" i="74"/>
  <c r="AR48" i="115"/>
  <c r="AR86" i="115"/>
  <c r="AR120" i="47"/>
  <c r="O64" i="48"/>
  <c r="AQ84" i="20"/>
  <c r="AQ85" i="20"/>
  <c r="AQ83" i="20"/>
  <c r="AQ81" i="20"/>
  <c r="AQ80" i="20"/>
  <c r="AQ79" i="20"/>
  <c r="AQ75" i="20"/>
  <c r="O40" i="48"/>
  <c r="O42" i="48"/>
  <c r="O43" i="48"/>
  <c r="AE180" i="88"/>
  <c r="AE171" i="88"/>
  <c r="AE162" i="88"/>
  <c r="AR96" i="115"/>
  <c r="AR134" i="115"/>
  <c r="AR91" i="74"/>
  <c r="AR136" i="115"/>
  <c r="AR98" i="115"/>
  <c r="AR97" i="115"/>
  <c r="AR135" i="115"/>
  <c r="AR90" i="74"/>
  <c r="AQ8" i="20"/>
  <c r="O36" i="48" s="1"/>
  <c r="AQ11" i="20"/>
  <c r="AQ7" i="20"/>
  <c r="O35" i="48" s="1"/>
  <c r="O54" i="48"/>
  <c r="AR32" i="115"/>
  <c r="AR94" i="74"/>
  <c r="AR69" i="47"/>
  <c r="AR101" i="115"/>
  <c r="AQ64" i="20"/>
  <c r="AQ32" i="20" s="1"/>
  <c r="AQ67" i="20"/>
  <c r="AQ68" i="20"/>
  <c r="AQ36" i="20" s="1"/>
  <c r="AQ59" i="20"/>
  <c r="AE58" i="93"/>
  <c r="AE60" i="93" s="1"/>
  <c r="AD58" i="93"/>
  <c r="AD60" i="93" s="1"/>
  <c r="AC58" i="93"/>
  <c r="AC60" i="93" s="1"/>
  <c r="AB58" i="93"/>
  <c r="AB60" i="93" s="1"/>
  <c r="Z58" i="93"/>
  <c r="Z60" i="93" s="1"/>
  <c r="Y58" i="93"/>
  <c r="Y60" i="93" s="1"/>
  <c r="X58" i="93"/>
  <c r="X60" i="93" s="1"/>
  <c r="W58" i="93"/>
  <c r="W60" i="93" s="1"/>
  <c r="U58" i="93"/>
  <c r="U60" i="93" s="1"/>
  <c r="T58" i="93"/>
  <c r="T60" i="93" s="1"/>
  <c r="S58" i="93"/>
  <c r="S60" i="93" s="1"/>
  <c r="R58" i="93"/>
  <c r="R60" i="93" s="1"/>
  <c r="P58" i="93"/>
  <c r="P60" i="93" s="1"/>
  <c r="O58" i="93"/>
  <c r="O60" i="93" s="1"/>
  <c r="N58" i="93"/>
  <c r="N60" i="93" s="1"/>
  <c r="M58" i="93"/>
  <c r="M60" i="93" s="1"/>
  <c r="K58" i="93"/>
  <c r="K60" i="93" s="1"/>
  <c r="J58" i="93"/>
  <c r="J60" i="93" s="1"/>
  <c r="I58" i="93"/>
  <c r="I60" i="93" s="1"/>
  <c r="H58" i="93"/>
  <c r="H60" i="93" s="1"/>
  <c r="E40" i="19"/>
  <c r="E45" i="19" s="1"/>
  <c r="F40" i="19"/>
  <c r="F45" i="19" s="1"/>
  <c r="F51" i="19" s="1"/>
  <c r="F58" i="19" s="1"/>
  <c r="F60" i="19" s="1"/>
  <c r="D40" i="19"/>
  <c r="G44" i="93"/>
  <c r="AF85" i="93"/>
  <c r="AA85" i="93"/>
  <c r="V85" i="93"/>
  <c r="Q85" i="93"/>
  <c r="L85" i="93"/>
  <c r="G85" i="93"/>
  <c r="C40" i="93"/>
  <c r="C45" i="93" s="1"/>
  <c r="D40" i="93"/>
  <c r="D45" i="93" s="1"/>
  <c r="D51" i="93" s="1"/>
  <c r="D58" i="93" s="1"/>
  <c r="D60" i="93" s="1"/>
  <c r="F40" i="93"/>
  <c r="F45" i="93" s="1"/>
  <c r="F51" i="93" s="1"/>
  <c r="F58" i="93" s="1"/>
  <c r="F60" i="93" s="1"/>
  <c r="G7" i="93"/>
  <c r="G47" i="93"/>
  <c r="G53" i="93"/>
  <c r="E40" i="93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AA70" i="20"/>
  <c r="AB70" i="20"/>
  <c r="AE70" i="20"/>
  <c r="W44" i="45"/>
  <c r="W42" i="45" s="1"/>
  <c r="W38" i="45"/>
  <c r="W37" i="45" s="1"/>
  <c r="W36" i="45"/>
  <c r="W34" i="45" s="1"/>
  <c r="O223" i="104"/>
  <c r="G19" i="97"/>
  <c r="AQ94" i="115"/>
  <c r="AQ146" i="115"/>
  <c r="AQ78" i="47"/>
  <c r="AQ94" i="74"/>
  <c r="AQ63" i="115"/>
  <c r="AQ139" i="115"/>
  <c r="AT13" i="74"/>
  <c r="AQ21" i="74"/>
  <c r="AR21" i="74"/>
  <c r="AS21" i="74"/>
  <c r="AT21" i="74"/>
  <c r="AU21" i="74"/>
  <c r="AQ22" i="74"/>
  <c r="AR22" i="74"/>
  <c r="AS22" i="74"/>
  <c r="AT22" i="74"/>
  <c r="AQ23" i="74"/>
  <c r="AR23" i="74"/>
  <c r="AS23" i="74"/>
  <c r="AT23" i="74"/>
  <c r="AQ25" i="74"/>
  <c r="AR25" i="74"/>
  <c r="AS25" i="74"/>
  <c r="AT25" i="74"/>
  <c r="AQ26" i="74"/>
  <c r="AR26" i="74"/>
  <c r="AS26" i="74"/>
  <c r="AT26" i="74"/>
  <c r="AT39" i="74"/>
  <c r="AT65" i="74"/>
  <c r="AT127" i="74" s="1"/>
  <c r="AT91" i="74"/>
  <c r="AU26" i="5"/>
  <c r="AU21" i="9"/>
  <c r="AQ64" i="115"/>
  <c r="AQ102" i="115"/>
  <c r="AP188" i="18"/>
  <c r="AQ62" i="115"/>
  <c r="AQ138" i="115"/>
  <c r="AQ100" i="115"/>
  <c r="AQ61" i="115"/>
  <c r="AQ117" i="74"/>
  <c r="AQ134" i="115"/>
  <c r="AQ136" i="115"/>
  <c r="AQ59" i="115"/>
  <c r="AQ135" i="115"/>
  <c r="AP8" i="20"/>
  <c r="AP11" i="20"/>
  <c r="AP7" i="20"/>
  <c r="AU26" i="6"/>
  <c r="AQ20" i="115"/>
  <c r="AR282" i="5"/>
  <c r="AQ106" i="74"/>
  <c r="AQ56" i="115"/>
  <c r="AQ132" i="115"/>
  <c r="AQ105" i="74"/>
  <c r="AQ93" i="115"/>
  <c r="AQ52" i="115"/>
  <c r="AQ90" i="115"/>
  <c r="AQ98" i="74"/>
  <c r="AQ124" i="115"/>
  <c r="AD11" i="88"/>
  <c r="AP81" i="20"/>
  <c r="AP75" i="20"/>
  <c r="N42" i="48"/>
  <c r="N40" i="48"/>
  <c r="N37" i="48"/>
  <c r="M36" i="48"/>
  <c r="AT43" i="20"/>
  <c r="AT44" i="20"/>
  <c r="AT45" i="20"/>
  <c r="AT46" i="20"/>
  <c r="AT47" i="20"/>
  <c r="AT48" i="20"/>
  <c r="AT49" i="20"/>
  <c r="AT50" i="20"/>
  <c r="AT51" i="20"/>
  <c r="AT52" i="20"/>
  <c r="AT53" i="20"/>
  <c r="AT89" i="20"/>
  <c r="AT90" i="20"/>
  <c r="AT91" i="20"/>
  <c r="AT92" i="20"/>
  <c r="AT93" i="20"/>
  <c r="AT94" i="20"/>
  <c r="AT95" i="20"/>
  <c r="AT96" i="20"/>
  <c r="AT97" i="20"/>
  <c r="AT98" i="20"/>
  <c r="AT99" i="20"/>
  <c r="AT110" i="20"/>
  <c r="AD180" i="88"/>
  <c r="AD171" i="88"/>
  <c r="AD162" i="88"/>
  <c r="AP85" i="20"/>
  <c r="AU52" i="19"/>
  <c r="AP19" i="114"/>
  <c r="AP18" i="114"/>
  <c r="AP23" i="114"/>
  <c r="AP22" i="114"/>
  <c r="AP20" i="114"/>
  <c r="AP24" i="114"/>
  <c r="AP25" i="114"/>
  <c r="AP15" i="114"/>
  <c r="AP14" i="114"/>
  <c r="AP12" i="114"/>
  <c r="AP10" i="114"/>
  <c r="AP9" i="114"/>
  <c r="AP8" i="114"/>
  <c r="AQ132" i="47"/>
  <c r="AQ131" i="47"/>
  <c r="AQ127" i="47"/>
  <c r="AU68" i="93"/>
  <c r="AQ120" i="47"/>
  <c r="AS120" i="47"/>
  <c r="AT120" i="47"/>
  <c r="AS125" i="47"/>
  <c r="AT125" i="47"/>
  <c r="AU47" i="9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70" i="5"/>
  <c r="AU171" i="5"/>
  <c r="AU172" i="5"/>
  <c r="AU173" i="5"/>
  <c r="AU174" i="5"/>
  <c r="AU175" i="5"/>
  <c r="AU176" i="5"/>
  <c r="AU177" i="5"/>
  <c r="AU178" i="5"/>
  <c r="AU179" i="5"/>
  <c r="AU180" i="5"/>
  <c r="AU129" i="115" s="1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7" i="5"/>
  <c r="AU198" i="5"/>
  <c r="AU199" i="5"/>
  <c r="AU200" i="5"/>
  <c r="AU201" i="5"/>
  <c r="AU202" i="5"/>
  <c r="AU54" i="115" s="1"/>
  <c r="AU203" i="5"/>
  <c r="AU204" i="5"/>
  <c r="AU205" i="5"/>
  <c r="AU206" i="5"/>
  <c r="AU207" i="5"/>
  <c r="AU208" i="5"/>
  <c r="AU209" i="5"/>
  <c r="AU210" i="5"/>
  <c r="AU211" i="5"/>
  <c r="AU212" i="5"/>
  <c r="AU214" i="5"/>
  <c r="AU9" i="103"/>
  <c r="AV10" i="103"/>
  <c r="AT9" i="103"/>
  <c r="AV11" i="103"/>
  <c r="AV12" i="103"/>
  <c r="AV13" i="103"/>
  <c r="AV14" i="103"/>
  <c r="AR9" i="103"/>
  <c r="AV15" i="103"/>
  <c r="AV16" i="103"/>
  <c r="AV17" i="103"/>
  <c r="AV18" i="103"/>
  <c r="AR19" i="103"/>
  <c r="AS19" i="103"/>
  <c r="AT19" i="103"/>
  <c r="AU19" i="103"/>
  <c r="AV20" i="103"/>
  <c r="AV21" i="103"/>
  <c r="AV22" i="103"/>
  <c r="AV23" i="103"/>
  <c r="AV24" i="103"/>
  <c r="AV25" i="103"/>
  <c r="AV26" i="103"/>
  <c r="AU27" i="103"/>
  <c r="AV28" i="103"/>
  <c r="AS27" i="103"/>
  <c r="AT27" i="103"/>
  <c r="AV29" i="103"/>
  <c r="AV30" i="103"/>
  <c r="AV31" i="103"/>
  <c r="AV32" i="103"/>
  <c r="AV33" i="103"/>
  <c r="AV34" i="103"/>
  <c r="AV35" i="103"/>
  <c r="AV36" i="103"/>
  <c r="AV37" i="103"/>
  <c r="AV38" i="103"/>
  <c r="AV39" i="103"/>
  <c r="AV40" i="103"/>
  <c r="AV42" i="103"/>
  <c r="AV43" i="103"/>
  <c r="AV44" i="103"/>
  <c r="AV45" i="103"/>
  <c r="AV47" i="103"/>
  <c r="AV49" i="103"/>
  <c r="AV50" i="103"/>
  <c r="AV51" i="103"/>
  <c r="AV53" i="103"/>
  <c r="AV55" i="103"/>
  <c r="AV56" i="103"/>
  <c r="AV57" i="103"/>
  <c r="AV58" i="103"/>
  <c r="AV61" i="103"/>
  <c r="AU17" i="12"/>
  <c r="AU18" i="12"/>
  <c r="AU23" i="12"/>
  <c r="AV41" i="103"/>
  <c r="AV48" i="103"/>
  <c r="AS9" i="103"/>
  <c r="AV54" i="103"/>
  <c r="AR27" i="103"/>
  <c r="AV60" i="103"/>
  <c r="AV62" i="103"/>
  <c r="AV52" i="103"/>
  <c r="AV46" i="103"/>
  <c r="AK82" i="102"/>
  <c r="AF69" i="103"/>
  <c r="AG69" i="103" s="1"/>
  <c r="AE69" i="103"/>
  <c r="AD69" i="103"/>
  <c r="AC69" i="103"/>
  <c r="AA69" i="103"/>
  <c r="AB69" i="103" s="1"/>
  <c r="Z69" i="103"/>
  <c r="Y69" i="103"/>
  <c r="X69" i="103"/>
  <c r="Q69" i="103"/>
  <c r="R69" i="103" s="1"/>
  <c r="P69" i="103"/>
  <c r="O69" i="103"/>
  <c r="N69" i="103"/>
  <c r="L69" i="103"/>
  <c r="M69" i="103" s="1"/>
  <c r="K69" i="103"/>
  <c r="J69" i="103"/>
  <c r="I69" i="103"/>
  <c r="G69" i="103"/>
  <c r="H69" i="103" s="1"/>
  <c r="F69" i="103"/>
  <c r="E69" i="103"/>
  <c r="D69" i="103"/>
  <c r="AJ54" i="103"/>
  <c r="AI54" i="103"/>
  <c r="AQ53" i="103"/>
  <c r="AL53" i="103"/>
  <c r="AQ51" i="103"/>
  <c r="AQ47" i="103"/>
  <c r="AQ40" i="103"/>
  <c r="AL40" i="103"/>
  <c r="AL18" i="103"/>
  <c r="AE2" i="103"/>
  <c r="AD2" i="103"/>
  <c r="AC2" i="103"/>
  <c r="AA2" i="103"/>
  <c r="Z2" i="103"/>
  <c r="Y2" i="103"/>
  <c r="X2" i="103"/>
  <c r="V2" i="103"/>
  <c r="U2" i="103"/>
  <c r="T2" i="103"/>
  <c r="S2" i="103"/>
  <c r="Q2" i="103"/>
  <c r="P2" i="103"/>
  <c r="O2" i="103"/>
  <c r="N2" i="103"/>
  <c r="L2" i="103"/>
  <c r="K2" i="103"/>
  <c r="J2" i="103"/>
  <c r="I2" i="103"/>
  <c r="G2" i="103"/>
  <c r="F2" i="103"/>
  <c r="E2" i="103"/>
  <c r="D2" i="103"/>
  <c r="AF1" i="103"/>
  <c r="AE1" i="103"/>
  <c r="AD1" i="103"/>
  <c r="AC1" i="103"/>
  <c r="AA1" i="103"/>
  <c r="Z1" i="103"/>
  <c r="Y1" i="103"/>
  <c r="X1" i="103"/>
  <c r="V1" i="103"/>
  <c r="U1" i="103"/>
  <c r="T1" i="103"/>
  <c r="S1" i="103"/>
  <c r="Q1" i="103"/>
  <c r="P1" i="103"/>
  <c r="O1" i="103"/>
  <c r="N1" i="103"/>
  <c r="L1" i="103"/>
  <c r="K1" i="103"/>
  <c r="J1" i="103"/>
  <c r="I1" i="103"/>
  <c r="G1" i="103"/>
  <c r="F1" i="103"/>
  <c r="E1" i="103"/>
  <c r="D1" i="103"/>
  <c r="AP55" i="102"/>
  <c r="AQ45" i="102"/>
  <c r="AL44" i="102"/>
  <c r="G93" i="102"/>
  <c r="AO90" i="102"/>
  <c r="AQ87" i="102"/>
  <c r="AM82" i="102"/>
  <c r="AJ82" i="102"/>
  <c r="AI82" i="102"/>
  <c r="AH82" i="102"/>
  <c r="AQ76" i="102"/>
  <c r="AQ53" i="102"/>
  <c r="AL53" i="102"/>
  <c r="AQ51" i="102"/>
  <c r="AQ47" i="102"/>
  <c r="V38" i="45"/>
  <c r="V37" i="45" s="1"/>
  <c r="V45" i="45"/>
  <c r="V42" i="45"/>
  <c r="AN60" i="47"/>
  <c r="D5" i="98"/>
  <c r="C5" i="98"/>
  <c r="AN7" i="12"/>
  <c r="AL7" i="12"/>
  <c r="AM11" i="12"/>
  <c r="AK24" i="114"/>
  <c r="AL24" i="114"/>
  <c r="AM24" i="114"/>
  <c r="AN24" i="114"/>
  <c r="AK20" i="114"/>
  <c r="AL20" i="114"/>
  <c r="AM20" i="114"/>
  <c r="AN20" i="114"/>
  <c r="AK22" i="114"/>
  <c r="AL22" i="114"/>
  <c r="AM22" i="114"/>
  <c r="AN22" i="114"/>
  <c r="AK23" i="114"/>
  <c r="AL23" i="114"/>
  <c r="AM23" i="114"/>
  <c r="AN23" i="114"/>
  <c r="AL18" i="114"/>
  <c r="AM18" i="114"/>
  <c r="AN18" i="114"/>
  <c r="AK19" i="114"/>
  <c r="AL19" i="114"/>
  <c r="AM19" i="114"/>
  <c r="AN19" i="114"/>
  <c r="AL25" i="114"/>
  <c r="AM25" i="114"/>
  <c r="AN25" i="114"/>
  <c r="AK25" i="114"/>
  <c r="AG25" i="114"/>
  <c r="AH25" i="114"/>
  <c r="AI25" i="114"/>
  <c r="AG24" i="114"/>
  <c r="AH24" i="114"/>
  <c r="AI24" i="114"/>
  <c r="AG20" i="114"/>
  <c r="AH20" i="114"/>
  <c r="AI20" i="114"/>
  <c r="AG22" i="114"/>
  <c r="AH22" i="114"/>
  <c r="AI22" i="114"/>
  <c r="AG23" i="114"/>
  <c r="AH23" i="114"/>
  <c r="AI23" i="114"/>
  <c r="AG18" i="114"/>
  <c r="AH18" i="114"/>
  <c r="AI18" i="114"/>
  <c r="AG19" i="114"/>
  <c r="AH19" i="114"/>
  <c r="AI19" i="114"/>
  <c r="AF24" i="114"/>
  <c r="AF20" i="114"/>
  <c r="AF22" i="114"/>
  <c r="AF23" i="114"/>
  <c r="AF18" i="114"/>
  <c r="AF19" i="114"/>
  <c r="AF25" i="114"/>
  <c r="AL8" i="114"/>
  <c r="AM8" i="114"/>
  <c r="AN8" i="114"/>
  <c r="AL9" i="114"/>
  <c r="AM9" i="114"/>
  <c r="AN9" i="114"/>
  <c r="AL10" i="114"/>
  <c r="AM10" i="114"/>
  <c r="AN10" i="114"/>
  <c r="AL12" i="114"/>
  <c r="AM12" i="114"/>
  <c r="AN12" i="114"/>
  <c r="AL13" i="114"/>
  <c r="AL14" i="114"/>
  <c r="AM14" i="114"/>
  <c r="AN14" i="114"/>
  <c r="AL15" i="114"/>
  <c r="AK9" i="114"/>
  <c r="AK10" i="114"/>
  <c r="AK12" i="114"/>
  <c r="AK13" i="114"/>
  <c r="AK8" i="114"/>
  <c r="AG8" i="114"/>
  <c r="AH8" i="114"/>
  <c r="AI8" i="114"/>
  <c r="AG9" i="114"/>
  <c r="AH9" i="114"/>
  <c r="AI9" i="114"/>
  <c r="AG10" i="114"/>
  <c r="AH10" i="114"/>
  <c r="AI10" i="114"/>
  <c r="AG12" i="114"/>
  <c r="AI12" i="114"/>
  <c r="AG13" i="114"/>
  <c r="AH13" i="114"/>
  <c r="AI13" i="114"/>
  <c r="AG14" i="114"/>
  <c r="AH14" i="114"/>
  <c r="AI14" i="114"/>
  <c r="AG15" i="114"/>
  <c r="AH15" i="114"/>
  <c r="AI15" i="114"/>
  <c r="AF9" i="114"/>
  <c r="AF12" i="114"/>
  <c r="AF13" i="114"/>
  <c r="AF14" i="114"/>
  <c r="AF15" i="114"/>
  <c r="AF8" i="114"/>
  <c r="AP85" i="93"/>
  <c r="AJ80" i="93"/>
  <c r="AI80" i="93"/>
  <c r="AH80" i="93"/>
  <c r="AP74" i="93"/>
  <c r="AK74" i="93"/>
  <c r="AP67" i="93"/>
  <c r="AP52" i="93"/>
  <c r="AK52" i="93"/>
  <c r="AP46" i="93"/>
  <c r="AK17" i="93"/>
  <c r="AO60" i="47"/>
  <c r="AM60" i="47"/>
  <c r="AL60" i="47"/>
  <c r="AO146" i="115"/>
  <c r="AO108" i="115"/>
  <c r="AO31" i="115"/>
  <c r="AO66" i="115"/>
  <c r="AO106" i="74"/>
  <c r="AO105" i="74"/>
  <c r="AO102" i="74"/>
  <c r="AO98" i="74"/>
  <c r="AO124" i="115"/>
  <c r="AO57" i="47"/>
  <c r="AO55" i="47"/>
  <c r="AO53" i="47"/>
  <c r="AO51" i="47"/>
  <c r="AO50" i="47"/>
  <c r="AO48" i="47"/>
  <c r="AO95" i="74"/>
  <c r="AO64" i="115"/>
  <c r="AO94" i="74"/>
  <c r="AO68" i="74"/>
  <c r="AO101" i="115"/>
  <c r="AO93" i="74"/>
  <c r="AO62" i="115"/>
  <c r="AO138" i="115"/>
  <c r="AN68" i="20"/>
  <c r="AN36" i="20" s="1"/>
  <c r="AN67" i="20"/>
  <c r="AN35" i="20" s="1"/>
  <c r="AN64" i="20"/>
  <c r="AN32" i="20" s="1"/>
  <c r="AN63" i="20"/>
  <c r="AN31" i="20" s="1"/>
  <c r="AN59" i="20"/>
  <c r="AO92" i="74"/>
  <c r="AO99" i="115"/>
  <c r="AO23" i="115"/>
  <c r="AO117" i="74"/>
  <c r="AO91" i="74"/>
  <c r="AO65" i="74"/>
  <c r="AO13" i="74"/>
  <c r="AO90" i="74"/>
  <c r="AO59" i="115"/>
  <c r="AO135" i="115"/>
  <c r="AO20" i="115"/>
  <c r="M55" i="48"/>
  <c r="M51" i="48"/>
  <c r="AO131" i="47"/>
  <c r="AO129" i="47"/>
  <c r="H32" i="77" a="1"/>
  <c r="H32" i="77" s="1"/>
  <c r="F32" i="77" a="1"/>
  <c r="F32" i="77" s="1"/>
  <c r="C32" i="77" a="1"/>
  <c r="C32" i="77" s="1"/>
  <c r="AC7" i="88"/>
  <c r="AN23" i="20"/>
  <c r="AO114" i="20"/>
  <c r="AN85" i="20"/>
  <c r="AN81" i="20"/>
  <c r="AN80" i="20"/>
  <c r="AN79" i="20"/>
  <c r="AN29" i="20"/>
  <c r="M43" i="48"/>
  <c r="M42" i="48"/>
  <c r="M40" i="48"/>
  <c r="M39" i="48"/>
  <c r="M37" i="48"/>
  <c r="AC180" i="88"/>
  <c r="AC171" i="88"/>
  <c r="AC162" i="88"/>
  <c r="M35" i="48"/>
  <c r="AN117" i="74"/>
  <c r="AN95" i="74"/>
  <c r="AN140" i="115"/>
  <c r="AN102" i="115"/>
  <c r="AN139" i="115"/>
  <c r="AN93" i="74"/>
  <c r="AN100" i="115"/>
  <c r="AM68" i="20"/>
  <c r="AM36" i="20" s="1"/>
  <c r="AM64" i="20"/>
  <c r="AM32" i="20" s="1"/>
  <c r="AM63" i="20"/>
  <c r="AM31" i="20" s="1"/>
  <c r="AM59" i="20"/>
  <c r="AN92" i="74"/>
  <c r="AN61" i="115"/>
  <c r="AN137" i="115"/>
  <c r="AN90" i="6"/>
  <c r="AN92" i="6" s="1"/>
  <c r="AN91" i="74" s="1"/>
  <c r="AN65" i="74"/>
  <c r="AN90" i="74"/>
  <c r="L59" i="48"/>
  <c r="L54" i="48"/>
  <c r="AN98" i="74"/>
  <c r="AN57" i="47"/>
  <c r="AN56" i="47"/>
  <c r="AN55" i="47"/>
  <c r="AN51" i="47"/>
  <c r="AN50" i="47"/>
  <c r="AN49" i="47"/>
  <c r="AN48" i="47"/>
  <c r="AN106" i="74"/>
  <c r="AN105" i="74"/>
  <c r="AN55" i="115"/>
  <c r="AN102" i="74"/>
  <c r="AN67" i="115"/>
  <c r="AN132" i="47"/>
  <c r="AN131" i="47"/>
  <c r="AN130" i="47"/>
  <c r="AA9" i="88"/>
  <c r="AN94" i="74"/>
  <c r="L43" i="48"/>
  <c r="AB180" i="88"/>
  <c r="AB171" i="88"/>
  <c r="AB162" i="88"/>
  <c r="AM59" i="18"/>
  <c r="AM60" i="18"/>
  <c r="D32" i="77" a="1"/>
  <c r="D32" i="77" s="1"/>
  <c r="AO120" i="47"/>
  <c r="AO132" i="47"/>
  <c r="AP21" i="9"/>
  <c r="AN120" i="47"/>
  <c r="AN127" i="47"/>
  <c r="N64" i="48"/>
  <c r="AN146" i="115"/>
  <c r="AN108" i="115"/>
  <c r="AN32" i="115"/>
  <c r="AN69" i="115"/>
  <c r="AN31" i="115"/>
  <c r="C31" i="77" a="1"/>
  <c r="C31" i="77" s="1"/>
  <c r="AM30" i="77"/>
  <c r="AL30" i="77"/>
  <c r="C30" i="77" a="1"/>
  <c r="C30" i="77" s="1"/>
  <c r="AM29" i="77"/>
  <c r="AL29" i="77"/>
  <c r="C29" i="77" a="1"/>
  <c r="C29" i="77" s="1"/>
  <c r="AM28" i="77"/>
  <c r="AL28" i="77"/>
  <c r="C28" i="77" a="1"/>
  <c r="C28" i="77" s="1"/>
  <c r="AM27" i="77"/>
  <c r="AL27" i="77"/>
  <c r="C27" i="77" a="1"/>
  <c r="C27" i="77" s="1"/>
  <c r="AM26" i="77"/>
  <c r="AL26" i="77"/>
  <c r="C26" i="77" a="1"/>
  <c r="C26" i="77" s="1"/>
  <c r="AM25" i="77"/>
  <c r="AL25" i="77"/>
  <c r="C25" i="77" a="1"/>
  <c r="C25" i="77" s="1"/>
  <c r="AM24" i="77"/>
  <c r="AL24" i="77"/>
  <c r="C24" i="77" a="1"/>
  <c r="C24" i="77" s="1"/>
  <c r="AM23" i="77"/>
  <c r="AL23" i="77"/>
  <c r="C23" i="77" a="1"/>
  <c r="C23" i="77" s="1"/>
  <c r="C22" i="77" a="1"/>
  <c r="C22" i="77" s="1"/>
  <c r="AM21" i="77"/>
  <c r="AL21" i="77"/>
  <c r="C21" i="77" a="1"/>
  <c r="C21" i="77" s="1"/>
  <c r="AM20" i="77"/>
  <c r="AL20" i="77"/>
  <c r="C20" i="77" a="1"/>
  <c r="C20" i="77" s="1"/>
  <c r="AM19" i="77"/>
  <c r="AL19" i="77"/>
  <c r="C19" i="77" a="1"/>
  <c r="C19" i="77" s="1"/>
  <c r="AM18" i="77"/>
  <c r="AL18" i="77"/>
  <c r="C18" i="77" a="1"/>
  <c r="C18" i="77" s="1"/>
  <c r="AM17" i="77"/>
  <c r="AL17" i="77"/>
  <c r="C17" i="77" a="1"/>
  <c r="C17" i="77" s="1"/>
  <c r="AM16" i="77"/>
  <c r="AL16" i="77"/>
  <c r="C16" i="77" a="1"/>
  <c r="C16" i="77" s="1"/>
  <c r="C15" i="77" a="1"/>
  <c r="C15" i="77" s="1"/>
  <c r="AM14" i="77"/>
  <c r="AL14" i="77"/>
  <c r="C14" i="77" a="1"/>
  <c r="C14" i="77" s="1"/>
  <c r="AM13" i="77"/>
  <c r="AL13" i="77"/>
  <c r="C13" i="77" a="1"/>
  <c r="C13" i="77" s="1"/>
  <c r="AM12" i="77"/>
  <c r="AL12" i="77"/>
  <c r="C12" i="77" a="1"/>
  <c r="C12" i="77" s="1"/>
  <c r="AM11" i="77"/>
  <c r="AL11" i="77"/>
  <c r="C11" i="77" a="1"/>
  <c r="C11" i="77" s="1"/>
  <c r="C10" i="77" a="1"/>
  <c r="C10" i="77" s="1"/>
  <c r="AM9" i="77"/>
  <c r="AL9" i="77"/>
  <c r="C9" i="77" a="1"/>
  <c r="C9" i="77" s="1"/>
  <c r="AM8" i="77"/>
  <c r="AL8" i="77"/>
  <c r="C8" i="77" a="1"/>
  <c r="C8" i="77" s="1"/>
  <c r="AM7" i="77"/>
  <c r="AL7" i="77"/>
  <c r="C7" i="77" a="1"/>
  <c r="C7" i="77" s="1"/>
  <c r="AM6" i="77"/>
  <c r="AL6" i="77"/>
  <c r="C6" i="77" a="1"/>
  <c r="C6" i="77" s="1"/>
  <c r="M64" i="48"/>
  <c r="AF23" i="20"/>
  <c r="AG23" i="20"/>
  <c r="AH23" i="20"/>
  <c r="AB117" i="74"/>
  <c r="AC117" i="74"/>
  <c r="AD117" i="74"/>
  <c r="AE117" i="74"/>
  <c r="AF117" i="74"/>
  <c r="AA117" i="74"/>
  <c r="AB116" i="74"/>
  <c r="AC116" i="74"/>
  <c r="AD116" i="74"/>
  <c r="AE116" i="74"/>
  <c r="AF116" i="74"/>
  <c r="AA116" i="74"/>
  <c r="AB113" i="74"/>
  <c r="AC113" i="74"/>
  <c r="AD113" i="74"/>
  <c r="AE113" i="74"/>
  <c r="AF113" i="74"/>
  <c r="AA113" i="74"/>
  <c r="AE21" i="20"/>
  <c r="Z21" i="20"/>
  <c r="U21" i="20"/>
  <c r="AE18" i="20"/>
  <c r="AE17" i="20"/>
  <c r="Z18" i="20"/>
  <c r="Z17" i="20"/>
  <c r="U18" i="20"/>
  <c r="U17" i="20"/>
  <c r="F71" i="11"/>
  <c r="G71" i="11" s="1"/>
  <c r="E71" i="11"/>
  <c r="D71" i="11"/>
  <c r="C71" i="11"/>
  <c r="K71" i="11"/>
  <c r="L71" i="11" s="1"/>
  <c r="J71" i="11"/>
  <c r="I71" i="11"/>
  <c r="H71" i="11"/>
  <c r="P71" i="11"/>
  <c r="Q71" i="11" s="1"/>
  <c r="O71" i="11"/>
  <c r="N71" i="11"/>
  <c r="M71" i="11"/>
  <c r="Z71" i="11"/>
  <c r="AA71" i="11" s="1"/>
  <c r="Y71" i="11"/>
  <c r="X71" i="11"/>
  <c r="W71" i="11"/>
  <c r="AE71" i="11"/>
  <c r="AF71" i="11" s="1"/>
  <c r="AD71" i="11"/>
  <c r="AC71" i="11"/>
  <c r="AB71" i="11"/>
  <c r="AA81" i="74"/>
  <c r="AA55" i="74"/>
  <c r="AA29" i="74"/>
  <c r="AJ114" i="20"/>
  <c r="AA76" i="74"/>
  <c r="D50" i="47"/>
  <c r="E47" i="47"/>
  <c r="H47" i="47"/>
  <c r="I47" i="47"/>
  <c r="J47" i="47"/>
  <c r="N47" i="47"/>
  <c r="O50" i="47"/>
  <c r="P47" i="47"/>
  <c r="R50" i="47"/>
  <c r="S50" i="47"/>
  <c r="U50" i="47"/>
  <c r="X50" i="47"/>
  <c r="Y50" i="47"/>
  <c r="Z50" i="47"/>
  <c r="C47" i="47"/>
  <c r="Z64" i="47"/>
  <c r="AA64" i="47" s="1"/>
  <c r="AB64" i="47"/>
  <c r="AC64" i="47"/>
  <c r="AD64" i="47"/>
  <c r="AE64" i="47"/>
  <c r="Z67" i="47"/>
  <c r="AA67" i="47" s="1"/>
  <c r="AB67" i="47"/>
  <c r="AC67" i="47"/>
  <c r="AD67" i="47"/>
  <c r="AE67" i="47"/>
  <c r="AF33" i="74"/>
  <c r="AE33" i="74"/>
  <c r="AD33" i="74"/>
  <c r="AC33" i="74"/>
  <c r="AB33" i="74"/>
  <c r="AA33" i="74"/>
  <c r="AF32" i="74"/>
  <c r="AE32" i="74"/>
  <c r="AD32" i="74"/>
  <c r="AC32" i="74"/>
  <c r="AB32" i="74"/>
  <c r="AA32" i="74"/>
  <c r="AF31" i="74"/>
  <c r="AE31" i="74"/>
  <c r="AD31" i="74"/>
  <c r="AC31" i="74"/>
  <c r="AB31" i="74"/>
  <c r="AA31" i="74"/>
  <c r="AA28" i="74"/>
  <c r="AA27" i="74"/>
  <c r="AO26" i="74"/>
  <c r="AN26" i="74"/>
  <c r="AM26" i="74"/>
  <c r="AL26" i="74"/>
  <c r="AA26" i="74"/>
  <c r="AO25" i="74"/>
  <c r="AN25" i="74"/>
  <c r="AM25" i="74"/>
  <c r="AL25" i="74"/>
  <c r="AA25" i="74"/>
  <c r="AA24" i="74"/>
  <c r="AO23" i="74"/>
  <c r="AN23" i="74"/>
  <c r="AM23" i="74"/>
  <c r="AL23" i="74"/>
  <c r="AA23" i="74"/>
  <c r="AO22" i="74"/>
  <c r="AN22" i="74"/>
  <c r="AM22" i="74"/>
  <c r="AL22" i="74"/>
  <c r="AF22" i="74"/>
  <c r="AE22" i="74"/>
  <c r="AD22" i="74"/>
  <c r="AC22" i="74"/>
  <c r="AB22" i="74"/>
  <c r="AA22" i="74"/>
  <c r="AO21" i="74"/>
  <c r="AN21" i="74"/>
  <c r="AM21" i="74"/>
  <c r="AL21" i="74"/>
  <c r="AK21" i="74"/>
  <c r="AJ21" i="74"/>
  <c r="AI21" i="74"/>
  <c r="AH21" i="74"/>
  <c r="AG21" i="74"/>
  <c r="AF21" i="74"/>
  <c r="AE21" i="74"/>
  <c r="AD21" i="74"/>
  <c r="AC21" i="74"/>
  <c r="AB21" i="74"/>
  <c r="AA21" i="74"/>
  <c r="AF20" i="74"/>
  <c r="AE20" i="74"/>
  <c r="AD20" i="74"/>
  <c r="AC20" i="74"/>
  <c r="AB20" i="74"/>
  <c r="AA20" i="74"/>
  <c r="AF17" i="74"/>
  <c r="AE17" i="74"/>
  <c r="AD17" i="74"/>
  <c r="AC17" i="74"/>
  <c r="AB17" i="74"/>
  <c r="AA17" i="74"/>
  <c r="AF16" i="74"/>
  <c r="AE16" i="74"/>
  <c r="AD16" i="74"/>
  <c r="AC16" i="74"/>
  <c r="AB16" i="74"/>
  <c r="AA16" i="74"/>
  <c r="AF15" i="74"/>
  <c r="AE15" i="74"/>
  <c r="AD15" i="74"/>
  <c r="AC15" i="74"/>
  <c r="AB15" i="74"/>
  <c r="AA15" i="74"/>
  <c r="AF14" i="74"/>
  <c r="AE14" i="74"/>
  <c r="AD14" i="74"/>
  <c r="AC14" i="74"/>
  <c r="AB14" i="74"/>
  <c r="AA14" i="74"/>
  <c r="AF13" i="74"/>
  <c r="AE13" i="74"/>
  <c r="AD13" i="74"/>
  <c r="AC13" i="74"/>
  <c r="AB13" i="74"/>
  <c r="AA13" i="74"/>
  <c r="AF12" i="74"/>
  <c r="AE12" i="74"/>
  <c r="AD12" i="74"/>
  <c r="AC12" i="74"/>
  <c r="AB12" i="74"/>
  <c r="AA12" i="74"/>
  <c r="AP21" i="74"/>
  <c r="AF89" i="74"/>
  <c r="AE89" i="74"/>
  <c r="AD89" i="74"/>
  <c r="AC89" i="74"/>
  <c r="AB89" i="74"/>
  <c r="AA89" i="74"/>
  <c r="AF95" i="74"/>
  <c r="AE95" i="74"/>
  <c r="AD95" i="74"/>
  <c r="AC95" i="74"/>
  <c r="AB95" i="74"/>
  <c r="AA95" i="74"/>
  <c r="AF94" i="74"/>
  <c r="AE94" i="74"/>
  <c r="AD94" i="74"/>
  <c r="AC94" i="74"/>
  <c r="AB94" i="74"/>
  <c r="AA94" i="74"/>
  <c r="AF93" i="74"/>
  <c r="AE93" i="74"/>
  <c r="AD93" i="74"/>
  <c r="AC93" i="74"/>
  <c r="AB93" i="74"/>
  <c r="AA93" i="74"/>
  <c r="AF92" i="74"/>
  <c r="AE92" i="74"/>
  <c r="AD92" i="74"/>
  <c r="AC92" i="74"/>
  <c r="AB92" i="74"/>
  <c r="AA92" i="74"/>
  <c r="AF91" i="74"/>
  <c r="AE91" i="74"/>
  <c r="AD91" i="74"/>
  <c r="AC91" i="74"/>
  <c r="AB91" i="74"/>
  <c r="AA91" i="74"/>
  <c r="AF90" i="74"/>
  <c r="AE90" i="74"/>
  <c r="AD90" i="74"/>
  <c r="AC90" i="74"/>
  <c r="AB90" i="74"/>
  <c r="AA90" i="74"/>
  <c r="AF69" i="74"/>
  <c r="AE69" i="74"/>
  <c r="G55" i="75" s="1"/>
  <c r="AD69" i="74"/>
  <c r="AC69" i="74"/>
  <c r="AB69" i="74"/>
  <c r="AA69" i="74"/>
  <c r="AF68" i="74"/>
  <c r="AE68" i="74"/>
  <c r="AD68" i="74"/>
  <c r="AC68" i="74"/>
  <c r="AB68" i="74"/>
  <c r="AB130" i="74" s="1"/>
  <c r="AA68" i="74"/>
  <c r="AA130" i="74" s="1"/>
  <c r="AF67" i="74"/>
  <c r="AE67" i="74"/>
  <c r="AD67" i="74"/>
  <c r="AC67" i="74"/>
  <c r="AB67" i="74"/>
  <c r="AA67" i="74"/>
  <c r="AF66" i="74"/>
  <c r="AE66" i="74"/>
  <c r="AD66" i="74"/>
  <c r="AC66" i="74"/>
  <c r="AB66" i="74"/>
  <c r="AA66" i="74"/>
  <c r="AF65" i="74"/>
  <c r="AE65" i="74"/>
  <c r="AD65" i="74"/>
  <c r="AC65" i="74"/>
  <c r="AB65" i="74"/>
  <c r="AA65" i="74"/>
  <c r="AF64" i="74"/>
  <c r="AE64" i="74"/>
  <c r="AD64" i="74"/>
  <c r="AC64" i="74"/>
  <c r="AB64" i="74"/>
  <c r="AA64" i="74"/>
  <c r="AA126" i="74" s="1"/>
  <c r="AF43" i="74"/>
  <c r="AE43" i="74"/>
  <c r="AD43" i="74"/>
  <c r="AC43" i="74"/>
  <c r="AB43" i="74"/>
  <c r="AA43" i="74"/>
  <c r="AF42" i="74"/>
  <c r="AE42" i="74"/>
  <c r="AD42" i="74"/>
  <c r="AC42" i="74"/>
  <c r="AB42" i="74"/>
  <c r="AA42" i="74"/>
  <c r="AF41" i="74"/>
  <c r="AE41" i="74"/>
  <c r="AD41" i="74"/>
  <c r="AC41" i="74"/>
  <c r="AB41" i="74"/>
  <c r="AA41" i="74"/>
  <c r="AF40" i="74"/>
  <c r="AE40" i="74"/>
  <c r="AD40" i="74"/>
  <c r="AC40" i="74"/>
  <c r="AB40" i="74"/>
  <c r="AA40" i="74"/>
  <c r="AF39" i="74"/>
  <c r="AE39" i="74"/>
  <c r="AD39" i="74"/>
  <c r="AC39" i="74"/>
  <c r="AB39" i="74"/>
  <c r="AA39" i="74"/>
  <c r="AF38" i="74"/>
  <c r="AE38" i="74"/>
  <c r="AD38" i="74"/>
  <c r="AC38" i="74"/>
  <c r="AB38" i="74"/>
  <c r="AA38" i="74"/>
  <c r="AA111" i="74"/>
  <c r="AB111" i="74"/>
  <c r="AC111" i="74"/>
  <c r="AD111" i="74"/>
  <c r="AE111" i="74"/>
  <c r="AF111" i="74"/>
  <c r="AA85" i="74"/>
  <c r="AB85" i="74"/>
  <c r="AC85" i="74"/>
  <c r="AD85" i="74"/>
  <c r="AE85" i="74"/>
  <c r="AF85" i="74"/>
  <c r="AA59" i="74"/>
  <c r="AB59" i="74"/>
  <c r="AC59" i="74"/>
  <c r="AD59" i="74"/>
  <c r="AE59" i="74"/>
  <c r="AF59" i="74"/>
  <c r="AF110" i="74"/>
  <c r="AE110" i="74"/>
  <c r="AD110" i="74"/>
  <c r="AC110" i="74"/>
  <c r="AB110" i="74"/>
  <c r="AA110" i="74"/>
  <c r="AF109" i="74"/>
  <c r="AE109" i="74"/>
  <c r="AD109" i="74"/>
  <c r="AC109" i="74"/>
  <c r="AB109" i="74"/>
  <c r="AA109" i="74"/>
  <c r="AA106" i="74"/>
  <c r="AA105" i="74"/>
  <c r="AA104" i="74"/>
  <c r="AA103" i="74"/>
  <c r="AA102" i="74"/>
  <c r="AA101" i="74"/>
  <c r="AF100" i="74"/>
  <c r="AE100" i="74"/>
  <c r="AD100" i="74"/>
  <c r="AC100" i="74"/>
  <c r="AB100" i="74"/>
  <c r="AA100" i="74"/>
  <c r="AA99" i="74"/>
  <c r="AF98" i="74"/>
  <c r="AE98" i="74"/>
  <c r="AD98" i="74"/>
  <c r="AC98" i="74"/>
  <c r="AB98" i="74"/>
  <c r="AA98" i="74"/>
  <c r="AF84" i="74"/>
  <c r="AE84" i="74"/>
  <c r="AD84" i="74"/>
  <c r="AC84" i="74"/>
  <c r="AB84" i="74"/>
  <c r="AA84" i="74"/>
  <c r="AF83" i="74"/>
  <c r="AE83" i="74"/>
  <c r="AD83" i="74"/>
  <c r="AC83" i="74"/>
  <c r="AB83" i="74"/>
  <c r="AA83" i="74"/>
  <c r="AA80" i="74"/>
  <c r="AA79" i="74"/>
  <c r="AA78" i="74"/>
  <c r="AA77" i="74"/>
  <c r="AA75" i="74"/>
  <c r="AF74" i="74"/>
  <c r="AE74" i="74"/>
  <c r="AD74" i="74"/>
  <c r="AC74" i="74"/>
  <c r="AB74" i="74"/>
  <c r="AA74" i="74"/>
  <c r="AA73" i="74"/>
  <c r="AF72" i="74"/>
  <c r="AE72" i="74"/>
  <c r="AD72" i="74"/>
  <c r="AC72" i="74"/>
  <c r="AB72" i="74"/>
  <c r="AA72" i="74"/>
  <c r="AF58" i="74"/>
  <c r="AE58" i="74"/>
  <c r="AD58" i="74"/>
  <c r="AC58" i="74"/>
  <c r="AB58" i="74"/>
  <c r="AA58" i="74"/>
  <c r="AF57" i="74"/>
  <c r="AE57" i="74"/>
  <c r="AD57" i="74"/>
  <c r="AC57" i="74"/>
  <c r="AB57" i="74"/>
  <c r="AA57" i="74"/>
  <c r="AA54" i="74"/>
  <c r="AA53" i="74"/>
  <c r="AA52" i="74"/>
  <c r="AA51" i="74"/>
  <c r="AA50" i="74"/>
  <c r="AA49" i="74"/>
  <c r="AF48" i="74"/>
  <c r="AE48" i="74"/>
  <c r="AD48" i="74"/>
  <c r="AC48" i="74"/>
  <c r="AB48" i="74"/>
  <c r="AA48" i="74"/>
  <c r="AA47" i="74"/>
  <c r="AF46" i="74"/>
  <c r="AE46" i="74"/>
  <c r="AD46" i="74"/>
  <c r="AC46" i="74"/>
  <c r="AB46" i="74"/>
  <c r="AA46" i="74"/>
  <c r="AM132" i="47"/>
  <c r="AM131" i="47"/>
  <c r="AL131" i="47"/>
  <c r="AM130" i="47"/>
  <c r="AL130" i="47"/>
  <c r="AM62" i="115"/>
  <c r="AM99" i="115"/>
  <c r="AM117" i="74"/>
  <c r="AM96" i="115"/>
  <c r="AM60" i="115"/>
  <c r="K54" i="48"/>
  <c r="AL81" i="20"/>
  <c r="AL85" i="20"/>
  <c r="AL80" i="20"/>
  <c r="AL79" i="20"/>
  <c r="AL75" i="20"/>
  <c r="AL29" i="20"/>
  <c r="AL28" i="20"/>
  <c r="K40" i="48"/>
  <c r="K42" i="48"/>
  <c r="K39" i="48"/>
  <c r="K36" i="48"/>
  <c r="K37" i="48"/>
  <c r="Z162" i="88"/>
  <c r="Z171" i="88"/>
  <c r="Z180" i="88"/>
  <c r="AA180" i="88"/>
  <c r="AA171" i="88"/>
  <c r="AA162" i="88"/>
  <c r="AL59" i="18"/>
  <c r="AL60" i="18"/>
  <c r="AL55" i="47"/>
  <c r="AL50" i="47"/>
  <c r="AL48" i="47"/>
  <c r="AM50" i="47"/>
  <c r="AM48" i="47"/>
  <c r="AM140" i="115"/>
  <c r="AM102" i="115"/>
  <c r="AM63" i="115"/>
  <c r="AM139" i="115"/>
  <c r="AM138" i="115"/>
  <c r="AM100" i="115"/>
  <c r="AL68" i="20"/>
  <c r="AL36" i="20" s="1"/>
  <c r="AL67" i="20"/>
  <c r="AL35" i="20" s="1"/>
  <c r="AL64" i="20"/>
  <c r="AL32" i="20" s="1"/>
  <c r="AL63" i="20"/>
  <c r="AL59" i="20"/>
  <c r="AM92" i="74"/>
  <c r="AM137" i="115"/>
  <c r="AM136" i="115"/>
  <c r="AM98" i="115"/>
  <c r="AM59" i="115"/>
  <c r="AM97" i="115"/>
  <c r="K59" i="48"/>
  <c r="K55" i="48"/>
  <c r="K51" i="48"/>
  <c r="AL85" i="115"/>
  <c r="AL94" i="115"/>
  <c r="AL132" i="115"/>
  <c r="AL56" i="115"/>
  <c r="AL106" i="74"/>
  <c r="AL105" i="74"/>
  <c r="AL102" i="74"/>
  <c r="AL48" i="115"/>
  <c r="AL98" i="74"/>
  <c r="AP26" i="5"/>
  <c r="D17" i="77" a="1"/>
  <c r="D17" i="77" s="1"/>
  <c r="AL49" i="47"/>
  <c r="AL56" i="47"/>
  <c r="AL57" i="47"/>
  <c r="AN304" i="5"/>
  <c r="AO304" i="5" s="1"/>
  <c r="AP304" i="5" s="1"/>
  <c r="AM85" i="115"/>
  <c r="AM94" i="115"/>
  <c r="AM132" i="115"/>
  <c r="AM56" i="115"/>
  <c r="AM93" i="115"/>
  <c r="AM105" i="74"/>
  <c r="AM90" i="115"/>
  <c r="AM52" i="115"/>
  <c r="AM102" i="74"/>
  <c r="AM124" i="115"/>
  <c r="AM49" i="47"/>
  <c r="AM51" i="47"/>
  <c r="AM53" i="47"/>
  <c r="AM56" i="47"/>
  <c r="AM143" i="115"/>
  <c r="AM67" i="115"/>
  <c r="D20" i="77" a="1"/>
  <c r="D20" i="77" s="1"/>
  <c r="D19" i="77" a="1"/>
  <c r="D19" i="77" s="1"/>
  <c r="D30" i="77" a="1"/>
  <c r="D30" i="77" s="1"/>
  <c r="D13" i="77" a="1"/>
  <c r="D13" i="77" s="1"/>
  <c r="D25" i="77" a="1"/>
  <c r="D25" i="77" s="1"/>
  <c r="D11" i="77" a="1"/>
  <c r="D11" i="77" s="1"/>
  <c r="D26" i="77" a="1"/>
  <c r="D26" i="77" s="1"/>
  <c r="D24" i="77" a="1"/>
  <c r="D24" i="77" s="1"/>
  <c r="D10" i="77" a="1"/>
  <c r="D10" i="77" s="1"/>
  <c r="D28" i="77" a="1"/>
  <c r="D28" i="77" s="1"/>
  <c r="D23" i="77" a="1"/>
  <c r="D23" i="77" s="1"/>
  <c r="D9" i="77" a="1"/>
  <c r="D9" i="77" s="1"/>
  <c r="D12" i="77" a="1"/>
  <c r="D12" i="77" s="1"/>
  <c r="D22" i="77" a="1"/>
  <c r="D22" i="77" s="1"/>
  <c r="D8" i="77" a="1"/>
  <c r="D8" i="77" s="1"/>
  <c r="D14" i="77" a="1"/>
  <c r="D14" i="77" s="1"/>
  <c r="D27" i="77" a="1"/>
  <c r="D27" i="77" s="1"/>
  <c r="D21" i="77" a="1"/>
  <c r="D21" i="77" s="1"/>
  <c r="D7" i="77" a="1"/>
  <c r="D7" i="77" s="1"/>
  <c r="D29" i="77" a="1"/>
  <c r="D29" i="77" s="1"/>
  <c r="F29" i="77" a="1"/>
  <c r="F29" i="77" s="1"/>
  <c r="D31" i="77" a="1"/>
  <c r="D31" i="77" s="1"/>
  <c r="F31" i="77" a="1"/>
  <c r="F31" i="77" s="1"/>
  <c r="D18" i="77" a="1"/>
  <c r="D18" i="77" s="1"/>
  <c r="D15" i="77" a="1"/>
  <c r="D15" i="77" s="1"/>
  <c r="D16" i="77" a="1"/>
  <c r="D16" i="77" s="1"/>
  <c r="D6" i="77" a="1"/>
  <c r="D6" i="77" s="1"/>
  <c r="AM120" i="47"/>
  <c r="AM142" i="115"/>
  <c r="AM66" i="115"/>
  <c r="AM70" i="115"/>
  <c r="AM145" i="115"/>
  <c r="AM31" i="115"/>
  <c r="AE109" i="20"/>
  <c r="K37" i="45"/>
  <c r="L37" i="45"/>
  <c r="M37" i="45"/>
  <c r="N37" i="45"/>
  <c r="O37" i="45"/>
  <c r="P37" i="45"/>
  <c r="Q37" i="45"/>
  <c r="R37" i="45"/>
  <c r="S37" i="45"/>
  <c r="K43" i="48"/>
  <c r="K64" i="48"/>
  <c r="AH200" i="6"/>
  <c r="B34" i="48"/>
  <c r="C34" i="48"/>
  <c r="D34" i="48"/>
  <c r="E34" i="48"/>
  <c r="B26" i="48"/>
  <c r="B28" i="48" s="1"/>
  <c r="C26" i="48"/>
  <c r="C28" i="48" s="1"/>
  <c r="D26" i="48"/>
  <c r="D28" i="48" s="1"/>
  <c r="E26" i="48"/>
  <c r="E28" i="48" s="1"/>
  <c r="C16" i="48"/>
  <c r="C18" i="48" s="1"/>
  <c r="D16" i="48"/>
  <c r="D18" i="48" s="1"/>
  <c r="E16" i="48"/>
  <c r="E18" i="48" s="1"/>
  <c r="AK85" i="20"/>
  <c r="AK84" i="20"/>
  <c r="AK80" i="20"/>
  <c r="AK79" i="20"/>
  <c r="AK75" i="20"/>
  <c r="AN75" i="20"/>
  <c r="AK29" i="20"/>
  <c r="AK28" i="20"/>
  <c r="J40" i="48"/>
  <c r="J42" i="48"/>
  <c r="J43" i="48"/>
  <c r="J39" i="48"/>
  <c r="J35" i="48"/>
  <c r="J36" i="48"/>
  <c r="AK26" i="6"/>
  <c r="S45" i="45"/>
  <c r="S28" i="45"/>
  <c r="AL101" i="115"/>
  <c r="AK74" i="6"/>
  <c r="AL102" i="115"/>
  <c r="AL64" i="115"/>
  <c r="AL63" i="115"/>
  <c r="AK59" i="20"/>
  <c r="AK64" i="20"/>
  <c r="AK32" i="20" s="1"/>
  <c r="AL93" i="74"/>
  <c r="AL99" i="115"/>
  <c r="AL137" i="115"/>
  <c r="AL61" i="115"/>
  <c r="AL96" i="115"/>
  <c r="AL134" i="115"/>
  <c r="AL98" i="115"/>
  <c r="AL136" i="115"/>
  <c r="AL60" i="115"/>
  <c r="AL91" i="74"/>
  <c r="AL97" i="115"/>
  <c r="AL135" i="115"/>
  <c r="AL59" i="115"/>
  <c r="L64" i="48"/>
  <c r="AL20" i="115"/>
  <c r="J51" i="48"/>
  <c r="AL129" i="47"/>
  <c r="AL120" i="47"/>
  <c r="AL108" i="115"/>
  <c r="AL146" i="115"/>
  <c r="AL69" i="115"/>
  <c r="AL31" i="115"/>
  <c r="AO15" i="20"/>
  <c r="AO43" i="20"/>
  <c r="AO44" i="20"/>
  <c r="AO45" i="20"/>
  <c r="AO47" i="20"/>
  <c r="AO53" i="20"/>
  <c r="AO48" i="20"/>
  <c r="AO50" i="20"/>
  <c r="AO51" i="20"/>
  <c r="AO52" i="20"/>
  <c r="AO89" i="20"/>
  <c r="AO90" i="20"/>
  <c r="AO91" i="20"/>
  <c r="AO95" i="20"/>
  <c r="AO98" i="20"/>
  <c r="AO99" i="20"/>
  <c r="AO110" i="20"/>
  <c r="AO122" i="18"/>
  <c r="AO123" i="18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50" i="115" s="1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4" i="5"/>
  <c r="AP125" i="5"/>
  <c r="AP126" i="5"/>
  <c r="AP127" i="5"/>
  <c r="AP128" i="5"/>
  <c r="AP127" i="115" s="1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70" i="5"/>
  <c r="AP171" i="5"/>
  <c r="AP172" i="5"/>
  <c r="AP173" i="5"/>
  <c r="AP174" i="5"/>
  <c r="AP175" i="5"/>
  <c r="AP177" i="5"/>
  <c r="AP176" i="5"/>
  <c r="AP178" i="5"/>
  <c r="AP179" i="5"/>
  <c r="AP91" i="115" s="1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4" i="5"/>
  <c r="AP15" i="12"/>
  <c r="AP16" i="12"/>
  <c r="AP17" i="12"/>
  <c r="AP18" i="12"/>
  <c r="AO93" i="20"/>
  <c r="AO94" i="20"/>
  <c r="AO49" i="20"/>
  <c r="AO97" i="20"/>
  <c r="AO92" i="20"/>
  <c r="AO46" i="20"/>
  <c r="H43" i="48"/>
  <c r="AI85" i="20"/>
  <c r="AI84" i="20"/>
  <c r="AJ18" i="20"/>
  <c r="I40" i="48"/>
  <c r="I42" i="48"/>
  <c r="I43" i="48"/>
  <c r="I39" i="48"/>
  <c r="I35" i="48"/>
  <c r="I36" i="48"/>
  <c r="I37" i="48"/>
  <c r="I34" i="48"/>
  <c r="AJ96" i="20"/>
  <c r="AJ98" i="20"/>
  <c r="AJ99" i="20"/>
  <c r="AJ110" i="20"/>
  <c r="AJ122" i="18"/>
  <c r="AJ123" i="18"/>
  <c r="Y180" i="88"/>
  <c r="Y162" i="88"/>
  <c r="AJ115" i="18"/>
  <c r="AJ114" i="18"/>
  <c r="AI116" i="18"/>
  <c r="AJ109" i="20"/>
  <c r="AJ130" i="47"/>
  <c r="AJ129" i="47"/>
  <c r="AJ125" i="47"/>
  <c r="AJ131" i="47"/>
  <c r="AJ132" i="47"/>
  <c r="AH101" i="115"/>
  <c r="AI101" i="115"/>
  <c r="AJ101" i="115"/>
  <c r="AG101" i="115"/>
  <c r="AH139" i="115"/>
  <c r="AG63" i="115"/>
  <c r="AH63" i="115"/>
  <c r="AH95" i="74"/>
  <c r="AI137" i="115"/>
  <c r="AI61" i="115"/>
  <c r="AH92" i="74"/>
  <c r="AJ137" i="115"/>
  <c r="D5" i="56"/>
  <c r="E5" i="56"/>
  <c r="F5" i="56"/>
  <c r="G5" i="56"/>
  <c r="H5" i="56"/>
  <c r="I5" i="56"/>
  <c r="J5" i="56"/>
  <c r="K5" i="56"/>
  <c r="L5" i="56"/>
  <c r="M5" i="56"/>
  <c r="N5" i="56"/>
  <c r="O5" i="56"/>
  <c r="P5" i="56"/>
  <c r="Q5" i="56"/>
  <c r="R5" i="56"/>
  <c r="S5" i="56"/>
  <c r="T5" i="56"/>
  <c r="U5" i="56"/>
  <c r="V5" i="56"/>
  <c r="W5" i="56"/>
  <c r="X5" i="56"/>
  <c r="Y5" i="56"/>
  <c r="Z5" i="56"/>
  <c r="AA5" i="56"/>
  <c r="AB5" i="56"/>
  <c r="AC5" i="56"/>
  <c r="AD5" i="56"/>
  <c r="AE5" i="56"/>
  <c r="AF5" i="56"/>
  <c r="AH59" i="20"/>
  <c r="AG68" i="20"/>
  <c r="AH62" i="115"/>
  <c r="R36" i="45"/>
  <c r="R34" i="45" s="1"/>
  <c r="AJ75" i="74"/>
  <c r="AJ29" i="74"/>
  <c r="AJ76" i="74"/>
  <c r="AJ98" i="74"/>
  <c r="AJ102" i="74"/>
  <c r="AJ105" i="74"/>
  <c r="AJ106" i="74"/>
  <c r="AI92" i="115"/>
  <c r="AI78" i="74"/>
  <c r="AJ64" i="115"/>
  <c r="AK198" i="6"/>
  <c r="AJ78" i="47"/>
  <c r="AI59" i="20"/>
  <c r="AI64" i="20"/>
  <c r="AI66" i="20"/>
  <c r="AI67" i="20"/>
  <c r="AI68" i="20"/>
  <c r="AJ138" i="115"/>
  <c r="AJ96" i="115"/>
  <c r="AJ134" i="115"/>
  <c r="AJ117" i="74"/>
  <c r="AJ98" i="115"/>
  <c r="AJ136" i="115"/>
  <c r="AJ60" i="115"/>
  <c r="AJ91" i="74"/>
  <c r="I55" i="48"/>
  <c r="AJ89" i="74"/>
  <c r="AJ104" i="74"/>
  <c r="AJ190" i="5"/>
  <c r="AJ139" i="5"/>
  <c r="AK21" i="9"/>
  <c r="AJ120" i="47"/>
  <c r="AK18" i="12"/>
  <c r="AK17" i="12"/>
  <c r="AJ127" i="47"/>
  <c r="AK121" i="5"/>
  <c r="AJ100" i="74"/>
  <c r="X180" i="88"/>
  <c r="X171" i="88"/>
  <c r="X162" i="88"/>
  <c r="AG116" i="18"/>
  <c r="AH116" i="18"/>
  <c r="AF116" i="18"/>
  <c r="G43" i="48"/>
  <c r="AG84" i="20"/>
  <c r="AH84" i="20"/>
  <c r="AG85" i="20"/>
  <c r="AH85" i="20"/>
  <c r="AF85" i="20"/>
  <c r="AF84" i="20"/>
  <c r="AG97" i="20"/>
  <c r="AH97" i="20"/>
  <c r="AF97" i="20"/>
  <c r="H35" i="48"/>
  <c r="H36" i="48"/>
  <c r="H37" i="48"/>
  <c r="H39" i="48"/>
  <c r="H40" i="48"/>
  <c r="H42" i="48"/>
  <c r="F64" i="48"/>
  <c r="G42" i="48"/>
  <c r="F26" i="48"/>
  <c r="F7" i="48"/>
  <c r="H7" i="48"/>
  <c r="AI214" i="5"/>
  <c r="Q36" i="45"/>
  <c r="Q34" i="45" s="1"/>
  <c r="P45" i="45"/>
  <c r="O45" i="45"/>
  <c r="P34" i="45"/>
  <c r="O34" i="45"/>
  <c r="O31" i="45"/>
  <c r="AI132" i="47"/>
  <c r="AI131" i="47"/>
  <c r="AI130" i="47"/>
  <c r="AI129" i="47"/>
  <c r="AI89" i="115"/>
  <c r="AI101" i="74"/>
  <c r="AH51" i="115"/>
  <c r="AH101" i="74"/>
  <c r="AI86" i="115"/>
  <c r="AI48" i="115"/>
  <c r="AH98" i="74"/>
  <c r="AI98" i="74"/>
  <c r="AG86" i="115"/>
  <c r="AG48" i="115"/>
  <c r="AG98" i="74"/>
  <c r="AI140" i="115"/>
  <c r="AI95" i="74"/>
  <c r="AI93" i="74"/>
  <c r="AH63" i="20"/>
  <c r="AH64" i="20"/>
  <c r="AH67" i="20"/>
  <c r="AH68" i="20"/>
  <c r="AI92" i="74"/>
  <c r="AI96" i="115"/>
  <c r="H54" i="48"/>
  <c r="H51" i="48"/>
  <c r="H16" i="77" a="1"/>
  <c r="H16" i="77" s="1"/>
  <c r="H55" i="48"/>
  <c r="I64" i="48"/>
  <c r="H24" i="77" a="1"/>
  <c r="H24" i="77" s="1"/>
  <c r="H29" i="77" a="1"/>
  <c r="H29" i="77" s="1"/>
  <c r="H31" i="77" a="1"/>
  <c r="H31" i="77" s="1"/>
  <c r="H6" i="77" a="1"/>
  <c r="H6" i="77" s="1"/>
  <c r="AI123" i="115"/>
  <c r="AI132" i="115"/>
  <c r="AI106" i="74"/>
  <c r="AI93" i="115"/>
  <c r="AI79" i="74"/>
  <c r="AI105" i="74"/>
  <c r="AI91" i="115"/>
  <c r="AI190" i="5"/>
  <c r="AI76" i="74"/>
  <c r="AI102" i="74"/>
  <c r="AI50" i="115"/>
  <c r="AI100" i="74"/>
  <c r="AI117" i="74"/>
  <c r="AI91" i="74"/>
  <c r="AI97" i="115"/>
  <c r="AI64" i="74"/>
  <c r="AI120" i="47"/>
  <c r="AI124" i="47"/>
  <c r="AI125" i="47"/>
  <c r="AI111" i="47"/>
  <c r="AI112" i="47"/>
  <c r="G35" i="48"/>
  <c r="G37" i="48"/>
  <c r="G39" i="48"/>
  <c r="G40" i="48"/>
  <c r="G34" i="48"/>
  <c r="W180" i="88"/>
  <c r="V180" i="88"/>
  <c r="W171" i="88"/>
  <c r="W162" i="88"/>
  <c r="AH93" i="74"/>
  <c r="AH67" i="115"/>
  <c r="AH130" i="47"/>
  <c r="AH129" i="47"/>
  <c r="AH89" i="74"/>
  <c r="G59" i="48"/>
  <c r="G54" i="48"/>
  <c r="AH127" i="47"/>
  <c r="AH120" i="47"/>
  <c r="AH142" i="115"/>
  <c r="AH140" i="115"/>
  <c r="AH64" i="115"/>
  <c r="AG59" i="20"/>
  <c r="AG63" i="20"/>
  <c r="AG64" i="20"/>
  <c r="AG67" i="20"/>
  <c r="AH100" i="115"/>
  <c r="AH138" i="115"/>
  <c r="AH99" i="115"/>
  <c r="AH96" i="115"/>
  <c r="AH98" i="115"/>
  <c r="AH136" i="115"/>
  <c r="AH60" i="115"/>
  <c r="AH91" i="74"/>
  <c r="AH90" i="74"/>
  <c r="AH20" i="115"/>
  <c r="H64" i="48"/>
  <c r="AH106" i="74"/>
  <c r="AH55" i="115"/>
  <c r="AH130" i="115"/>
  <c r="AH54" i="115"/>
  <c r="AH104" i="74"/>
  <c r="AH91" i="115"/>
  <c r="AH53" i="115"/>
  <c r="AH103" i="74"/>
  <c r="AH90" i="115"/>
  <c r="AH102" i="74"/>
  <c r="AH88" i="115"/>
  <c r="AH50" i="115"/>
  <c r="F43" i="48"/>
  <c r="F37" i="48"/>
  <c r="F36" i="48"/>
  <c r="F35" i="48"/>
  <c r="F34" i="48"/>
  <c r="V171" i="88"/>
  <c r="V162" i="88"/>
  <c r="AG130" i="47"/>
  <c r="AG129" i="47"/>
  <c r="AG143" i="115"/>
  <c r="AG142" i="115"/>
  <c r="AG95" i="74"/>
  <c r="AG64" i="115"/>
  <c r="AG94" i="74"/>
  <c r="AG138" i="115"/>
  <c r="AG100" i="115"/>
  <c r="AF67" i="20"/>
  <c r="AF64" i="20"/>
  <c r="AF63" i="20"/>
  <c r="AF59" i="20"/>
  <c r="AG92" i="74"/>
  <c r="AG61" i="115"/>
  <c r="AG137" i="115"/>
  <c r="AG99" i="115"/>
  <c r="AG117" i="74"/>
  <c r="AG60" i="115"/>
  <c r="AG136" i="115"/>
  <c r="AG98" i="115"/>
  <c r="AG90" i="74"/>
  <c r="AG97" i="115"/>
  <c r="G64" i="48"/>
  <c r="AG89" i="74"/>
  <c r="AG20" i="115"/>
  <c r="F55" i="48"/>
  <c r="F54" i="48"/>
  <c r="F51" i="48"/>
  <c r="AG85" i="115"/>
  <c r="AG106" i="74"/>
  <c r="AG105" i="74"/>
  <c r="AG104" i="74"/>
  <c r="AG103" i="74"/>
  <c r="AG102" i="74"/>
  <c r="AG101" i="74"/>
  <c r="AG100" i="74"/>
  <c r="AG88" i="115"/>
  <c r="AG132" i="47"/>
  <c r="AG131" i="47"/>
  <c r="AG120" i="47"/>
  <c r="AC303" i="5"/>
  <c r="AF142" i="5"/>
  <c r="AC53" i="115"/>
  <c r="AB78" i="74"/>
  <c r="AE79" i="74"/>
  <c r="AB56" i="115"/>
  <c r="AE51" i="115"/>
  <c r="AE128" i="115"/>
  <c r="AE129" i="115"/>
  <c r="AB131" i="115"/>
  <c r="AB132" i="115"/>
  <c r="AE123" i="115"/>
  <c r="AB90" i="115"/>
  <c r="AE91" i="115"/>
  <c r="AB89" i="115"/>
  <c r="AE89" i="115"/>
  <c r="AE256" i="5"/>
  <c r="AE258" i="5" s="1"/>
  <c r="AE106" i="74" s="1"/>
  <c r="AE234" i="5"/>
  <c r="AE236" i="5" s="1"/>
  <c r="AE104" i="74"/>
  <c r="AE161" i="5"/>
  <c r="AE163" i="5" s="1"/>
  <c r="AB190" i="5"/>
  <c r="AB192" i="5" s="1"/>
  <c r="AB103" i="74" s="1"/>
  <c r="AC190" i="5"/>
  <c r="AC192" i="5" s="1"/>
  <c r="AD190" i="5"/>
  <c r="AD192" i="5" s="1"/>
  <c r="AD103" i="74" s="1"/>
  <c r="AE190" i="5"/>
  <c r="AE192" i="5" s="1"/>
  <c r="AF279" i="5"/>
  <c r="AF193" i="5"/>
  <c r="AF191" i="5"/>
  <c r="AF140" i="5"/>
  <c r="AE1" i="11"/>
  <c r="AD1" i="11"/>
  <c r="AC1" i="11"/>
  <c r="AB1" i="11"/>
  <c r="Z1" i="11"/>
  <c r="Y1" i="11"/>
  <c r="X1" i="11"/>
  <c r="W1" i="11"/>
  <c r="U1" i="11"/>
  <c r="T1" i="11"/>
  <c r="S1" i="11"/>
  <c r="R1" i="11"/>
  <c r="P1" i="11"/>
  <c r="O1" i="11"/>
  <c r="N1" i="11"/>
  <c r="M1" i="11"/>
  <c r="K1" i="11"/>
  <c r="J1" i="11"/>
  <c r="I1" i="11"/>
  <c r="H1" i="11"/>
  <c r="F1" i="11"/>
  <c r="E1" i="11"/>
  <c r="D1" i="11"/>
  <c r="C1" i="11"/>
  <c r="AD2" i="11"/>
  <c r="AC2" i="11"/>
  <c r="AB2" i="11"/>
  <c r="Z2" i="11"/>
  <c r="Y2" i="11"/>
  <c r="X2" i="11"/>
  <c r="W2" i="11"/>
  <c r="U2" i="11"/>
  <c r="S2" i="11"/>
  <c r="R2" i="11"/>
  <c r="P2" i="11"/>
  <c r="O2" i="11"/>
  <c r="N2" i="11"/>
  <c r="M2" i="11"/>
  <c r="K2" i="11"/>
  <c r="J2" i="11"/>
  <c r="I2" i="11"/>
  <c r="H2" i="11"/>
  <c r="F2" i="11"/>
  <c r="E2" i="11"/>
  <c r="D2" i="11"/>
  <c r="C2" i="11"/>
  <c r="T2" i="11"/>
  <c r="AC301" i="5"/>
  <c r="P84" i="18"/>
  <c r="K84" i="18"/>
  <c r="P83" i="18"/>
  <c r="K83" i="18"/>
  <c r="P82" i="18"/>
  <c r="K82" i="18"/>
  <c r="P81" i="18"/>
  <c r="K81" i="18"/>
  <c r="O80" i="18"/>
  <c r="O87" i="18" s="1"/>
  <c r="N80" i="18"/>
  <c r="N87" i="18" s="1"/>
  <c r="M80" i="18"/>
  <c r="M87" i="18" s="1"/>
  <c r="L80" i="18"/>
  <c r="L87" i="18" s="1"/>
  <c r="J80" i="18"/>
  <c r="J86" i="18" s="1"/>
  <c r="I80" i="18"/>
  <c r="I87" i="18" s="1"/>
  <c r="H80" i="18"/>
  <c r="H87" i="18" s="1"/>
  <c r="G80" i="18"/>
  <c r="P79" i="18"/>
  <c r="K79" i="18"/>
  <c r="P78" i="18"/>
  <c r="K78" i="18"/>
  <c r="P235" i="18"/>
  <c r="P234" i="18"/>
  <c r="P233" i="18"/>
  <c r="P232" i="18"/>
  <c r="P230" i="18"/>
  <c r="P229" i="18"/>
  <c r="P223" i="18"/>
  <c r="P222" i="18"/>
  <c r="P221" i="18"/>
  <c r="P220" i="18"/>
  <c r="P218" i="18"/>
  <c r="P217" i="18"/>
  <c r="P211" i="18"/>
  <c r="P210" i="18"/>
  <c r="P209" i="18"/>
  <c r="P208" i="18"/>
  <c r="P206" i="18"/>
  <c r="P205" i="18"/>
  <c r="P144" i="18"/>
  <c r="P143" i="18"/>
  <c r="P142" i="18"/>
  <c r="P141" i="18"/>
  <c r="P139" i="18"/>
  <c r="P138" i="18"/>
  <c r="P96" i="18"/>
  <c r="P95" i="18"/>
  <c r="P94" i="18"/>
  <c r="P93" i="18"/>
  <c r="P91" i="18"/>
  <c r="P90" i="18"/>
  <c r="P60" i="18"/>
  <c r="P59" i="18"/>
  <c r="P58" i="18"/>
  <c r="P57" i="18"/>
  <c r="P55" i="18"/>
  <c r="P54" i="18"/>
  <c r="P48" i="18"/>
  <c r="P47" i="18"/>
  <c r="P46" i="18"/>
  <c r="P45" i="18"/>
  <c r="P43" i="18"/>
  <c r="P42" i="18"/>
  <c r="P24" i="18"/>
  <c r="P23" i="18"/>
  <c r="P22" i="18"/>
  <c r="P21" i="18"/>
  <c r="P19" i="18"/>
  <c r="P18" i="18"/>
  <c r="K235" i="18"/>
  <c r="K234" i="18"/>
  <c r="K233" i="18"/>
  <c r="K232" i="18"/>
  <c r="K230" i="18"/>
  <c r="K229" i="18"/>
  <c r="K223" i="18"/>
  <c r="K222" i="18"/>
  <c r="K221" i="18"/>
  <c r="K220" i="18"/>
  <c r="K218" i="18"/>
  <c r="K217" i="18"/>
  <c r="K211" i="18"/>
  <c r="K210" i="18"/>
  <c r="K209" i="18"/>
  <c r="K208" i="18"/>
  <c r="K206" i="18"/>
  <c r="K205" i="18"/>
  <c r="K144" i="18"/>
  <c r="K143" i="18"/>
  <c r="K142" i="18"/>
  <c r="K141" i="18"/>
  <c r="K139" i="18"/>
  <c r="K138" i="18"/>
  <c r="K96" i="18"/>
  <c r="K95" i="18"/>
  <c r="K94" i="18"/>
  <c r="K93" i="18"/>
  <c r="K91" i="18"/>
  <c r="K90" i="18"/>
  <c r="K60" i="18"/>
  <c r="K59" i="18"/>
  <c r="K58" i="18"/>
  <c r="K57" i="18"/>
  <c r="K55" i="18"/>
  <c r="K54" i="18"/>
  <c r="K48" i="18"/>
  <c r="K47" i="18"/>
  <c r="K46" i="18"/>
  <c r="K45" i="18"/>
  <c r="K43" i="18"/>
  <c r="K42" i="18"/>
  <c r="K24" i="18"/>
  <c r="K23" i="18"/>
  <c r="K22" i="18"/>
  <c r="K21" i="18"/>
  <c r="K19" i="18"/>
  <c r="K18" i="18"/>
  <c r="K12" i="18"/>
  <c r="K11" i="18"/>
  <c r="K10" i="18"/>
  <c r="K9" i="18"/>
  <c r="K7" i="18"/>
  <c r="K6" i="18"/>
  <c r="P12" i="18"/>
  <c r="P11" i="18"/>
  <c r="P10" i="18"/>
  <c r="P9" i="18"/>
  <c r="P7" i="18"/>
  <c r="P6" i="18"/>
  <c r="O231" i="18"/>
  <c r="O237" i="18" s="1"/>
  <c r="N231" i="18"/>
  <c r="N238" i="18" s="1"/>
  <c r="M231" i="18"/>
  <c r="M237" i="18" s="1"/>
  <c r="L231" i="18"/>
  <c r="L237" i="18" s="1"/>
  <c r="J231" i="18"/>
  <c r="I231" i="18"/>
  <c r="I238" i="18" s="1"/>
  <c r="H231" i="18"/>
  <c r="H236" i="18" s="1"/>
  <c r="G231" i="18"/>
  <c r="O219" i="18"/>
  <c r="O226" i="18" s="1"/>
  <c r="N219" i="18"/>
  <c r="N224" i="18" s="1"/>
  <c r="M219" i="18"/>
  <c r="M224" i="18" s="1"/>
  <c r="L219" i="18"/>
  <c r="L224" i="18" s="1"/>
  <c r="J219" i="18"/>
  <c r="J224" i="18" s="1"/>
  <c r="I219" i="18"/>
  <c r="I225" i="18" s="1"/>
  <c r="H219" i="18"/>
  <c r="G219" i="18"/>
  <c r="G224" i="18" s="1"/>
  <c r="O207" i="18"/>
  <c r="N207" i="18"/>
  <c r="M207" i="18"/>
  <c r="M212" i="18" s="1"/>
  <c r="L207" i="18"/>
  <c r="J207" i="18"/>
  <c r="J212" i="18" s="1"/>
  <c r="I207" i="18"/>
  <c r="I212" i="18" s="1"/>
  <c r="H207" i="18"/>
  <c r="H212" i="18" s="1"/>
  <c r="G207" i="18"/>
  <c r="G214" i="18" s="1"/>
  <c r="O140" i="18"/>
  <c r="O146" i="18" s="1"/>
  <c r="N140" i="18"/>
  <c r="N146" i="18" s="1"/>
  <c r="M140" i="18"/>
  <c r="M147" i="18" s="1"/>
  <c r="L140" i="18"/>
  <c r="J140" i="18"/>
  <c r="J146" i="18" s="1"/>
  <c r="I140" i="18"/>
  <c r="I145" i="18" s="1"/>
  <c r="H140" i="18"/>
  <c r="G140" i="18"/>
  <c r="G146" i="18" s="1"/>
  <c r="O92" i="18"/>
  <c r="O99" i="18" s="1"/>
  <c r="N92" i="18"/>
  <c r="N99" i="18" s="1"/>
  <c r="M92" i="18"/>
  <c r="M98" i="18" s="1"/>
  <c r="L92" i="18"/>
  <c r="L99" i="18" s="1"/>
  <c r="J92" i="18"/>
  <c r="J97" i="18" s="1"/>
  <c r="I92" i="18"/>
  <c r="H92" i="18"/>
  <c r="H99" i="18" s="1"/>
  <c r="G92" i="18"/>
  <c r="G99" i="18" s="1"/>
  <c r="O56" i="18"/>
  <c r="O62" i="18" s="1"/>
  <c r="N56" i="18"/>
  <c r="M56" i="18"/>
  <c r="M62" i="18" s="1"/>
  <c r="L56" i="18"/>
  <c r="L63" i="18" s="1"/>
  <c r="J56" i="18"/>
  <c r="J63" i="18" s="1"/>
  <c r="I56" i="18"/>
  <c r="I62" i="18" s="1"/>
  <c r="H56" i="18"/>
  <c r="H63" i="18" s="1"/>
  <c r="G56" i="18"/>
  <c r="G61" i="18" s="1"/>
  <c r="O44" i="18"/>
  <c r="O50" i="18" s="1"/>
  <c r="N44" i="18"/>
  <c r="N51" i="18" s="1"/>
  <c r="M44" i="18"/>
  <c r="L44" i="18"/>
  <c r="L50" i="18" s="1"/>
  <c r="J44" i="18"/>
  <c r="J49" i="18" s="1"/>
  <c r="I44" i="18"/>
  <c r="I49" i="18" s="1"/>
  <c r="H44" i="18"/>
  <c r="H50" i="18" s="1"/>
  <c r="G44" i="18"/>
  <c r="G50" i="18" s="1"/>
  <c r="O20" i="18"/>
  <c r="O26" i="18" s="1"/>
  <c r="N20" i="18"/>
  <c r="N26" i="18" s="1"/>
  <c r="M20" i="18"/>
  <c r="L20" i="18"/>
  <c r="L27" i="18" s="1"/>
  <c r="J20" i="18"/>
  <c r="I20" i="18"/>
  <c r="H20" i="18"/>
  <c r="H27" i="18" s="1"/>
  <c r="G20" i="18"/>
  <c r="G27" i="18" s="1"/>
  <c r="O8" i="18"/>
  <c r="O14" i="18" s="1"/>
  <c r="N8" i="18"/>
  <c r="N13" i="18" s="1"/>
  <c r="M8" i="18"/>
  <c r="M14" i="18" s="1"/>
  <c r="L8" i="18"/>
  <c r="L14" i="18" s="1"/>
  <c r="J8" i="18"/>
  <c r="J15" i="18" s="1"/>
  <c r="I8" i="18"/>
  <c r="I15" i="18" s="1"/>
  <c r="H8" i="18"/>
  <c r="H14" i="18" s="1"/>
  <c r="G8" i="18"/>
  <c r="G15" i="18" s="1"/>
  <c r="AB301" i="5"/>
  <c r="AK16" i="12"/>
  <c r="AK194" i="6"/>
  <c r="H25" i="77" a="1"/>
  <c r="H25" i="77" s="1"/>
  <c r="H21" i="77" a="1"/>
  <c r="H21" i="77" s="1"/>
  <c r="H23" i="77" a="1"/>
  <c r="H23" i="77" s="1"/>
  <c r="H14" i="77" a="1"/>
  <c r="H14" i="77" s="1"/>
  <c r="H12" i="77" a="1"/>
  <c r="H12" i="77" s="1"/>
  <c r="H13" i="77" a="1"/>
  <c r="H13" i="77" s="1"/>
  <c r="H28" i="77" a="1"/>
  <c r="H28" i="77" s="1"/>
  <c r="H17" i="77" a="1"/>
  <c r="H17" i="77" s="1"/>
  <c r="H9" i="77" a="1"/>
  <c r="H9" i="77" s="1"/>
  <c r="H27" i="77" a="1"/>
  <c r="H27" i="77" s="1"/>
  <c r="H26" i="77" a="1"/>
  <c r="H26" i="77" s="1"/>
  <c r="H15" i="77" a="1"/>
  <c r="H15" i="77" s="1"/>
  <c r="H20" i="77" a="1"/>
  <c r="H20" i="77" s="1"/>
  <c r="H11" i="77" a="1"/>
  <c r="H11" i="77" s="1"/>
  <c r="H10" i="77" a="1"/>
  <c r="H10" i="77" s="1"/>
  <c r="H30" i="77" a="1"/>
  <c r="H30" i="77" s="1"/>
  <c r="H18" i="77" a="1"/>
  <c r="H18" i="77" s="1"/>
  <c r="H8" i="77" a="1"/>
  <c r="H8" i="77" s="1"/>
  <c r="AG106" i="47"/>
  <c r="AJ103" i="47"/>
  <c r="Q45" i="45"/>
  <c r="R28" i="45"/>
  <c r="Q28" i="45"/>
  <c r="R45" i="45"/>
  <c r="AI105" i="47"/>
  <c r="H7" i="77" a="1"/>
  <c r="H7" i="77" s="1"/>
  <c r="P31" i="45"/>
  <c r="P28" i="45"/>
  <c r="O42" i="45"/>
  <c r="F26" i="77" a="1"/>
  <c r="F26" i="77" s="1"/>
  <c r="F9" i="77" a="1"/>
  <c r="F9" i="77" s="1"/>
  <c r="F18" i="77" a="1"/>
  <c r="F18" i="77" s="1"/>
  <c r="H22" i="77" a="1"/>
  <c r="H22" i="77" s="1"/>
  <c r="F11" i="77" a="1"/>
  <c r="F11" i="77" s="1"/>
  <c r="F30" i="77" a="1"/>
  <c r="F30" i="77" s="1"/>
  <c r="F25" i="77" a="1"/>
  <c r="F25" i="77" s="1"/>
  <c r="F21" i="77" a="1"/>
  <c r="F21" i="77" s="1"/>
  <c r="AJ113" i="47"/>
  <c r="AJ104" i="47"/>
  <c r="F15" i="77" a="1"/>
  <c r="F15" i="77" s="1"/>
  <c r="F16" i="77" a="1"/>
  <c r="F16" i="77" s="1"/>
  <c r="F12" i="77" a="1"/>
  <c r="F12" i="77" s="1"/>
  <c r="F22" i="77" a="1"/>
  <c r="F22" i="77" s="1"/>
  <c r="AJ112" i="47"/>
  <c r="F14" i="77" a="1"/>
  <c r="F14" i="77" s="1"/>
  <c r="F10" i="77" a="1"/>
  <c r="F10" i="77" s="1"/>
  <c r="F28" i="77" a="1"/>
  <c r="F28" i="77" s="1"/>
  <c r="F24" i="77" a="1"/>
  <c r="F24" i="77" s="1"/>
  <c r="F20" i="77" a="1"/>
  <c r="F20" i="77" s="1"/>
  <c r="F7" i="77" a="1"/>
  <c r="F7" i="77" s="1"/>
  <c r="AJ107" i="47"/>
  <c r="AG107" i="47"/>
  <c r="F13" i="77" a="1"/>
  <c r="F13" i="77" s="1"/>
  <c r="F27" i="77" a="1"/>
  <c r="F27" i="77" s="1"/>
  <c r="F23" i="77" a="1"/>
  <c r="F23" i="77" s="1"/>
  <c r="F8" i="77" a="1"/>
  <c r="F8" i="77" s="1"/>
  <c r="F17" i="77" a="1"/>
  <c r="F17" i="77" s="1"/>
  <c r="AJ111" i="47"/>
  <c r="AJ114" i="47"/>
  <c r="AJ105" i="47"/>
  <c r="AI103" i="47"/>
  <c r="AG104" i="47"/>
  <c r="AK70" i="115"/>
  <c r="AI106" i="47"/>
  <c r="AG112" i="47"/>
  <c r="AJ106" i="47"/>
  <c r="AJ109" i="47"/>
  <c r="AG109" i="47"/>
  <c r="AI113" i="47"/>
  <c r="AK146" i="115"/>
  <c r="AK31" i="115"/>
  <c r="AH109" i="47"/>
  <c r="AG103" i="47"/>
  <c r="AG111" i="47"/>
  <c r="AG113" i="47"/>
  <c r="AH104" i="47"/>
  <c r="G7" i="48"/>
  <c r="AH112" i="47"/>
  <c r="AI104" i="47"/>
  <c r="AG114" i="47"/>
  <c r="AI107" i="47"/>
  <c r="AK145" i="115"/>
  <c r="AG105" i="47"/>
  <c r="AI109" i="47"/>
  <c r="AI114" i="47"/>
  <c r="AH111" i="47"/>
  <c r="Q31" i="45"/>
  <c r="AH105" i="47"/>
  <c r="AH113" i="47"/>
  <c r="AH103" i="47"/>
  <c r="AH106" i="47"/>
  <c r="AH114" i="47"/>
  <c r="AD301" i="5"/>
  <c r="AJ147" i="115"/>
  <c r="AJ144" i="115" s="1"/>
  <c r="AJ155" i="115" s="1"/>
  <c r="AK15" i="12"/>
  <c r="AH24" i="56"/>
  <c r="AH107" i="47"/>
  <c r="H19" i="77" a="1"/>
  <c r="H19" i="77" s="1"/>
  <c r="AH102" i="47"/>
  <c r="AI102" i="47"/>
  <c r="AG102" i="47"/>
  <c r="AJ102" i="47"/>
  <c r="AL23" i="20"/>
  <c r="AK23" i="20"/>
  <c r="AI23" i="20"/>
  <c r="AM29" i="20"/>
  <c r="AM84" i="20"/>
  <c r="AM85" i="20"/>
  <c r="AM75" i="20"/>
  <c r="AM79" i="20"/>
  <c r="AM80" i="20"/>
  <c r="L35" i="48"/>
  <c r="L40" i="48"/>
  <c r="L42" i="48"/>
  <c r="L36" i="48"/>
  <c r="L37" i="48"/>
  <c r="AM23" i="20"/>
  <c r="AS60" i="47"/>
  <c r="AT60" i="47"/>
  <c r="AS12" i="114"/>
  <c r="AS14" i="114"/>
  <c r="F50" i="75" l="1"/>
  <c r="F52" i="75"/>
  <c r="C53" i="75"/>
  <c r="Q12" i="97"/>
  <c r="M99" i="18"/>
  <c r="AM20" i="74"/>
  <c r="AN13" i="74"/>
  <c r="C55" i="75"/>
  <c r="Y34" i="45"/>
  <c r="AH75" i="20"/>
  <c r="AG75" i="20"/>
  <c r="Q42" i="48"/>
  <c r="N18" i="99"/>
  <c r="N15" i="18"/>
  <c r="O98" i="18"/>
  <c r="AJ48" i="102"/>
  <c r="AS79" i="20"/>
  <c r="P18" i="99"/>
  <c r="AS68" i="18"/>
  <c r="AS73" i="18" s="1"/>
  <c r="O18" i="99"/>
  <c r="O19" i="99" s="1"/>
  <c r="O21" i="99" s="1"/>
  <c r="AU8" i="103"/>
  <c r="AS28" i="20"/>
  <c r="AO80" i="102"/>
  <c r="AS35" i="20"/>
  <c r="AS31" i="20"/>
  <c r="AS27" i="20"/>
  <c r="Q37" i="48"/>
  <c r="Q36" i="48"/>
  <c r="Q39" i="48"/>
  <c r="AZ8" i="116"/>
  <c r="AK55" i="102"/>
  <c r="AK54" i="102" s="1"/>
  <c r="AO54" i="103"/>
  <c r="AN66" i="102"/>
  <c r="AJ55" i="102"/>
  <c r="Q40" i="97"/>
  <c r="AB80" i="74"/>
  <c r="AT178" i="18"/>
  <c r="AQ13" i="103"/>
  <c r="AI183" i="6"/>
  <c r="AI189" i="6" s="1"/>
  <c r="AI191" i="6" s="1"/>
  <c r="AI196" i="6" s="1"/>
  <c r="AI197" i="6" s="1"/>
  <c r="AI199" i="6" s="1"/>
  <c r="AI94" i="74" s="1"/>
  <c r="AQ44" i="102"/>
  <c r="AN30" i="115"/>
  <c r="AN41" i="115" s="1"/>
  <c r="AP9" i="102"/>
  <c r="AK41" i="102"/>
  <c r="AS8" i="103"/>
  <c r="AS237" i="18"/>
  <c r="AI80" i="102"/>
  <c r="Q45" i="97"/>
  <c r="Y31" i="45"/>
  <c r="AH93" i="18"/>
  <c r="AG32" i="18"/>
  <c r="AG38" i="18" s="1"/>
  <c r="AF231" i="18"/>
  <c r="AF236" i="18" s="1"/>
  <c r="AI48" i="102"/>
  <c r="AO66" i="102"/>
  <c r="N237" i="18"/>
  <c r="AM194" i="18"/>
  <c r="AM199" i="18" s="1"/>
  <c r="AM219" i="18"/>
  <c r="AM224" i="18" s="1"/>
  <c r="AR8" i="103"/>
  <c r="K81" i="104"/>
  <c r="AL57" i="102"/>
  <c r="AP9" i="103"/>
  <c r="AN25" i="115"/>
  <c r="AP80" i="102"/>
  <c r="AP90" i="102"/>
  <c r="AS25" i="5"/>
  <c r="O102" i="108"/>
  <c r="D45" i="19"/>
  <c r="G40" i="19"/>
  <c r="Y28" i="45"/>
  <c r="G8" i="98"/>
  <c r="L9" i="98"/>
  <c r="G17" i="98"/>
  <c r="AP19" i="102"/>
  <c r="AQ12" i="103"/>
  <c r="R191" i="104"/>
  <c r="R211" i="104" s="1"/>
  <c r="AT8" i="103"/>
  <c r="AK66" i="102"/>
  <c r="AV27" i="103"/>
  <c r="AV19" i="103"/>
  <c r="F81" i="104"/>
  <c r="AP71" i="102"/>
  <c r="AT83" i="18"/>
  <c r="AT154" i="18"/>
  <c r="AQ207" i="18"/>
  <c r="AQ214" i="18" s="1"/>
  <c r="AR32" i="18"/>
  <c r="AR38" i="18" s="1"/>
  <c r="AI25" i="74"/>
  <c r="AN54" i="103"/>
  <c r="AM65" i="115"/>
  <c r="AM80" i="115" s="1"/>
  <c r="AL10" i="20"/>
  <c r="AL16" i="20" s="1"/>
  <c r="AL111" i="20"/>
  <c r="AL83" i="20" s="1"/>
  <c r="G12" i="98"/>
  <c r="AN9" i="102"/>
  <c r="AQ22" i="102"/>
  <c r="AQ33" i="102"/>
  <c r="AL82" i="102"/>
  <c r="AP104" i="18"/>
  <c r="AP111" i="18" s="1"/>
  <c r="AT180" i="18"/>
  <c r="AL58" i="102"/>
  <c r="AG111" i="20"/>
  <c r="AG83" i="20" s="1"/>
  <c r="AQ49" i="103"/>
  <c r="AI66" i="102"/>
  <c r="AG196" i="18"/>
  <c r="AQ36" i="102"/>
  <c r="AQ39" i="102"/>
  <c r="AG26" i="115"/>
  <c r="G43" i="97"/>
  <c r="AG178" i="115"/>
  <c r="H34" i="97"/>
  <c r="H36" i="97" s="1"/>
  <c r="H39" i="97" s="1"/>
  <c r="N71" i="104"/>
  <c r="N17" i="104" s="1"/>
  <c r="N191" i="104"/>
  <c r="N211" i="104" s="1"/>
  <c r="AG189" i="18"/>
  <c r="AG90" i="18"/>
  <c r="AL56" i="102"/>
  <c r="AQ61" i="103"/>
  <c r="AA7" i="108"/>
  <c r="AU18" i="20" s="1"/>
  <c r="AG141" i="115"/>
  <c r="AG156" i="115" s="1"/>
  <c r="AG29" i="115"/>
  <c r="AR66" i="115"/>
  <c r="AR142" i="115"/>
  <c r="AN177" i="115"/>
  <c r="AF269" i="5"/>
  <c r="AI14" i="115"/>
  <c r="AJ192" i="5"/>
  <c r="AJ103" i="74" s="1"/>
  <c r="AG14" i="115"/>
  <c r="AJ9" i="115"/>
  <c r="AR55" i="47"/>
  <c r="AM18" i="115"/>
  <c r="AI17" i="115"/>
  <c r="AE15" i="115"/>
  <c r="AU25" i="74"/>
  <c r="AN9" i="115"/>
  <c r="AE9" i="115"/>
  <c r="AJ18" i="115"/>
  <c r="AP167" i="115"/>
  <c r="AP13" i="115"/>
  <c r="AQ29" i="115"/>
  <c r="P39" i="48"/>
  <c r="AV59" i="11"/>
  <c r="AR100" i="115"/>
  <c r="AR63" i="115"/>
  <c r="AR138" i="115"/>
  <c r="AQ57" i="47"/>
  <c r="AS57" i="47"/>
  <c r="AS53" i="47"/>
  <c r="AT57" i="47"/>
  <c r="AH17" i="115"/>
  <c r="AT142" i="115"/>
  <c r="AT141" i="115" s="1"/>
  <c r="AT156" i="115" s="1"/>
  <c r="D81" i="104"/>
  <c r="C81" i="104"/>
  <c r="P163" i="104"/>
  <c r="P183" i="104" s="1"/>
  <c r="M81" i="104"/>
  <c r="AZ34" i="116"/>
  <c r="AN184" i="115"/>
  <c r="AO107" i="47"/>
  <c r="AO113" i="47"/>
  <c r="AO69" i="115"/>
  <c r="AO145" i="115"/>
  <c r="AR71" i="115"/>
  <c r="AJ81" i="74"/>
  <c r="M85" i="18"/>
  <c r="AM161" i="115"/>
  <c r="AL14" i="115"/>
  <c r="AL170" i="115"/>
  <c r="AO109" i="47"/>
  <c r="AO127" i="47"/>
  <c r="AO82" i="102"/>
  <c r="AQ85" i="102"/>
  <c r="AJ90" i="102"/>
  <c r="AJ97" i="102" s="1"/>
  <c r="AR14" i="115"/>
  <c r="AR24" i="18"/>
  <c r="AR144" i="18"/>
  <c r="AI18" i="115"/>
  <c r="AJ9" i="102"/>
  <c r="AP27" i="102"/>
  <c r="AQ38" i="102"/>
  <c r="AI54" i="102"/>
  <c r="AQ68" i="102"/>
  <c r="AN71" i="102"/>
  <c r="N88" i="104"/>
  <c r="N108" i="104" s="1"/>
  <c r="AU167" i="115"/>
  <c r="AU13" i="115"/>
  <c r="AT15" i="20"/>
  <c r="Q43" i="97"/>
  <c r="AR161" i="115"/>
  <c r="AR23" i="18"/>
  <c r="AS139" i="18"/>
  <c r="AQ79" i="102"/>
  <c r="AL84" i="102"/>
  <c r="AI41" i="102"/>
  <c r="AV9" i="103"/>
  <c r="AP231" i="18"/>
  <c r="AP238" i="18" s="1"/>
  <c r="AH147" i="115"/>
  <c r="AH144" i="115" s="1"/>
  <c r="AH155" i="115" s="1"/>
  <c r="AQ14" i="102"/>
  <c r="AQ18" i="102"/>
  <c r="AL43" i="102"/>
  <c r="O88" i="104"/>
  <c r="O108" i="104" s="1"/>
  <c r="AG127" i="88"/>
  <c r="AK54" i="103"/>
  <c r="P61" i="104"/>
  <c r="AC54" i="74"/>
  <c r="AI29" i="115"/>
  <c r="AJ25" i="115"/>
  <c r="AJ15" i="116" s="1"/>
  <c r="AL207" i="18"/>
  <c r="AL214" i="18" s="1"/>
  <c r="AB9" i="88"/>
  <c r="AL74" i="102"/>
  <c r="AL71" i="102" s="1"/>
  <c r="AQ84" i="102"/>
  <c r="AJ54" i="102"/>
  <c r="Q15" i="97"/>
  <c r="Y7" i="88"/>
  <c r="Y10" i="88"/>
  <c r="AN91" i="18"/>
  <c r="AO114" i="47"/>
  <c r="AQ13" i="102"/>
  <c r="AQ30" i="102"/>
  <c r="M34" i="97"/>
  <c r="M36" i="97" s="1"/>
  <c r="AR21" i="18"/>
  <c r="R61" i="104"/>
  <c r="AS207" i="18"/>
  <c r="AS214" i="18" s="1"/>
  <c r="J81" i="104"/>
  <c r="AG167" i="115"/>
  <c r="AG17" i="115"/>
  <c r="AJ188" i="18"/>
  <c r="AI164" i="18"/>
  <c r="AI171" i="18" s="1"/>
  <c r="Z7" i="88"/>
  <c r="Z10" i="88"/>
  <c r="AN29" i="115"/>
  <c r="AN176" i="18"/>
  <c r="AN182" i="18" s="1"/>
  <c r="AN207" i="18"/>
  <c r="AN214" i="18" s="1"/>
  <c r="AN231" i="18"/>
  <c r="AN238" i="18" s="1"/>
  <c r="AQ77" i="102"/>
  <c r="AQ86" i="102"/>
  <c r="AR18" i="18"/>
  <c r="AR94" i="18"/>
  <c r="AR91" i="18"/>
  <c r="I81" i="104"/>
  <c r="AQ67" i="102"/>
  <c r="AI161" i="115"/>
  <c r="AJ12" i="115"/>
  <c r="AA7" i="88"/>
  <c r="AA10" i="88"/>
  <c r="AH71" i="102"/>
  <c r="AL83" i="102"/>
  <c r="H81" i="104"/>
  <c r="N86" i="18"/>
  <c r="AM27" i="102"/>
  <c r="AH90" i="102"/>
  <c r="AH97" i="102" s="1"/>
  <c r="AU164" i="115"/>
  <c r="Q191" i="104"/>
  <c r="Q211" i="104" s="1"/>
  <c r="L81" i="104"/>
  <c r="AN109" i="47"/>
  <c r="AN169" i="115"/>
  <c r="AO24" i="115"/>
  <c r="AI90" i="102"/>
  <c r="AI97" i="102" s="1"/>
  <c r="AP54" i="102"/>
  <c r="AK32" i="115"/>
  <c r="AK30" i="115" s="1"/>
  <c r="AK41" i="115" s="1"/>
  <c r="AK108" i="115"/>
  <c r="G194" i="18"/>
  <c r="G201" i="18" s="1"/>
  <c r="AJ46" i="74"/>
  <c r="AJ25" i="74"/>
  <c r="AP89" i="115"/>
  <c r="AP164" i="115"/>
  <c r="AN80" i="102"/>
  <c r="AL85" i="102"/>
  <c r="AQ89" i="102"/>
  <c r="AP41" i="102"/>
  <c r="O15" i="104"/>
  <c r="AQ128" i="18"/>
  <c r="AQ133" i="18" s="1"/>
  <c r="AQ231" i="18"/>
  <c r="AQ237" i="18" s="1"/>
  <c r="AR130" i="47"/>
  <c r="Q138" i="104"/>
  <c r="Q158" i="104" s="1"/>
  <c r="R77" i="104"/>
  <c r="AH16" i="115"/>
  <c r="AJ69" i="47"/>
  <c r="AK184" i="115"/>
  <c r="J13" i="18"/>
  <c r="AI123" i="6"/>
  <c r="AI23" i="115" s="1"/>
  <c r="AN173" i="115"/>
  <c r="AH9" i="102"/>
  <c r="AP48" i="102"/>
  <c r="N138" i="104"/>
  <c r="N158" i="104" s="1"/>
  <c r="AU165" i="115"/>
  <c r="AU12" i="115"/>
  <c r="N7" i="48"/>
  <c r="N56" i="48" s="1"/>
  <c r="O16" i="104"/>
  <c r="O8" i="104"/>
  <c r="O113" i="104"/>
  <c r="O133" i="104" s="1"/>
  <c r="P113" i="104"/>
  <c r="P133" i="104" s="1"/>
  <c r="Q77" i="104"/>
  <c r="Q23" i="104" s="1"/>
  <c r="R138" i="104"/>
  <c r="R158" i="104" s="1"/>
  <c r="AE169" i="115"/>
  <c r="AI168" i="115"/>
  <c r="AP165" i="115"/>
  <c r="AP12" i="115"/>
  <c r="AP157" i="6"/>
  <c r="AL178" i="115"/>
  <c r="AM141" i="115"/>
  <c r="AM156" i="115" s="1"/>
  <c r="AB7" i="88"/>
  <c r="AB10" i="88"/>
  <c r="AN17" i="115"/>
  <c r="AN10" i="5"/>
  <c r="AN47" i="47" s="1"/>
  <c r="AN52" i="47" s="1"/>
  <c r="AI9" i="102"/>
  <c r="AQ12" i="102"/>
  <c r="AQ15" i="102"/>
  <c r="AQ16" i="102"/>
  <c r="AQ24" i="102"/>
  <c r="AO27" i="102"/>
  <c r="AQ31" i="102"/>
  <c r="AQ32" i="102"/>
  <c r="AQ35" i="102"/>
  <c r="AH54" i="102"/>
  <c r="AN82" i="102"/>
  <c r="AQ39" i="103"/>
  <c r="AM41" i="103"/>
  <c r="AQ45" i="103"/>
  <c r="AK71" i="102"/>
  <c r="AK75" i="102" s="1"/>
  <c r="P71" i="104"/>
  <c r="P17" i="104" s="1"/>
  <c r="Y42" i="45"/>
  <c r="AU130" i="115"/>
  <c r="N26" i="48"/>
  <c r="N28" i="48" s="1"/>
  <c r="O77" i="104"/>
  <c r="O23" i="104" s="1"/>
  <c r="O163" i="104"/>
  <c r="O183" i="104" s="1"/>
  <c r="Q61" i="104"/>
  <c r="AH111" i="20"/>
  <c r="AH83" i="20" s="1"/>
  <c r="M86" i="18"/>
  <c r="AB18" i="115"/>
  <c r="AD15" i="115"/>
  <c r="AI180" i="115"/>
  <c r="AI164" i="115"/>
  <c r="AH24" i="18"/>
  <c r="AJ116" i="18"/>
  <c r="AH164" i="18"/>
  <c r="AH169" i="18" s="1"/>
  <c r="AH207" i="18"/>
  <c r="AH213" i="18" s="1"/>
  <c r="AH231" i="18"/>
  <c r="AH237" i="18" s="1"/>
  <c r="AJ14" i="115"/>
  <c r="AJ168" i="115"/>
  <c r="AP130" i="115"/>
  <c r="AL176" i="115"/>
  <c r="AL161" i="115"/>
  <c r="AO130" i="47"/>
  <c r="AP130" i="47" s="1"/>
  <c r="AK9" i="102"/>
  <c r="AO9" i="102"/>
  <c r="AQ20" i="102"/>
  <c r="AM19" i="102"/>
  <c r="AI19" i="102"/>
  <c r="AQ26" i="102"/>
  <c r="AH27" i="102"/>
  <c r="AQ34" i="102"/>
  <c r="AH48" i="102"/>
  <c r="AM66" i="102"/>
  <c r="AP82" i="102"/>
  <c r="AN90" i="102"/>
  <c r="AU92" i="115"/>
  <c r="AU50" i="115"/>
  <c r="AR9" i="115"/>
  <c r="P22" i="104"/>
  <c r="R8" i="104"/>
  <c r="AS152" i="18"/>
  <c r="AS159" i="18" s="1"/>
  <c r="AP92" i="115"/>
  <c r="AO124" i="47"/>
  <c r="AN32" i="18"/>
  <c r="AN38" i="18" s="1"/>
  <c r="AN68" i="18"/>
  <c r="AN74" i="18" s="1"/>
  <c r="AO17" i="115"/>
  <c r="E11" i="97"/>
  <c r="E13" i="97" s="1"/>
  <c r="E16" i="97" s="1"/>
  <c r="E18" i="97" s="1"/>
  <c r="E20" i="97" s="1"/>
  <c r="E21" i="97" s="1"/>
  <c r="E23" i="97" s="1"/>
  <c r="AO19" i="102"/>
  <c r="AK19" i="102"/>
  <c r="AI27" i="102"/>
  <c r="AM48" i="102"/>
  <c r="AU15" i="115"/>
  <c r="AU126" i="115"/>
  <c r="AD154" i="88"/>
  <c r="AD6" i="88" s="1"/>
  <c r="P21" i="104"/>
  <c r="P9" i="104"/>
  <c r="AR55" i="18"/>
  <c r="Q113" i="104"/>
  <c r="Q133" i="104" s="1"/>
  <c r="R15" i="104"/>
  <c r="R113" i="104"/>
  <c r="R133" i="104" s="1"/>
  <c r="AP15" i="115"/>
  <c r="AP126" i="115"/>
  <c r="AL21" i="115"/>
  <c r="AM14" i="115"/>
  <c r="AO46" i="18"/>
  <c r="AO169" i="115"/>
  <c r="AQ10" i="102"/>
  <c r="AJ71" i="102"/>
  <c r="N113" i="104"/>
  <c r="N133" i="104" s="1"/>
  <c r="AU168" i="115"/>
  <c r="AU88" i="115"/>
  <c r="AQ10" i="20"/>
  <c r="AQ16" i="20" s="1"/>
  <c r="P88" i="104"/>
  <c r="P108" i="104" s="1"/>
  <c r="P191" i="104"/>
  <c r="P211" i="104" s="1"/>
  <c r="AR111" i="20"/>
  <c r="AR83" i="20" s="1"/>
  <c r="Q71" i="104"/>
  <c r="Q17" i="104" s="1"/>
  <c r="R71" i="104"/>
  <c r="R17" i="104" s="1"/>
  <c r="AG154" i="88"/>
  <c r="AE167" i="115"/>
  <c r="AG180" i="115"/>
  <c r="AG207" i="18"/>
  <c r="AG213" i="18" s="1"/>
  <c r="AI21" i="115"/>
  <c r="AI169" i="115"/>
  <c r="AF49" i="20"/>
  <c r="AF55" i="20" s="1"/>
  <c r="AF91" i="18"/>
  <c r="AP168" i="115"/>
  <c r="AP88" i="115"/>
  <c r="AO174" i="115"/>
  <c r="AO180" i="115"/>
  <c r="AO29" i="115"/>
  <c r="G10" i="97"/>
  <c r="L12" i="97"/>
  <c r="AQ25" i="102"/>
  <c r="AN27" i="102"/>
  <c r="AQ37" i="102"/>
  <c r="AK48" i="102"/>
  <c r="AP66" i="102"/>
  <c r="AH80" i="102"/>
  <c r="AQ78" i="102"/>
  <c r="AQ57" i="102"/>
  <c r="AP19" i="103"/>
  <c r="AQ35" i="103"/>
  <c r="AJ66" i="102"/>
  <c r="AU16" i="115"/>
  <c r="AR166" i="115"/>
  <c r="Q163" i="104"/>
  <c r="Q183" i="104" s="1"/>
  <c r="N98" i="18"/>
  <c r="AG168" i="115"/>
  <c r="AJ11" i="20"/>
  <c r="AH56" i="47"/>
  <c r="AF29" i="20"/>
  <c r="AH90" i="18"/>
  <c r="AG91" i="18"/>
  <c r="AH32" i="18"/>
  <c r="AH38" i="18" s="1"/>
  <c r="AG143" i="18"/>
  <c r="AJ21" i="115"/>
  <c r="AI202" i="6"/>
  <c r="AP16" i="115"/>
  <c r="Z9" i="88"/>
  <c r="AO162" i="115"/>
  <c r="AQ17" i="102"/>
  <c r="AH66" i="102"/>
  <c r="AQ72" i="102"/>
  <c r="AI71" i="102"/>
  <c r="AQ56" i="102"/>
  <c r="N77" i="104"/>
  <c r="N163" i="104"/>
  <c r="N183" i="104" s="1"/>
  <c r="AU53" i="115"/>
  <c r="AT103" i="18"/>
  <c r="O138" i="104"/>
  <c r="O158" i="104" s="1"/>
  <c r="P138" i="104"/>
  <c r="P158" i="104" s="1"/>
  <c r="Q11" i="104"/>
  <c r="R163" i="104"/>
  <c r="R183" i="104" s="1"/>
  <c r="AG55" i="47"/>
  <c r="AG166" i="115"/>
  <c r="AP53" i="115"/>
  <c r="AL24" i="115"/>
  <c r="AL177" i="115"/>
  <c r="G32" i="97"/>
  <c r="L33" i="97"/>
  <c r="G37" i="97"/>
  <c r="L38" i="97"/>
  <c r="L45" i="97"/>
  <c r="AQ29" i="102"/>
  <c r="AO71" i="102"/>
  <c r="AQ56" i="103"/>
  <c r="AL58" i="103"/>
  <c r="AK77" i="102"/>
  <c r="N19" i="104"/>
  <c r="AU51" i="115"/>
  <c r="O39" i="48"/>
  <c r="P77" i="104"/>
  <c r="AR59" i="18"/>
  <c r="AR142" i="18"/>
  <c r="AR198" i="18"/>
  <c r="Z137" i="108"/>
  <c r="AK69" i="115"/>
  <c r="AP54" i="115"/>
  <c r="K6" i="48"/>
  <c r="K52" i="48" s="1"/>
  <c r="K53" i="48" s="1"/>
  <c r="AK183" i="115"/>
  <c r="AK107" i="115"/>
  <c r="AC15" i="115"/>
  <c r="AG24" i="115"/>
  <c r="AP129" i="115"/>
  <c r="AP51" i="115"/>
  <c r="AC8" i="88"/>
  <c r="AO170" i="115"/>
  <c r="AH19" i="102"/>
  <c r="AQ21" i="102"/>
  <c r="AK27" i="102"/>
  <c r="AO55" i="102"/>
  <c r="AO54" i="102" s="1"/>
  <c r="AN48" i="103"/>
  <c r="AP64" i="103"/>
  <c r="N20" i="104"/>
  <c r="AU91" i="115"/>
  <c r="AU127" i="115"/>
  <c r="O71" i="104"/>
  <c r="O17" i="104" s="1"/>
  <c r="O191" i="104"/>
  <c r="O211" i="104" s="1"/>
  <c r="M23" i="99"/>
  <c r="N23" i="99" s="1"/>
  <c r="O23" i="99" s="1"/>
  <c r="P23" i="99" s="1"/>
  <c r="Q23" i="99" s="1"/>
  <c r="AL66" i="102"/>
  <c r="AP27" i="103"/>
  <c r="AU89" i="115"/>
  <c r="AR131" i="47"/>
  <c r="Z140" i="108"/>
  <c r="AH180" i="115"/>
  <c r="AR184" i="115"/>
  <c r="AH21" i="115"/>
  <c r="AR108" i="115"/>
  <c r="AI176" i="115"/>
  <c r="AQ31" i="115"/>
  <c r="AR113" i="47"/>
  <c r="AT127" i="47"/>
  <c r="AT130" i="47"/>
  <c r="AQ145" i="115"/>
  <c r="AT131" i="47"/>
  <c r="AQ69" i="115"/>
  <c r="AT132" i="47"/>
  <c r="AS14" i="115"/>
  <c r="AS124" i="47"/>
  <c r="AR145" i="115"/>
  <c r="AS127" i="47"/>
  <c r="AS132" i="47"/>
  <c r="AT14" i="115"/>
  <c r="AS169" i="115"/>
  <c r="AT17" i="115"/>
  <c r="AT29" i="115"/>
  <c r="AS130" i="47"/>
  <c r="AT124" i="47"/>
  <c r="AT18" i="115"/>
  <c r="AB75" i="74"/>
  <c r="AB51" i="115"/>
  <c r="AB165" i="115"/>
  <c r="AB169" i="115"/>
  <c r="AB166" i="115"/>
  <c r="AB130" i="115"/>
  <c r="AB15" i="115"/>
  <c r="AG127" i="115"/>
  <c r="AN189" i="18"/>
  <c r="AE17" i="115"/>
  <c r="AE85" i="115"/>
  <c r="AE92" i="115"/>
  <c r="AE77" i="74"/>
  <c r="AE53" i="115"/>
  <c r="AG51" i="115"/>
  <c r="AG129" i="115"/>
  <c r="AG123" i="115"/>
  <c r="AI70" i="6"/>
  <c r="AI22" i="115" s="1"/>
  <c r="AI136" i="115"/>
  <c r="G16" i="48"/>
  <c r="G18" i="48" s="1"/>
  <c r="AG54" i="20"/>
  <c r="AH68" i="18"/>
  <c r="AH73" i="18" s="1"/>
  <c r="AG164" i="18"/>
  <c r="AG171" i="18" s="1"/>
  <c r="X154" i="88"/>
  <c r="X6" i="88" s="1"/>
  <c r="AJ143" i="115"/>
  <c r="AJ16" i="115"/>
  <c r="AJ17" i="115"/>
  <c r="AJ129" i="115"/>
  <c r="AJ126" i="115"/>
  <c r="AN111" i="20"/>
  <c r="AN83" i="20" s="1"/>
  <c r="AN84" i="20"/>
  <c r="AB161" i="115"/>
  <c r="AG181" i="115"/>
  <c r="AG105" i="115"/>
  <c r="AG103" i="115" s="1"/>
  <c r="AG118" i="115" s="1"/>
  <c r="AJ66" i="115"/>
  <c r="AB17" i="115"/>
  <c r="AE161" i="115"/>
  <c r="AE168" i="115"/>
  <c r="AD129" i="115"/>
  <c r="AD53" i="115"/>
  <c r="AG53" i="115"/>
  <c r="AG93" i="115"/>
  <c r="AG29" i="74"/>
  <c r="AG47" i="115"/>
  <c r="AG21" i="115"/>
  <c r="AG174" i="115"/>
  <c r="AG25" i="115"/>
  <c r="AG15" i="116" s="1"/>
  <c r="V154" i="88"/>
  <c r="V6" i="88" s="1"/>
  <c r="AH167" i="115"/>
  <c r="AI98" i="115"/>
  <c r="AI12" i="115"/>
  <c r="AI167" i="115"/>
  <c r="AN180" i="115"/>
  <c r="AN166" i="115"/>
  <c r="AN85" i="115"/>
  <c r="AN48" i="115"/>
  <c r="L57" i="48"/>
  <c r="AN20" i="115"/>
  <c r="AN24" i="115"/>
  <c r="AN63" i="115"/>
  <c r="AE16" i="115"/>
  <c r="AG16" i="115"/>
  <c r="AG131" i="115"/>
  <c r="AJ53" i="47"/>
  <c r="AJ20" i="115"/>
  <c r="AJ80" i="74"/>
  <c r="L66" i="75" s="1"/>
  <c r="AJ56" i="115"/>
  <c r="AN181" i="115"/>
  <c r="AN105" i="115"/>
  <c r="AN103" i="115" s="1"/>
  <c r="AN118" i="115" s="1"/>
  <c r="AN90" i="115"/>
  <c r="AN123" i="115"/>
  <c r="AJ55" i="115"/>
  <c r="AG18" i="115"/>
  <c r="AF80" i="18"/>
  <c r="AF85" i="18" s="1"/>
  <c r="AH164" i="115"/>
  <c r="AH166" i="115"/>
  <c r="AH15" i="115"/>
  <c r="AH161" i="115"/>
  <c r="W154" i="88"/>
  <c r="W6" i="88" s="1"/>
  <c r="AI67" i="115"/>
  <c r="AI59" i="115"/>
  <c r="AI128" i="115"/>
  <c r="AI15" i="115"/>
  <c r="AG162" i="115"/>
  <c r="AG138" i="18"/>
  <c r="AJ174" i="115"/>
  <c r="AJ102" i="115"/>
  <c r="AJ54" i="115"/>
  <c r="AJ94" i="115"/>
  <c r="AJ90" i="115"/>
  <c r="AJ62" i="115"/>
  <c r="AH61" i="115"/>
  <c r="AM106" i="47"/>
  <c r="AE127" i="115"/>
  <c r="AC127" i="115"/>
  <c r="AB168" i="115"/>
  <c r="AE52" i="115"/>
  <c r="AB14" i="115"/>
  <c r="AE170" i="115"/>
  <c r="AD91" i="115"/>
  <c r="AB123" i="115"/>
  <c r="AB128" i="115"/>
  <c r="AB47" i="115"/>
  <c r="AC52" i="115"/>
  <c r="AB52" i="115"/>
  <c r="AG71" i="115"/>
  <c r="AG68" i="115" s="1"/>
  <c r="AG79" i="115" s="1"/>
  <c r="AG90" i="115"/>
  <c r="AG92" i="115"/>
  <c r="AG170" i="115"/>
  <c r="AG84" i="74"/>
  <c r="AG67" i="115"/>
  <c r="AG91" i="115"/>
  <c r="AI66" i="115"/>
  <c r="AI143" i="115"/>
  <c r="AI135" i="115"/>
  <c r="AI174" i="115"/>
  <c r="AI126" i="115"/>
  <c r="AI90" i="115"/>
  <c r="AI94" i="115"/>
  <c r="AJ59" i="115"/>
  <c r="AJ178" i="115"/>
  <c r="AI54" i="115"/>
  <c r="AJ53" i="115"/>
  <c r="AJ170" i="115"/>
  <c r="AJ166" i="115"/>
  <c r="AJ164" i="115"/>
  <c r="AL174" i="115"/>
  <c r="AM69" i="115"/>
  <c r="AL93" i="115"/>
  <c r="AM134" i="115"/>
  <c r="AE47" i="115"/>
  <c r="AG122" i="47"/>
  <c r="AG147" i="115"/>
  <c r="AG144" i="115" s="1"/>
  <c r="AG155" i="115" s="1"/>
  <c r="AG50" i="115"/>
  <c r="AP189" i="18"/>
  <c r="AF201" i="5"/>
  <c r="AB94" i="115"/>
  <c r="AC91" i="115"/>
  <c r="AE132" i="115"/>
  <c r="AE56" i="115"/>
  <c r="AG50" i="74"/>
  <c r="AG128" i="115"/>
  <c r="AG130" i="115"/>
  <c r="AG94" i="115"/>
  <c r="AH12" i="115"/>
  <c r="AI142" i="115"/>
  <c r="AI88" i="115"/>
  <c r="AI166" i="115"/>
  <c r="AI170" i="115"/>
  <c r="AI134" i="115"/>
  <c r="AI172" i="115" s="1"/>
  <c r="AI26" i="115"/>
  <c r="AH141" i="18"/>
  <c r="AJ176" i="115"/>
  <c r="AI130" i="115"/>
  <c r="AJ52" i="115"/>
  <c r="AJ131" i="115"/>
  <c r="AJ123" i="115"/>
  <c r="AJ124" i="115"/>
  <c r="AJ99" i="115"/>
  <c r="AJ139" i="115"/>
  <c r="AM180" i="115"/>
  <c r="AM170" i="115"/>
  <c r="AL66" i="20"/>
  <c r="AL34" i="20" s="1"/>
  <c r="AM176" i="115"/>
  <c r="AN93" i="102"/>
  <c r="AN97" i="102"/>
  <c r="AB85" i="115"/>
  <c r="AG126" i="115"/>
  <c r="AG15" i="115"/>
  <c r="AI56" i="115"/>
  <c r="AJ128" i="115"/>
  <c r="AB170" i="115"/>
  <c r="AG12" i="115"/>
  <c r="AF90" i="20"/>
  <c r="AG13" i="115"/>
  <c r="AG52" i="115"/>
  <c r="AG54" i="115"/>
  <c r="AG132" i="115"/>
  <c r="AG83" i="74"/>
  <c r="AG66" i="115"/>
  <c r="AI173" i="115"/>
  <c r="AI53" i="115"/>
  <c r="AI9" i="115"/>
  <c r="AI47" i="115"/>
  <c r="AJ47" i="115"/>
  <c r="AJ93" i="115"/>
  <c r="AJ85" i="115"/>
  <c r="AJ86" i="115"/>
  <c r="AJ175" i="115"/>
  <c r="AI175" i="115"/>
  <c r="AI139" i="115"/>
  <c r="AL175" i="115"/>
  <c r="AL25" i="115"/>
  <c r="AL15" i="116" s="1"/>
  <c r="AK104" i="20"/>
  <c r="AK76" i="20" s="1"/>
  <c r="AK176" i="18"/>
  <c r="AK183" i="18" s="1"/>
  <c r="AO93" i="102"/>
  <c r="AO97" i="102"/>
  <c r="AC129" i="115"/>
  <c r="AB127" i="115"/>
  <c r="AE14" i="115"/>
  <c r="AI80" i="74"/>
  <c r="K66" i="75" s="1"/>
  <c r="AF253" i="5"/>
  <c r="AI28" i="74"/>
  <c r="AE13" i="115"/>
  <c r="AE38" i="115" s="1"/>
  <c r="AE93" i="115"/>
  <c r="AE90" i="115"/>
  <c r="AE131" i="115"/>
  <c r="AD167" i="115"/>
  <c r="AB167" i="115"/>
  <c r="AE55" i="115"/>
  <c r="AF91" i="20"/>
  <c r="AG165" i="115"/>
  <c r="AG56" i="115"/>
  <c r="AG9" i="115"/>
  <c r="AG102" i="115"/>
  <c r="AF22" i="18"/>
  <c r="AF60" i="18"/>
  <c r="AJ229" i="18"/>
  <c r="AI129" i="115"/>
  <c r="H6" i="48"/>
  <c r="H41" i="48" s="1"/>
  <c r="AG49" i="20"/>
  <c r="AG55" i="20" s="1"/>
  <c r="AJ180" i="115"/>
  <c r="AI16" i="115"/>
  <c r="AJ51" i="115"/>
  <c r="AJ169" i="115"/>
  <c r="AJ161" i="115"/>
  <c r="AJ142" i="115"/>
  <c r="AJ61" i="115"/>
  <c r="AL145" i="115"/>
  <c r="AL70" i="115"/>
  <c r="AO21" i="115"/>
  <c r="AO22" i="115"/>
  <c r="AO175" i="115"/>
  <c r="AO52" i="115"/>
  <c r="AP93" i="102"/>
  <c r="AP97" i="102"/>
  <c r="AC167" i="115"/>
  <c r="AC16" i="115"/>
  <c r="AB16" i="115"/>
  <c r="AB129" i="115"/>
  <c r="AB53" i="115"/>
  <c r="AG55" i="115"/>
  <c r="AI181" i="115"/>
  <c r="AI105" i="115"/>
  <c r="AI103" i="115" s="1"/>
  <c r="AI118" i="115" s="1"/>
  <c r="AJ132" i="115"/>
  <c r="AI63" i="115"/>
  <c r="AE94" i="115"/>
  <c r="AC18" i="115"/>
  <c r="AB9" i="115"/>
  <c r="AB91" i="115"/>
  <c r="AI24" i="74"/>
  <c r="AC13" i="115"/>
  <c r="AC38" i="115" s="1"/>
  <c r="AB13" i="115"/>
  <c r="AB38" i="115" s="1"/>
  <c r="AE165" i="115"/>
  <c r="AE166" i="115"/>
  <c r="AB55" i="115"/>
  <c r="AG164" i="115"/>
  <c r="AG161" i="115"/>
  <c r="AG140" i="115"/>
  <c r="AI85" i="115"/>
  <c r="AI178" i="115"/>
  <c r="G26" i="48"/>
  <c r="G67" i="48" s="1"/>
  <c r="AJ50" i="115"/>
  <c r="AJ130" i="115"/>
  <c r="AJ127" i="115"/>
  <c r="AG175" i="115"/>
  <c r="AH137" i="115"/>
  <c r="AG139" i="115"/>
  <c r="AN104" i="20"/>
  <c r="AN76" i="20" s="1"/>
  <c r="AO25" i="115"/>
  <c r="AO15" i="116" s="1"/>
  <c r="AO16" i="74"/>
  <c r="AO107" i="115"/>
  <c r="AO183" i="115"/>
  <c r="AB92" i="115"/>
  <c r="AJ140" i="115"/>
  <c r="AI100" i="115"/>
  <c r="AE18" i="115"/>
  <c r="AB93" i="115"/>
  <c r="AE130" i="115"/>
  <c r="AE54" i="115"/>
  <c r="AG89" i="115"/>
  <c r="AG173" i="115"/>
  <c r="AG135" i="115"/>
  <c r="AG96" i="115"/>
  <c r="AG176" i="115"/>
  <c r="AH24" i="115"/>
  <c r="AH14" i="116" s="1"/>
  <c r="AH29" i="115"/>
  <c r="AI127" i="47"/>
  <c r="AI55" i="115"/>
  <c r="AF27" i="20"/>
  <c r="AJ15" i="115"/>
  <c r="AJ172" i="115"/>
  <c r="AJ24" i="115"/>
  <c r="AJ48" i="115"/>
  <c r="AJ92" i="115"/>
  <c r="AJ89" i="115"/>
  <c r="AI62" i="115"/>
  <c r="AI195" i="18"/>
  <c r="Y171" i="88"/>
  <c r="Y154" i="88" s="1"/>
  <c r="Y6" i="88" s="1"/>
  <c r="AG121" i="47"/>
  <c r="AG185" i="115"/>
  <c r="AG182" i="115" s="1"/>
  <c r="AG193" i="115" s="1"/>
  <c r="AG109" i="115"/>
  <c r="AG106" i="115" s="1"/>
  <c r="AG117" i="115" s="1"/>
  <c r="AG17" i="116" s="1"/>
  <c r="AI52" i="115"/>
  <c r="AB54" i="115"/>
  <c r="AG169" i="115"/>
  <c r="AG59" i="115"/>
  <c r="AG134" i="115"/>
  <c r="AF54" i="18"/>
  <c r="AJ205" i="18"/>
  <c r="AI65" i="74"/>
  <c r="K51" i="75" s="1"/>
  <c r="AI60" i="115"/>
  <c r="AI131" i="115"/>
  <c r="AJ67" i="115"/>
  <c r="AI90" i="20"/>
  <c r="AJ13" i="115"/>
  <c r="AI91" i="20"/>
  <c r="AJ165" i="115"/>
  <c r="AF105" i="20"/>
  <c r="AG177" i="115"/>
  <c r="AM86" i="115"/>
  <c r="AM114" i="115" s="1"/>
  <c r="AM131" i="115"/>
  <c r="AL52" i="115"/>
  <c r="AM174" i="115"/>
  <c r="AM101" i="115"/>
  <c r="AM95" i="115" s="1"/>
  <c r="AM116" i="115" s="1"/>
  <c r="AM29" i="115"/>
  <c r="AL128" i="115"/>
  <c r="AL9" i="115"/>
  <c r="AL47" i="115"/>
  <c r="AM135" i="115"/>
  <c r="AN170" i="115"/>
  <c r="AN21" i="115"/>
  <c r="AN22" i="115"/>
  <c r="AN175" i="115"/>
  <c r="AN219" i="18"/>
  <c r="AN224" i="18" s="1"/>
  <c r="AO137" i="115"/>
  <c r="AO26" i="115"/>
  <c r="AO86" i="115"/>
  <c r="AO56" i="115"/>
  <c r="AO161" i="115"/>
  <c r="K11" i="98"/>
  <c r="K13" i="98" s="1"/>
  <c r="K16" i="98" s="1"/>
  <c r="K18" i="98" s="1"/>
  <c r="E21" i="98"/>
  <c r="AM9" i="102"/>
  <c r="AQ49" i="102"/>
  <c r="AQ50" i="102"/>
  <c r="AQ43" i="102"/>
  <c r="AN41" i="102"/>
  <c r="AQ74" i="102"/>
  <c r="N16" i="104"/>
  <c r="N8" i="104"/>
  <c r="AD10" i="88"/>
  <c r="AQ14" i="115"/>
  <c r="AQ22" i="115"/>
  <c r="O12" i="104"/>
  <c r="O24" i="104"/>
  <c r="AR175" i="115"/>
  <c r="AQ19" i="18"/>
  <c r="AQ55" i="18"/>
  <c r="AQ143" i="18"/>
  <c r="AR56" i="115"/>
  <c r="AR47" i="115"/>
  <c r="AR67" i="115"/>
  <c r="P25" i="104"/>
  <c r="P13" i="104"/>
  <c r="AR95" i="18"/>
  <c r="AS175" i="115"/>
  <c r="AS185" i="115"/>
  <c r="AS109" i="115"/>
  <c r="Q15" i="104"/>
  <c r="AT146" i="115"/>
  <c r="R18" i="104"/>
  <c r="AT78" i="18"/>
  <c r="AG101" i="88"/>
  <c r="AK60" i="18"/>
  <c r="AL90" i="115"/>
  <c r="AL123" i="115"/>
  <c r="AM64" i="115"/>
  <c r="AN94" i="115"/>
  <c r="AN174" i="115"/>
  <c r="AO97" i="115"/>
  <c r="AO98" i="115"/>
  <c r="AO61" i="115"/>
  <c r="AO100" i="115"/>
  <c r="AO178" i="115"/>
  <c r="AO14" i="115"/>
  <c r="AQ11" i="102"/>
  <c r="AP65" i="103"/>
  <c r="O13" i="104"/>
  <c r="O25" i="104"/>
  <c r="AR123" i="115"/>
  <c r="P24" i="104"/>
  <c r="P12" i="104"/>
  <c r="AR80" i="18"/>
  <c r="AR87" i="18" s="1"/>
  <c r="Q26" i="104"/>
  <c r="Q14" i="104"/>
  <c r="AS147" i="115"/>
  <c r="AT70" i="115"/>
  <c r="AS238" i="18"/>
  <c r="Z77" i="108"/>
  <c r="Z87" i="108" s="1"/>
  <c r="AL180" i="115"/>
  <c r="AM169" i="115"/>
  <c r="AL166" i="115"/>
  <c r="AM24" i="115"/>
  <c r="AM14" i="116" s="1"/>
  <c r="AM181" i="115"/>
  <c r="AM105" i="115"/>
  <c r="AM103" i="115" s="1"/>
  <c r="AM118" i="115" s="1"/>
  <c r="AK207" i="18"/>
  <c r="AK212" i="18" s="1"/>
  <c r="AK164" i="18"/>
  <c r="AK170" i="18" s="1"/>
  <c r="AN99" i="115"/>
  <c r="AN132" i="115"/>
  <c r="AN138" i="115"/>
  <c r="AN64" i="115"/>
  <c r="AO136" i="115"/>
  <c r="AO102" i="115"/>
  <c r="AO48" i="115"/>
  <c r="AO166" i="115"/>
  <c r="AO85" i="115"/>
  <c r="G9" i="97"/>
  <c r="L10" i="97"/>
  <c r="G14" i="97"/>
  <c r="G24" i="97"/>
  <c r="L15" i="98"/>
  <c r="AQ11" i="103"/>
  <c r="AQ16" i="103"/>
  <c r="AQ18" i="103"/>
  <c r="AQ29" i="103"/>
  <c r="AQ32" i="103"/>
  <c r="AN27" i="103"/>
  <c r="N18" i="104"/>
  <c r="AT119" i="18"/>
  <c r="O14" i="104"/>
  <c r="O26" i="104"/>
  <c r="N11" i="97"/>
  <c r="AR64" i="74"/>
  <c r="T50" i="75" s="1"/>
  <c r="AR59" i="115"/>
  <c r="P11" i="104"/>
  <c r="Q25" i="104"/>
  <c r="Q13" i="104"/>
  <c r="R16" i="104"/>
  <c r="AS32" i="18"/>
  <c r="AL124" i="115"/>
  <c r="AL27" i="74"/>
  <c r="AL17" i="115"/>
  <c r="AL55" i="115"/>
  <c r="AM21" i="115"/>
  <c r="AN56" i="115"/>
  <c r="AN161" i="115"/>
  <c r="AN86" i="115"/>
  <c r="AN67" i="74"/>
  <c r="P53" i="75" s="1"/>
  <c r="AN62" i="115"/>
  <c r="AO60" i="115"/>
  <c r="AO140" i="115"/>
  <c r="AO90" i="115"/>
  <c r="AO123" i="115"/>
  <c r="AO32" i="115"/>
  <c r="AO30" i="115" s="1"/>
  <c r="AO41" i="115" s="1"/>
  <c r="AJ185" i="115"/>
  <c r="AJ182" i="115" s="1"/>
  <c r="AJ193" i="115" s="1"/>
  <c r="AJ109" i="115"/>
  <c r="AJ106" i="115" s="1"/>
  <c r="AJ117" i="115" s="1"/>
  <c r="AJ17" i="116" s="1"/>
  <c r="AJ71" i="115"/>
  <c r="AJ68" i="115" s="1"/>
  <c r="AJ79" i="115" s="1"/>
  <c r="AP68" i="18"/>
  <c r="AP74" i="18" s="1"/>
  <c r="AR25" i="115"/>
  <c r="AR15" i="116" s="1"/>
  <c r="O57" i="48"/>
  <c r="AR20" i="115"/>
  <c r="AR170" i="115"/>
  <c r="P10" i="104"/>
  <c r="AF48" i="88"/>
  <c r="AR152" i="18"/>
  <c r="Q24" i="104"/>
  <c r="Q12" i="104"/>
  <c r="AM162" i="115"/>
  <c r="AL86" i="115"/>
  <c r="AL131" i="115"/>
  <c r="AM61" i="115"/>
  <c r="Z154" i="88"/>
  <c r="AN114" i="47"/>
  <c r="AN101" i="115"/>
  <c r="AN148" i="5"/>
  <c r="AN153" i="5" s="1"/>
  <c r="AN155" i="5" s="1"/>
  <c r="AN160" i="5" s="1"/>
  <c r="AN14" i="115"/>
  <c r="AN124" i="115"/>
  <c r="AO128" i="115"/>
  <c r="AO47" i="115"/>
  <c r="AO184" i="115"/>
  <c r="AI109" i="115"/>
  <c r="AI106" i="115" s="1"/>
  <c r="AI117" i="115" s="1"/>
  <c r="AI17" i="116" s="1"/>
  <c r="AI71" i="115"/>
  <c r="AI68" i="115" s="1"/>
  <c r="AI79" i="115" s="1"/>
  <c r="AN19" i="102"/>
  <c r="AQ70" i="115"/>
  <c r="AR60" i="115"/>
  <c r="AS70" i="115"/>
  <c r="R26" i="104"/>
  <c r="R14" i="104"/>
  <c r="AH123" i="47"/>
  <c r="AH71" i="115"/>
  <c r="AH68" i="115" s="1"/>
  <c r="AH79" i="115" s="1"/>
  <c r="F21" i="98"/>
  <c r="AQ23" i="102"/>
  <c r="AO9" i="103"/>
  <c r="AK19" i="103"/>
  <c r="AK8" i="103" s="1"/>
  <c r="AK46" i="103" s="1"/>
  <c r="AK27" i="103"/>
  <c r="AL39" i="103"/>
  <c r="AN41" i="103"/>
  <c r="N9" i="104"/>
  <c r="AP194" i="18"/>
  <c r="AP199" i="18" s="1"/>
  <c r="AR65" i="74"/>
  <c r="T51" i="75" s="1"/>
  <c r="AR173" i="115"/>
  <c r="AR99" i="115"/>
  <c r="AQ32" i="18"/>
  <c r="AQ39" i="18" s="1"/>
  <c r="AQ68" i="18"/>
  <c r="AQ73" i="18" s="1"/>
  <c r="AQ104" i="18"/>
  <c r="AQ109" i="18" s="1"/>
  <c r="AR124" i="115"/>
  <c r="AR90" i="115"/>
  <c r="P20" i="104"/>
  <c r="P8" i="104"/>
  <c r="AF127" i="88"/>
  <c r="AS161" i="115"/>
  <c r="AS146" i="115"/>
  <c r="AS60" i="115"/>
  <c r="Q22" i="104"/>
  <c r="Q10" i="104"/>
  <c r="Y8" i="108"/>
  <c r="AT25" i="115"/>
  <c r="AT15" i="116" s="1"/>
  <c r="R25" i="104"/>
  <c r="R13" i="104"/>
  <c r="G45" i="97"/>
  <c r="AQ83" i="102"/>
  <c r="AL55" i="102"/>
  <c r="AQ28" i="102"/>
  <c r="AN55" i="102"/>
  <c r="AN54" i="102" s="1"/>
  <c r="AJ27" i="102"/>
  <c r="AQ15" i="103"/>
  <c r="AL23" i="103"/>
  <c r="AQ24" i="103"/>
  <c r="AQ31" i="103"/>
  <c r="N10" i="104"/>
  <c r="N9" i="48"/>
  <c r="N61" i="48" s="1"/>
  <c r="O18" i="104"/>
  <c r="M11" i="98"/>
  <c r="AQ108" i="115"/>
  <c r="AR172" i="115"/>
  <c r="AR17" i="115"/>
  <c r="AR131" i="115"/>
  <c r="P19" i="104"/>
  <c r="AF8" i="88"/>
  <c r="AS136" i="115"/>
  <c r="Q21" i="104"/>
  <c r="Q9" i="104"/>
  <c r="Q88" i="104"/>
  <c r="Q108" i="104" s="1"/>
  <c r="AT177" i="115"/>
  <c r="R24" i="104"/>
  <c r="R12" i="104"/>
  <c r="AZ88" i="93"/>
  <c r="AL67" i="115"/>
  <c r="AL107" i="115"/>
  <c r="AL183" i="115"/>
  <c r="AL172" i="115"/>
  <c r="AL139" i="115"/>
  <c r="AM107" i="115"/>
  <c r="AM183" i="115"/>
  <c r="AM128" i="115"/>
  <c r="AM9" i="115"/>
  <c r="AM81" i="74"/>
  <c r="AM47" i="115"/>
  <c r="AL169" i="115"/>
  <c r="AP105" i="6"/>
  <c r="AN107" i="115"/>
  <c r="AN183" i="115"/>
  <c r="Y8" i="88"/>
  <c r="Y11" i="88"/>
  <c r="AN143" i="115"/>
  <c r="AN128" i="115"/>
  <c r="AN47" i="115"/>
  <c r="AN96" i="115"/>
  <c r="AC9" i="88"/>
  <c r="AO177" i="115"/>
  <c r="AO93" i="115"/>
  <c r="AO181" i="115"/>
  <c r="AO105" i="115"/>
  <c r="AO103" i="115" s="1"/>
  <c r="AO118" i="115" s="1"/>
  <c r="AK9" i="103"/>
  <c r="AM54" i="103"/>
  <c r="N11" i="104"/>
  <c r="O19" i="104"/>
  <c r="AQ32" i="115"/>
  <c r="AQ184" i="115"/>
  <c r="AR61" i="115"/>
  <c r="AQ164" i="18"/>
  <c r="AQ169" i="18" s="1"/>
  <c r="AR52" i="115"/>
  <c r="AR93" i="115"/>
  <c r="AR32" i="74"/>
  <c r="AR29" i="115"/>
  <c r="P18" i="104"/>
  <c r="Q20" i="104"/>
  <c r="Y102" i="108"/>
  <c r="AT9" i="115"/>
  <c r="R11" i="104"/>
  <c r="AS112" i="20"/>
  <c r="Q35" i="97"/>
  <c r="AJ162" i="115"/>
  <c r="AI99" i="115"/>
  <c r="AJ177" i="115"/>
  <c r="AL66" i="115"/>
  <c r="AL143" i="115"/>
  <c r="AL32" i="115"/>
  <c r="AL30" i="115" s="1"/>
  <c r="AL41" i="115" s="1"/>
  <c r="AL95" i="115"/>
  <c r="AL116" i="115" s="1"/>
  <c r="AL62" i="115"/>
  <c r="AL17" i="74"/>
  <c r="AL26" i="115"/>
  <c r="AL16" i="116" s="1"/>
  <c r="AM146" i="115"/>
  <c r="AM123" i="115"/>
  <c r="AL18" i="115"/>
  <c r="AA154" i="88"/>
  <c r="AN145" i="115"/>
  <c r="Z8" i="88"/>
  <c r="Z11" i="88"/>
  <c r="AN52" i="115"/>
  <c r="AN97" i="115"/>
  <c r="AN98" i="115"/>
  <c r="AN134" i="115"/>
  <c r="AC154" i="88"/>
  <c r="AC10" i="88"/>
  <c r="AO176" i="115"/>
  <c r="AO43" i="74"/>
  <c r="AO131" i="115"/>
  <c r="AO18" i="115"/>
  <c r="AO143" i="115"/>
  <c r="AO70" i="115"/>
  <c r="J21" i="98"/>
  <c r="AL57" i="103"/>
  <c r="N12" i="104"/>
  <c r="AQ26" i="115"/>
  <c r="AQ16" i="116" s="1"/>
  <c r="O20" i="104"/>
  <c r="AR174" i="115"/>
  <c r="AR40" i="74"/>
  <c r="AR137" i="115"/>
  <c r="AR128" i="115"/>
  <c r="AS17" i="115"/>
  <c r="Q19" i="104"/>
  <c r="R22" i="104"/>
  <c r="R10" i="104"/>
  <c r="AI13" i="115"/>
  <c r="AH54" i="18"/>
  <c r="AJ181" i="115"/>
  <c r="AJ105" i="115"/>
  <c r="AJ103" i="115" s="1"/>
  <c r="AJ118" i="115" s="1"/>
  <c r="AJ100" i="115"/>
  <c r="AJ26" i="115"/>
  <c r="AJ91" i="115"/>
  <c r="AJ88" i="115"/>
  <c r="AH104" i="20"/>
  <c r="AI25" i="115"/>
  <c r="AI15" i="116" s="1"/>
  <c r="AG67" i="74"/>
  <c r="AG62" i="115"/>
  <c r="AH105" i="20"/>
  <c r="AI177" i="115"/>
  <c r="AL142" i="115"/>
  <c r="AL181" i="115"/>
  <c r="AL105" i="115"/>
  <c r="AL103" i="115" s="1"/>
  <c r="AL118" i="115" s="1"/>
  <c r="AL184" i="115"/>
  <c r="AL173" i="115"/>
  <c r="AL138" i="115"/>
  <c r="AL140" i="115"/>
  <c r="AM32" i="115"/>
  <c r="AM30" i="115" s="1"/>
  <c r="AM41" i="115" s="1"/>
  <c r="AM108" i="115"/>
  <c r="AM48" i="115"/>
  <c r="AM166" i="115"/>
  <c r="AL162" i="115"/>
  <c r="K57" i="48"/>
  <c r="AM20" i="115"/>
  <c r="AM173" i="115"/>
  <c r="AM25" i="115"/>
  <c r="AM26" i="115"/>
  <c r="AM16" i="116" s="1"/>
  <c r="AN109" i="115"/>
  <c r="AA8" i="88"/>
  <c r="AA11" i="88"/>
  <c r="AN135" i="115"/>
  <c r="AN136" i="115"/>
  <c r="AN176" i="115"/>
  <c r="AC11" i="88"/>
  <c r="AO208" i="6"/>
  <c r="AO214" i="6" s="1"/>
  <c r="AO216" i="6" s="1"/>
  <c r="AO221" i="6" s="1"/>
  <c r="AO227" i="6" s="1"/>
  <c r="AO96" i="115"/>
  <c r="AO139" i="115"/>
  <c r="AO55" i="115"/>
  <c r="AO67" i="115"/>
  <c r="AO65" i="115" s="1"/>
  <c r="AO80" i="115" s="1"/>
  <c r="K21" i="98"/>
  <c r="G22" i="98"/>
  <c r="N13" i="104"/>
  <c r="AQ109" i="115"/>
  <c r="AD7" i="88"/>
  <c r="O9" i="104"/>
  <c r="O21" i="104"/>
  <c r="AE154" i="88"/>
  <c r="AR162" i="115"/>
  <c r="AR169" i="115"/>
  <c r="AR109" i="115"/>
  <c r="P16" i="104"/>
  <c r="AR128" i="18"/>
  <c r="AR135" i="18" s="1"/>
  <c r="AR138" i="18"/>
  <c r="AR207" i="18"/>
  <c r="AR214" i="18" s="1"/>
  <c r="AR231" i="18"/>
  <c r="AR238" i="18" s="1"/>
  <c r="AS174" i="115"/>
  <c r="AS145" i="115"/>
  <c r="Q18" i="104"/>
  <c r="R21" i="104"/>
  <c r="R9" i="104"/>
  <c r="R88" i="104"/>
  <c r="R108" i="104" s="1"/>
  <c r="AG48" i="88"/>
  <c r="AJ167" i="115"/>
  <c r="AJ29" i="115"/>
  <c r="AJ63" i="115"/>
  <c r="AH177" i="115"/>
  <c r="AL29" i="115"/>
  <c r="AM184" i="115"/>
  <c r="AM17" i="115"/>
  <c r="AM79" i="74"/>
  <c r="O65" i="75" s="1"/>
  <c r="AM55" i="115"/>
  <c r="AM22" i="115"/>
  <c r="AM175" i="115"/>
  <c r="AM177" i="115"/>
  <c r="AM178" i="115"/>
  <c r="AN69" i="74"/>
  <c r="P55" i="75" s="1"/>
  <c r="AN124" i="47"/>
  <c r="AB8" i="88"/>
  <c r="AB11" i="88"/>
  <c r="AN142" i="115"/>
  <c r="AN93" i="115"/>
  <c r="AN162" i="115"/>
  <c r="AN59" i="115"/>
  <c r="AN60" i="115"/>
  <c r="AN26" i="115"/>
  <c r="AN16" i="116" s="1"/>
  <c r="AO134" i="115"/>
  <c r="AO63" i="115"/>
  <c r="AO94" i="115"/>
  <c r="AL109" i="115"/>
  <c r="C21" i="98"/>
  <c r="AQ42" i="103"/>
  <c r="AL60" i="102"/>
  <c r="AM55" i="102"/>
  <c r="AQ26" i="103"/>
  <c r="N14" i="104"/>
  <c r="AD8" i="88"/>
  <c r="O10" i="104"/>
  <c r="O22" i="104"/>
  <c r="AQ196" i="18"/>
  <c r="AR18" i="115"/>
  <c r="AR181" i="115"/>
  <c r="AR105" i="115"/>
  <c r="AR103" i="115" s="1"/>
  <c r="AR118" i="115" s="1"/>
  <c r="P15" i="104"/>
  <c r="AR58" i="18"/>
  <c r="AR193" i="18"/>
  <c r="AS18" i="115"/>
  <c r="R20" i="104"/>
  <c r="AS71" i="115"/>
  <c r="O61" i="104"/>
  <c r="AN70" i="115"/>
  <c r="AB154" i="88"/>
  <c r="Y9" i="88"/>
  <c r="AN66" i="115"/>
  <c r="AN65" i="115" s="1"/>
  <c r="AN80" i="115" s="1"/>
  <c r="AN131" i="115"/>
  <c r="AN18" i="115"/>
  <c r="AN178" i="115"/>
  <c r="AO173" i="115"/>
  <c r="AO13" i="116"/>
  <c r="AO69" i="47"/>
  <c r="AO132" i="115"/>
  <c r="AO9" i="115"/>
  <c r="AO142" i="115"/>
  <c r="AO111" i="47"/>
  <c r="D21" i="98"/>
  <c r="AN19" i="103"/>
  <c r="AL22" i="103"/>
  <c r="AQ23" i="103"/>
  <c r="AL25" i="103"/>
  <c r="AL29" i="103"/>
  <c r="AL32" i="103"/>
  <c r="AQ33" i="103"/>
  <c r="AQ36" i="103"/>
  <c r="N15" i="104"/>
  <c r="AD9" i="88"/>
  <c r="O11" i="104"/>
  <c r="Q24" i="97"/>
  <c r="AR180" i="115"/>
  <c r="P26" i="104"/>
  <c r="P14" i="104"/>
  <c r="AR143" i="115"/>
  <c r="AF136" i="88"/>
  <c r="AF154" i="88"/>
  <c r="Q16" i="104"/>
  <c r="Q8" i="104"/>
  <c r="R19" i="104"/>
  <c r="N61" i="104"/>
  <c r="D29" i="75"/>
  <c r="D15" i="75" s="1"/>
  <c r="H55" i="75"/>
  <c r="AH24" i="74"/>
  <c r="AH14" i="115"/>
  <c r="AH76" i="74"/>
  <c r="AH52" i="115"/>
  <c r="AH168" i="115"/>
  <c r="AH123" i="115"/>
  <c r="AH25" i="115"/>
  <c r="AH127" i="115"/>
  <c r="AQ9" i="115"/>
  <c r="AQ97" i="115"/>
  <c r="AQ178" i="115"/>
  <c r="AR69" i="74"/>
  <c r="AR64" i="115"/>
  <c r="AQ66" i="20"/>
  <c r="AQ34" i="20" s="1"/>
  <c r="AR176" i="115"/>
  <c r="AR178" i="115"/>
  <c r="AR187" i="18"/>
  <c r="AS26" i="115"/>
  <c r="AS66" i="115"/>
  <c r="AS86" i="115"/>
  <c r="AS32" i="115"/>
  <c r="AT69" i="115"/>
  <c r="AT140" i="115"/>
  <c r="AG66" i="20"/>
  <c r="AG34" i="20" s="1"/>
  <c r="AH176" i="115"/>
  <c r="AI124" i="115"/>
  <c r="AH128" i="115"/>
  <c r="AH85" i="115"/>
  <c r="AI138" i="115"/>
  <c r="AH89" i="115"/>
  <c r="AQ161" i="115"/>
  <c r="AQ60" i="115"/>
  <c r="AQ57" i="115" s="1"/>
  <c r="AQ78" i="115" s="1"/>
  <c r="AR140" i="115"/>
  <c r="AS137" i="115"/>
  <c r="AS68" i="74"/>
  <c r="U54" i="75" s="1"/>
  <c r="AS63" i="115"/>
  <c r="AS178" i="115"/>
  <c r="AS134" i="115"/>
  <c r="AS142" i="115"/>
  <c r="AS184" i="115"/>
  <c r="AS108" i="115"/>
  <c r="AT173" i="115"/>
  <c r="AT175" i="115"/>
  <c r="AT166" i="115"/>
  <c r="AH48" i="115"/>
  <c r="AQ24" i="115"/>
  <c r="AQ14" i="116" s="1"/>
  <c r="AQ140" i="115"/>
  <c r="AS102" i="115"/>
  <c r="AS96" i="115"/>
  <c r="AS48" i="115"/>
  <c r="AS52" i="115"/>
  <c r="AT183" i="115"/>
  <c r="AT107" i="115"/>
  <c r="AS128" i="115"/>
  <c r="AT48" i="115"/>
  <c r="AT55" i="115"/>
  <c r="AT170" i="115"/>
  <c r="AI162" i="115"/>
  <c r="AQ86" i="115"/>
  <c r="AQ85" i="115"/>
  <c r="AQ99" i="115"/>
  <c r="AR69" i="115"/>
  <c r="AS173" i="115"/>
  <c r="AH93" i="115"/>
  <c r="AH135" i="115"/>
  <c r="AH178" i="115"/>
  <c r="AH143" i="115"/>
  <c r="AH141" i="115" s="1"/>
  <c r="AH156" i="115" s="1"/>
  <c r="AH124" i="115"/>
  <c r="AH162" i="115"/>
  <c r="AQ166" i="115"/>
  <c r="AQ123" i="115"/>
  <c r="AQ21" i="115"/>
  <c r="AQ174" i="115"/>
  <c r="AQ137" i="115"/>
  <c r="AQ66" i="115"/>
  <c r="AR66" i="20"/>
  <c r="AR34" i="20" s="1"/>
  <c r="AS176" i="115"/>
  <c r="AS21" i="115"/>
  <c r="AS31" i="115"/>
  <c r="AT52" i="115"/>
  <c r="AT131" i="115"/>
  <c r="AT94" i="115"/>
  <c r="AT180" i="115"/>
  <c r="AT67" i="115"/>
  <c r="AH131" i="115"/>
  <c r="AH97" i="115"/>
  <c r="AI64" i="115"/>
  <c r="AQ72" i="74"/>
  <c r="S58" i="75" s="1"/>
  <c r="AQ48" i="115"/>
  <c r="AQ29" i="74"/>
  <c r="AQ47" i="115"/>
  <c r="AQ105" i="115"/>
  <c r="AQ103" i="115" s="1"/>
  <c r="AQ118" i="115" s="1"/>
  <c r="AQ181" i="115"/>
  <c r="AQ142" i="115"/>
  <c r="AQ25" i="115"/>
  <c r="AQ233" i="6"/>
  <c r="AR183" i="115"/>
  <c r="AR107" i="115"/>
  <c r="AS56" i="115"/>
  <c r="AT21" i="115"/>
  <c r="AT138" i="115"/>
  <c r="AT128" i="115"/>
  <c r="AT93" i="115"/>
  <c r="AH59" i="115"/>
  <c r="AH185" i="115"/>
  <c r="AH182" i="115" s="1"/>
  <c r="AH193" i="115" s="1"/>
  <c r="AH109" i="115"/>
  <c r="AH106" i="115" s="1"/>
  <c r="AH117" i="115" s="1"/>
  <c r="AH17" i="116" s="1"/>
  <c r="AH169" i="115"/>
  <c r="AH173" i="115"/>
  <c r="AH86" i="115"/>
  <c r="AQ128" i="115"/>
  <c r="AQ17" i="115"/>
  <c r="AQ96" i="115"/>
  <c r="AQ176" i="115"/>
  <c r="AQ143" i="115"/>
  <c r="AQ177" i="115"/>
  <c r="AS29" i="115"/>
  <c r="AS132" i="115"/>
  <c r="AS9" i="115"/>
  <c r="AS47" i="115"/>
  <c r="AT99" i="115"/>
  <c r="AT56" i="115"/>
  <c r="AT181" i="115"/>
  <c r="AT105" i="115"/>
  <c r="AT103" i="115" s="1"/>
  <c r="AT118" i="115" s="1"/>
  <c r="AH174" i="115"/>
  <c r="AH181" i="115"/>
  <c r="AH105" i="115"/>
  <c r="AH103" i="115" s="1"/>
  <c r="AH118" i="115" s="1"/>
  <c r="AH129" i="115"/>
  <c r="AH18" i="115"/>
  <c r="AH56" i="115"/>
  <c r="AH26" i="115"/>
  <c r="AH83" i="74"/>
  <c r="AH66" i="115"/>
  <c r="AH65" i="115" s="1"/>
  <c r="AH80" i="115" s="1"/>
  <c r="AI102" i="115"/>
  <c r="AI75" i="74"/>
  <c r="K61" i="75" s="1"/>
  <c r="AI51" i="115"/>
  <c r="AH175" i="115"/>
  <c r="AQ169" i="115"/>
  <c r="AQ67" i="115"/>
  <c r="AQ183" i="115"/>
  <c r="AQ107" i="115"/>
  <c r="AQ101" i="115"/>
  <c r="AR177" i="115"/>
  <c r="AS162" i="115"/>
  <c r="AS94" i="115"/>
  <c r="AS69" i="115"/>
  <c r="AT71" i="115"/>
  <c r="AT134" i="115"/>
  <c r="AS187" i="18"/>
  <c r="AT26" i="115"/>
  <c r="AT169" i="115"/>
  <c r="AT132" i="115"/>
  <c r="AT161" i="115"/>
  <c r="AT66" i="115"/>
  <c r="AH132" i="115"/>
  <c r="AI127" i="115"/>
  <c r="AR26" i="115"/>
  <c r="AR31" i="115"/>
  <c r="AR30" i="115" s="1"/>
  <c r="AR41" i="115" s="1"/>
  <c r="AS100" i="115"/>
  <c r="AR104" i="20"/>
  <c r="AS25" i="115"/>
  <c r="AS97" i="115"/>
  <c r="AS170" i="115"/>
  <c r="AS85" i="115"/>
  <c r="AS183" i="115"/>
  <c r="AS107" i="115"/>
  <c r="AT32" i="115"/>
  <c r="Q57" i="48"/>
  <c r="AT20" i="115"/>
  <c r="AT135" i="115"/>
  <c r="AT96" i="115"/>
  <c r="AT61" i="115"/>
  <c r="AT63" i="115"/>
  <c r="AT102" i="115"/>
  <c r="AT178" i="115"/>
  <c r="AH94" i="115"/>
  <c r="AI20" i="115"/>
  <c r="AG124" i="115"/>
  <c r="AG90" i="20"/>
  <c r="AH13" i="115"/>
  <c r="AQ180" i="115"/>
  <c r="AR102" i="115"/>
  <c r="AS177" i="115"/>
  <c r="AS67" i="115"/>
  <c r="AT31" i="115"/>
  <c r="AT184" i="115"/>
  <c r="AT139" i="115"/>
  <c r="AT29" i="74"/>
  <c r="AT47" i="115"/>
  <c r="AH92" i="115"/>
  <c r="AH170" i="115"/>
  <c r="AQ131" i="115"/>
  <c r="AQ18" i="115"/>
  <c r="AQ173" i="115"/>
  <c r="AR70" i="115"/>
  <c r="AS99" i="115"/>
  <c r="AS138" i="115"/>
  <c r="AS101" i="115"/>
  <c r="AS180" i="115"/>
  <c r="AS143" i="115"/>
  <c r="AS55" i="115"/>
  <c r="AS66" i="20"/>
  <c r="AT176" i="115"/>
  <c r="AT162" i="115"/>
  <c r="AT123" i="115"/>
  <c r="AH102" i="115"/>
  <c r="AG91" i="20"/>
  <c r="AH165" i="115"/>
  <c r="AH126" i="115"/>
  <c r="AH9" i="115"/>
  <c r="AH47" i="115"/>
  <c r="AH134" i="115"/>
  <c r="AH172" i="115" s="1"/>
  <c r="AI165" i="115"/>
  <c r="AQ162" i="115"/>
  <c r="AQ55" i="115"/>
  <c r="AQ170" i="115"/>
  <c r="AQ98" i="115"/>
  <c r="AQ175" i="115"/>
  <c r="AR139" i="115"/>
  <c r="AS105" i="115"/>
  <c r="AS103" i="115" s="1"/>
  <c r="AS118" i="115" s="1"/>
  <c r="AS181" i="115"/>
  <c r="AS166" i="115"/>
  <c r="AS131" i="115"/>
  <c r="AT64" i="115"/>
  <c r="AT85" i="115"/>
  <c r="AT49" i="47"/>
  <c r="AT114" i="47"/>
  <c r="F11" i="99"/>
  <c r="F13" i="99" s="1"/>
  <c r="F16" i="99" s="1"/>
  <c r="F18" i="99" s="1"/>
  <c r="F19" i="99" s="1"/>
  <c r="F21" i="99" s="1"/>
  <c r="J11" i="99"/>
  <c r="J13" i="99" s="1"/>
  <c r="Q14" i="99"/>
  <c r="Q15" i="99"/>
  <c r="L8" i="98"/>
  <c r="G10" i="98"/>
  <c r="I11" i="98"/>
  <c r="I13" i="98" s="1"/>
  <c r="I16" i="98" s="1"/>
  <c r="I18" i="98" s="1"/>
  <c r="G14" i="98"/>
  <c r="L17" i="98"/>
  <c r="G9" i="98"/>
  <c r="L10" i="98"/>
  <c r="L22" i="98"/>
  <c r="Q22" i="98"/>
  <c r="N11" i="98"/>
  <c r="N13" i="98" s="1"/>
  <c r="N16" i="98" s="1"/>
  <c r="N18" i="98" s="1"/>
  <c r="N19" i="98" s="1"/>
  <c r="Q33" i="97"/>
  <c r="F11" i="97"/>
  <c r="F13" i="97" s="1"/>
  <c r="F16" i="97" s="1"/>
  <c r="F18" i="97" s="1"/>
  <c r="F20" i="97" s="1"/>
  <c r="F21" i="97" s="1"/>
  <c r="F23" i="97" s="1"/>
  <c r="I34" i="97"/>
  <c r="I36" i="97" s="1"/>
  <c r="I39" i="97" s="1"/>
  <c r="I41" i="97" s="1"/>
  <c r="I42" i="97" s="1"/>
  <c r="I44" i="97" s="1"/>
  <c r="D34" i="97"/>
  <c r="D36" i="97" s="1"/>
  <c r="D39" i="97" s="1"/>
  <c r="D41" i="97" s="1"/>
  <c r="D42" i="97" s="1"/>
  <c r="D44" i="97" s="1"/>
  <c r="H11" i="97"/>
  <c r="H13" i="97" s="1"/>
  <c r="H16" i="97" s="1"/>
  <c r="D11" i="97"/>
  <c r="D13" i="97" s="1"/>
  <c r="D16" i="97" s="1"/>
  <c r="D18" i="97" s="1"/>
  <c r="D20" i="97" s="1"/>
  <c r="D21" i="97" s="1"/>
  <c r="D23" i="97" s="1"/>
  <c r="L43" i="97"/>
  <c r="C34" i="97"/>
  <c r="C36" i="97" s="1"/>
  <c r="C39" i="97" s="1"/>
  <c r="C41" i="97" s="1"/>
  <c r="L31" i="97"/>
  <c r="L40" i="97"/>
  <c r="O11" i="97"/>
  <c r="O13" i="97" s="1"/>
  <c r="O16" i="97" s="1"/>
  <c r="Q22" i="97"/>
  <c r="O34" i="97"/>
  <c r="O36" i="97" s="1"/>
  <c r="L19" i="97"/>
  <c r="L35" i="97"/>
  <c r="G38" i="97"/>
  <c r="Q37" i="97"/>
  <c r="C11" i="97"/>
  <c r="C13" i="97" s="1"/>
  <c r="Q17" i="97"/>
  <c r="G15" i="97"/>
  <c r="G22" i="97"/>
  <c r="K11" i="97"/>
  <c r="K13" i="97" s="1"/>
  <c r="K16" i="97" s="1"/>
  <c r="M11" i="97"/>
  <c r="M13" i="97" s="1"/>
  <c r="Q8" i="97"/>
  <c r="Q10" i="97"/>
  <c r="G8" i="97"/>
  <c r="G12" i="97"/>
  <c r="L14" i="97"/>
  <c r="G17" i="97"/>
  <c r="E34" i="97"/>
  <c r="E36" i="97" s="1"/>
  <c r="E39" i="97" s="1"/>
  <c r="E41" i="97" s="1"/>
  <c r="E42" i="97" s="1"/>
  <c r="E44" i="97" s="1"/>
  <c r="J34" i="97"/>
  <c r="J36" i="97" s="1"/>
  <c r="J39" i="97" s="1"/>
  <c r="J41" i="97" s="1"/>
  <c r="J42" i="97" s="1"/>
  <c r="J44" i="97" s="1"/>
  <c r="F34" i="97"/>
  <c r="F36" i="97" s="1"/>
  <c r="F39" i="97" s="1"/>
  <c r="F41" i="97" s="1"/>
  <c r="F42" i="97" s="1"/>
  <c r="F44" i="97" s="1"/>
  <c r="K34" i="97"/>
  <c r="K36" i="97" s="1"/>
  <c r="K39" i="97" s="1"/>
  <c r="AQ25" i="114"/>
  <c r="AQ24" i="114"/>
  <c r="AT24" i="114" s="1"/>
  <c r="AR59" i="74"/>
  <c r="AZ9" i="74"/>
  <c r="AU54" i="19"/>
  <c r="L12" i="98"/>
  <c r="L19" i="98"/>
  <c r="Q14" i="98"/>
  <c r="Q17" i="98"/>
  <c r="I21" i="98"/>
  <c r="Q15" i="98"/>
  <c r="Q8" i="98"/>
  <c r="G15" i="98"/>
  <c r="Q9" i="98"/>
  <c r="G20" i="98"/>
  <c r="E11" i="98"/>
  <c r="E13" i="98" s="1"/>
  <c r="E16" i="98" s="1"/>
  <c r="E18" i="98" s="1"/>
  <c r="J11" i="98"/>
  <c r="J13" i="98" s="1"/>
  <c r="J16" i="98" s="1"/>
  <c r="J18" i="98" s="1"/>
  <c r="D11" i="98"/>
  <c r="D13" i="98" s="1"/>
  <c r="D16" i="98" s="1"/>
  <c r="D18" i="98" s="1"/>
  <c r="H11" i="98"/>
  <c r="H13" i="98" s="1"/>
  <c r="G19" i="98"/>
  <c r="L20" i="98"/>
  <c r="F11" i="98"/>
  <c r="F13" i="98" s="1"/>
  <c r="F16" i="98" s="1"/>
  <c r="F18" i="98" s="1"/>
  <c r="L14" i="98"/>
  <c r="Q12" i="98"/>
  <c r="AG27" i="20"/>
  <c r="AT12" i="74"/>
  <c r="AT11" i="74" s="1"/>
  <c r="AS7" i="20"/>
  <c r="AP59" i="20"/>
  <c r="AP27" i="20" s="1"/>
  <c r="M118" i="88"/>
  <c r="AG67" i="88"/>
  <c r="AE11" i="88"/>
  <c r="G118" i="88"/>
  <c r="AG145" i="88"/>
  <c r="L118" i="88"/>
  <c r="I118" i="88"/>
  <c r="F118" i="88"/>
  <c r="C118" i="88"/>
  <c r="AG136" i="88"/>
  <c r="AG44" i="88"/>
  <c r="K118" i="88"/>
  <c r="J118" i="88"/>
  <c r="AG69" i="88"/>
  <c r="AG45" i="88"/>
  <c r="AE145" i="88"/>
  <c r="AF145" i="88"/>
  <c r="AG70" i="88"/>
  <c r="H118" i="88"/>
  <c r="AG71" i="88"/>
  <c r="E118" i="88"/>
  <c r="AG57" i="88"/>
  <c r="AF57" i="88"/>
  <c r="D118" i="88"/>
  <c r="Z126" i="108"/>
  <c r="Z154" i="108"/>
  <c r="Z144" i="108"/>
  <c r="Y107" i="108"/>
  <c r="V28" i="108"/>
  <c r="W28" i="108"/>
  <c r="X38" i="108"/>
  <c r="Y77" i="108"/>
  <c r="Y87" i="108" s="1"/>
  <c r="V38" i="108"/>
  <c r="Y113" i="108"/>
  <c r="Z8" i="108"/>
  <c r="Y140" i="108"/>
  <c r="Z123" i="108"/>
  <c r="Z151" i="108"/>
  <c r="Y92" i="108"/>
  <c r="Z38" i="108"/>
  <c r="Z18" i="108"/>
  <c r="Z28" i="108"/>
  <c r="Z107" i="108"/>
  <c r="O92" i="108"/>
  <c r="V8" i="108"/>
  <c r="V18" i="108"/>
  <c r="W8" i="108"/>
  <c r="X8" i="108"/>
  <c r="W18" i="108"/>
  <c r="X18" i="108"/>
  <c r="Y18" i="108"/>
  <c r="X28" i="108"/>
  <c r="Y28" i="108"/>
  <c r="W38" i="108"/>
  <c r="Y38" i="108"/>
  <c r="P102" i="108"/>
  <c r="Z92" i="108"/>
  <c r="Z102" i="108"/>
  <c r="Z48" i="108"/>
  <c r="Z147" i="108"/>
  <c r="K8" i="45"/>
  <c r="X42" i="45"/>
  <c r="X27" i="45" s="1"/>
  <c r="Y39" i="45"/>
  <c r="R17" i="45"/>
  <c r="L27" i="45"/>
  <c r="AF10" i="20"/>
  <c r="AF16" i="20" s="1"/>
  <c r="AF35" i="20"/>
  <c r="AJ113" i="20"/>
  <c r="AJ61" i="20"/>
  <c r="AG46" i="20"/>
  <c r="AP111" i="20"/>
  <c r="AP83" i="20" s="1"/>
  <c r="AH29" i="20"/>
  <c r="AO11" i="20"/>
  <c r="AI28" i="20"/>
  <c r="AF32" i="20"/>
  <c r="AH31" i="20"/>
  <c r="F39" i="48"/>
  <c r="AG28" i="20"/>
  <c r="AR6" i="20"/>
  <c r="AJ12" i="20"/>
  <c r="AF79" i="20"/>
  <c r="N43" i="48"/>
  <c r="AJ108" i="20"/>
  <c r="AJ112" i="20"/>
  <c r="AI32" i="20"/>
  <c r="AG80" i="20"/>
  <c r="AJ107" i="20"/>
  <c r="AR84" i="20"/>
  <c r="AI29" i="20"/>
  <c r="AI111" i="20"/>
  <c r="AI83" i="20" s="1"/>
  <c r="AJ47" i="20"/>
  <c r="AN27" i="20"/>
  <c r="AN38" i="20" s="1"/>
  <c r="AT20" i="20"/>
  <c r="AJ48" i="20"/>
  <c r="AJ60" i="20"/>
  <c r="AJ44" i="20"/>
  <c r="AJ103" i="20"/>
  <c r="AJ97" i="20"/>
  <c r="AG36" i="20"/>
  <c r="AJ95" i="20"/>
  <c r="AT9" i="20"/>
  <c r="AT107" i="20"/>
  <c r="AT11" i="20"/>
  <c r="AT108" i="20"/>
  <c r="O37" i="48"/>
  <c r="O38" i="48" s="1"/>
  <c r="AH28" i="20"/>
  <c r="AI49" i="20"/>
  <c r="AI55" i="20" s="1"/>
  <c r="AT109" i="20"/>
  <c r="AO21" i="20"/>
  <c r="AJ14" i="20"/>
  <c r="AH49" i="20"/>
  <c r="AH55" i="20" s="1"/>
  <c r="AH54" i="20"/>
  <c r="AJ43" i="20"/>
  <c r="AO60" i="20"/>
  <c r="AO13" i="20"/>
  <c r="AI46" i="20"/>
  <c r="AT60" i="20"/>
  <c r="AH27" i="20"/>
  <c r="AJ50" i="20"/>
  <c r="AN28" i="20"/>
  <c r="AO14" i="20"/>
  <c r="AF46" i="20"/>
  <c r="AJ13" i="20"/>
  <c r="AH46" i="20"/>
  <c r="AJ17" i="20"/>
  <c r="AT8" i="20"/>
  <c r="L26" i="48"/>
  <c r="L28" i="48" s="1"/>
  <c r="M9" i="48"/>
  <c r="M61" i="48" s="1"/>
  <c r="M16" i="48"/>
  <c r="M18" i="48" s="1"/>
  <c r="M7" i="48"/>
  <c r="M56" i="48" s="1"/>
  <c r="F28" i="48"/>
  <c r="F16" i="48"/>
  <c r="F8" i="48" s="1"/>
  <c r="H9" i="48"/>
  <c r="H61" i="48" s="1"/>
  <c r="J7" i="48"/>
  <c r="J56" i="48" s="1"/>
  <c r="I9" i="48"/>
  <c r="I61" i="48" s="1"/>
  <c r="L9" i="48"/>
  <c r="L61" i="48" s="1"/>
  <c r="K9" i="48"/>
  <c r="K61" i="48" s="1"/>
  <c r="K16" i="48"/>
  <c r="K18" i="48" s="1"/>
  <c r="H16" i="48"/>
  <c r="H18" i="48" s="1"/>
  <c r="J9" i="48"/>
  <c r="J61" i="48" s="1"/>
  <c r="G9" i="48"/>
  <c r="G61" i="48" s="1"/>
  <c r="F9" i="48"/>
  <c r="F61" i="48" s="1"/>
  <c r="I26" i="48"/>
  <c r="I28" i="48" s="1"/>
  <c r="M26" i="48"/>
  <c r="M28" i="48" s="1"/>
  <c r="Q41" i="48"/>
  <c r="J26" i="48"/>
  <c r="J28" i="48" s="1"/>
  <c r="AK22" i="18"/>
  <c r="AP164" i="18"/>
  <c r="AP169" i="18" s="1"/>
  <c r="AL56" i="18"/>
  <c r="AL63" i="18" s="1"/>
  <c r="AL104" i="18"/>
  <c r="AL109" i="18" s="1"/>
  <c r="AL128" i="18"/>
  <c r="AL135" i="18" s="1"/>
  <c r="AK55" i="18"/>
  <c r="AL44" i="18"/>
  <c r="AL51" i="18" s="1"/>
  <c r="AL68" i="18"/>
  <c r="AL74" i="18" s="1"/>
  <c r="AL92" i="18"/>
  <c r="AL98" i="18" s="1"/>
  <c r="AL116" i="18"/>
  <c r="AL121" i="18" s="1"/>
  <c r="AL140" i="18"/>
  <c r="AL146" i="18" s="1"/>
  <c r="AL164" i="18"/>
  <c r="AL170" i="18" s="1"/>
  <c r="AL189" i="18"/>
  <c r="AN104" i="18"/>
  <c r="AN111" i="18" s="1"/>
  <c r="AN128" i="18"/>
  <c r="AN135" i="18" s="1"/>
  <c r="J214" i="18"/>
  <c r="AK54" i="18"/>
  <c r="AN55" i="18"/>
  <c r="AG59" i="18"/>
  <c r="G49" i="18"/>
  <c r="AK219" i="18"/>
  <c r="AK224" i="18" s="1"/>
  <c r="AG152" i="18"/>
  <c r="AG157" i="18" s="1"/>
  <c r="H15" i="18"/>
  <c r="AN19" i="18"/>
  <c r="AN57" i="18"/>
  <c r="AT150" i="18"/>
  <c r="AT174" i="18"/>
  <c r="AP128" i="18"/>
  <c r="AP135" i="18" s="1"/>
  <c r="AN21" i="18"/>
  <c r="AT116" i="18"/>
  <c r="AF44" i="18"/>
  <c r="AF50" i="18" s="1"/>
  <c r="AI219" i="18"/>
  <c r="AI226" i="18" s="1"/>
  <c r="AL23" i="18"/>
  <c r="AL11" i="18" s="1"/>
  <c r="O97" i="18"/>
  <c r="J62" i="18"/>
  <c r="AP18" i="18"/>
  <c r="AP94" i="18"/>
  <c r="L97" i="18"/>
  <c r="O27" i="18"/>
  <c r="J14" i="18"/>
  <c r="G62" i="18"/>
  <c r="AG68" i="18"/>
  <c r="AG75" i="18" s="1"/>
  <c r="AI152" i="18"/>
  <c r="AI159" i="18" s="1"/>
  <c r="AI176" i="18"/>
  <c r="AI183" i="18" s="1"/>
  <c r="AO43" i="18"/>
  <c r="AO180" i="18"/>
  <c r="AM44" i="18"/>
  <c r="AM50" i="18" s="1"/>
  <c r="AN44" i="18"/>
  <c r="AN49" i="18" s="1"/>
  <c r="AT230" i="18"/>
  <c r="O147" i="18"/>
  <c r="M13" i="18"/>
  <c r="O86" i="18"/>
  <c r="O145" i="18"/>
  <c r="H213" i="18"/>
  <c r="K196" i="18"/>
  <c r="K195" i="18"/>
  <c r="P196" i="18"/>
  <c r="G212" i="18"/>
  <c r="AG55" i="18"/>
  <c r="AH55" i="18"/>
  <c r="AM23" i="18"/>
  <c r="AM11" i="18" s="1"/>
  <c r="I50" i="18"/>
  <c r="J213" i="18"/>
  <c r="AF197" i="18"/>
  <c r="AI93" i="18"/>
  <c r="AM22" i="18"/>
  <c r="AM10" i="18" s="1"/>
  <c r="N14" i="18"/>
  <c r="AJ230" i="18"/>
  <c r="AJ107" i="18"/>
  <c r="AH139" i="18"/>
  <c r="AH193" i="18"/>
  <c r="AI96" i="18"/>
  <c r="AL231" i="18"/>
  <c r="AL238" i="18" s="1"/>
  <c r="AP139" i="18"/>
  <c r="AQ21" i="18"/>
  <c r="AQ57" i="18"/>
  <c r="AF18" i="18"/>
  <c r="AG21" i="18"/>
  <c r="AG128" i="18"/>
  <c r="AG134" i="18" s="1"/>
  <c r="AH57" i="18"/>
  <c r="AG139" i="18"/>
  <c r="AI141" i="18"/>
  <c r="AP58" i="18"/>
  <c r="AQ58" i="18"/>
  <c r="AQ91" i="18"/>
  <c r="AQ139" i="18"/>
  <c r="AQ193" i="18"/>
  <c r="O15" i="18"/>
  <c r="J61" i="18"/>
  <c r="AF55" i="18"/>
  <c r="AJ206" i="18"/>
  <c r="AG58" i="18"/>
  <c r="AH58" i="18"/>
  <c r="AI193" i="18"/>
  <c r="AM56" i="18"/>
  <c r="AM62" i="18" s="1"/>
  <c r="AM80" i="18"/>
  <c r="AM86" i="18" s="1"/>
  <c r="AM104" i="18"/>
  <c r="AM111" i="18" s="1"/>
  <c r="AM128" i="18"/>
  <c r="AM135" i="18" s="1"/>
  <c r="AM152" i="18"/>
  <c r="AM157" i="18" s="1"/>
  <c r="AM176" i="18"/>
  <c r="AM183" i="18" s="1"/>
  <c r="M226" i="18"/>
  <c r="I14" i="18"/>
  <c r="O51" i="18"/>
  <c r="P140" i="18"/>
  <c r="P145" i="18" s="1"/>
  <c r="AF57" i="18"/>
  <c r="AJ117" i="18"/>
  <c r="AJ167" i="18"/>
  <c r="AJ177" i="18"/>
  <c r="AO210" i="18"/>
  <c r="AO206" i="18"/>
  <c r="AP144" i="18"/>
  <c r="AH170" i="18"/>
  <c r="AF95" i="18"/>
  <c r="G26" i="18"/>
  <c r="AJ150" i="18"/>
  <c r="AO178" i="18"/>
  <c r="AK194" i="18"/>
  <c r="AK201" i="18" s="1"/>
  <c r="AK80" i="18"/>
  <c r="AK85" i="18" s="1"/>
  <c r="AM207" i="18"/>
  <c r="AM214" i="18" s="1"/>
  <c r="AM231" i="18"/>
  <c r="AM237" i="18" s="1"/>
  <c r="AT156" i="18"/>
  <c r="AJ154" i="18"/>
  <c r="J51" i="18"/>
  <c r="H86" i="18"/>
  <c r="AH60" i="18"/>
  <c r="AH91" i="18"/>
  <c r="AM19" i="18"/>
  <c r="G25" i="18"/>
  <c r="J50" i="18"/>
  <c r="G226" i="18"/>
  <c r="AM21" i="18"/>
  <c r="AM9" i="18" s="1"/>
  <c r="AT31" i="18"/>
  <c r="AT126" i="18"/>
  <c r="AT235" i="18"/>
  <c r="AQ24" i="18"/>
  <c r="AT118" i="18"/>
  <c r="AQ195" i="18"/>
  <c r="AO209" i="18"/>
  <c r="AP152" i="18"/>
  <c r="M63" i="18"/>
  <c r="AH44" i="18"/>
  <c r="AH50" i="18" s="1"/>
  <c r="AO233" i="18"/>
  <c r="J194" i="18"/>
  <c r="J201" i="18" s="1"/>
  <c r="AG176" i="18"/>
  <c r="AG181" i="18" s="1"/>
  <c r="AT48" i="18"/>
  <c r="AQ93" i="18"/>
  <c r="AQ95" i="18"/>
  <c r="AT130" i="18"/>
  <c r="AT47" i="18"/>
  <c r="J85" i="18"/>
  <c r="O236" i="18"/>
  <c r="L194" i="18"/>
  <c r="L201" i="18" s="1"/>
  <c r="AL152" i="18"/>
  <c r="AL158" i="18" s="1"/>
  <c r="AQ23" i="18"/>
  <c r="AQ59" i="18"/>
  <c r="AQ142" i="18"/>
  <c r="AR139" i="18"/>
  <c r="AH19" i="18"/>
  <c r="M61" i="18"/>
  <c r="AQ96" i="18"/>
  <c r="AT151" i="18"/>
  <c r="AR44" i="18"/>
  <c r="AS44" i="18"/>
  <c r="AS49" i="18" s="1"/>
  <c r="AH152" i="18"/>
  <c r="AH157" i="18" s="1"/>
  <c r="AH176" i="18"/>
  <c r="AH183" i="18" s="1"/>
  <c r="AT206" i="18"/>
  <c r="AT175" i="18"/>
  <c r="AQ197" i="18"/>
  <c r="AT233" i="18"/>
  <c r="AJ67" i="18"/>
  <c r="I194" i="18"/>
  <c r="I200" i="18" s="1"/>
  <c r="N194" i="18"/>
  <c r="N200" i="18" s="1"/>
  <c r="AF189" i="18"/>
  <c r="AJ42" i="18"/>
  <c r="AJ217" i="18"/>
  <c r="AH142" i="18"/>
  <c r="AF143" i="18"/>
  <c r="AH219" i="18"/>
  <c r="AH226" i="18" s="1"/>
  <c r="AI59" i="18"/>
  <c r="AO205" i="18"/>
  <c r="AT82" i="18"/>
  <c r="AT153" i="18"/>
  <c r="AT177" i="18"/>
  <c r="AR19" i="18"/>
  <c r="AS219" i="18"/>
  <c r="AS226" i="18" s="1"/>
  <c r="AJ120" i="18"/>
  <c r="AJ178" i="18"/>
  <c r="AK189" i="18"/>
  <c r="AT232" i="18"/>
  <c r="AO151" i="18"/>
  <c r="AT30" i="18"/>
  <c r="L238" i="18"/>
  <c r="J226" i="18"/>
  <c r="AO81" i="18"/>
  <c r="AO153" i="18"/>
  <c r="AN93" i="18"/>
  <c r="AN164" i="18"/>
  <c r="AN169" i="18" s="1"/>
  <c r="AP142" i="18"/>
  <c r="AT69" i="18"/>
  <c r="AT105" i="18"/>
  <c r="AT127" i="18"/>
  <c r="AH128" i="18"/>
  <c r="AH135" i="18" s="1"/>
  <c r="AI95" i="18"/>
  <c r="AI231" i="18"/>
  <c r="AI238" i="18" s="1"/>
  <c r="AO67" i="18"/>
  <c r="AL19" i="18"/>
  <c r="AL7" i="18" s="1"/>
  <c r="AO156" i="18"/>
  <c r="AM18" i="18"/>
  <c r="AM6" i="18" s="1"/>
  <c r="AM189" i="18"/>
  <c r="AN58" i="18"/>
  <c r="AN94" i="18"/>
  <c r="AT70" i="18"/>
  <c r="AT106" i="18"/>
  <c r="AT218" i="18"/>
  <c r="M236" i="18"/>
  <c r="N145" i="18"/>
  <c r="AH94" i="18"/>
  <c r="AO155" i="18"/>
  <c r="AO229" i="18"/>
  <c r="AO115" i="18"/>
  <c r="AN22" i="18"/>
  <c r="AN96" i="18"/>
  <c r="AO132" i="18"/>
  <c r="AN141" i="18"/>
  <c r="AP91" i="18"/>
  <c r="AP95" i="18"/>
  <c r="AR57" i="18"/>
  <c r="AR176" i="18"/>
  <c r="AR192" i="18"/>
  <c r="AT229" i="18"/>
  <c r="L86" i="18"/>
  <c r="AH96" i="18"/>
  <c r="AH23" i="18"/>
  <c r="AH144" i="18"/>
  <c r="AG142" i="18"/>
  <c r="AH195" i="18"/>
  <c r="AI80" i="18"/>
  <c r="AI87" i="18" s="1"/>
  <c r="AJ127" i="18"/>
  <c r="AI142" i="18"/>
  <c r="AK142" i="18"/>
  <c r="AO142" i="18" s="1"/>
  <c r="AO120" i="18"/>
  <c r="AO198" i="18"/>
  <c r="AO223" i="18"/>
  <c r="AO230" i="18"/>
  <c r="AN24" i="18"/>
  <c r="AN59" i="18"/>
  <c r="AN95" i="18"/>
  <c r="AP59" i="18"/>
  <c r="AQ90" i="18"/>
  <c r="AS24" i="18"/>
  <c r="AJ69" i="18"/>
  <c r="J87" i="18"/>
  <c r="L85" i="18"/>
  <c r="I224" i="18"/>
  <c r="AF58" i="18"/>
  <c r="AF193" i="18"/>
  <c r="AF144" i="18"/>
  <c r="AO127" i="18"/>
  <c r="AL18" i="18"/>
  <c r="AL6" i="18" s="1"/>
  <c r="AO78" i="18"/>
  <c r="AO232" i="18"/>
  <c r="AO208" i="18"/>
  <c r="AO165" i="18"/>
  <c r="AO47" i="18"/>
  <c r="AN90" i="18"/>
  <c r="AP54" i="18"/>
  <c r="AP143" i="18"/>
  <c r="AR164" i="18"/>
  <c r="AR170" i="18" s="1"/>
  <c r="AS23" i="18"/>
  <c r="P195" i="18"/>
  <c r="AF21" i="18"/>
  <c r="AJ83" i="18"/>
  <c r="AJ220" i="18"/>
  <c r="AG23" i="18"/>
  <c r="AG197" i="18"/>
  <c r="AG96" i="18"/>
  <c r="AF90" i="18"/>
  <c r="AH21" i="18"/>
  <c r="AH95" i="18"/>
  <c r="AH143" i="18"/>
  <c r="AF141" i="18"/>
  <c r="AH197" i="18"/>
  <c r="AJ151" i="18"/>
  <c r="AO31" i="18"/>
  <c r="AO175" i="18"/>
  <c r="AO168" i="18"/>
  <c r="AN54" i="18"/>
  <c r="AT115" i="18"/>
  <c r="AP138" i="18"/>
  <c r="AT223" i="18"/>
  <c r="AQ80" i="18"/>
  <c r="AQ144" i="18"/>
  <c r="AT234" i="18"/>
  <c r="AH10" i="20"/>
  <c r="AH16" i="20" s="1"/>
  <c r="N36" i="48"/>
  <c r="AI35" i="20"/>
  <c r="AT81" i="20"/>
  <c r="AF111" i="20"/>
  <c r="AL84" i="20"/>
  <c r="AJ45" i="20"/>
  <c r="AI34" i="20"/>
  <c r="AG53" i="20"/>
  <c r="AJ21" i="20"/>
  <c r="K35" i="48"/>
  <c r="K38" i="48" s="1"/>
  <c r="AQ27" i="20"/>
  <c r="AT12" i="20"/>
  <c r="AS113" i="20"/>
  <c r="AT113" i="20" s="1"/>
  <c r="AS80" i="20"/>
  <c r="AR27" i="20"/>
  <c r="AG35" i="20"/>
  <c r="AI75" i="20"/>
  <c r="AP79" i="20"/>
  <c r="AT13" i="20"/>
  <c r="AP28" i="20"/>
  <c r="N39" i="48"/>
  <c r="AS29" i="20"/>
  <c r="AR10" i="20"/>
  <c r="AR16" i="20" s="1"/>
  <c r="F42" i="48"/>
  <c r="AF65" i="20"/>
  <c r="AF71" i="20" s="1"/>
  <c r="AH32" i="20"/>
  <c r="AQ6" i="20"/>
  <c r="P35" i="48"/>
  <c r="P38" i="48" s="1"/>
  <c r="AO9" i="20"/>
  <c r="AO109" i="20"/>
  <c r="AO23" i="20"/>
  <c r="AJ8" i="20"/>
  <c r="AP80" i="20"/>
  <c r="AP6" i="20"/>
  <c r="AS164" i="18"/>
  <c r="AS169" i="18" s="1"/>
  <c r="AT162" i="18"/>
  <c r="I25" i="18"/>
  <c r="I27" i="18"/>
  <c r="O213" i="18"/>
  <c r="O212" i="18"/>
  <c r="AJ34" i="18"/>
  <c r="P198" i="18"/>
  <c r="AJ179" i="18"/>
  <c r="AK91" i="18"/>
  <c r="AO103" i="18"/>
  <c r="N63" i="18"/>
  <c r="N62" i="18"/>
  <c r="G238" i="18"/>
  <c r="G237" i="18"/>
  <c r="AH121" i="18"/>
  <c r="AO195" i="18"/>
  <c r="AO220" i="18"/>
  <c r="AO84" i="18"/>
  <c r="AN60" i="18"/>
  <c r="AJ156" i="18"/>
  <c r="H85" i="18"/>
  <c r="H25" i="18"/>
  <c r="H26" i="18"/>
  <c r="M50" i="18"/>
  <c r="M51" i="18"/>
  <c r="I147" i="18"/>
  <c r="I146" i="18"/>
  <c r="N213" i="18"/>
  <c r="N212" i="18"/>
  <c r="AG80" i="18"/>
  <c r="AG86" i="18" s="1"/>
  <c r="AJ234" i="18"/>
  <c r="AJ118" i="18"/>
  <c r="AJ132" i="18"/>
  <c r="AG144" i="18"/>
  <c r="AJ163" i="18"/>
  <c r="AJ166" i="18"/>
  <c r="AL32" i="18"/>
  <c r="AL38" i="18" s="1"/>
  <c r="AL22" i="18"/>
  <c r="AL10" i="18" s="1"/>
  <c r="AO70" i="18"/>
  <c r="AO166" i="18"/>
  <c r="AO163" i="18"/>
  <c r="AQ54" i="18"/>
  <c r="AR195" i="18"/>
  <c r="AT208" i="18"/>
  <c r="AT168" i="18"/>
  <c r="AT107" i="18"/>
  <c r="AT221" i="18"/>
  <c r="AR60" i="18"/>
  <c r="AT72" i="18"/>
  <c r="AR96" i="18"/>
  <c r="AT108" i="18"/>
  <c r="AT129" i="18"/>
  <c r="AJ33" i="18"/>
  <c r="AF59" i="18"/>
  <c r="AF104" i="18"/>
  <c r="AF111" i="18" s="1"/>
  <c r="M49" i="18"/>
  <c r="I26" i="18"/>
  <c r="AF195" i="18"/>
  <c r="AO107" i="18"/>
  <c r="AT114" i="18"/>
  <c r="AP90" i="18"/>
  <c r="AT131" i="18"/>
  <c r="AQ152" i="18"/>
  <c r="AQ138" i="18"/>
  <c r="AQ176" i="18"/>
  <c r="AQ183" i="18" s="1"/>
  <c r="AT217" i="18"/>
  <c r="AQ219" i="18"/>
  <c r="AQ226" i="18" s="1"/>
  <c r="AQ192" i="18"/>
  <c r="AT166" i="18"/>
  <c r="AR141" i="18"/>
  <c r="AT165" i="18"/>
  <c r="AJ180" i="18"/>
  <c r="H13" i="18"/>
  <c r="O63" i="18"/>
  <c r="K20" i="18"/>
  <c r="K25" i="18" s="1"/>
  <c r="AT43" i="18"/>
  <c r="AP44" i="18"/>
  <c r="AP19" i="18"/>
  <c r="AT79" i="18"/>
  <c r="AQ22" i="18"/>
  <c r="AR22" i="18"/>
  <c r="AT34" i="18"/>
  <c r="G85" i="18"/>
  <c r="G87" i="18"/>
  <c r="J25" i="18"/>
  <c r="J26" i="18"/>
  <c r="K198" i="18"/>
  <c r="AJ131" i="18"/>
  <c r="AK128" i="18"/>
  <c r="AK134" i="18" s="1"/>
  <c r="AO126" i="18"/>
  <c r="AG18" i="18"/>
  <c r="N50" i="18"/>
  <c r="AF138" i="18"/>
  <c r="J236" i="18"/>
  <c r="J238" i="18"/>
  <c r="AQ18" i="18"/>
  <c r="AT42" i="18"/>
  <c r="AQ44" i="18"/>
  <c r="AJ232" i="18"/>
  <c r="AK23" i="18"/>
  <c r="AO35" i="18"/>
  <c r="AJ165" i="18"/>
  <c r="AF164" i="18"/>
  <c r="AF170" i="18" s="1"/>
  <c r="M146" i="18"/>
  <c r="O49" i="18"/>
  <c r="AK231" i="18"/>
  <c r="AK238" i="18" s="1"/>
  <c r="AN23" i="18"/>
  <c r="AT45" i="18"/>
  <c r="AP57" i="18"/>
  <c r="AT81" i="18"/>
  <c r="AP207" i="18"/>
  <c r="AT205" i="18"/>
  <c r="AR196" i="18"/>
  <c r="AT209" i="18"/>
  <c r="G86" i="18"/>
  <c r="AG22" i="18"/>
  <c r="J237" i="18"/>
  <c r="AP219" i="18"/>
  <c r="AP22" i="18"/>
  <c r="AT46" i="18"/>
  <c r="AT117" i="18"/>
  <c r="AF128" i="18"/>
  <c r="AF135" i="18" s="1"/>
  <c r="AJ126" i="18"/>
  <c r="AL176" i="18"/>
  <c r="AL183" i="18" s="1"/>
  <c r="AO174" i="18"/>
  <c r="AJ108" i="18"/>
  <c r="P193" i="18"/>
  <c r="AF24" i="18"/>
  <c r="AJ48" i="18"/>
  <c r="AJ233" i="18"/>
  <c r="AG44" i="18"/>
  <c r="AG50" i="18" s="1"/>
  <c r="AG94" i="18"/>
  <c r="O214" i="18"/>
  <c r="P20" i="18"/>
  <c r="P25" i="18" s="1"/>
  <c r="M25" i="18"/>
  <c r="M26" i="18"/>
  <c r="AO108" i="18"/>
  <c r="AT71" i="18"/>
  <c r="AJ45" i="18"/>
  <c r="AS19" i="18"/>
  <c r="H237" i="18"/>
  <c r="H238" i="18"/>
  <c r="I236" i="18"/>
  <c r="I237" i="18"/>
  <c r="K193" i="18"/>
  <c r="AJ119" i="18"/>
  <c r="AJ209" i="18"/>
  <c r="AK21" i="18"/>
  <c r="AO33" i="18"/>
  <c r="I99" i="18"/>
  <c r="I98" i="18"/>
  <c r="H226" i="18"/>
  <c r="H225" i="18"/>
  <c r="AQ198" i="18"/>
  <c r="AT211" i="18"/>
  <c r="AT132" i="18"/>
  <c r="AG54" i="18"/>
  <c r="H146" i="18"/>
  <c r="H145" i="18"/>
  <c r="H147" i="18"/>
  <c r="L213" i="18"/>
  <c r="L212" i="18"/>
  <c r="L214" i="18"/>
  <c r="AJ43" i="18"/>
  <c r="AF192" i="18"/>
  <c r="AF219" i="18"/>
  <c r="AF225" i="18" s="1"/>
  <c r="AG57" i="18"/>
  <c r="AG195" i="18"/>
  <c r="AJ208" i="18"/>
  <c r="AI128" i="18"/>
  <c r="AI135" i="18" s="1"/>
  <c r="AO193" i="18"/>
  <c r="AO218" i="18"/>
  <c r="AH192" i="18"/>
  <c r="N85" i="18"/>
  <c r="P92" i="18"/>
  <c r="P97" i="18" s="1"/>
  <c r="AF19" i="18"/>
  <c r="AI139" i="18"/>
  <c r="AO234" i="18"/>
  <c r="AO119" i="18"/>
  <c r="AO167" i="18"/>
  <c r="AT120" i="18"/>
  <c r="AR219" i="18"/>
  <c r="AR224" i="18" s="1"/>
  <c r="AO130" i="18"/>
  <c r="P80" i="18"/>
  <c r="P87" i="18" s="1"/>
  <c r="K197" i="18"/>
  <c r="P197" i="18"/>
  <c r="AI22" i="18"/>
  <c r="AN116" i="18"/>
  <c r="AN121" i="18" s="1"/>
  <c r="AP23" i="18"/>
  <c r="AP55" i="18"/>
  <c r="AT84" i="18"/>
  <c r="L225" i="18"/>
  <c r="AG93" i="18"/>
  <c r="AF139" i="18"/>
  <c r="AJ168" i="18"/>
  <c r="AF176" i="18"/>
  <c r="AF183" i="18" s="1"/>
  <c r="AH198" i="18"/>
  <c r="AI143" i="18"/>
  <c r="AP21" i="18"/>
  <c r="AS193" i="18"/>
  <c r="AH189" i="18"/>
  <c r="AP93" i="18"/>
  <c r="AR54" i="18"/>
  <c r="AR90" i="18"/>
  <c r="AT179" i="18"/>
  <c r="AR197" i="18"/>
  <c r="AJ35" i="18"/>
  <c r="L226" i="18"/>
  <c r="L13" i="18"/>
  <c r="AG192" i="18"/>
  <c r="AT36" i="18"/>
  <c r="AT163" i="18"/>
  <c r="AT210" i="18"/>
  <c r="AS21" i="18"/>
  <c r="AS9" i="18" s="1"/>
  <c r="AS196" i="18"/>
  <c r="O194" i="18"/>
  <c r="O199" i="18" s="1"/>
  <c r="AG219" i="18"/>
  <c r="AG224" i="18" s="1"/>
  <c r="AG231" i="18"/>
  <c r="AJ78" i="18"/>
  <c r="P8" i="18"/>
  <c r="P14" i="18" s="1"/>
  <c r="H214" i="18"/>
  <c r="AJ81" i="18"/>
  <c r="AF93" i="18"/>
  <c r="AN18" i="18"/>
  <c r="AR104" i="18"/>
  <c r="AR111" i="18" s="1"/>
  <c r="AS22" i="18"/>
  <c r="AO150" i="18"/>
  <c r="AL219" i="18"/>
  <c r="AL226" i="18" s="1"/>
  <c r="AO179" i="18"/>
  <c r="AO83" i="18"/>
  <c r="AT35" i="18"/>
  <c r="AJ36" i="114"/>
  <c r="AM26" i="114"/>
  <c r="AN9" i="12"/>
  <c r="AN26" i="114"/>
  <c r="AQ26" i="114"/>
  <c r="AG11" i="114"/>
  <c r="AG26" i="114"/>
  <c r="AG21" i="114" s="1"/>
  <c r="AR11" i="114"/>
  <c r="AU29" i="19"/>
  <c r="AO19" i="114"/>
  <c r="AU57" i="19"/>
  <c r="AI26" i="114"/>
  <c r="AO9" i="114"/>
  <c r="AN17" i="114"/>
  <c r="AP13" i="114"/>
  <c r="AF17" i="114"/>
  <c r="AH26" i="114"/>
  <c r="AH21" i="114" s="1"/>
  <c r="AM17" i="114"/>
  <c r="AM9" i="12"/>
  <c r="AU77" i="19"/>
  <c r="AU84" i="19"/>
  <c r="AU81" i="19"/>
  <c r="AL17" i="114"/>
  <c r="AU35" i="19"/>
  <c r="AO20" i="114"/>
  <c r="AR26" i="114"/>
  <c r="AJ14" i="114"/>
  <c r="AH7" i="114"/>
  <c r="AO25" i="114"/>
  <c r="AQ7" i="114"/>
  <c r="AQ17" i="114"/>
  <c r="AR8" i="114"/>
  <c r="AR17" i="114"/>
  <c r="AU23" i="19"/>
  <c r="AS13" i="114"/>
  <c r="AM8" i="12"/>
  <c r="AN11" i="12"/>
  <c r="AN125" i="47" s="1"/>
  <c r="AJ13" i="114"/>
  <c r="AN13" i="114"/>
  <c r="AN7" i="114"/>
  <c r="AU24" i="19"/>
  <c r="AQ14" i="114"/>
  <c r="AU55" i="19"/>
  <c r="AF11" i="114"/>
  <c r="AI11" i="114"/>
  <c r="AK7" i="114"/>
  <c r="AO8" i="114"/>
  <c r="AM13" i="114"/>
  <c r="AM11" i="114" s="1"/>
  <c r="AM7" i="114"/>
  <c r="AI17" i="114"/>
  <c r="AL26" i="114"/>
  <c r="AI7" i="114"/>
  <c r="AK18" i="114"/>
  <c r="AJ19" i="114"/>
  <c r="AF10" i="114"/>
  <c r="AH12" i="114"/>
  <c r="AK15" i="114"/>
  <c r="AL7" i="114"/>
  <c r="AH17" i="114"/>
  <c r="AK26" i="114"/>
  <c r="AK21" i="114" s="1"/>
  <c r="AO36" i="114"/>
  <c r="AO23" i="114"/>
  <c r="AO24" i="114"/>
  <c r="AK14" i="114"/>
  <c r="AO14" i="114" s="1"/>
  <c r="AP7" i="114"/>
  <c r="AT20" i="114"/>
  <c r="AU70" i="19"/>
  <c r="AP17" i="114"/>
  <c r="AO12" i="114"/>
  <c r="AL11" i="114"/>
  <c r="AJ20" i="114"/>
  <c r="AO10" i="114"/>
  <c r="AF26" i="114"/>
  <c r="AF21" i="114" s="1"/>
  <c r="AO22" i="114"/>
  <c r="AO9" i="12"/>
  <c r="AT12" i="114"/>
  <c r="AP26" i="114"/>
  <c r="AR83" i="74"/>
  <c r="AJ84" i="74"/>
  <c r="AI10" i="9"/>
  <c r="AI28" i="115" s="1"/>
  <c r="AI84" i="74"/>
  <c r="AI57" i="74"/>
  <c r="AP15" i="9"/>
  <c r="AI31" i="74"/>
  <c r="AP42" i="9"/>
  <c r="AG32" i="74"/>
  <c r="AB108" i="74"/>
  <c r="AJ39" i="9"/>
  <c r="AJ41" i="9" s="1"/>
  <c r="AP44" i="9"/>
  <c r="AN32" i="74"/>
  <c r="E70" i="75"/>
  <c r="E44" i="75"/>
  <c r="AE56" i="74"/>
  <c r="G70" i="75"/>
  <c r="F69" i="75"/>
  <c r="AT96" i="47"/>
  <c r="AA82" i="74"/>
  <c r="H69" i="75"/>
  <c r="AJ83" i="74"/>
  <c r="AR84" i="74"/>
  <c r="AR58" i="74"/>
  <c r="AL32" i="74"/>
  <c r="AP14" i="9"/>
  <c r="AB30" i="74"/>
  <c r="AO32" i="74"/>
  <c r="AC108" i="74"/>
  <c r="AL84" i="74"/>
  <c r="AO96" i="47"/>
  <c r="AO95" i="47"/>
  <c r="AJ31" i="74"/>
  <c r="C43" i="75"/>
  <c r="AO86" i="47"/>
  <c r="AR46" i="74"/>
  <c r="AF176" i="5"/>
  <c r="AJ24" i="74"/>
  <c r="AR57" i="47"/>
  <c r="AJ49" i="47"/>
  <c r="AL10" i="5"/>
  <c r="AL47" i="47" s="1"/>
  <c r="AJ288" i="5"/>
  <c r="AJ48" i="47"/>
  <c r="AJ77" i="74"/>
  <c r="AI270" i="5"/>
  <c r="AI272" i="5" s="1"/>
  <c r="AI277" i="5" s="1"/>
  <c r="AB303" i="5"/>
  <c r="AF186" i="5"/>
  <c r="AR48" i="47"/>
  <c r="AF148" i="5"/>
  <c r="AI52" i="74"/>
  <c r="AO10" i="5"/>
  <c r="AO47" i="47" s="1"/>
  <c r="AK12" i="5"/>
  <c r="AR51" i="47"/>
  <c r="AR50" i="47"/>
  <c r="AP268" i="5"/>
  <c r="AP81" i="74" s="1"/>
  <c r="AL79" i="74"/>
  <c r="N65" i="75" s="1"/>
  <c r="AN53" i="74"/>
  <c r="AF173" i="5"/>
  <c r="AO226" i="5"/>
  <c r="AO228" i="5" s="1"/>
  <c r="AO233" i="5" s="1"/>
  <c r="AR32" i="5"/>
  <c r="AR10" i="115" s="1"/>
  <c r="AI27" i="74"/>
  <c r="AJ54" i="74"/>
  <c r="AG22" i="74"/>
  <c r="AR25" i="5"/>
  <c r="AR302" i="5" s="1"/>
  <c r="AJ50" i="74"/>
  <c r="AG79" i="74"/>
  <c r="I65" i="75" s="1"/>
  <c r="AL24" i="74"/>
  <c r="AP9" i="5"/>
  <c r="AN300" i="5"/>
  <c r="AR297" i="5"/>
  <c r="AR285" i="5"/>
  <c r="AI192" i="5"/>
  <c r="AI103" i="74" s="1"/>
  <c r="AJ79" i="74"/>
  <c r="L65" i="75" s="1"/>
  <c r="AO27" i="74"/>
  <c r="AO79" i="74"/>
  <c r="Q65" i="75" s="1"/>
  <c r="AN295" i="5"/>
  <c r="AR76" i="74"/>
  <c r="T62" i="75" s="1"/>
  <c r="AR296" i="5"/>
  <c r="AR54" i="74"/>
  <c r="AN32" i="5"/>
  <c r="AN10" i="115" s="1"/>
  <c r="AO148" i="5"/>
  <c r="AO153" i="5" s="1"/>
  <c r="AO155" i="5" s="1"/>
  <c r="AO160" i="5" s="1"/>
  <c r="AO291" i="5"/>
  <c r="AE76" i="74"/>
  <c r="AI22" i="74"/>
  <c r="AN55" i="74"/>
  <c r="AN289" i="5"/>
  <c r="AF177" i="5"/>
  <c r="AE29" i="74"/>
  <c r="AB131" i="5"/>
  <c r="AB133" i="5" s="1"/>
  <c r="AB138" i="5" s="1"/>
  <c r="AB139" i="5" s="1"/>
  <c r="AB141" i="5" s="1"/>
  <c r="AG57" i="47"/>
  <c r="AG52" i="74"/>
  <c r="AG226" i="5"/>
  <c r="AI233" i="5"/>
  <c r="AJ32" i="5"/>
  <c r="AJ38" i="5" s="1"/>
  <c r="AJ57" i="47"/>
  <c r="AJ301" i="5"/>
  <c r="AP264" i="5"/>
  <c r="AO54" i="74"/>
  <c r="AN28" i="74"/>
  <c r="AN298" i="5"/>
  <c r="AI117" i="5"/>
  <c r="AI119" i="5" s="1"/>
  <c r="AK119" i="5" s="1"/>
  <c r="AI51" i="74"/>
  <c r="AE26" i="74"/>
  <c r="AI243" i="5"/>
  <c r="AI248" i="5" s="1"/>
  <c r="AI250" i="5" s="1"/>
  <c r="AI255" i="5" s="1"/>
  <c r="AJ51" i="47"/>
  <c r="AJ50" i="47"/>
  <c r="AN54" i="74"/>
  <c r="AR56" i="47"/>
  <c r="AJ141" i="5"/>
  <c r="AJ101" i="74" s="1"/>
  <c r="L61" i="75" s="1"/>
  <c r="AJ55" i="47"/>
  <c r="AP25" i="74"/>
  <c r="C33" i="75"/>
  <c r="AO285" i="5"/>
  <c r="AO32" i="5"/>
  <c r="AR60" i="47"/>
  <c r="AP24" i="5"/>
  <c r="AT27" i="74"/>
  <c r="AI53" i="74"/>
  <c r="AP11" i="5"/>
  <c r="AP219" i="5"/>
  <c r="AP253" i="5"/>
  <c r="AN24" i="74"/>
  <c r="AU22" i="74"/>
  <c r="AR81" i="74"/>
  <c r="AR270" i="5"/>
  <c r="AR272" i="5" s="1"/>
  <c r="AR277" i="5" s="1"/>
  <c r="AI77" i="74"/>
  <c r="AD25" i="74"/>
  <c r="C37" i="75"/>
  <c r="AN76" i="74"/>
  <c r="P62" i="75" s="1"/>
  <c r="AT79" i="74"/>
  <c r="AP161" i="5"/>
  <c r="AJ148" i="5"/>
  <c r="AJ153" i="5" s="1"/>
  <c r="AJ155" i="5" s="1"/>
  <c r="AJ160" i="5" s="1"/>
  <c r="AI104" i="74"/>
  <c r="AK18" i="5"/>
  <c r="AN81" i="74"/>
  <c r="AR29" i="74"/>
  <c r="AR53" i="47"/>
  <c r="AG49" i="47"/>
  <c r="AG148" i="5"/>
  <c r="AG153" i="5" s="1"/>
  <c r="AG155" i="5" s="1"/>
  <c r="AG160" i="5" s="1"/>
  <c r="AJ270" i="5"/>
  <c r="AJ272" i="5" s="1"/>
  <c r="AJ277" i="5" s="1"/>
  <c r="AO301" i="5"/>
  <c r="AR28" i="74"/>
  <c r="AP54" i="5"/>
  <c r="AP252" i="5"/>
  <c r="AP279" i="5"/>
  <c r="AO24" i="74"/>
  <c r="AN243" i="5"/>
  <c r="AN248" i="5" s="1"/>
  <c r="AN250" i="5" s="1"/>
  <c r="AN255" i="5" s="1"/>
  <c r="AR80" i="74"/>
  <c r="T66" i="75" s="1"/>
  <c r="AR289" i="5"/>
  <c r="AJ48" i="74"/>
  <c r="AD51" i="74"/>
  <c r="AF230" i="5"/>
  <c r="AK185" i="5"/>
  <c r="AK208" i="5"/>
  <c r="AI50" i="74"/>
  <c r="AJ233" i="5"/>
  <c r="AO81" i="74"/>
  <c r="AI93" i="20"/>
  <c r="AI79" i="20" s="1"/>
  <c r="AF251" i="5"/>
  <c r="AG78" i="74"/>
  <c r="I64" i="75" s="1"/>
  <c r="AG81" i="74"/>
  <c r="AE291" i="5"/>
  <c r="AE286" i="5"/>
  <c r="AB226" i="5"/>
  <c r="AB228" i="5" s="1"/>
  <c r="AB233" i="5" s="1"/>
  <c r="AB234" i="5" s="1"/>
  <c r="AB236" i="5" s="1"/>
  <c r="AB105" i="74" s="1"/>
  <c r="AO290" i="5"/>
  <c r="AO118" i="74" s="1"/>
  <c r="AO20" i="74"/>
  <c r="AO80" i="74"/>
  <c r="Q66" i="75" s="1"/>
  <c r="AO297" i="5"/>
  <c r="AO293" i="5"/>
  <c r="AO303" i="5"/>
  <c r="AO58" i="47" s="1"/>
  <c r="AO300" i="5"/>
  <c r="AO295" i="5"/>
  <c r="AP23" i="5"/>
  <c r="AB23" i="74"/>
  <c r="AB29" i="74"/>
  <c r="AB51" i="74"/>
  <c r="AP22" i="74"/>
  <c r="AN291" i="5"/>
  <c r="AN270" i="5"/>
  <c r="AN272" i="5" s="1"/>
  <c r="AN277" i="5" s="1"/>
  <c r="AO298" i="5"/>
  <c r="AO50" i="74"/>
  <c r="AC178" i="5"/>
  <c r="AC183" i="5" s="1"/>
  <c r="AC185" i="5" s="1"/>
  <c r="AF189" i="5"/>
  <c r="AG27" i="74"/>
  <c r="AO76" i="74"/>
  <c r="Q62" i="75" s="1"/>
  <c r="AN293" i="5"/>
  <c r="AJ72" i="74"/>
  <c r="L58" i="75" s="1"/>
  <c r="AI29" i="74"/>
  <c r="AE297" i="5"/>
  <c r="AG53" i="47"/>
  <c r="AG25" i="74"/>
  <c r="AJ226" i="5"/>
  <c r="AE212" i="5"/>
  <c r="AE214" i="5" s="1"/>
  <c r="AG26" i="74"/>
  <c r="AB55" i="74"/>
  <c r="AP31" i="5"/>
  <c r="AP152" i="5"/>
  <c r="AO72" i="74"/>
  <c r="Q58" i="75" s="1"/>
  <c r="AN29" i="74"/>
  <c r="AR55" i="74"/>
  <c r="AB288" i="5"/>
  <c r="AJ78" i="74"/>
  <c r="L64" i="75" s="1"/>
  <c r="AJ53" i="74"/>
  <c r="AG77" i="74"/>
  <c r="I63" i="75" s="1"/>
  <c r="AB77" i="74"/>
  <c r="D63" i="75" s="1"/>
  <c r="AG75" i="74"/>
  <c r="I61" i="75" s="1"/>
  <c r="AE51" i="74"/>
  <c r="AE27" i="74"/>
  <c r="AP146" i="5"/>
  <c r="AO243" i="5"/>
  <c r="AO248" i="5" s="1"/>
  <c r="AO250" i="5" s="1"/>
  <c r="AO255" i="5" s="1"/>
  <c r="AE49" i="74"/>
  <c r="AK26" i="5"/>
  <c r="AK109" i="5"/>
  <c r="AK97" i="5"/>
  <c r="AK159" i="5"/>
  <c r="AK181" i="5"/>
  <c r="AK220" i="5"/>
  <c r="AK275" i="5"/>
  <c r="AN302" i="5"/>
  <c r="AM72" i="74"/>
  <c r="AR53" i="74"/>
  <c r="AE80" i="74"/>
  <c r="G66" i="75" s="1"/>
  <c r="AG51" i="47"/>
  <c r="AP263" i="5"/>
  <c r="AO288" i="5"/>
  <c r="AJ60" i="47"/>
  <c r="AJ43" i="47" s="1"/>
  <c r="AJ22" i="47" s="1"/>
  <c r="AB26" i="74"/>
  <c r="AF171" i="5"/>
  <c r="AK156" i="5"/>
  <c r="AK178" i="5"/>
  <c r="AK201" i="5"/>
  <c r="AJ51" i="74"/>
  <c r="AJ298" i="5"/>
  <c r="AI212" i="5"/>
  <c r="AJ289" i="5"/>
  <c r="AF180" i="5"/>
  <c r="AF129" i="115" s="1"/>
  <c r="AE54" i="74"/>
  <c r="AG24" i="74"/>
  <c r="AG54" i="74"/>
  <c r="AG76" i="74"/>
  <c r="I62" i="75" s="1"/>
  <c r="AF159" i="5"/>
  <c r="AJ56" i="47"/>
  <c r="AP223" i="5"/>
  <c r="AP280" i="5"/>
  <c r="AP234" i="5"/>
  <c r="AN20" i="74"/>
  <c r="AO55" i="74"/>
  <c r="AJ49" i="74"/>
  <c r="AN285" i="5"/>
  <c r="AO28" i="74"/>
  <c r="AK199" i="5"/>
  <c r="AF252" i="5"/>
  <c r="AI94" i="20"/>
  <c r="AI80" i="20" s="1"/>
  <c r="AG74" i="74"/>
  <c r="I60" i="75" s="1"/>
  <c r="AJ22" i="74"/>
  <c r="AF188" i="5"/>
  <c r="AB290" i="5"/>
  <c r="AB118" i="74" s="1"/>
  <c r="AB119" i="74" s="1"/>
  <c r="AG49" i="74"/>
  <c r="AG243" i="5"/>
  <c r="AG248" i="5" s="1"/>
  <c r="AG250" i="5" s="1"/>
  <c r="AG255" i="5" s="1"/>
  <c r="AG55" i="74"/>
  <c r="AK210" i="5"/>
  <c r="AK198" i="5"/>
  <c r="AI51" i="47"/>
  <c r="AP52" i="5"/>
  <c r="AP47" i="5"/>
  <c r="AR50" i="74"/>
  <c r="AJ300" i="5"/>
  <c r="AF275" i="5"/>
  <c r="AJ74" i="74"/>
  <c r="L60" i="75" s="1"/>
  <c r="AP21" i="5"/>
  <c r="AO270" i="5"/>
  <c r="AO272" i="5" s="1"/>
  <c r="AO277" i="5" s="1"/>
  <c r="AO302" i="5"/>
  <c r="AP257" i="5"/>
  <c r="AN72" i="74"/>
  <c r="P58" i="75" s="1"/>
  <c r="AO29" i="74"/>
  <c r="AE28" i="74"/>
  <c r="AK264" i="5"/>
  <c r="AI48" i="74"/>
  <c r="AJ290" i="5"/>
  <c r="AJ118" i="74" s="1"/>
  <c r="AF182" i="5"/>
  <c r="AD178" i="5"/>
  <c r="AD183" i="5" s="1"/>
  <c r="AD185" i="5" s="1"/>
  <c r="AF172" i="5"/>
  <c r="AK236" i="5"/>
  <c r="AK105" i="74" s="1"/>
  <c r="AU23" i="74"/>
  <c r="AG124" i="47"/>
  <c r="AU28" i="12"/>
  <c r="AJ123" i="47"/>
  <c r="AR29" i="12"/>
  <c r="AR31" i="12" s="1"/>
  <c r="AJ122" i="47"/>
  <c r="AK26" i="12"/>
  <c r="AR125" i="47"/>
  <c r="AS122" i="47"/>
  <c r="AQ114" i="47"/>
  <c r="AN112" i="47"/>
  <c r="AS104" i="47"/>
  <c r="AZ115" i="47"/>
  <c r="AO102" i="47"/>
  <c r="AL105" i="47"/>
  <c r="AO106" i="47"/>
  <c r="AZ133" i="47"/>
  <c r="AO112" i="47"/>
  <c r="AV21" i="47"/>
  <c r="AO40" i="74"/>
  <c r="AG39" i="74"/>
  <c r="AN15" i="74"/>
  <c r="AP68" i="6"/>
  <c r="AP222" i="6"/>
  <c r="AO42" i="74"/>
  <c r="AS39" i="74"/>
  <c r="AJ43" i="74"/>
  <c r="AO38" i="74"/>
  <c r="AP206" i="6"/>
  <c r="AM78" i="47"/>
  <c r="AM43" i="47" s="1"/>
  <c r="AM22" i="47" s="1"/>
  <c r="AN38" i="74"/>
  <c r="AP68" i="20"/>
  <c r="AP36" i="20" s="1"/>
  <c r="AG149" i="6"/>
  <c r="AJ17" i="74"/>
  <c r="AJ41" i="74"/>
  <c r="AI69" i="47"/>
  <c r="AP124" i="6"/>
  <c r="AO67" i="47"/>
  <c r="AO32" i="47" s="1"/>
  <c r="AP145" i="6"/>
  <c r="AP225" i="6"/>
  <c r="AG15" i="74"/>
  <c r="AG17" i="74"/>
  <c r="AP115" i="6"/>
  <c r="AP175" i="6"/>
  <c r="AO66" i="74"/>
  <c r="Q52" i="75" s="1"/>
  <c r="AO14" i="74"/>
  <c r="AJ10" i="6"/>
  <c r="AJ15" i="6" s="1"/>
  <c r="AJ17" i="6" s="1"/>
  <c r="AJ22" i="6" s="1"/>
  <c r="AP195" i="6"/>
  <c r="AP223" i="6"/>
  <c r="AP207" i="6"/>
  <c r="AS65" i="74"/>
  <c r="U51" i="75" s="1"/>
  <c r="AK187" i="6"/>
  <c r="AM63" i="6"/>
  <c r="AM90" i="74" s="1"/>
  <c r="AP41" i="6"/>
  <c r="AP167" i="6"/>
  <c r="AU72" i="6"/>
  <c r="AJ15" i="74"/>
  <c r="AP76" i="6"/>
  <c r="AM104" i="6"/>
  <c r="AM106" i="6" s="1"/>
  <c r="AM111" i="6" s="1"/>
  <c r="AM112" i="6" s="1"/>
  <c r="AR39" i="74"/>
  <c r="AI53" i="6"/>
  <c r="AI55" i="6" s="1"/>
  <c r="AI60" i="6" s="1"/>
  <c r="AI63" i="6" s="1"/>
  <c r="AI61" i="6" s="1"/>
  <c r="AK73" i="6"/>
  <c r="Q54" i="75"/>
  <c r="AN14" i="74"/>
  <c r="AJ67" i="74"/>
  <c r="AG40" i="74"/>
  <c r="AK103" i="6"/>
  <c r="AI39" i="74"/>
  <c r="AP40" i="6"/>
  <c r="AP45" i="6"/>
  <c r="AO10" i="6"/>
  <c r="AO15" i="74"/>
  <c r="AJ16" i="74"/>
  <c r="AP194" i="6"/>
  <c r="AK127" i="6"/>
  <c r="AM69" i="74"/>
  <c r="AO66" i="47"/>
  <c r="AP50" i="6"/>
  <c r="AP135" i="115" s="1"/>
  <c r="AP126" i="6"/>
  <c r="AU76" i="6"/>
  <c r="AK11" i="6"/>
  <c r="AK124" i="6"/>
  <c r="AU83" i="6"/>
  <c r="AK138" i="6"/>
  <c r="AP113" i="6"/>
  <c r="AN68" i="74"/>
  <c r="P54" i="75" s="1"/>
  <c r="AN65" i="20"/>
  <c r="AN71" i="20" s="1"/>
  <c r="AI16" i="74"/>
  <c r="AK113" i="6"/>
  <c r="AP219" i="6"/>
  <c r="AO183" i="6"/>
  <c r="AO189" i="6" s="1"/>
  <c r="AO191" i="6" s="1"/>
  <c r="AG159" i="6"/>
  <c r="AG164" i="6" s="1"/>
  <c r="AG166" i="6" s="1"/>
  <c r="AG171" i="6" s="1"/>
  <c r="AP87" i="6"/>
  <c r="I51" i="48"/>
  <c r="AN64" i="74"/>
  <c r="P50" i="75" s="1"/>
  <c r="AK75" i="6"/>
  <c r="AH16" i="74"/>
  <c r="AN105" i="20"/>
  <c r="AN77" i="20" s="1"/>
  <c r="F24" i="75"/>
  <c r="AD126" i="74" s="1"/>
  <c r="AU91" i="6"/>
  <c r="AR15" i="74"/>
  <c r="AP88" i="6"/>
  <c r="AK186" i="6"/>
  <c r="AP62" i="6"/>
  <c r="AP37" i="6"/>
  <c r="AL183" i="6"/>
  <c r="AL189" i="6" s="1"/>
  <c r="AL191" i="6" s="1"/>
  <c r="AL196" i="6" s="1"/>
  <c r="AP49" i="6"/>
  <c r="AP97" i="115" s="1"/>
  <c r="AP125" i="6"/>
  <c r="AN71" i="47"/>
  <c r="AU79" i="6"/>
  <c r="AK31" i="6"/>
  <c r="AK40" i="6"/>
  <c r="AI10" i="6"/>
  <c r="AI15" i="6" s="1"/>
  <c r="AI17" i="6" s="1"/>
  <c r="AI22" i="6" s="1"/>
  <c r="AI23" i="6" s="1"/>
  <c r="AK23" i="6" s="1"/>
  <c r="AN123" i="6"/>
  <c r="I57" i="48"/>
  <c r="AI68" i="74"/>
  <c r="AU93" i="6"/>
  <c r="AK52" i="6"/>
  <c r="AJ68" i="47"/>
  <c r="AP19" i="6"/>
  <c r="AP26" i="6"/>
  <c r="AG10" i="6"/>
  <c r="AG15" i="6" s="1"/>
  <c r="AK69" i="6"/>
  <c r="AK152" i="6"/>
  <c r="AJ68" i="74"/>
  <c r="AU81" i="6"/>
  <c r="AT72" i="74"/>
  <c r="AP65" i="93"/>
  <c r="AP68" i="93"/>
  <c r="AP72" i="93"/>
  <c r="AP48" i="93"/>
  <c r="AP23" i="93"/>
  <c r="AP42" i="93"/>
  <c r="AP31" i="93"/>
  <c r="AJ75" i="93"/>
  <c r="AP44" i="93"/>
  <c r="AK10" i="93"/>
  <c r="AP82" i="93"/>
  <c r="AK87" i="93"/>
  <c r="AP30" i="93"/>
  <c r="AP59" i="93"/>
  <c r="AP10" i="93"/>
  <c r="AP12" i="93"/>
  <c r="AP32" i="93"/>
  <c r="AG75" i="93"/>
  <c r="AP77" i="93"/>
  <c r="AP83" i="93"/>
  <c r="AJ85" i="74"/>
  <c r="F45" i="75"/>
  <c r="F19" i="75" s="1"/>
  <c r="G71" i="75"/>
  <c r="H71" i="75"/>
  <c r="AU34" i="19"/>
  <c r="AS26" i="114"/>
  <c r="AU33" i="19"/>
  <c r="AS19" i="114"/>
  <c r="AT19" i="114" s="1"/>
  <c r="AT18" i="114"/>
  <c r="AU31" i="19"/>
  <c r="AS23" i="114"/>
  <c r="AU19" i="19"/>
  <c r="AS8" i="114"/>
  <c r="AT22" i="114"/>
  <c r="AU25" i="19"/>
  <c r="AS15" i="114"/>
  <c r="AQ13" i="74"/>
  <c r="AT10" i="114"/>
  <c r="AT9" i="114"/>
  <c r="AU27" i="19"/>
  <c r="AS25" i="114"/>
  <c r="AG7" i="114"/>
  <c r="AG17" i="114"/>
  <c r="AJ19" i="102"/>
  <c r="AI67" i="74"/>
  <c r="K53" i="75" s="1"/>
  <c r="AI15" i="74"/>
  <c r="AL45" i="102"/>
  <c r="G17" i="45"/>
  <c r="AJ23" i="114"/>
  <c r="AJ22" i="114"/>
  <c r="AJ24" i="114"/>
  <c r="AJ25" i="114"/>
  <c r="AJ38" i="114"/>
  <c r="AJ8" i="114"/>
  <c r="AJ9" i="114"/>
  <c r="AJ18" i="114"/>
  <c r="M194" i="18"/>
  <c r="M199" i="18" s="1"/>
  <c r="AF190" i="5"/>
  <c r="AF152" i="5"/>
  <c r="AB286" i="5"/>
  <c r="AF68" i="18"/>
  <c r="AB296" i="5"/>
  <c r="AJ155" i="18"/>
  <c r="AF23" i="18"/>
  <c r="AK234" i="5"/>
  <c r="AM226" i="5"/>
  <c r="AM228" i="5" s="1"/>
  <c r="AM233" i="5" s="1"/>
  <c r="AP235" i="5"/>
  <c r="AL301" i="5"/>
  <c r="AF231" i="5"/>
  <c r="AJ102" i="18"/>
  <c r="AF192" i="5"/>
  <c r="AF103" i="74" s="1"/>
  <c r="AF32" i="18"/>
  <c r="AF199" i="5"/>
  <c r="AF208" i="5"/>
  <c r="AB270" i="5"/>
  <c r="AB272" i="5" s="1"/>
  <c r="AB277" i="5" s="1"/>
  <c r="AB278" i="5" s="1"/>
  <c r="AB280" i="5" s="1"/>
  <c r="AB293" i="5"/>
  <c r="AD92" i="115"/>
  <c r="AF274" i="5"/>
  <c r="AI74" i="74"/>
  <c r="K60" i="75" s="1"/>
  <c r="AD77" i="74"/>
  <c r="F63" i="75" s="1"/>
  <c r="AG51" i="74"/>
  <c r="AG104" i="18"/>
  <c r="AG109" i="18" s="1"/>
  <c r="AH80" i="18"/>
  <c r="AH86" i="18" s="1"/>
  <c r="AK143" i="18"/>
  <c r="AO143" i="18" s="1"/>
  <c r="AP35" i="5"/>
  <c r="AG208" i="6"/>
  <c r="AG214" i="6" s="1"/>
  <c r="AG216" i="6" s="1"/>
  <c r="AF232" i="5"/>
  <c r="AJ174" i="18"/>
  <c r="AJ79" i="18"/>
  <c r="AH138" i="18"/>
  <c r="AH196" i="18"/>
  <c r="AM24" i="18"/>
  <c r="AM12" i="18" s="1"/>
  <c r="AO36" i="18"/>
  <c r="AK230" i="5"/>
  <c r="AC49" i="74"/>
  <c r="AJ31" i="18"/>
  <c r="AF207" i="18"/>
  <c r="AC56" i="115"/>
  <c r="AE78" i="74"/>
  <c r="G64" i="75" s="1"/>
  <c r="AC93" i="115"/>
  <c r="AK189" i="5"/>
  <c r="AK177" i="5"/>
  <c r="AK229" i="5"/>
  <c r="AK242" i="5"/>
  <c r="AK269" i="5"/>
  <c r="AK44" i="6"/>
  <c r="AK15" i="9"/>
  <c r="AI86" i="47"/>
  <c r="AI55" i="74"/>
  <c r="AO107" i="20"/>
  <c r="AF221" i="5"/>
  <c r="AB178" i="5"/>
  <c r="AG19" i="18"/>
  <c r="AJ20" i="74"/>
  <c r="AG121" i="18"/>
  <c r="AH18" i="18"/>
  <c r="AK152" i="5"/>
  <c r="AK228" i="5"/>
  <c r="G6" i="48"/>
  <c r="G52" i="48" s="1"/>
  <c r="AJ20" i="20"/>
  <c r="AL39" i="9"/>
  <c r="AL41" i="9" s="1"/>
  <c r="AO69" i="18"/>
  <c r="AK141" i="18"/>
  <c r="AO177" i="18"/>
  <c r="AK93" i="18"/>
  <c r="AO117" i="18"/>
  <c r="AF265" i="5"/>
  <c r="AB153" i="5"/>
  <c r="AB155" i="5" s="1"/>
  <c r="AB160" i="5" s="1"/>
  <c r="AB161" i="5" s="1"/>
  <c r="AB163" i="5" s="1"/>
  <c r="AB102" i="74" s="1"/>
  <c r="AG80" i="74"/>
  <c r="I66" i="75" s="1"/>
  <c r="AJ210" i="18"/>
  <c r="AG95" i="18"/>
  <c r="AE81" i="74"/>
  <c r="AF154" i="5"/>
  <c r="AK59" i="18"/>
  <c r="AO71" i="18"/>
  <c r="AI14" i="74"/>
  <c r="AE25" i="74"/>
  <c r="AK173" i="5"/>
  <c r="AK280" i="5"/>
  <c r="AK265" i="5"/>
  <c r="G11" i="45"/>
  <c r="AJ85" i="20"/>
  <c r="AK18" i="18"/>
  <c r="AK32" i="18"/>
  <c r="AK37" i="18" s="1"/>
  <c r="H194" i="18"/>
  <c r="H201" i="18" s="1"/>
  <c r="AK14" i="5"/>
  <c r="AF175" i="5"/>
  <c r="AF170" i="5"/>
  <c r="AJ218" i="18"/>
  <c r="AB248" i="5"/>
  <c r="AB250" i="5" s="1"/>
  <c r="AB255" i="5" s="1"/>
  <c r="AB256" i="5" s="1"/>
  <c r="AB258" i="5" s="1"/>
  <c r="AB106" i="74" s="1"/>
  <c r="AB52" i="74"/>
  <c r="AB49" i="74"/>
  <c r="AG28" i="74"/>
  <c r="AK184" i="5"/>
  <c r="AK207" i="5"/>
  <c r="AK252" i="5"/>
  <c r="AK109" i="6"/>
  <c r="AK9" i="9"/>
  <c r="AK40" i="9"/>
  <c r="AG193" i="18"/>
  <c r="AJ30" i="18"/>
  <c r="AJ66" i="18"/>
  <c r="AJ103" i="18"/>
  <c r="AJ187" i="18"/>
  <c r="AJ222" i="18"/>
  <c r="AB50" i="74"/>
  <c r="AJ66" i="47"/>
  <c r="AB289" i="5"/>
  <c r="AF243" i="5"/>
  <c r="AH104" i="18"/>
  <c r="AH110" i="18" s="1"/>
  <c r="AG69" i="74"/>
  <c r="I55" i="75" s="1"/>
  <c r="AK99" i="5"/>
  <c r="AK170" i="5"/>
  <c r="AK183" i="5"/>
  <c r="AK171" i="5"/>
  <c r="AK206" i="5"/>
  <c r="AK90" i="6"/>
  <c r="AK72" i="6"/>
  <c r="AK37" i="9"/>
  <c r="AF54" i="20"/>
  <c r="AG53" i="74"/>
  <c r="AF28" i="20"/>
  <c r="AE301" i="5"/>
  <c r="AF301" i="5" s="1"/>
  <c r="AE298" i="5"/>
  <c r="AO45" i="18"/>
  <c r="AL21" i="18"/>
  <c r="AL9" i="18" s="1"/>
  <c r="AO222" i="18"/>
  <c r="AO197" i="18"/>
  <c r="AJ10" i="5"/>
  <c r="AJ15" i="5" s="1"/>
  <c r="AL10" i="9"/>
  <c r="AL107" i="47"/>
  <c r="AK94" i="18"/>
  <c r="AP39" i="5"/>
  <c r="AP269" i="5"/>
  <c r="AL76" i="74"/>
  <c r="N62" i="75" s="1"/>
  <c r="AN121" i="47"/>
  <c r="AN59" i="74"/>
  <c r="AN88" i="47"/>
  <c r="AN76" i="47"/>
  <c r="AP103" i="6"/>
  <c r="AO129" i="18"/>
  <c r="AL26" i="103"/>
  <c r="AK41" i="103"/>
  <c r="AJ106" i="18"/>
  <c r="AG141" i="18"/>
  <c r="AJ96" i="47"/>
  <c r="AJ81" i="20"/>
  <c r="AM107" i="47"/>
  <c r="AL6" i="20"/>
  <c r="K34" i="48" s="1"/>
  <c r="AP97" i="6"/>
  <c r="AK77" i="93"/>
  <c r="AJ19" i="103"/>
  <c r="AO19" i="103"/>
  <c r="Q17" i="45"/>
  <c r="E17" i="45"/>
  <c r="K17" i="45"/>
  <c r="O21" i="98"/>
  <c r="AP37" i="5"/>
  <c r="AN104" i="6"/>
  <c r="AN106" i="6" s="1"/>
  <c r="AN80" i="74"/>
  <c r="P66" i="75" s="1"/>
  <c r="AN10" i="9"/>
  <c r="AN28" i="115" s="1"/>
  <c r="AN297" i="5"/>
  <c r="AN303" i="5"/>
  <c r="AN58" i="47" s="1"/>
  <c r="AN301" i="5"/>
  <c r="AN12" i="74"/>
  <c r="AK38" i="93"/>
  <c r="AP55" i="93"/>
  <c r="AK57" i="93"/>
  <c r="AK67" i="93"/>
  <c r="AK70" i="93"/>
  <c r="AP71" i="93"/>
  <c r="AO41" i="102"/>
  <c r="AQ17" i="103"/>
  <c r="AL44" i="103"/>
  <c r="AQ55" i="103"/>
  <c r="AR93" i="47"/>
  <c r="P27" i="45"/>
  <c r="AH53" i="47"/>
  <c r="AK98" i="5"/>
  <c r="AK161" i="5"/>
  <c r="AK221" i="5"/>
  <c r="AK249" i="5"/>
  <c r="AK276" i="5"/>
  <c r="AK8" i="6"/>
  <c r="AK36" i="6"/>
  <c r="AK88" i="6"/>
  <c r="AG31" i="20"/>
  <c r="AJ72" i="18"/>
  <c r="AJ235" i="18"/>
  <c r="C8" i="45"/>
  <c r="L8" i="45"/>
  <c r="AH80" i="20"/>
  <c r="AJ52" i="74"/>
  <c r="AI90" i="18"/>
  <c r="AI198" i="18"/>
  <c r="AJ9" i="20"/>
  <c r="AJ51" i="20"/>
  <c r="I7" i="48"/>
  <c r="I56" i="48" s="1"/>
  <c r="AO34" i="18"/>
  <c r="AL67" i="74"/>
  <c r="N53" i="75" s="1"/>
  <c r="AL80" i="18"/>
  <c r="AL85" i="18" s="1"/>
  <c r="AM55" i="74"/>
  <c r="AP249" i="5"/>
  <c r="L16" i="48"/>
  <c r="AO17" i="20"/>
  <c r="AP21" i="93"/>
  <c r="AP24" i="93"/>
  <c r="AP36" i="93"/>
  <c r="AL35" i="103"/>
  <c r="AO48" i="103"/>
  <c r="AN39" i="74"/>
  <c r="AP127" i="6"/>
  <c r="AF210" i="5"/>
  <c r="AF205" i="5"/>
  <c r="AH51" i="47"/>
  <c r="AK158" i="5"/>
  <c r="AK232" i="5"/>
  <c r="AK24" i="6"/>
  <c r="AK97" i="6"/>
  <c r="AJ7" i="20"/>
  <c r="AI58" i="74"/>
  <c r="AF80" i="20"/>
  <c r="AI60" i="18"/>
  <c r="AL73" i="47"/>
  <c r="AL38" i="47" s="1"/>
  <c r="AM127" i="47"/>
  <c r="AP49" i="5"/>
  <c r="AP156" i="5"/>
  <c r="AP274" i="5"/>
  <c r="AP46" i="6"/>
  <c r="AO72" i="18"/>
  <c r="AO118" i="18"/>
  <c r="AO131" i="18"/>
  <c r="AO221" i="18"/>
  <c r="AO196" i="18"/>
  <c r="AP57" i="93"/>
  <c r="AJ41" i="102"/>
  <c r="AK157" i="5"/>
  <c r="AK273" i="5"/>
  <c r="AK139" i="6"/>
  <c r="AK25" i="9"/>
  <c r="E8" i="45"/>
  <c r="N8" i="45"/>
  <c r="P11" i="45"/>
  <c r="AH79" i="20"/>
  <c r="AH10" i="5"/>
  <c r="AH47" i="47" s="1"/>
  <c r="AG50" i="47"/>
  <c r="AI58" i="18"/>
  <c r="AI207" i="18"/>
  <c r="AI212" i="18" s="1"/>
  <c r="AL104" i="47"/>
  <c r="AK6" i="20"/>
  <c r="J34" i="48" s="1"/>
  <c r="AM124" i="47"/>
  <c r="AP232" i="5"/>
  <c r="AP273" i="5"/>
  <c r="AP35" i="6"/>
  <c r="AP28" i="12"/>
  <c r="AP17" i="93"/>
  <c r="AP29" i="93"/>
  <c r="AP38" i="93"/>
  <c r="AP41" i="93"/>
  <c r="AK43" i="93"/>
  <c r="AK12" i="93"/>
  <c r="AL37" i="103"/>
  <c r="AG79" i="20"/>
  <c r="AJ57" i="74"/>
  <c r="AK96" i="18"/>
  <c r="AK24" i="18"/>
  <c r="AM129" i="47"/>
  <c r="AP25" i="5"/>
  <c r="AP46" i="5"/>
  <c r="AP231" i="5"/>
  <c r="AM43" i="74"/>
  <c r="K11" i="45"/>
  <c r="AP15" i="93"/>
  <c r="AK37" i="93"/>
  <c r="AK28" i="93"/>
  <c r="AQ22" i="103"/>
  <c r="AQ25" i="103"/>
  <c r="AQ57" i="103"/>
  <c r="AO154" i="18"/>
  <c r="AP45" i="9"/>
  <c r="AL114" i="47"/>
  <c r="AP230" i="5"/>
  <c r="AP72" i="6"/>
  <c r="AK22" i="93"/>
  <c r="AP25" i="93"/>
  <c r="AP33" i="93"/>
  <c r="L22" i="97"/>
  <c r="AK115" i="5"/>
  <c r="AK103" i="5"/>
  <c r="AK227" i="5"/>
  <c r="AK56" i="6"/>
  <c r="AK133" i="6"/>
  <c r="AG285" i="5"/>
  <c r="F6" i="48"/>
  <c r="F41" i="48" s="1"/>
  <c r="AJ6" i="20"/>
  <c r="AJ52" i="20"/>
  <c r="AJ89" i="20"/>
  <c r="AP185" i="6"/>
  <c r="AP139" i="115" s="1"/>
  <c r="AP162" i="5"/>
  <c r="AK20" i="93"/>
  <c r="AM9" i="103"/>
  <c r="AG85" i="74"/>
  <c r="AG233" i="5"/>
  <c r="AK114" i="5"/>
  <c r="AK209" i="5"/>
  <c r="AK225" i="5"/>
  <c r="AK254" i="5"/>
  <c r="AK54" i="6"/>
  <c r="AK41" i="6"/>
  <c r="AK99" i="6"/>
  <c r="AI38" i="74"/>
  <c r="AI13" i="74"/>
  <c r="AG303" i="5"/>
  <c r="AG58" i="47" s="1"/>
  <c r="AG288" i="5"/>
  <c r="AK8" i="5"/>
  <c r="AI57" i="18"/>
  <c r="AI196" i="18"/>
  <c r="AL112" i="47"/>
  <c r="AM32" i="5"/>
  <c r="AM10" i="115" s="1"/>
  <c r="AP53" i="5"/>
  <c r="AL81" i="74"/>
  <c r="AP281" i="5"/>
  <c r="AM68" i="18"/>
  <c r="AM75" i="18" s="1"/>
  <c r="AM92" i="18"/>
  <c r="AM99" i="18" s="1"/>
  <c r="AO114" i="18"/>
  <c r="AM140" i="18"/>
  <c r="AM147" i="18" s="1"/>
  <c r="AM164" i="18"/>
  <c r="AM170" i="18" s="1"/>
  <c r="AO235" i="18"/>
  <c r="AN69" i="47"/>
  <c r="AI18" i="93"/>
  <c r="AJ9" i="103"/>
  <c r="AJ41" i="103"/>
  <c r="AJ48" i="103"/>
  <c r="Y123" i="108"/>
  <c r="Y126" i="108"/>
  <c r="Y154" i="108"/>
  <c r="Y144" i="108"/>
  <c r="Y151" i="108"/>
  <c r="Y137" i="108"/>
  <c r="Y147" i="108"/>
  <c r="AU19" i="93"/>
  <c r="AU71" i="93"/>
  <c r="AK246" i="5"/>
  <c r="AT55" i="47"/>
  <c r="AU24" i="6"/>
  <c r="AQ48" i="47"/>
  <c r="AW48" i="47"/>
  <c r="AQ49" i="47"/>
  <c r="AQ50" i="47"/>
  <c r="AQ55" i="47"/>
  <c r="AT105" i="47"/>
  <c r="AQ56" i="47"/>
  <c r="L62" i="75"/>
  <c r="C41" i="75"/>
  <c r="Y47" i="47"/>
  <c r="AQ95" i="74"/>
  <c r="AT76" i="74"/>
  <c r="AU44" i="19"/>
  <c r="AU43" i="19"/>
  <c r="AU37" i="19"/>
  <c r="AG289" i="5"/>
  <c r="AU45" i="6"/>
  <c r="AU11" i="19"/>
  <c r="AK7" i="12"/>
  <c r="AS83" i="74"/>
  <c r="AT68" i="74"/>
  <c r="V54" i="75" s="1"/>
  <c r="AT66" i="74"/>
  <c r="V52" i="75" s="1"/>
  <c r="AT88" i="47"/>
  <c r="AU32" i="6"/>
  <c r="AU82" i="19"/>
  <c r="AS10" i="9"/>
  <c r="AS20" i="74"/>
  <c r="AR105" i="20"/>
  <c r="AK34" i="5"/>
  <c r="AK104" i="6"/>
  <c r="AS148" i="5"/>
  <c r="AS153" i="5" s="1"/>
  <c r="AS155" i="5" s="1"/>
  <c r="AS160" i="5" s="1"/>
  <c r="AQ243" i="5"/>
  <c r="AQ248" i="5" s="1"/>
  <c r="AR112" i="47"/>
  <c r="AT14" i="74"/>
  <c r="AS31" i="74"/>
  <c r="AS79" i="74"/>
  <c r="AU78" i="6"/>
  <c r="AU99" i="6"/>
  <c r="AU276" i="5"/>
  <c r="AK153" i="6"/>
  <c r="AT55" i="74"/>
  <c r="AS17" i="74"/>
  <c r="AK33" i="12"/>
  <c r="AT58" i="74"/>
  <c r="AT53" i="74"/>
  <c r="AH72" i="74"/>
  <c r="J58" i="75" s="1"/>
  <c r="AU253" i="5"/>
  <c r="AK49" i="5"/>
  <c r="AU152" i="5"/>
  <c r="AQ106" i="47"/>
  <c r="AU222" i="5"/>
  <c r="AH20" i="74"/>
  <c r="M211" i="104"/>
  <c r="M7" i="104"/>
  <c r="D71" i="75"/>
  <c r="AT91" i="47"/>
  <c r="AU162" i="6"/>
  <c r="AU273" i="5"/>
  <c r="AU46" i="5"/>
  <c r="AK134" i="5"/>
  <c r="AU251" i="5"/>
  <c r="AT54" i="74"/>
  <c r="AT48" i="47"/>
  <c r="AU30" i="19"/>
  <c r="AU237" i="5"/>
  <c r="AU274" i="5"/>
  <c r="AT109" i="47"/>
  <c r="AQ81" i="74"/>
  <c r="AU151" i="5"/>
  <c r="AI65" i="47"/>
  <c r="AU83" i="93"/>
  <c r="AS72" i="74"/>
  <c r="AT148" i="5"/>
  <c r="AT153" i="5" s="1"/>
  <c r="AT155" i="5" s="1"/>
  <c r="AT160" i="5" s="1"/>
  <c r="AT161" i="5" s="1"/>
  <c r="AT163" i="5" s="1"/>
  <c r="AT102" i="74" s="1"/>
  <c r="AT93" i="47"/>
  <c r="AU49" i="5"/>
  <c r="AU259" i="5"/>
  <c r="AU15" i="9"/>
  <c r="AT53" i="47"/>
  <c r="AU44" i="93"/>
  <c r="AH62" i="20"/>
  <c r="G24" i="75"/>
  <c r="AE126" i="74" s="1"/>
  <c r="H25" i="75"/>
  <c r="AF127" i="74" s="1"/>
  <c r="E55" i="75"/>
  <c r="AH49" i="47"/>
  <c r="AH243" i="5"/>
  <c r="AH248" i="5" s="1"/>
  <c r="AH250" i="5" s="1"/>
  <c r="AH255" i="5" s="1"/>
  <c r="AU25" i="93"/>
  <c r="AU33" i="5"/>
  <c r="AT46" i="74"/>
  <c r="AT301" i="5"/>
  <c r="AI17" i="74"/>
  <c r="AU41" i="19"/>
  <c r="AI32" i="5"/>
  <c r="AK133" i="5"/>
  <c r="AU17" i="19"/>
  <c r="AU25" i="12"/>
  <c r="AT80" i="74"/>
  <c r="V66" i="75" s="1"/>
  <c r="AK106" i="5"/>
  <c r="AK131" i="5"/>
  <c r="AK139" i="5"/>
  <c r="AI288" i="5"/>
  <c r="AS24" i="74"/>
  <c r="P61" i="48"/>
  <c r="AK244" i="5"/>
  <c r="AK125" i="5"/>
  <c r="AU182" i="6"/>
  <c r="AU83" i="19"/>
  <c r="AU76" i="19"/>
  <c r="AT183" i="6"/>
  <c r="AU174" i="6"/>
  <c r="AU93" i="74" s="1"/>
  <c r="AI60" i="47"/>
  <c r="AT51" i="47"/>
  <c r="AU26" i="12"/>
  <c r="AU56" i="6"/>
  <c r="AT112" i="47"/>
  <c r="AR74" i="47"/>
  <c r="AU65" i="93"/>
  <c r="AS14" i="74"/>
  <c r="AS67" i="47"/>
  <c r="AS113" i="47"/>
  <c r="AU77" i="93"/>
  <c r="AS51" i="47"/>
  <c r="AU27" i="12"/>
  <c r="AU220" i="5"/>
  <c r="AU271" i="5"/>
  <c r="AU113" i="6"/>
  <c r="AT111" i="47"/>
  <c r="AT123" i="6"/>
  <c r="AT20" i="74"/>
  <c r="AU47" i="5"/>
  <c r="AU242" i="5"/>
  <c r="AU62" i="6"/>
  <c r="AK169" i="6"/>
  <c r="AU245" i="5"/>
  <c r="AU263" i="5"/>
  <c r="AS50" i="74"/>
  <c r="AH125" i="47"/>
  <c r="AU17" i="93"/>
  <c r="AU55" i="93"/>
  <c r="AU35" i="5"/>
  <c r="AU227" i="5"/>
  <c r="AU223" i="6"/>
  <c r="AU35" i="6"/>
  <c r="AU56" i="93"/>
  <c r="AU82" i="93"/>
  <c r="AU145" i="6"/>
  <c r="AU34" i="6"/>
  <c r="AS106" i="47"/>
  <c r="AH91" i="20"/>
  <c r="AK108" i="6"/>
  <c r="AK163" i="6"/>
  <c r="AK48" i="5"/>
  <c r="AK136" i="5"/>
  <c r="AI293" i="5"/>
  <c r="AU20" i="93"/>
  <c r="AS12" i="74"/>
  <c r="AT291" i="5"/>
  <c r="AU275" i="5"/>
  <c r="AK220" i="6"/>
  <c r="AI303" i="5"/>
  <c r="AI58" i="47" s="1"/>
  <c r="AU32" i="19"/>
  <c r="AU97" i="6"/>
  <c r="AU152" i="6"/>
  <c r="AS38" i="74"/>
  <c r="AS27" i="74"/>
  <c r="AU12" i="19"/>
  <c r="AT151" i="6"/>
  <c r="AT24" i="115" s="1"/>
  <c r="AT14" i="116" s="1"/>
  <c r="AK42" i="5"/>
  <c r="AK54" i="5"/>
  <c r="AK142" i="5"/>
  <c r="AI291" i="5"/>
  <c r="AU232" i="5"/>
  <c r="J16" i="48"/>
  <c r="J18" i="48" s="1"/>
  <c r="M6" i="48"/>
  <c r="J6" i="48"/>
  <c r="J52" i="48" s="1"/>
  <c r="J53" i="48" s="1"/>
  <c r="K7" i="48"/>
  <c r="K56" i="48" s="1"/>
  <c r="L38" i="48"/>
  <c r="F18" i="48"/>
  <c r="AF11" i="74"/>
  <c r="AF10" i="74" s="1"/>
  <c r="AJ23" i="47"/>
  <c r="AK23" i="47" s="1"/>
  <c r="I6" i="48"/>
  <c r="I41" i="48" s="1"/>
  <c r="N6" i="48"/>
  <c r="N41" i="48" s="1"/>
  <c r="K26" i="48"/>
  <c r="K28" i="48" s="1"/>
  <c r="AD82" i="74"/>
  <c r="AI59" i="74"/>
  <c r="AF82" i="74"/>
  <c r="AE108" i="74"/>
  <c r="AJ175" i="18"/>
  <c r="AJ82" i="18"/>
  <c r="AF152" i="18"/>
  <c r="AJ47" i="18"/>
  <c r="AG198" i="18"/>
  <c r="AJ223" i="18"/>
  <c r="AO217" i="18"/>
  <c r="AO105" i="18"/>
  <c r="AN152" i="18"/>
  <c r="AT66" i="18"/>
  <c r="AP32" i="18"/>
  <c r="AP38" i="18" s="1"/>
  <c r="AS198" i="18"/>
  <c r="AJ162" i="18"/>
  <c r="AF94" i="18"/>
  <c r="M213" i="18"/>
  <c r="AH59" i="18"/>
  <c r="AO211" i="18"/>
  <c r="AO66" i="18"/>
  <c r="AM32" i="18"/>
  <c r="AM39" i="18" s="1"/>
  <c r="AM116" i="18"/>
  <c r="AM121" i="18" s="1"/>
  <c r="AP121" i="18"/>
  <c r="AT121" i="18" s="1"/>
  <c r="AT167" i="18"/>
  <c r="AQ94" i="18"/>
  <c r="AS236" i="18"/>
  <c r="AG60" i="18"/>
  <c r="AF196" i="18"/>
  <c r="AF142" i="18"/>
  <c r="AF96" i="18"/>
  <c r="K192" i="18"/>
  <c r="AJ221" i="18"/>
  <c r="J98" i="18"/>
  <c r="AH22" i="18"/>
  <c r="H49" i="18"/>
  <c r="J99" i="18"/>
  <c r="K140" i="18"/>
  <c r="M214" i="18"/>
  <c r="AI68" i="18"/>
  <c r="AI75" i="18" s="1"/>
  <c r="AI44" i="18"/>
  <c r="AI50" i="18" s="1"/>
  <c r="AJ71" i="18"/>
  <c r="AO48" i="18"/>
  <c r="AO30" i="18"/>
  <c r="AK95" i="18"/>
  <c r="AP96" i="18"/>
  <c r="AS138" i="18"/>
  <c r="AJ130" i="18"/>
  <c r="AJ153" i="18"/>
  <c r="AF121" i="18"/>
  <c r="I51" i="18"/>
  <c r="L98" i="18"/>
  <c r="N214" i="18"/>
  <c r="AI189" i="18"/>
  <c r="AO82" i="18"/>
  <c r="AP141" i="18"/>
  <c r="AR68" i="18"/>
  <c r="AJ84" i="18"/>
  <c r="AI91" i="18"/>
  <c r="AN80" i="18"/>
  <c r="AT220" i="18"/>
  <c r="AT222" i="18"/>
  <c r="AJ211" i="18"/>
  <c r="AS92" i="18"/>
  <c r="AJ129" i="18"/>
  <c r="K8" i="18"/>
  <c r="I13" i="18"/>
  <c r="O224" i="18"/>
  <c r="AJ46" i="18"/>
  <c r="G236" i="18"/>
  <c r="I85" i="18"/>
  <c r="L146" i="18"/>
  <c r="G51" i="18"/>
  <c r="N236" i="18"/>
  <c r="M145" i="18"/>
  <c r="J27" i="18"/>
  <c r="AI54" i="18"/>
  <c r="AI24" i="18"/>
  <c r="AO192" i="18"/>
  <c r="AO79" i="18"/>
  <c r="AS18" i="18"/>
  <c r="AS192" i="18"/>
  <c r="AJ105" i="18"/>
  <c r="P192" i="18"/>
  <c r="K231" i="18"/>
  <c r="L62" i="18"/>
  <c r="O225" i="18"/>
  <c r="AJ36" i="18"/>
  <c r="H98" i="18"/>
  <c r="G63" i="18"/>
  <c r="I86" i="18"/>
  <c r="G145" i="18"/>
  <c r="G14" i="18"/>
  <c r="AI23" i="18"/>
  <c r="AI55" i="18"/>
  <c r="AO42" i="18"/>
  <c r="AN194" i="18"/>
  <c r="AL24" i="18"/>
  <c r="AL194" i="18"/>
  <c r="AT33" i="18"/>
  <c r="AP60" i="18"/>
  <c r="AR93" i="18"/>
  <c r="AS104" i="18"/>
  <c r="AS109" i="18" s="1"/>
  <c r="AF198" i="18"/>
  <c r="K44" i="18"/>
  <c r="K50" i="18" s="1"/>
  <c r="L26" i="18"/>
  <c r="H97" i="18"/>
  <c r="I97" i="18"/>
  <c r="N61" i="18"/>
  <c r="O85" i="18"/>
  <c r="G213" i="18"/>
  <c r="H62" i="18"/>
  <c r="L61" i="18"/>
  <c r="M238" i="18"/>
  <c r="L25" i="18"/>
  <c r="AO162" i="18"/>
  <c r="AK138" i="18"/>
  <c r="AO138" i="18" s="1"/>
  <c r="AP24" i="18"/>
  <c r="AT67" i="18"/>
  <c r="AT155" i="18"/>
  <c r="AQ60" i="18"/>
  <c r="AR143" i="18"/>
  <c r="H51" i="18"/>
  <c r="AN139" i="18"/>
  <c r="AN140" i="18" s="1"/>
  <c r="AS80" i="18"/>
  <c r="AS85" i="18" s="1"/>
  <c r="AS195" i="18"/>
  <c r="AG24" i="18"/>
  <c r="P207" i="18"/>
  <c r="AT102" i="18"/>
  <c r="AQ189" i="18"/>
  <c r="O13" i="18"/>
  <c r="G13" i="18"/>
  <c r="AI138" i="18"/>
  <c r="AO106" i="18"/>
  <c r="AK144" i="18"/>
  <c r="AO144" i="18" s="1"/>
  <c r="AQ141" i="18"/>
  <c r="AS197" i="18"/>
  <c r="AI53" i="47"/>
  <c r="AI50" i="47"/>
  <c r="AK224" i="6"/>
  <c r="AK95" i="74" s="1"/>
  <c r="AK213" i="6"/>
  <c r="AI73" i="47"/>
  <c r="AK51" i="5"/>
  <c r="AK98" i="74" s="1"/>
  <c r="AK35" i="5"/>
  <c r="AK140" i="5"/>
  <c r="AK124" i="5"/>
  <c r="AS50" i="47"/>
  <c r="AU268" i="5"/>
  <c r="AQ93" i="74"/>
  <c r="AU122" i="6"/>
  <c r="AS107" i="47"/>
  <c r="AK146" i="5"/>
  <c r="AK12" i="6"/>
  <c r="AH55" i="74"/>
  <c r="AH208" i="6"/>
  <c r="AH214" i="6" s="1"/>
  <c r="AH216" i="6" s="1"/>
  <c r="AH221" i="6" s="1"/>
  <c r="AK102" i="5"/>
  <c r="AS183" i="6"/>
  <c r="AK151" i="5"/>
  <c r="AI55" i="47"/>
  <c r="AK130" i="5"/>
  <c r="AS49" i="47"/>
  <c r="AU44" i="5"/>
  <c r="AU38" i="6"/>
  <c r="AU106" i="6"/>
  <c r="AK93" i="6"/>
  <c r="AS81" i="74"/>
  <c r="AK266" i="5"/>
  <c r="AH60" i="47"/>
  <c r="AK175" i="6"/>
  <c r="AG32" i="5"/>
  <c r="AU76" i="93"/>
  <c r="AU49" i="6"/>
  <c r="AU97" i="115" s="1"/>
  <c r="AU40" i="6"/>
  <c r="AS10" i="6"/>
  <c r="AS15" i="6" s="1"/>
  <c r="AT208" i="6"/>
  <c r="AS188" i="18"/>
  <c r="AU11" i="5"/>
  <c r="AU12" i="5"/>
  <c r="AU98" i="6"/>
  <c r="AU110" i="6"/>
  <c r="AI68" i="47"/>
  <c r="H57" i="48"/>
  <c r="AH148" i="5"/>
  <c r="AH153" i="5" s="1"/>
  <c r="AH155" i="5" s="1"/>
  <c r="AH160" i="5" s="1"/>
  <c r="AU150" i="5"/>
  <c r="AQ53" i="74"/>
  <c r="AU12" i="6"/>
  <c r="AU135" i="6"/>
  <c r="AQ16" i="74"/>
  <c r="AK267" i="5"/>
  <c r="AK211" i="5"/>
  <c r="AK104" i="74" s="1"/>
  <c r="AQ148" i="5"/>
  <c r="AQ153" i="5" s="1"/>
  <c r="AU13" i="6"/>
  <c r="AU137" i="6"/>
  <c r="AU36" i="9"/>
  <c r="AS89" i="74"/>
  <c r="AK157" i="6"/>
  <c r="AK37" i="5"/>
  <c r="AS84" i="74"/>
  <c r="AJ23" i="20"/>
  <c r="AH70" i="6"/>
  <c r="AH123" i="6"/>
  <c r="AQ104" i="47"/>
  <c r="AQ102" i="74"/>
  <c r="AQ97" i="74" s="1"/>
  <c r="AQ96" i="74" s="1"/>
  <c r="AK258" i="5"/>
  <c r="AK106" i="74" s="1"/>
  <c r="AI285" i="5"/>
  <c r="G51" i="48"/>
  <c r="AH54" i="74"/>
  <c r="AI301" i="5"/>
  <c r="AS10" i="5"/>
  <c r="AS32" i="5"/>
  <c r="AS301" i="5"/>
  <c r="Q54" i="48"/>
  <c r="AH291" i="5"/>
  <c r="AI298" i="5"/>
  <c r="AK128" i="5"/>
  <c r="AK145" i="6"/>
  <c r="AK190" i="6"/>
  <c r="AU231" i="5"/>
  <c r="AQ104" i="20"/>
  <c r="AQ76" i="20" s="1"/>
  <c r="AH90" i="20"/>
  <c r="AH80" i="74"/>
  <c r="J66" i="75" s="1"/>
  <c r="AK108" i="5"/>
  <c r="AK107" i="6"/>
  <c r="AK33" i="5"/>
  <c r="AK137" i="5"/>
  <c r="AS29" i="74"/>
  <c r="AU269" i="5"/>
  <c r="AS303" i="5"/>
  <c r="AS58" i="47" s="1"/>
  <c r="AS270" i="5"/>
  <c r="AS272" i="5" s="1"/>
  <c r="AS277" i="5" s="1"/>
  <c r="AK47" i="6"/>
  <c r="AK62" i="6"/>
  <c r="AH296" i="5"/>
  <c r="AU194" i="6"/>
  <c r="AS54" i="74"/>
  <c r="Q59" i="48"/>
  <c r="AH32" i="5"/>
  <c r="AU59" i="6"/>
  <c r="AH121" i="47"/>
  <c r="AH59" i="74"/>
  <c r="AK207" i="6"/>
  <c r="AG20" i="74"/>
  <c r="AK14" i="93"/>
  <c r="AU257" i="5"/>
  <c r="AU199" i="6"/>
  <c r="AU94" i="74" s="1"/>
  <c r="AU115" i="6"/>
  <c r="AS80" i="74"/>
  <c r="U66" i="75" s="1"/>
  <c r="AU197" i="6"/>
  <c r="AU108" i="6"/>
  <c r="AK25" i="5"/>
  <c r="AU103" i="6"/>
  <c r="AM59" i="74"/>
  <c r="AI85" i="74"/>
  <c r="E45" i="75"/>
  <c r="E19" i="75" s="1"/>
  <c r="AO59" i="74"/>
  <c r="AH85" i="74"/>
  <c r="C71" i="75"/>
  <c r="AC82" i="74"/>
  <c r="H43" i="75"/>
  <c r="F32" i="75"/>
  <c r="C44" i="75"/>
  <c r="AF56" i="74"/>
  <c r="D44" i="75"/>
  <c r="E53" i="75"/>
  <c r="F25" i="75"/>
  <c r="AD127" i="74" s="1"/>
  <c r="D69" i="75"/>
  <c r="C40" i="75"/>
  <c r="F44" i="75"/>
  <c r="G44" i="75"/>
  <c r="AE82" i="74"/>
  <c r="F71" i="75"/>
  <c r="C35" i="75"/>
  <c r="D43" i="75"/>
  <c r="AA56" i="74"/>
  <c r="G60" i="75"/>
  <c r="H58" i="75"/>
  <c r="F34" i="75"/>
  <c r="AB56" i="74"/>
  <c r="H60" i="75"/>
  <c r="C59" i="75"/>
  <c r="C66" i="75"/>
  <c r="AD30" i="74"/>
  <c r="G28" i="75"/>
  <c r="AE130" i="74" s="1"/>
  <c r="D58" i="75"/>
  <c r="C61" i="75"/>
  <c r="C60" i="75"/>
  <c r="E58" i="75"/>
  <c r="C63" i="75"/>
  <c r="C38" i="75"/>
  <c r="K62" i="75"/>
  <c r="F58" i="75"/>
  <c r="E32" i="75"/>
  <c r="C36" i="75"/>
  <c r="D60" i="75"/>
  <c r="E34" i="75"/>
  <c r="G58" i="75"/>
  <c r="F60" i="75"/>
  <c r="C50" i="47"/>
  <c r="AP48" i="47"/>
  <c r="J50" i="47"/>
  <c r="C34" i="75"/>
  <c r="Z47" i="47"/>
  <c r="C62" i="75"/>
  <c r="D32" i="75"/>
  <c r="G34" i="75"/>
  <c r="E50" i="47"/>
  <c r="AP50" i="47"/>
  <c r="D34" i="75"/>
  <c r="G32" i="75"/>
  <c r="H32" i="75"/>
  <c r="X47" i="47"/>
  <c r="AO97" i="74"/>
  <c r="AO96" i="74" s="1"/>
  <c r="AA88" i="74"/>
  <c r="AN62" i="20"/>
  <c r="AE37" i="74"/>
  <c r="AE36" i="74" s="1"/>
  <c r="H26" i="75"/>
  <c r="H12" i="75" s="1"/>
  <c r="AD37" i="74"/>
  <c r="AD36" i="74" s="1"/>
  <c r="AF88" i="74"/>
  <c r="D27" i="75"/>
  <c r="AB129" i="74" s="1"/>
  <c r="H27" i="75"/>
  <c r="H13" i="75" s="1"/>
  <c r="AE63" i="74"/>
  <c r="G49" i="75" s="1"/>
  <c r="AD88" i="74"/>
  <c r="AE11" i="74"/>
  <c r="AE10" i="74" s="1"/>
  <c r="AA119" i="74"/>
  <c r="D52" i="75"/>
  <c r="D26" i="75"/>
  <c r="AB128" i="74" s="1"/>
  <c r="AQ70" i="20"/>
  <c r="AE88" i="74"/>
  <c r="F28" i="75"/>
  <c r="AD130" i="74" s="1"/>
  <c r="AC88" i="74"/>
  <c r="AC11" i="74"/>
  <c r="AC10" i="74" s="1"/>
  <c r="C25" i="75"/>
  <c r="AA127" i="74" s="1"/>
  <c r="AQ35" i="20"/>
  <c r="E27" i="75"/>
  <c r="AD70" i="20"/>
  <c r="AF31" i="20"/>
  <c r="AA11" i="74"/>
  <c r="AA10" i="74" s="1"/>
  <c r="AC70" i="20"/>
  <c r="AO64" i="20"/>
  <c r="F26" i="75"/>
  <c r="AD128" i="74" s="1"/>
  <c r="H28" i="75"/>
  <c r="AF130" i="74" s="1"/>
  <c r="D25" i="75"/>
  <c r="AB127" i="74" s="1"/>
  <c r="C29" i="75"/>
  <c r="AA131" i="74" s="1"/>
  <c r="G50" i="75"/>
  <c r="E25" i="75"/>
  <c r="AC127" i="74" s="1"/>
  <c r="AS48" i="47"/>
  <c r="AU14" i="93"/>
  <c r="AG290" i="5"/>
  <c r="AG118" i="74" s="1"/>
  <c r="AG72" i="74"/>
  <c r="I58" i="75" s="1"/>
  <c r="AI66" i="47"/>
  <c r="AK47" i="5"/>
  <c r="AI49" i="74"/>
  <c r="AK21" i="93"/>
  <c r="AI9" i="103"/>
  <c r="AU15" i="93"/>
  <c r="AU27" i="93"/>
  <c r="AU223" i="5"/>
  <c r="AU23" i="5"/>
  <c r="AT32" i="5"/>
  <c r="AI208" i="6"/>
  <c r="AI214" i="6" s="1"/>
  <c r="AI216" i="6" s="1"/>
  <c r="AI221" i="6" s="1"/>
  <c r="AK135" i="5"/>
  <c r="AU16" i="93"/>
  <c r="AU28" i="93"/>
  <c r="AU49" i="93"/>
  <c r="AR103" i="47"/>
  <c r="AU29" i="93"/>
  <c r="AT243" i="5"/>
  <c r="AT248" i="5" s="1"/>
  <c r="AT250" i="5" s="1"/>
  <c r="AT255" i="5" s="1"/>
  <c r="AI69" i="74"/>
  <c r="K55" i="75" s="1"/>
  <c r="AK9" i="6"/>
  <c r="AK13" i="93"/>
  <c r="AK31" i="93"/>
  <c r="AL34" i="103"/>
  <c r="AR66" i="47"/>
  <c r="AR111" i="47"/>
  <c r="AS290" i="5"/>
  <c r="AS118" i="74" s="1"/>
  <c r="AH68" i="47"/>
  <c r="AK106" i="6"/>
  <c r="AK160" i="6"/>
  <c r="AK28" i="9"/>
  <c r="AH89" i="47"/>
  <c r="AK31" i="5"/>
  <c r="AL31" i="103"/>
  <c r="AU31" i="93"/>
  <c r="AU84" i="93"/>
  <c r="AU241" i="5"/>
  <c r="AQ300" i="5"/>
  <c r="AH74" i="47"/>
  <c r="AI297" i="5"/>
  <c r="AI41" i="74"/>
  <c r="AK52" i="5"/>
  <c r="AK36" i="5"/>
  <c r="AK132" i="5"/>
  <c r="AL20" i="103"/>
  <c r="AL33" i="103"/>
  <c r="AU258" i="5"/>
  <c r="AU106" i="74" s="1"/>
  <c r="AU235" i="5"/>
  <c r="AU213" i="6"/>
  <c r="AS64" i="74"/>
  <c r="AS66" i="47"/>
  <c r="AU158" i="5"/>
  <c r="AS53" i="74"/>
  <c r="AU247" i="5"/>
  <c r="AK163" i="5"/>
  <c r="AK102" i="74" s="1"/>
  <c r="AK147" i="5"/>
  <c r="AK32" i="12"/>
  <c r="AH14" i="74"/>
  <c r="AK46" i="6"/>
  <c r="AU21" i="93"/>
  <c r="AU33" i="93"/>
  <c r="AU161" i="6"/>
  <c r="AQ71" i="47"/>
  <c r="AS76" i="74"/>
  <c r="U62" i="75" s="1"/>
  <c r="AU256" i="5"/>
  <c r="AS55" i="74"/>
  <c r="AK110" i="5"/>
  <c r="AH94" i="47"/>
  <c r="AU9" i="93"/>
  <c r="AU22" i="93"/>
  <c r="AQ54" i="74"/>
  <c r="AU154" i="5"/>
  <c r="AK33" i="6"/>
  <c r="AK206" i="6"/>
  <c r="AU11" i="93"/>
  <c r="AU23" i="93"/>
  <c r="AU35" i="93"/>
  <c r="AU267" i="5"/>
  <c r="AQ55" i="74"/>
  <c r="AU173" i="6"/>
  <c r="AU186" i="6"/>
  <c r="AR42" i="74"/>
  <c r="AU44" i="6"/>
  <c r="AU126" i="6"/>
  <c r="AS76" i="47"/>
  <c r="AK182" i="5"/>
  <c r="AK100" i="5"/>
  <c r="AH57" i="47"/>
  <c r="AU12" i="93"/>
  <c r="AU24" i="93"/>
  <c r="AU36" i="93"/>
  <c r="P7" i="48"/>
  <c r="P56" i="48" s="1"/>
  <c r="AK209" i="6"/>
  <c r="AK191" i="5"/>
  <c r="AH52" i="74"/>
  <c r="AU13" i="93"/>
  <c r="AU37" i="93"/>
  <c r="AU224" i="5"/>
  <c r="AU220" i="6"/>
  <c r="G45" i="75"/>
  <c r="G19" i="75" s="1"/>
  <c r="D45" i="75"/>
  <c r="D19" i="75" s="1"/>
  <c r="H45" i="75"/>
  <c r="H19" i="75" s="1"/>
  <c r="E71" i="75"/>
  <c r="AI8" i="87"/>
  <c r="AA13" i="87"/>
  <c r="AB8" i="87" s="1"/>
  <c r="AB13" i="87" s="1"/>
  <c r="AC8" i="87" s="1"/>
  <c r="AC13" i="87" s="1"/>
  <c r="AD8" i="87" s="1"/>
  <c r="AD13" i="87" s="1"/>
  <c r="AE8" i="87" s="1"/>
  <c r="AE13" i="87" s="1"/>
  <c r="AF8" i="87" s="1"/>
  <c r="AF13" i="87" s="1"/>
  <c r="AG8" i="87" s="1"/>
  <c r="AG13" i="87" s="1"/>
  <c r="AH8" i="87" s="1"/>
  <c r="AK20" i="5"/>
  <c r="AH69" i="47"/>
  <c r="AK129" i="5"/>
  <c r="AK51" i="115" s="1"/>
  <c r="AQ290" i="5"/>
  <c r="AQ118" i="74" s="1"/>
  <c r="AU246" i="5"/>
  <c r="AU175" i="6"/>
  <c r="AQ105" i="47"/>
  <c r="AU185" i="6"/>
  <c r="AT57" i="74"/>
  <c r="AT86" i="47"/>
  <c r="AH22" i="74"/>
  <c r="AK107" i="5"/>
  <c r="AH50" i="47"/>
  <c r="AK179" i="5"/>
  <c r="AH78" i="74"/>
  <c r="J64" i="75" s="1"/>
  <c r="AK202" i="5"/>
  <c r="AK54" i="115" s="1"/>
  <c r="AH31" i="74"/>
  <c r="AH10" i="9"/>
  <c r="AH43" i="74"/>
  <c r="AK24" i="5"/>
  <c r="AH301" i="5"/>
  <c r="AU85" i="6"/>
  <c r="AQ39" i="74"/>
  <c r="P6" i="48"/>
  <c r="P41" i="48" s="1"/>
  <c r="P16" i="48"/>
  <c r="P18" i="48" s="1"/>
  <c r="AI23" i="74"/>
  <c r="AQ130" i="47"/>
  <c r="AU33" i="12"/>
  <c r="AH28" i="74"/>
  <c r="AK105" i="5"/>
  <c r="AU132" i="6"/>
  <c r="AQ66" i="74"/>
  <c r="AH100" i="74"/>
  <c r="AK116" i="5"/>
  <c r="AK100" i="74" s="1"/>
  <c r="AH73" i="47"/>
  <c r="AK127" i="5"/>
  <c r="AQ60" i="47"/>
  <c r="AQ301" i="5"/>
  <c r="AU24" i="5"/>
  <c r="AS151" i="6"/>
  <c r="AT50" i="74"/>
  <c r="AH233" i="5"/>
  <c r="AH86" i="47"/>
  <c r="AH66" i="20"/>
  <c r="AK155" i="6"/>
  <c r="AI72" i="74"/>
  <c r="K58" i="75" s="1"/>
  <c r="AI20" i="74"/>
  <c r="AH23" i="74"/>
  <c r="AU57" i="93"/>
  <c r="AU48" i="5"/>
  <c r="AS55" i="47"/>
  <c r="AS114" i="47"/>
  <c r="AT75" i="47"/>
  <c r="AU13" i="5"/>
  <c r="AT50" i="47"/>
  <c r="AI57" i="47"/>
  <c r="AU34" i="93"/>
  <c r="AU34" i="5"/>
  <c r="AQ32" i="74"/>
  <c r="AK53" i="5"/>
  <c r="AG302" i="5"/>
  <c r="AK149" i="5"/>
  <c r="AU10" i="19"/>
  <c r="AH48" i="74"/>
  <c r="AH295" i="5"/>
  <c r="AK112" i="5"/>
  <c r="AH55" i="47"/>
  <c r="AQ53" i="47"/>
  <c r="AU16" i="5"/>
  <c r="AI290" i="5"/>
  <c r="AI118" i="74" s="1"/>
  <c r="AK44" i="5"/>
  <c r="AQ103" i="47"/>
  <c r="AP105" i="20"/>
  <c r="AS53" i="6"/>
  <c r="AS55" i="6" s="1"/>
  <c r="AS60" i="6" s="1"/>
  <c r="Q51" i="48"/>
  <c r="AT10" i="6"/>
  <c r="AR114" i="47"/>
  <c r="AR16" i="74"/>
  <c r="AR68" i="74"/>
  <c r="AU217" i="6"/>
  <c r="AT117" i="74"/>
  <c r="AT67" i="47"/>
  <c r="AH77" i="74"/>
  <c r="J63" i="75" s="1"/>
  <c r="AH25" i="74"/>
  <c r="AH95" i="47"/>
  <c r="AK143" i="6"/>
  <c r="AH290" i="5"/>
  <c r="AH118" i="74" s="1"/>
  <c r="AK111" i="5"/>
  <c r="AI295" i="5"/>
  <c r="AK278" i="5"/>
  <c r="AQ285" i="5"/>
  <c r="AU31" i="5"/>
  <c r="AU172" i="6"/>
  <c r="AU198" i="6"/>
  <c r="O9" i="48"/>
  <c r="O61" i="48" s="1"/>
  <c r="AK118" i="5"/>
  <c r="AK91" i="6"/>
  <c r="AK105" i="6"/>
  <c r="AK215" i="6"/>
  <c r="AK223" i="6"/>
  <c r="AK25" i="12"/>
  <c r="AK187" i="5"/>
  <c r="AK30" i="5"/>
  <c r="AL13" i="103"/>
  <c r="AL16" i="103"/>
  <c r="AQ121" i="47"/>
  <c r="AU280" i="5"/>
  <c r="AU80" i="6"/>
  <c r="AU60" i="115" s="1"/>
  <c r="AQ89" i="6"/>
  <c r="AU143" i="6"/>
  <c r="O16" i="48"/>
  <c r="O18" i="48" s="1"/>
  <c r="AU11" i="9"/>
  <c r="AU43" i="93"/>
  <c r="AU38" i="93"/>
  <c r="AU36" i="5"/>
  <c r="AK40" i="5"/>
  <c r="AH10" i="6"/>
  <c r="AH93" i="47"/>
  <c r="AK55" i="93"/>
  <c r="AK84" i="93"/>
  <c r="AL56" i="103"/>
  <c r="AU18" i="5"/>
  <c r="AQ65" i="74"/>
  <c r="AR43" i="74"/>
  <c r="AS102" i="47"/>
  <c r="AT298" i="5"/>
  <c r="AT32" i="74"/>
  <c r="AU37" i="5"/>
  <c r="AH46" i="74"/>
  <c r="AK219" i="6"/>
  <c r="AH12" i="74"/>
  <c r="AK271" i="5"/>
  <c r="AK34" i="93"/>
  <c r="AL43" i="103"/>
  <c r="AL50" i="103"/>
  <c r="AQ79" i="74"/>
  <c r="AU156" i="5"/>
  <c r="AR105" i="47"/>
  <c r="O6" i="48"/>
  <c r="O41" i="48" s="1"/>
  <c r="AS208" i="6"/>
  <c r="AU44" i="9"/>
  <c r="AT226" i="5"/>
  <c r="AT228" i="5" s="1"/>
  <c r="AT233" i="5" s="1"/>
  <c r="AT234" i="5" s="1"/>
  <c r="AT236" i="5" s="1"/>
  <c r="AT105" i="74" s="1"/>
  <c r="AU252" i="5"/>
  <c r="AK98" i="6"/>
  <c r="AK167" i="6"/>
  <c r="AH75" i="47"/>
  <c r="AI41" i="103"/>
  <c r="AI48" i="103"/>
  <c r="AU10" i="93"/>
  <c r="AS109" i="47"/>
  <c r="AI46" i="74"/>
  <c r="AK138" i="5"/>
  <c r="AK115" i="6"/>
  <c r="AH49" i="74"/>
  <c r="AK83" i="93"/>
  <c r="AU48" i="93"/>
  <c r="AQ29" i="12"/>
  <c r="AQ31" i="12" s="1"/>
  <c r="AQ297" i="5"/>
  <c r="AU187" i="6"/>
  <c r="AU230" i="5"/>
  <c r="AU34" i="9"/>
  <c r="AS65" i="47"/>
  <c r="AH96" i="47"/>
  <c r="AK71" i="6"/>
  <c r="AH202" i="6"/>
  <c r="AK41" i="93"/>
  <c r="AL14" i="103"/>
  <c r="AI19" i="103"/>
  <c r="AU72" i="93"/>
  <c r="AU21" i="19"/>
  <c r="AQ27" i="74"/>
  <c r="AQ39" i="9"/>
  <c r="AS68" i="47"/>
  <c r="AK54" i="93"/>
  <c r="AU41" i="93"/>
  <c r="AU109" i="6"/>
  <c r="AU140" i="6"/>
  <c r="AK193" i="5"/>
  <c r="AK66" i="93"/>
  <c r="AK85" i="93"/>
  <c r="AU30" i="93"/>
  <c r="AQ295" i="5"/>
  <c r="AQ76" i="74"/>
  <c r="AQ302" i="5"/>
  <c r="AU42" i="5"/>
  <c r="AU254" i="5"/>
  <c r="AQ43" i="74"/>
  <c r="AQ84" i="74"/>
  <c r="AU52" i="6"/>
  <c r="AU169" i="6"/>
  <c r="AU193" i="6"/>
  <c r="AU42" i="93"/>
  <c r="AU225" i="5"/>
  <c r="AU23" i="9"/>
  <c r="AK8" i="9"/>
  <c r="AK25" i="93"/>
  <c r="AK33" i="93"/>
  <c r="AQ293" i="5"/>
  <c r="AU278" i="5"/>
  <c r="AU54" i="6"/>
  <c r="AU73" i="6"/>
  <c r="O7" i="48"/>
  <c r="O56" i="48" s="1"/>
  <c r="AU162" i="5"/>
  <c r="P54" i="48"/>
  <c r="D17" i="45"/>
  <c r="J8" i="45"/>
  <c r="S27" i="45"/>
  <c r="N27" i="45"/>
  <c r="P8" i="45"/>
  <c r="D8" i="45"/>
  <c r="P17" i="45"/>
  <c r="J17" i="45"/>
  <c r="I11" i="45"/>
  <c r="E11" i="45"/>
  <c r="I8" i="45"/>
  <c r="R27" i="45"/>
  <c r="H8" i="45"/>
  <c r="Q27" i="45"/>
  <c r="G8" i="45"/>
  <c r="N11" i="45"/>
  <c r="T17" i="45"/>
  <c r="M27" i="45"/>
  <c r="L17" i="45"/>
  <c r="O17" i="45"/>
  <c r="C17" i="45"/>
  <c r="Z27" i="45"/>
  <c r="K27" i="45"/>
  <c r="F11" i="45"/>
  <c r="J11" i="45"/>
  <c r="F8" i="45"/>
  <c r="L11" i="45"/>
  <c r="M11" i="45"/>
  <c r="C11" i="45"/>
  <c r="D11" i="45"/>
  <c r="H11" i="45"/>
  <c r="M8" i="45"/>
  <c r="O11" i="45"/>
  <c r="O27" i="45"/>
  <c r="D11" i="99"/>
  <c r="D13" i="99" s="1"/>
  <c r="D16" i="99" s="1"/>
  <c r="D18" i="99" s="1"/>
  <c r="D19" i="99" s="1"/>
  <c r="D21" i="99" s="1"/>
  <c r="G12" i="99"/>
  <c r="L14" i="99"/>
  <c r="J16" i="99"/>
  <c r="J18" i="99" s="1"/>
  <c r="J19" i="99" s="1"/>
  <c r="J21" i="99" s="1"/>
  <c r="L17" i="99"/>
  <c r="L22" i="99"/>
  <c r="Q10" i="99"/>
  <c r="AP40" i="9"/>
  <c r="AI88" i="47"/>
  <c r="AK17" i="9"/>
  <c r="AJ86" i="47"/>
  <c r="AG10" i="9"/>
  <c r="AN31" i="74"/>
  <c r="AT85" i="47"/>
  <c r="AU18" i="9"/>
  <c r="AT39" i="9"/>
  <c r="AT41" i="9" s="1"/>
  <c r="AT46" i="9" s="1"/>
  <c r="AT110" i="74" s="1"/>
  <c r="AJ85" i="47"/>
  <c r="AI87" i="47"/>
  <c r="AP9" i="9"/>
  <c r="H70" i="75"/>
  <c r="E69" i="75"/>
  <c r="AU38" i="9"/>
  <c r="AP8" i="9"/>
  <c r="AK26" i="9"/>
  <c r="AI89" i="47"/>
  <c r="AI13" i="47" s="1"/>
  <c r="AG31" i="74"/>
  <c r="AI91" i="47"/>
  <c r="AM10" i="9"/>
  <c r="AF108" i="74"/>
  <c r="AC56" i="74"/>
  <c r="AU43" i="9"/>
  <c r="AU14" i="9"/>
  <c r="AH88" i="47"/>
  <c r="AK35" i="9"/>
  <c r="AH58" i="74"/>
  <c r="AD56" i="74"/>
  <c r="F70" i="75"/>
  <c r="AN96" i="47"/>
  <c r="AU37" i="9"/>
  <c r="AG57" i="74"/>
  <c r="AK45" i="9"/>
  <c r="C69" i="75"/>
  <c r="AO10" i="9"/>
  <c r="AO28" i="115" s="1"/>
  <c r="AJ95" i="47"/>
  <c r="AJ10" i="9"/>
  <c r="AO85" i="47"/>
  <c r="AU45" i="9"/>
  <c r="AT84" i="74"/>
  <c r="AK13" i="9"/>
  <c r="AI94" i="47"/>
  <c r="AJ88" i="47"/>
  <c r="AP37" i="9"/>
  <c r="AP33" i="9"/>
  <c r="AM95" i="47"/>
  <c r="AQ91" i="47"/>
  <c r="AH87" i="47"/>
  <c r="AK20" i="9"/>
  <c r="AL91" i="47"/>
  <c r="D70" i="75"/>
  <c r="H44" i="75"/>
  <c r="AR10" i="9"/>
  <c r="AR28" i="115" s="1"/>
  <c r="AK11" i="9"/>
  <c r="AP17" i="9"/>
  <c r="AP104" i="115" s="1"/>
  <c r="AP13" i="9"/>
  <c r="AB82" i="74"/>
  <c r="AA30" i="74"/>
  <c r="AN86" i="47"/>
  <c r="AO84" i="74"/>
  <c r="AT83" i="74"/>
  <c r="AJ69" i="74"/>
  <c r="AJ40" i="74"/>
  <c r="AN67" i="47"/>
  <c r="AN32" i="47" s="1"/>
  <c r="AN16" i="74"/>
  <c r="AM104" i="20"/>
  <c r="M59" i="48"/>
  <c r="AJ67" i="20"/>
  <c r="AK210" i="6"/>
  <c r="AI43" i="74"/>
  <c r="AU211" i="6"/>
  <c r="AQ69" i="74"/>
  <c r="AU139" i="6"/>
  <c r="AS75" i="47"/>
  <c r="AR68" i="20"/>
  <c r="AR36" i="20" s="1"/>
  <c r="AU195" i="6"/>
  <c r="AK156" i="6"/>
  <c r="AP110" i="6"/>
  <c r="AP173" i="6"/>
  <c r="AP156" i="6"/>
  <c r="AK67" i="20"/>
  <c r="AK35" i="20" s="1"/>
  <c r="AU39" i="6"/>
  <c r="AR123" i="6"/>
  <c r="AU121" i="6"/>
  <c r="AK192" i="6"/>
  <c r="AP64" i="6"/>
  <c r="AM68" i="47"/>
  <c r="AM33" i="47" s="1"/>
  <c r="AM15" i="74"/>
  <c r="AR78" i="47"/>
  <c r="AU200" i="6"/>
  <c r="AM105" i="20"/>
  <c r="AM77" i="20" s="1"/>
  <c r="AU11" i="6"/>
  <c r="N54" i="48"/>
  <c r="AR31" i="20"/>
  <c r="AR62" i="20"/>
  <c r="AH35" i="20"/>
  <c r="AU160" i="6"/>
  <c r="AL123" i="6"/>
  <c r="AL23" i="115" s="1"/>
  <c r="AL13" i="116" s="1"/>
  <c r="AP121" i="6"/>
  <c r="AK86" i="6"/>
  <c r="AL38" i="74"/>
  <c r="AS62" i="20"/>
  <c r="AG38" i="74"/>
  <c r="AK57" i="6"/>
  <c r="G57" i="48"/>
  <c r="AK200" i="6"/>
  <c r="AG202" i="6"/>
  <c r="AK58" i="6"/>
  <c r="AP16" i="6"/>
  <c r="J59" i="48"/>
  <c r="AC37" i="74"/>
  <c r="AC36" i="74" s="1"/>
  <c r="AU184" i="6"/>
  <c r="AT40" i="74"/>
  <c r="AT73" i="47"/>
  <c r="AU215" i="6"/>
  <c r="AU128" i="6"/>
  <c r="AF68" i="20"/>
  <c r="AF36" i="20" s="1"/>
  <c r="AK158" i="6"/>
  <c r="AH65" i="74"/>
  <c r="J51" i="75" s="1"/>
  <c r="AM65" i="74"/>
  <c r="E50" i="75"/>
  <c r="AC63" i="74"/>
  <c r="E52" i="75"/>
  <c r="AF64" i="47"/>
  <c r="AN43" i="74"/>
  <c r="AG73" i="47"/>
  <c r="G55" i="48"/>
  <c r="AH66" i="47"/>
  <c r="AI78" i="47"/>
  <c r="AP137" i="6"/>
  <c r="AM73" i="47"/>
  <c r="AB88" i="74"/>
  <c r="AN66" i="47"/>
  <c r="AN31" i="47" s="1"/>
  <c r="L55" i="48"/>
  <c r="M57" i="48"/>
  <c r="AS73" i="47"/>
  <c r="AS40" i="74"/>
  <c r="AS69" i="74"/>
  <c r="AS117" i="74"/>
  <c r="AU102" i="6"/>
  <c r="AU117" i="74" s="1"/>
  <c r="N55" i="48"/>
  <c r="AQ66" i="47"/>
  <c r="AU124" i="6"/>
  <c r="AU209" i="6"/>
  <c r="AB37" i="74"/>
  <c r="AB36" i="74" s="1"/>
  <c r="AU19" i="6"/>
  <c r="AU75" i="6"/>
  <c r="AU225" i="6"/>
  <c r="AR35" i="20"/>
  <c r="Q52" i="48"/>
  <c r="AU9" i="6"/>
  <c r="AH149" i="6"/>
  <c r="AP61" i="6"/>
  <c r="AP48" i="6"/>
  <c r="AP170" i="6"/>
  <c r="AL105" i="20"/>
  <c r="AL77" i="20" s="1"/>
  <c r="AM208" i="6"/>
  <c r="AM214" i="6" s="1"/>
  <c r="AM216" i="6" s="1"/>
  <c r="AM221" i="6" s="1"/>
  <c r="AM227" i="6" s="1"/>
  <c r="AN73" i="47"/>
  <c r="AN38" i="47" s="1"/>
  <c r="AO53" i="6"/>
  <c r="AO55" i="6" s="1"/>
  <c r="AO60" i="6" s="1"/>
  <c r="AQ76" i="47"/>
  <c r="AU47" i="6"/>
  <c r="AU131" i="6"/>
  <c r="AR93" i="74"/>
  <c r="AP104" i="20"/>
  <c r="AQ183" i="6"/>
  <c r="AQ189" i="6" s="1"/>
  <c r="AQ191" i="6" s="1"/>
  <c r="AU181" i="6"/>
  <c r="AR12" i="74"/>
  <c r="AU127" i="6"/>
  <c r="AS70" i="6"/>
  <c r="AS22" i="115" s="1"/>
  <c r="AU68" i="6"/>
  <c r="AS13" i="74"/>
  <c r="AT43" i="74"/>
  <c r="AT74" i="47"/>
  <c r="AU165" i="6"/>
  <c r="AT77" i="6"/>
  <c r="AK110" i="6"/>
  <c r="AK135" i="6"/>
  <c r="AK37" i="6"/>
  <c r="AP75" i="6"/>
  <c r="AL92" i="74"/>
  <c r="AP144" i="6"/>
  <c r="AP92" i="74" s="1"/>
  <c r="AP155" i="6"/>
  <c r="AP220" i="6"/>
  <c r="AL104" i="20"/>
  <c r="AP181" i="6"/>
  <c r="G25" i="75"/>
  <c r="AE127" i="74" s="1"/>
  <c r="AJ12" i="74"/>
  <c r="AK195" i="6"/>
  <c r="AP47" i="6"/>
  <c r="AP38" i="6"/>
  <c r="AP83" i="6"/>
  <c r="AP142" i="6"/>
  <c r="AP218" i="6"/>
  <c r="E28" i="75"/>
  <c r="AC130" i="74" s="1"/>
  <c r="AU48" i="6"/>
  <c r="AU37" i="6"/>
  <c r="AR38" i="74"/>
  <c r="AR67" i="74"/>
  <c r="AS16" i="74"/>
  <c r="AT68" i="47"/>
  <c r="AT64" i="74"/>
  <c r="V50" i="75" s="1"/>
  <c r="I54" i="48"/>
  <c r="J64" i="48"/>
  <c r="AJ76" i="47"/>
  <c r="AP81" i="6"/>
  <c r="AP217" i="6"/>
  <c r="AN40" i="74"/>
  <c r="AN78" i="47"/>
  <c r="AN43" i="47" s="1"/>
  <c r="AN22" i="47" s="1"/>
  <c r="AN10" i="6"/>
  <c r="AN15" i="6" s="1"/>
  <c r="AN17" i="6" s="1"/>
  <c r="AN22" i="6" s="1"/>
  <c r="AN23" i="6" s="1"/>
  <c r="AN25" i="6" s="1"/>
  <c r="AN89" i="74" s="1"/>
  <c r="AN88" i="74" s="1"/>
  <c r="AO41" i="74"/>
  <c r="AU63" i="6"/>
  <c r="AU90" i="74" s="1"/>
  <c r="AQ90" i="74"/>
  <c r="AR92" i="74"/>
  <c r="AS74" i="47"/>
  <c r="AS41" i="74"/>
  <c r="AS42" i="74"/>
  <c r="P51" i="48"/>
  <c r="Q56" i="48"/>
  <c r="AH71" i="47"/>
  <c r="AK140" i="6"/>
  <c r="AK188" i="6"/>
  <c r="AF63" i="74"/>
  <c r="AF62" i="74" s="1"/>
  <c r="H51" i="75"/>
  <c r="AU104" i="6"/>
  <c r="AQ123" i="6"/>
  <c r="AQ23" i="115" s="1"/>
  <c r="AQ14" i="74"/>
  <c r="AS159" i="6"/>
  <c r="AS15" i="74"/>
  <c r="AU190" i="6"/>
  <c r="AS67" i="74"/>
  <c r="Q55" i="48"/>
  <c r="AT66" i="47"/>
  <c r="AT38" i="74"/>
  <c r="AT42" i="74"/>
  <c r="AK185" i="6"/>
  <c r="AI12" i="74"/>
  <c r="AJ64" i="74"/>
  <c r="AK83" i="6"/>
  <c r="AH41" i="74"/>
  <c r="AK35" i="6"/>
  <c r="AK87" i="6"/>
  <c r="AJ65" i="74"/>
  <c r="L51" i="75" s="1"/>
  <c r="AP138" i="6"/>
  <c r="AL40" i="74"/>
  <c r="AL16" i="74"/>
  <c r="AL68" i="74"/>
  <c r="AM25" i="6"/>
  <c r="AM89" i="74" s="1"/>
  <c r="AP187" i="6"/>
  <c r="C52" i="75"/>
  <c r="AP143" i="6"/>
  <c r="AN41" i="74"/>
  <c r="AO78" i="47"/>
  <c r="AO43" i="47" s="1"/>
  <c r="AO22" i="47" s="1"/>
  <c r="AN65" i="47"/>
  <c r="AN30" i="47" s="1"/>
  <c r="AO17" i="74"/>
  <c r="AO69" i="74"/>
  <c r="AU31" i="6"/>
  <c r="AU51" i="6"/>
  <c r="AU105" i="6"/>
  <c r="AU218" i="6"/>
  <c r="AT71" i="47"/>
  <c r="AU16" i="6"/>
  <c r="AK18" i="6"/>
  <c r="AK34" i="6"/>
  <c r="AG69" i="47"/>
  <c r="AI76" i="47"/>
  <c r="AP57" i="6"/>
  <c r="AP151" i="6"/>
  <c r="AA37" i="74"/>
  <c r="AA36" i="74" s="1"/>
  <c r="E29" i="75"/>
  <c r="AC131" i="74" s="1"/>
  <c r="AO67" i="74"/>
  <c r="Q53" i="75" s="1"/>
  <c r="AU107" i="6"/>
  <c r="AR17" i="74"/>
  <c r="AU219" i="6"/>
  <c r="AU125" i="6"/>
  <c r="AK20" i="6"/>
  <c r="AP93" i="6"/>
  <c r="AP163" i="6"/>
  <c r="AL78" i="47"/>
  <c r="AL43" i="47" s="1"/>
  <c r="AP212" i="6"/>
  <c r="AP30" i="6"/>
  <c r="AP99" i="6"/>
  <c r="AM41" i="74"/>
  <c r="AM69" i="47"/>
  <c r="AP213" i="6"/>
  <c r="E51" i="75"/>
  <c r="C51" i="75"/>
  <c r="G29" i="75"/>
  <c r="G15" i="75" s="1"/>
  <c r="AN66" i="74"/>
  <c r="P52" i="75" s="1"/>
  <c r="AN42" i="74"/>
  <c r="AO65" i="47"/>
  <c r="AO30" i="47" s="1"/>
  <c r="M54" i="48"/>
  <c r="AN30" i="20"/>
  <c r="AU57" i="6"/>
  <c r="AU168" i="6"/>
  <c r="O59" i="48"/>
  <c r="AU210" i="6"/>
  <c r="AS43" i="74"/>
  <c r="P59" i="48"/>
  <c r="AS71" i="47"/>
  <c r="AT41" i="74"/>
  <c r="AT16" i="74"/>
  <c r="AS104" i="20"/>
  <c r="AK39" i="6"/>
  <c r="AG70" i="6"/>
  <c r="AG22" i="115" s="1"/>
  <c r="AK85" i="6"/>
  <c r="AI36" i="20"/>
  <c r="AP34" i="6"/>
  <c r="AP31" i="6"/>
  <c r="AP133" i="6"/>
  <c r="AP215" i="6"/>
  <c r="G27" i="75"/>
  <c r="F29" i="75"/>
  <c r="AD131" i="74" s="1"/>
  <c r="H29" i="75"/>
  <c r="H15" i="75" s="1"/>
  <c r="AF67" i="47"/>
  <c r="AO39" i="74"/>
  <c r="Q25" i="75" s="1"/>
  <c r="AO127" i="74" s="1"/>
  <c r="AU46" i="6"/>
  <c r="AU58" i="6"/>
  <c r="AU157" i="6"/>
  <c r="AS123" i="6"/>
  <c r="AS23" i="115" s="1"/>
  <c r="AS105" i="20"/>
  <c r="AK225" i="6"/>
  <c r="AP20" i="6"/>
  <c r="AP33" i="6"/>
  <c r="AP91" i="6"/>
  <c r="AM10" i="6"/>
  <c r="AM15" i="6" s="1"/>
  <c r="AM17" i="6" s="1"/>
  <c r="AM22" i="6" s="1"/>
  <c r="K65" i="48" s="1"/>
  <c r="K66" i="48" s="1"/>
  <c r="AP32" i="6"/>
  <c r="AP135" i="6"/>
  <c r="G53" i="75"/>
  <c r="G26" i="75"/>
  <c r="AE128" i="74" s="1"/>
  <c r="AU8" i="6"/>
  <c r="N51" i="48"/>
  <c r="AQ10" i="6"/>
  <c r="AQ15" i="6" s="1"/>
  <c r="AU74" i="6"/>
  <c r="AU86" i="6"/>
  <c r="AR41" i="74"/>
  <c r="AT65" i="47"/>
  <c r="AF37" i="74"/>
  <c r="E26" i="75"/>
  <c r="E12" i="75" s="1"/>
  <c r="H50" i="75"/>
  <c r="H52" i="75"/>
  <c r="AD11" i="74"/>
  <c r="AD10" i="74" s="1"/>
  <c r="AT76" i="47"/>
  <c r="AU114" i="6"/>
  <c r="AU158" i="6"/>
  <c r="AU212" i="6"/>
  <c r="AT69" i="74"/>
  <c r="C27" i="75"/>
  <c r="AA129" i="74" s="1"/>
  <c r="D50" i="75"/>
  <c r="AU163" i="6"/>
  <c r="AT17" i="74"/>
  <c r="AR67" i="47"/>
  <c r="AU43" i="6"/>
  <c r="AU64" i="6"/>
  <c r="AU33" i="6"/>
  <c r="AU61" i="6"/>
  <c r="AU69" i="6"/>
  <c r="AU112" i="6"/>
  <c r="C26" i="75"/>
  <c r="C12" i="75" s="1"/>
  <c r="G52" i="75"/>
  <c r="AM30" i="20"/>
  <c r="AU167" i="6"/>
  <c r="AU87" i="6"/>
  <c r="F27" i="75"/>
  <c r="AD129" i="74" s="1"/>
  <c r="AU36" i="6"/>
  <c r="AU90" i="6"/>
  <c r="AQ75" i="47"/>
  <c r="AK129" i="47"/>
  <c r="AL125" i="47"/>
  <c r="AR127" i="47"/>
  <c r="AL127" i="47"/>
  <c r="AP25" i="12"/>
  <c r="AS12" i="12"/>
  <c r="AP26" i="12"/>
  <c r="G40" i="93"/>
  <c r="Z113" i="108"/>
  <c r="W48" i="108"/>
  <c r="P92" i="108"/>
  <c r="V48" i="108"/>
  <c r="AH23" i="87"/>
  <c r="V27" i="45"/>
  <c r="W27" i="45"/>
  <c r="M17" i="45"/>
  <c r="I17" i="45"/>
  <c r="N17" i="45"/>
  <c r="H17" i="45"/>
  <c r="F17" i="45"/>
  <c r="H52" i="48"/>
  <c r="H53" i="48" s="1"/>
  <c r="Q10" i="48"/>
  <c r="I16" i="48"/>
  <c r="H26" i="48"/>
  <c r="O26" i="48"/>
  <c r="O28" i="48" s="1"/>
  <c r="P26" i="48"/>
  <c r="L6" i="48"/>
  <c r="L52" i="48" s="1"/>
  <c r="M38" i="48"/>
  <c r="H56" i="48"/>
  <c r="L7" i="48"/>
  <c r="L56" i="48" s="1"/>
  <c r="N16" i="48"/>
  <c r="Q8" i="48"/>
  <c r="H38" i="48"/>
  <c r="AT75" i="20"/>
  <c r="AO8" i="20"/>
  <c r="AM62" i="20"/>
  <c r="AO29" i="20"/>
  <c r="AJ15" i="20"/>
  <c r="AN10" i="20"/>
  <c r="AN16" i="20" s="1"/>
  <c r="AT17" i="20"/>
  <c r="AO75" i="20"/>
  <c r="AO61" i="20"/>
  <c r="AG29" i="20"/>
  <c r="H34" i="48"/>
  <c r="AK111" i="20"/>
  <c r="AK83" i="20" s="1"/>
  <c r="P40" i="48"/>
  <c r="AT114" i="20"/>
  <c r="AO12" i="20"/>
  <c r="AO113" i="20"/>
  <c r="AG65" i="20"/>
  <c r="F40" i="48"/>
  <c r="AN6" i="20"/>
  <c r="AO80" i="20"/>
  <c r="AT61" i="20"/>
  <c r="AO79" i="20"/>
  <c r="AF75" i="20"/>
  <c r="G36" i="48"/>
  <c r="G38" i="48" s="1"/>
  <c r="N35" i="48"/>
  <c r="AO103" i="20"/>
  <c r="AH36" i="20"/>
  <c r="AK10" i="20"/>
  <c r="AK16" i="20" s="1"/>
  <c r="AN70" i="20"/>
  <c r="AT103" i="20"/>
  <c r="AT14" i="20"/>
  <c r="AP10" i="20"/>
  <c r="AO7" i="20"/>
  <c r="AG10" i="20"/>
  <c r="AG16" i="20" s="1"/>
  <c r="AO85" i="20"/>
  <c r="AF62" i="20"/>
  <c r="L39" i="48"/>
  <c r="AO20" i="20"/>
  <c r="AJ84" i="20"/>
  <c r="AK27" i="20"/>
  <c r="AP84" i="20"/>
  <c r="AG83" i="88"/>
  <c r="AG41" i="88"/>
  <c r="AG43" i="88"/>
  <c r="AF83" i="88"/>
  <c r="AO188" i="18"/>
  <c r="AO187" i="18"/>
  <c r="G98" i="18"/>
  <c r="N25" i="18"/>
  <c r="M27" i="18"/>
  <c r="H61" i="18"/>
  <c r="O61" i="18"/>
  <c r="M97" i="18"/>
  <c r="J147" i="18"/>
  <c r="M225" i="18"/>
  <c r="K92" i="18"/>
  <c r="AS54" i="18"/>
  <c r="I63" i="18"/>
  <c r="N49" i="18"/>
  <c r="K219" i="18"/>
  <c r="I226" i="18"/>
  <c r="J225" i="18"/>
  <c r="L51" i="18"/>
  <c r="K80" i="18"/>
  <c r="N147" i="18"/>
  <c r="N27" i="18"/>
  <c r="L49" i="18"/>
  <c r="I61" i="18"/>
  <c r="G97" i="18"/>
  <c r="N97" i="18"/>
  <c r="L145" i="18"/>
  <c r="I213" i="18"/>
  <c r="G225" i="18"/>
  <c r="N225" i="18"/>
  <c r="L236" i="18"/>
  <c r="AI94" i="18"/>
  <c r="M15" i="18"/>
  <c r="AI192" i="18"/>
  <c r="J145" i="18"/>
  <c r="P56" i="18"/>
  <c r="L15" i="18"/>
  <c r="G147" i="18"/>
  <c r="O238" i="18"/>
  <c r="H224" i="18"/>
  <c r="O25" i="18"/>
  <c r="AI197" i="18"/>
  <c r="AK19" i="18"/>
  <c r="P231" i="18"/>
  <c r="L147" i="18"/>
  <c r="AI19" i="18"/>
  <c r="P44" i="18"/>
  <c r="AP80" i="18"/>
  <c r="N226" i="18"/>
  <c r="AI144" i="18"/>
  <c r="I214" i="18"/>
  <c r="K56" i="18"/>
  <c r="AJ70" i="18"/>
  <c r="AP176" i="18"/>
  <c r="K207" i="18"/>
  <c r="P219" i="18"/>
  <c r="AI104" i="18"/>
  <c r="AI111" i="18" s="1"/>
  <c r="P21" i="98"/>
  <c r="M21" i="98"/>
  <c r="Q10" i="98"/>
  <c r="P11" i="98"/>
  <c r="C11" i="98"/>
  <c r="H21" i="98"/>
  <c r="O11" i="98"/>
  <c r="C11" i="99"/>
  <c r="C13" i="99" s="1"/>
  <c r="G17" i="99"/>
  <c r="M13" i="99"/>
  <c r="M16" i="99" s="1"/>
  <c r="M18" i="99" s="1"/>
  <c r="Q12" i="99"/>
  <c r="G22" i="99"/>
  <c r="Q17" i="99"/>
  <c r="L10" i="99"/>
  <c r="G14" i="99"/>
  <c r="G20" i="99"/>
  <c r="E11" i="99"/>
  <c r="E13" i="99" s="1"/>
  <c r="E16" i="99" s="1"/>
  <c r="E18" i="99" s="1"/>
  <c r="E19" i="99" s="1"/>
  <c r="E21" i="99" s="1"/>
  <c r="G9" i="99"/>
  <c r="L15" i="99"/>
  <c r="Q9" i="99"/>
  <c r="Q8" i="99"/>
  <c r="G8" i="99"/>
  <c r="I11" i="99"/>
  <c r="I13" i="99" s="1"/>
  <c r="I16" i="99" s="1"/>
  <c r="I18" i="99" s="1"/>
  <c r="I19" i="99" s="1"/>
  <c r="I21" i="99" s="1"/>
  <c r="L20" i="99"/>
  <c r="L8" i="99"/>
  <c r="Q20" i="99"/>
  <c r="K11" i="99"/>
  <c r="K13" i="99" s="1"/>
  <c r="Q22" i="99"/>
  <c r="G10" i="99"/>
  <c r="L12" i="99"/>
  <c r="G15" i="99"/>
  <c r="L9" i="99"/>
  <c r="H11" i="99"/>
  <c r="L9" i="97"/>
  <c r="L15" i="97"/>
  <c r="G31" i="97"/>
  <c r="L32" i="97"/>
  <c r="G35" i="97"/>
  <c r="L37" i="97"/>
  <c r="G40" i="97"/>
  <c r="L17" i="97"/>
  <c r="J11" i="97"/>
  <c r="J13" i="97" s="1"/>
  <c r="J16" i="97" s="1"/>
  <c r="J18" i="97" s="1"/>
  <c r="J20" i="97" s="1"/>
  <c r="J21" i="97" s="1"/>
  <c r="J23" i="97" s="1"/>
  <c r="I11" i="97"/>
  <c r="I13" i="97" s="1"/>
  <c r="I16" i="97" s="1"/>
  <c r="I18" i="97" s="1"/>
  <c r="I20" i="97" s="1"/>
  <c r="I21" i="97" s="1"/>
  <c r="I23" i="97" s="1"/>
  <c r="L8" i="97"/>
  <c r="Q14" i="97"/>
  <c r="P11" i="97"/>
  <c r="P34" i="97"/>
  <c r="L24" i="97"/>
  <c r="G33" i="97"/>
  <c r="Q9" i="97"/>
  <c r="Q32" i="97"/>
  <c r="AI46" i="9"/>
  <c r="AO91" i="47"/>
  <c r="AO58" i="74"/>
  <c r="AM58" i="74"/>
  <c r="AP35" i="9"/>
  <c r="AP143" i="115" s="1"/>
  <c r="AO57" i="74"/>
  <c r="AO93" i="47"/>
  <c r="AI96" i="47"/>
  <c r="AG95" i="47"/>
  <c r="AG94" i="47"/>
  <c r="AG96" i="47"/>
  <c r="AU19" i="9"/>
  <c r="AQ83" i="74"/>
  <c r="AQ31" i="74"/>
  <c r="AG89" i="47"/>
  <c r="AG91" i="47"/>
  <c r="AK14" i="9"/>
  <c r="AK33" i="9"/>
  <c r="AS32" i="74"/>
  <c r="AU33" i="9"/>
  <c r="AS39" i="9"/>
  <c r="AH84" i="74"/>
  <c r="AH32" i="74"/>
  <c r="AP38" i="9"/>
  <c r="AO39" i="9"/>
  <c r="AO41" i="9" s="1"/>
  <c r="AO46" i="9" s="1"/>
  <c r="AO89" i="47"/>
  <c r="AG85" i="47"/>
  <c r="AH85" i="47"/>
  <c r="AO88" i="47"/>
  <c r="AU27" i="9"/>
  <c r="AI32" i="74"/>
  <c r="AU26" i="9"/>
  <c r="AU13" i="9"/>
  <c r="AL94" i="47"/>
  <c r="AL89" i="47"/>
  <c r="AL85" i="47"/>
  <c r="AU25" i="9"/>
  <c r="AU12" i="9"/>
  <c r="AH57" i="74"/>
  <c r="AK34" i="9"/>
  <c r="AG58" i="74"/>
  <c r="AH91" i="47"/>
  <c r="AK23" i="9"/>
  <c r="AJ94" i="47"/>
  <c r="AJ58" i="74"/>
  <c r="AK44" i="9"/>
  <c r="AG87" i="47"/>
  <c r="AK43" i="9"/>
  <c r="AK42" i="9"/>
  <c r="AS95" i="47"/>
  <c r="AS89" i="47"/>
  <c r="AS86" i="47"/>
  <c r="AS87" i="47"/>
  <c r="AS91" i="47"/>
  <c r="AS93" i="47"/>
  <c r="AJ93" i="47"/>
  <c r="AK27" i="9"/>
  <c r="AG39" i="9"/>
  <c r="AI39" i="9"/>
  <c r="AR85" i="47"/>
  <c r="AR88" i="47"/>
  <c r="AR86" i="47"/>
  <c r="AR87" i="47"/>
  <c r="AR94" i="47"/>
  <c r="AR89" i="47"/>
  <c r="AG86" i="47"/>
  <c r="AK18" i="9"/>
  <c r="AK142" i="115" s="1"/>
  <c r="AP12" i="9"/>
  <c r="AN57" i="74"/>
  <c r="AP26" i="9"/>
  <c r="AN58" i="74"/>
  <c r="AP11" i="9"/>
  <c r="AP43" i="9"/>
  <c r="AE30" i="74"/>
  <c r="G43" i="75"/>
  <c r="AJ89" i="47"/>
  <c r="AJ13" i="47" s="1"/>
  <c r="AU35" i="9"/>
  <c r="AQ58" i="74"/>
  <c r="AR96" i="47"/>
  <c r="AU40" i="9"/>
  <c r="AK38" i="9"/>
  <c r="AK19" i="9"/>
  <c r="AK66" i="115" s="1"/>
  <c r="AI93" i="47"/>
  <c r="AG93" i="47"/>
  <c r="AJ32" i="74"/>
  <c r="AG46" i="9"/>
  <c r="AI83" i="74"/>
  <c r="AI95" i="47"/>
  <c r="AL96" i="47"/>
  <c r="AN39" i="9"/>
  <c r="AN41" i="9" s="1"/>
  <c r="AN46" i="9" s="1"/>
  <c r="AN110" i="74" s="1"/>
  <c r="AH46" i="9"/>
  <c r="G69" i="75"/>
  <c r="AG88" i="47"/>
  <c r="AI85" i="47"/>
  <c r="AH39" i="9"/>
  <c r="AU9" i="9"/>
  <c r="AQ10" i="9"/>
  <c r="AC30" i="74"/>
  <c r="E43" i="75"/>
  <c r="AO94" i="47"/>
  <c r="AK36" i="9"/>
  <c r="AK67" i="115" s="1"/>
  <c r="AK12" i="9"/>
  <c r="AJ91" i="47"/>
  <c r="AP28" i="9"/>
  <c r="AP20" i="9"/>
  <c r="AM84" i="74"/>
  <c r="AP36" i="9"/>
  <c r="AP67" i="115" s="1"/>
  <c r="AO83" i="74"/>
  <c r="AO87" i="47"/>
  <c r="AO31" i="74"/>
  <c r="AU20" i="9"/>
  <c r="AU28" i="9"/>
  <c r="AQ96" i="47"/>
  <c r="AM87" i="47"/>
  <c r="AM32" i="74"/>
  <c r="AD108" i="74"/>
  <c r="AF30" i="74"/>
  <c r="AU17" i="9"/>
  <c r="AJ87" i="47"/>
  <c r="AM91" i="47"/>
  <c r="AN84" i="74"/>
  <c r="AP18" i="9"/>
  <c r="AM94" i="47"/>
  <c r="F43" i="75"/>
  <c r="AM85" i="47"/>
  <c r="AA108" i="74"/>
  <c r="C70" i="75"/>
  <c r="AN83" i="74"/>
  <c r="AP34" i="9"/>
  <c r="AS96" i="47"/>
  <c r="AU42" i="9"/>
  <c r="AS58" i="74"/>
  <c r="AT10" i="9"/>
  <c r="AT28" i="115" s="1"/>
  <c r="AT31" i="74"/>
  <c r="AU8" i="9"/>
  <c r="AM93" i="47"/>
  <c r="AM96" i="47"/>
  <c r="AT87" i="47"/>
  <c r="AQ57" i="74"/>
  <c r="AT95" i="47"/>
  <c r="AT89" i="47"/>
  <c r="AN95" i="47"/>
  <c r="AR57" i="74"/>
  <c r="AR31" i="74"/>
  <c r="AR39" i="9"/>
  <c r="AS57" i="74"/>
  <c r="AF203" i="5"/>
  <c r="AK188" i="5"/>
  <c r="AJ297" i="5"/>
  <c r="AJ243" i="5"/>
  <c r="AJ248" i="5" s="1"/>
  <c r="AJ250" i="5" s="1"/>
  <c r="AJ255" i="5" s="1"/>
  <c r="AJ28" i="74"/>
  <c r="AG97" i="74"/>
  <c r="AG96" i="74" s="1"/>
  <c r="AS289" i="5"/>
  <c r="AS46" i="74"/>
  <c r="AC103" i="74"/>
  <c r="AK241" i="5"/>
  <c r="AH79" i="74"/>
  <c r="AH27" i="74"/>
  <c r="AK224" i="5"/>
  <c r="AK55" i="115" s="1"/>
  <c r="AK263" i="5"/>
  <c r="AK222" i="5"/>
  <c r="AK93" i="115" s="1"/>
  <c r="AI226" i="5"/>
  <c r="AG295" i="5"/>
  <c r="AK46" i="5"/>
  <c r="AK203" i="5"/>
  <c r="AJ291" i="5"/>
  <c r="C58" i="75"/>
  <c r="AA71" i="74"/>
  <c r="AJ296" i="5"/>
  <c r="AK274" i="5"/>
  <c r="AJ293" i="5"/>
  <c r="AF271" i="5"/>
  <c r="AE52" i="74"/>
  <c r="AE24" i="74"/>
  <c r="AE285" i="5"/>
  <c r="AK120" i="5"/>
  <c r="AH303" i="5"/>
  <c r="AH50" i="74"/>
  <c r="AK253" i="5"/>
  <c r="AH297" i="5"/>
  <c r="AH81" i="74"/>
  <c r="AH29" i="74"/>
  <c r="AH270" i="5"/>
  <c r="AH272" i="5" s="1"/>
  <c r="AH277" i="5" s="1"/>
  <c r="AK175" i="5"/>
  <c r="AK104" i="5"/>
  <c r="AF227" i="5"/>
  <c r="AE53" i="74"/>
  <c r="AE296" i="5"/>
  <c r="AB285" i="5"/>
  <c r="AB24" i="74"/>
  <c r="AK96" i="5"/>
  <c r="AH285" i="5"/>
  <c r="AK180" i="5"/>
  <c r="AK129" i="115" s="1"/>
  <c r="AH289" i="5"/>
  <c r="AH51" i="74"/>
  <c r="AK197" i="5"/>
  <c r="AH26" i="74"/>
  <c r="AK205" i="5"/>
  <c r="AH293" i="5"/>
  <c r="AH105" i="74"/>
  <c r="AK223" i="5"/>
  <c r="AK131" i="115" s="1"/>
  <c r="AH53" i="74"/>
  <c r="AK39" i="5"/>
  <c r="AK86" i="115" s="1"/>
  <c r="AJ295" i="5"/>
  <c r="AJ285" i="5"/>
  <c r="AJ26" i="74"/>
  <c r="AJ27" i="74"/>
  <c r="AB204" i="5"/>
  <c r="AB206" i="5" s="1"/>
  <c r="AB211" i="5" s="1"/>
  <c r="AB104" i="74" s="1"/>
  <c r="D64" i="75" s="1"/>
  <c r="AF179" i="5"/>
  <c r="AE55" i="74"/>
  <c r="AE289" i="5"/>
  <c r="AF174" i="5"/>
  <c r="AE75" i="74"/>
  <c r="AE23" i="74"/>
  <c r="AE290" i="5"/>
  <c r="AE118" i="74" s="1"/>
  <c r="AE119" i="74" s="1"/>
  <c r="AC25" i="74"/>
  <c r="AC77" i="74"/>
  <c r="AF181" i="5"/>
  <c r="AF53" i="115" s="1"/>
  <c r="AK101" i="5"/>
  <c r="AG56" i="47"/>
  <c r="AG296" i="5"/>
  <c r="AK113" i="5"/>
  <c r="AK126" i="5"/>
  <c r="AG293" i="5"/>
  <c r="AK154" i="5"/>
  <c r="AG176" i="5"/>
  <c r="AK176" i="5" s="1"/>
  <c r="AK174" i="5"/>
  <c r="AK190" i="5"/>
  <c r="AG300" i="5"/>
  <c r="AK204" i="5"/>
  <c r="AK231" i="5"/>
  <c r="AG297" i="5"/>
  <c r="AG291" i="5"/>
  <c r="AK247" i="5"/>
  <c r="AG301" i="5"/>
  <c r="AK279" i="5"/>
  <c r="AI49" i="47"/>
  <c r="AI289" i="5"/>
  <c r="AI56" i="47"/>
  <c r="AI296" i="5"/>
  <c r="AK19" i="5"/>
  <c r="AM53" i="74"/>
  <c r="AM295" i="5"/>
  <c r="AB54" i="74"/>
  <c r="AB295" i="5"/>
  <c r="AK11" i="5"/>
  <c r="AH48" i="47"/>
  <c r="AH288" i="5"/>
  <c r="AM288" i="5"/>
  <c r="K65" i="75"/>
  <c r="AE101" i="74"/>
  <c r="AB297" i="5"/>
  <c r="AF136" i="5"/>
  <c r="AM10" i="5"/>
  <c r="AM15" i="5" s="1"/>
  <c r="AM17" i="5" s="1"/>
  <c r="AP8" i="5"/>
  <c r="AL53" i="47"/>
  <c r="AP16" i="5"/>
  <c r="C39" i="75"/>
  <c r="AA19" i="74"/>
  <c r="AA18" i="74" s="1"/>
  <c r="AF254" i="5"/>
  <c r="C32" i="75"/>
  <c r="AA45" i="74"/>
  <c r="AK172" i="5"/>
  <c r="AG46" i="74"/>
  <c r="AJ55" i="74"/>
  <c r="L41" i="75" s="1"/>
  <c r="AH226" i="5"/>
  <c r="AI54" i="74"/>
  <c r="AC51" i="74"/>
  <c r="AC296" i="5"/>
  <c r="AK186" i="5"/>
  <c r="F50" i="47"/>
  <c r="F47" i="47"/>
  <c r="AG23" i="74"/>
  <c r="AK150" i="5"/>
  <c r="AK128" i="115" s="1"/>
  <c r="AH302" i="5"/>
  <c r="AJ303" i="5"/>
  <c r="AJ58" i="47" s="1"/>
  <c r="AM291" i="5"/>
  <c r="AM80" i="74"/>
  <c r="AM290" i="5"/>
  <c r="AM118" i="74" s="1"/>
  <c r="AE105" i="74"/>
  <c r="G65" i="75" s="1"/>
  <c r="AB298" i="5"/>
  <c r="AF273" i="5"/>
  <c r="AK219" i="5"/>
  <c r="AK41" i="5"/>
  <c r="AK48" i="115" s="1"/>
  <c r="AG60" i="47"/>
  <c r="AF135" i="5"/>
  <c r="AK21" i="5"/>
  <c r="AI26" i="74"/>
  <c r="AI148" i="5"/>
  <c r="AB28" i="74"/>
  <c r="AI81" i="74"/>
  <c r="AF184" i="5"/>
  <c r="AE288" i="5"/>
  <c r="AE178" i="5"/>
  <c r="AK251" i="5"/>
  <c r="AK281" i="5"/>
  <c r="AH298" i="5"/>
  <c r="AN97" i="74"/>
  <c r="AN96" i="74" s="1"/>
  <c r="AF207" i="5"/>
  <c r="AE293" i="5"/>
  <c r="AB81" i="74"/>
  <c r="AG298" i="5"/>
  <c r="AP23" i="74"/>
  <c r="AP251" i="5"/>
  <c r="AP278" i="5"/>
  <c r="AF130" i="5"/>
  <c r="AB291" i="5"/>
  <c r="AC89" i="115"/>
  <c r="AG48" i="47"/>
  <c r="AK268" i="5"/>
  <c r="AK47" i="115" s="1"/>
  <c r="AG10" i="5"/>
  <c r="AK9" i="5"/>
  <c r="AM270" i="5"/>
  <c r="AM272" i="5" s="1"/>
  <c r="AM277" i="5" s="1"/>
  <c r="C65" i="75"/>
  <c r="AU244" i="5"/>
  <c r="AU94" i="115" s="1"/>
  <c r="AK23" i="5"/>
  <c r="AH300" i="5"/>
  <c r="AP265" i="5"/>
  <c r="AJ23" i="74"/>
  <c r="AP241" i="5"/>
  <c r="AP246" i="5"/>
  <c r="T50" i="47"/>
  <c r="V50" i="47" s="1"/>
  <c r="T47" i="47"/>
  <c r="AC293" i="5"/>
  <c r="AG48" i="74"/>
  <c r="AB25" i="74"/>
  <c r="AF187" i="5"/>
  <c r="AM243" i="5"/>
  <c r="AM248" i="5" s="1"/>
  <c r="AM250" i="5" s="1"/>
  <c r="AM255" i="5" s="1"/>
  <c r="AP48" i="5"/>
  <c r="AL297" i="5"/>
  <c r="AP154" i="5"/>
  <c r="AP245" i="5"/>
  <c r="AL54" i="74"/>
  <c r="AK16" i="5"/>
  <c r="AI10" i="5"/>
  <c r="AP36" i="5"/>
  <c r="AP276" i="5"/>
  <c r="E60" i="75"/>
  <c r="AQ291" i="5"/>
  <c r="AU14" i="5"/>
  <c r="AQ51" i="47"/>
  <c r="AI48" i="47"/>
  <c r="AK200" i="5"/>
  <c r="AK92" i="115" s="1"/>
  <c r="AK214" i="5"/>
  <c r="AK245" i="5"/>
  <c r="AK132" i="115" s="1"/>
  <c r="AH74" i="74"/>
  <c r="AK256" i="5"/>
  <c r="AG270" i="5"/>
  <c r="AG272" i="5" s="1"/>
  <c r="AM98" i="74"/>
  <c r="AM300" i="5"/>
  <c r="AP159" i="5"/>
  <c r="AL296" i="5"/>
  <c r="AP259" i="5"/>
  <c r="AP244" i="5"/>
  <c r="AP94" i="115" s="1"/>
  <c r="H34" i="75"/>
  <c r="AT289" i="5"/>
  <c r="AO56" i="47"/>
  <c r="AP56" i="47" s="1"/>
  <c r="AO296" i="5"/>
  <c r="AO46" i="74"/>
  <c r="AO289" i="5"/>
  <c r="AT296" i="5"/>
  <c r="AT56" i="47"/>
  <c r="AU19" i="5"/>
  <c r="AP30" i="5"/>
  <c r="AP229" i="5"/>
  <c r="C64" i="75"/>
  <c r="M47" i="47"/>
  <c r="M50" i="47"/>
  <c r="AN226" i="5"/>
  <c r="AN228" i="5" s="1"/>
  <c r="AN233" i="5" s="1"/>
  <c r="AN288" i="5"/>
  <c r="AO11" i="56"/>
  <c r="AS11" i="56" s="1"/>
  <c r="AN296" i="5"/>
  <c r="AN46" i="74"/>
  <c r="AF276" i="5"/>
  <c r="AP26" i="74"/>
  <c r="AM296" i="5"/>
  <c r="AP33" i="5"/>
  <c r="AM29" i="74"/>
  <c r="AP14" i="5"/>
  <c r="AL51" i="47"/>
  <c r="AP51" i="47" s="1"/>
  <c r="K50" i="47"/>
  <c r="K47" i="47"/>
  <c r="L47" i="47" s="1"/>
  <c r="AU149" i="5"/>
  <c r="AU90" i="115" s="1"/>
  <c r="AQ288" i="5"/>
  <c r="AU39" i="5"/>
  <c r="AU86" i="115" s="1"/>
  <c r="AR288" i="5"/>
  <c r="AR301" i="5"/>
  <c r="AU52" i="5"/>
  <c r="AR300" i="5"/>
  <c r="AA97" i="74"/>
  <c r="AA96" i="74" s="1"/>
  <c r="AN50" i="74"/>
  <c r="AN79" i="74"/>
  <c r="P65" i="75" s="1"/>
  <c r="AN290" i="5"/>
  <c r="AN118" i="74" s="1"/>
  <c r="AN27" i="74"/>
  <c r="AM293" i="5"/>
  <c r="AN53" i="47"/>
  <c r="AQ270" i="5"/>
  <c r="AU266" i="5"/>
  <c r="AU85" i="115" s="1"/>
  <c r="AR290" i="5"/>
  <c r="AR118" i="74" s="1"/>
  <c r="AR20" i="74"/>
  <c r="AU41" i="5"/>
  <c r="AU48" i="115" s="1"/>
  <c r="AR72" i="74"/>
  <c r="AR97" i="74"/>
  <c r="AR96" i="74" s="1"/>
  <c r="AU249" i="5"/>
  <c r="AU264" i="5"/>
  <c r="AP158" i="5"/>
  <c r="AL29" i="74"/>
  <c r="AP51" i="5"/>
  <c r="AP157" i="5"/>
  <c r="AP247" i="5"/>
  <c r="AU30" i="5"/>
  <c r="AQ20" i="74"/>
  <c r="AQ32" i="5"/>
  <c r="AQ10" i="115" s="1"/>
  <c r="AQ38" i="115" s="1"/>
  <c r="AR291" i="5"/>
  <c r="AR24" i="74"/>
  <c r="AR148" i="5"/>
  <c r="AR303" i="5"/>
  <c r="AR58" i="47" s="1"/>
  <c r="AU164" i="5"/>
  <c r="AU265" i="5"/>
  <c r="AT297" i="5"/>
  <c r="AM27" i="74"/>
  <c r="AP275" i="5"/>
  <c r="AL46" i="74"/>
  <c r="I50" i="47"/>
  <c r="AU26" i="74"/>
  <c r="AU54" i="5"/>
  <c r="AQ303" i="5"/>
  <c r="AQ58" i="47" s="1"/>
  <c r="AQ80" i="74"/>
  <c r="AR243" i="5"/>
  <c r="AO49" i="47"/>
  <c r="AU221" i="5"/>
  <c r="AU279" i="5"/>
  <c r="AP42" i="5"/>
  <c r="AP164" i="5"/>
  <c r="AP227" i="5"/>
  <c r="AP256" i="5"/>
  <c r="AL295" i="5"/>
  <c r="H50" i="47"/>
  <c r="AU157" i="5"/>
  <c r="AQ50" i="74"/>
  <c r="AQ296" i="5"/>
  <c r="AS297" i="5"/>
  <c r="AU20" i="5"/>
  <c r="AL285" i="5"/>
  <c r="AL290" i="5"/>
  <c r="AL118" i="74" s="1"/>
  <c r="AP225" i="5"/>
  <c r="AP254" i="5"/>
  <c r="AP266" i="5"/>
  <c r="AP85" i="115" s="1"/>
  <c r="AQ28" i="74"/>
  <c r="AU281" i="5"/>
  <c r="AS296" i="5"/>
  <c r="AS56" i="47"/>
  <c r="AP271" i="5"/>
  <c r="AP20" i="5"/>
  <c r="AQ226" i="5"/>
  <c r="AU40" i="5"/>
  <c r="AU124" i="115" s="1"/>
  <c r="AQ46" i="74"/>
  <c r="AQ289" i="5"/>
  <c r="AQ24" i="74"/>
  <c r="AU146" i="5"/>
  <c r="AR10" i="5"/>
  <c r="AU8" i="5"/>
  <c r="AP149" i="5"/>
  <c r="AP90" i="115" s="1"/>
  <c r="AO53" i="74"/>
  <c r="AU9" i="5"/>
  <c r="AQ10" i="5"/>
  <c r="AU147" i="5"/>
  <c r="AU159" i="5"/>
  <c r="AQ298" i="5"/>
  <c r="AR298" i="5"/>
  <c r="AU21" i="5"/>
  <c r="AT285" i="5"/>
  <c r="AT10" i="5"/>
  <c r="AT293" i="5"/>
  <c r="AU219" i="5"/>
  <c r="AR27" i="74"/>
  <c r="AR79" i="74"/>
  <c r="T65" i="75" s="1"/>
  <c r="AT81" i="74"/>
  <c r="AT28" i="74"/>
  <c r="AR226" i="5"/>
  <c r="AR228" i="5" s="1"/>
  <c r="AR233" i="5" s="1"/>
  <c r="AT24" i="74"/>
  <c r="AS43" i="47"/>
  <c r="AR293" i="5"/>
  <c r="AS298" i="5"/>
  <c r="AS243" i="5"/>
  <c r="AS28" i="74"/>
  <c r="AT295" i="5"/>
  <c r="AU229" i="5"/>
  <c r="AR295" i="5"/>
  <c r="AS288" i="5"/>
  <c r="AT290" i="5"/>
  <c r="AT118" i="74" s="1"/>
  <c r="AS285" i="5"/>
  <c r="AS291" i="5"/>
  <c r="AT270" i="5"/>
  <c r="AT272" i="5" s="1"/>
  <c r="AT277" i="5" s="1"/>
  <c r="AS226" i="5"/>
  <c r="AS228" i="5" s="1"/>
  <c r="AS233" i="5" s="1"/>
  <c r="AS234" i="5" s="1"/>
  <c r="AS236" i="5" s="1"/>
  <c r="AS105" i="74" s="1"/>
  <c r="AS293" i="5"/>
  <c r="AT288" i="5"/>
  <c r="AT303" i="5"/>
  <c r="AT58" i="47" s="1"/>
  <c r="AS295" i="5"/>
  <c r="AK170" i="6"/>
  <c r="AK173" i="6"/>
  <c r="AJ95" i="74"/>
  <c r="F56" i="48"/>
  <c r="AG67" i="47"/>
  <c r="AK13" i="6"/>
  <c r="AK59" i="6"/>
  <c r="AG91" i="74"/>
  <c r="AK92" i="6"/>
  <c r="AK91" i="74" s="1"/>
  <c r="AK130" i="6"/>
  <c r="AK99" i="115" s="1"/>
  <c r="AG65" i="47"/>
  <c r="AG43" i="74"/>
  <c r="AK217" i="6"/>
  <c r="AK45" i="6"/>
  <c r="F57" i="48"/>
  <c r="AK14" i="6"/>
  <c r="AK20" i="115" s="1"/>
  <c r="AG68" i="47"/>
  <c r="AK32" i="6"/>
  <c r="AK78" i="6"/>
  <c r="AK98" i="115" s="1"/>
  <c r="AK131" i="6"/>
  <c r="AK137" i="115" s="1"/>
  <c r="AG74" i="47"/>
  <c r="AG75" i="47"/>
  <c r="AK161" i="6"/>
  <c r="AK138" i="115" s="1"/>
  <c r="AG41" i="74"/>
  <c r="AK218" i="6"/>
  <c r="AH64" i="74"/>
  <c r="AH53" i="6"/>
  <c r="AH55" i="6" s="1"/>
  <c r="AH60" i="6" s="1"/>
  <c r="AK51" i="6"/>
  <c r="AK59" i="115" s="1"/>
  <c r="AG71" i="47"/>
  <c r="AK16" i="6"/>
  <c r="F59" i="48"/>
  <c r="AG53" i="6"/>
  <c r="AK48" i="6"/>
  <c r="AK79" i="6"/>
  <c r="AK136" i="115" s="1"/>
  <c r="AG66" i="74"/>
  <c r="I52" i="75" s="1"/>
  <c r="AK132" i="6"/>
  <c r="AK61" i="115" s="1"/>
  <c r="J57" i="48"/>
  <c r="AL68" i="47"/>
  <c r="AP14" i="6"/>
  <c r="AP20" i="115" s="1"/>
  <c r="AG32" i="20"/>
  <c r="AG70" i="20"/>
  <c r="AG62" i="20"/>
  <c r="AJ64" i="20"/>
  <c r="AJ74" i="47"/>
  <c r="AK19" i="6"/>
  <c r="AJ70" i="6"/>
  <c r="AJ22" i="115" s="1"/>
  <c r="AJ13" i="74"/>
  <c r="AP12" i="6"/>
  <c r="J55" i="48"/>
  <c r="AL66" i="47"/>
  <c r="AL31" i="47" s="1"/>
  <c r="AJ73" i="47"/>
  <c r="AG78" i="47"/>
  <c r="AK42" i="6"/>
  <c r="AH40" i="74"/>
  <c r="AK137" i="6"/>
  <c r="AJ75" i="47"/>
  <c r="AJ65" i="47"/>
  <c r="AL90" i="74"/>
  <c r="AM74" i="47"/>
  <c r="AM39" i="47" s="1"/>
  <c r="AG66" i="47"/>
  <c r="AG12" i="74"/>
  <c r="AK30" i="6"/>
  <c r="AK76" i="6"/>
  <c r="AG123" i="6"/>
  <c r="AG23" i="115" s="1"/>
  <c r="AG13" i="116" s="1"/>
  <c r="AG14" i="74"/>
  <c r="AF104" i="20"/>
  <c r="AG183" i="6"/>
  <c r="AG16" i="74"/>
  <c r="AK112" i="6"/>
  <c r="AK101" i="6"/>
  <c r="AK134" i="115" s="1"/>
  <c r="AI151" i="6"/>
  <c r="AI159" i="6"/>
  <c r="AI164" i="6" s="1"/>
  <c r="AI166" i="6" s="1"/>
  <c r="AI171" i="6" s="1"/>
  <c r="AP184" i="6"/>
  <c r="AG13" i="74"/>
  <c r="AG65" i="74"/>
  <c r="AK100" i="6"/>
  <c r="AK96" i="115" s="1"/>
  <c r="AK168" i="6"/>
  <c r="AH76" i="47"/>
  <c r="AK181" i="6"/>
  <c r="AK121" i="6"/>
  <c r="AK222" i="6"/>
  <c r="AG104" i="20"/>
  <c r="AH183" i="6"/>
  <c r="AK111" i="6"/>
  <c r="AJ71" i="47"/>
  <c r="I59" i="48"/>
  <c r="AI63" i="20"/>
  <c r="AJ159" i="6"/>
  <c r="AK184" i="6"/>
  <c r="AK101" i="115" s="1"/>
  <c r="AM71" i="47"/>
  <c r="AM36" i="47" s="1"/>
  <c r="AM67" i="47"/>
  <c r="AM32" i="47" s="1"/>
  <c r="AH69" i="74"/>
  <c r="AH17" i="74"/>
  <c r="AK211" i="6"/>
  <c r="AK64" i="115" s="1"/>
  <c r="AH78" i="47"/>
  <c r="AH65" i="47"/>
  <c r="AI71" i="47"/>
  <c r="H59" i="48"/>
  <c r="H24" i="75"/>
  <c r="AF126" i="74" s="1"/>
  <c r="Q51" i="75"/>
  <c r="AK80" i="6"/>
  <c r="AK60" i="115" s="1"/>
  <c r="AK154" i="6"/>
  <c r="AJ67" i="47"/>
  <c r="AM38" i="74"/>
  <c r="AP56" i="6"/>
  <c r="AH67" i="74"/>
  <c r="J53" i="75" s="1"/>
  <c r="AI75" i="47"/>
  <c r="AI105" i="20"/>
  <c r="AK182" i="6"/>
  <c r="AJ183" i="6"/>
  <c r="AO32" i="20"/>
  <c r="AM42" i="74"/>
  <c r="AP192" i="6"/>
  <c r="AG221" i="6"/>
  <c r="AK81" i="6"/>
  <c r="AK162" i="6"/>
  <c r="AK62" i="115" s="1"/>
  <c r="AK126" i="6"/>
  <c r="AJ123" i="6"/>
  <c r="AJ23" i="115" s="1"/>
  <c r="AI74" i="47"/>
  <c r="AH42" i="74"/>
  <c r="AK193" i="6"/>
  <c r="AH39" i="74"/>
  <c r="AK212" i="6"/>
  <c r="AH67" i="47"/>
  <c r="AK43" i="6"/>
  <c r="AK68" i="6"/>
  <c r="AH13" i="74"/>
  <c r="AK114" i="6"/>
  <c r="AH117" i="74"/>
  <c r="AK102" i="6"/>
  <c r="AK117" i="74" s="1"/>
  <c r="AK165" i="6"/>
  <c r="AH15" i="74"/>
  <c r="AH159" i="6"/>
  <c r="AH164" i="6" s="1"/>
  <c r="AJ208" i="6"/>
  <c r="AK125" i="6"/>
  <c r="AM66" i="74"/>
  <c r="O52" i="75" s="1"/>
  <c r="G56" i="48"/>
  <c r="AK122" i="6"/>
  <c r="AI40" i="74"/>
  <c r="AL64" i="74"/>
  <c r="AP42" i="6"/>
  <c r="AP79" i="6"/>
  <c r="AP136" i="115" s="1"/>
  <c r="AP102" i="6"/>
  <c r="AP117" i="74" s="1"/>
  <c r="AL117" i="74"/>
  <c r="AP21" i="6"/>
  <c r="AP186" i="6"/>
  <c r="AP63" i="115" s="1"/>
  <c r="AP139" i="6"/>
  <c r="AM75" i="47"/>
  <c r="AQ12" i="74"/>
  <c r="AU30" i="6"/>
  <c r="AG68" i="74"/>
  <c r="I54" i="75" s="1"/>
  <c r="AP101" i="6"/>
  <c r="AP134" i="115" s="1"/>
  <c r="AL104" i="6"/>
  <c r="AL75" i="47"/>
  <c r="AL40" i="47" s="1"/>
  <c r="AL71" i="47"/>
  <c r="AP54" i="6"/>
  <c r="AM66" i="47"/>
  <c r="AM31" i="47" s="1"/>
  <c r="AP131" i="6"/>
  <c r="AP137" i="115" s="1"/>
  <c r="AP165" i="6"/>
  <c r="AM67" i="74"/>
  <c r="AQ65" i="47"/>
  <c r="AU130" i="6"/>
  <c r="AH38" i="74"/>
  <c r="AP190" i="6"/>
  <c r="AM14" i="74"/>
  <c r="AU207" i="6"/>
  <c r="AP9" i="6"/>
  <c r="AP108" i="6"/>
  <c r="AM53" i="6"/>
  <c r="AM55" i="6" s="1"/>
  <c r="AM60" i="6" s="1"/>
  <c r="D51" i="75"/>
  <c r="AB63" i="74"/>
  <c r="D53" i="75"/>
  <c r="AP200" i="6"/>
  <c r="AP107" i="6"/>
  <c r="AP169" i="6"/>
  <c r="AQ74" i="47"/>
  <c r="AU138" i="6"/>
  <c r="AP66" i="20"/>
  <c r="AU155" i="6"/>
  <c r="AF70" i="20"/>
  <c r="AI67" i="47"/>
  <c r="AP8" i="6"/>
  <c r="AP74" i="6"/>
  <c r="AP140" i="6"/>
  <c r="AP168" i="6"/>
  <c r="AP152" i="6"/>
  <c r="AL69" i="47"/>
  <c r="AP188" i="6"/>
  <c r="AM123" i="6"/>
  <c r="AP122" i="6"/>
  <c r="F51" i="75"/>
  <c r="AD63" i="74"/>
  <c r="F53" i="75"/>
  <c r="D55" i="75"/>
  <c r="AO76" i="47"/>
  <c r="AO12" i="74"/>
  <c r="AO11" i="74" s="1"/>
  <c r="AO64" i="74"/>
  <c r="AO73" i="47"/>
  <c r="AO74" i="47"/>
  <c r="AO75" i="47"/>
  <c r="AO40" i="47" s="1"/>
  <c r="AO68" i="47"/>
  <c r="AO33" i="47" s="1"/>
  <c r="AU156" i="6"/>
  <c r="AP67" i="20"/>
  <c r="AK21" i="6"/>
  <c r="AG76" i="47"/>
  <c r="AG64" i="74"/>
  <c r="AI66" i="74"/>
  <c r="AL43" i="74"/>
  <c r="AP52" i="6"/>
  <c r="AP43" i="6"/>
  <c r="AL13" i="74"/>
  <c r="AP80" i="6"/>
  <c r="AP65" i="74" s="1"/>
  <c r="AP210" i="6"/>
  <c r="AP140" i="115" s="1"/>
  <c r="AM65" i="47"/>
  <c r="AM30" i="47" s="1"/>
  <c r="AP130" i="6"/>
  <c r="AP99" i="115" s="1"/>
  <c r="AO71" i="47"/>
  <c r="AO36" i="47" s="1"/>
  <c r="AU92" i="6"/>
  <c r="AU91" i="74" s="1"/>
  <c r="AQ91" i="74"/>
  <c r="AP109" i="6"/>
  <c r="AP128" i="6"/>
  <c r="AN208" i="6"/>
  <c r="AQ208" i="6"/>
  <c r="AU206" i="6"/>
  <c r="AQ17" i="74"/>
  <c r="AU192" i="6"/>
  <c r="AQ42" i="74"/>
  <c r="AP44" i="6"/>
  <c r="AP154" i="6"/>
  <c r="AP182" i="6"/>
  <c r="AL10" i="6"/>
  <c r="AL15" i="6" s="1"/>
  <c r="AP59" i="6"/>
  <c r="AM77" i="6"/>
  <c r="AM224" i="6"/>
  <c r="AM95" i="74" s="1"/>
  <c r="AA63" i="74"/>
  <c r="G51" i="75"/>
  <c r="AN17" i="74"/>
  <c r="AQ111" i="6"/>
  <c r="AU111" i="6" s="1"/>
  <c r="AR68" i="47"/>
  <c r="AU133" i="6"/>
  <c r="AP58" i="6"/>
  <c r="AP39" i="6"/>
  <c r="AP198" i="6"/>
  <c r="H53" i="75"/>
  <c r="F55" i="75"/>
  <c r="L51" i="48"/>
  <c r="AQ64" i="74"/>
  <c r="AR73" i="47"/>
  <c r="AU100" i="6"/>
  <c r="AU96" i="115" s="1"/>
  <c r="AR66" i="74"/>
  <c r="AR14" i="74"/>
  <c r="AL12" i="74"/>
  <c r="AP98" i="6"/>
  <c r="AP193" i="6"/>
  <c r="AP36" i="6"/>
  <c r="AP86" i="6"/>
  <c r="AP73" i="6"/>
  <c r="AK105" i="20"/>
  <c r="E24" i="75"/>
  <c r="AC126" i="74" s="1"/>
  <c r="D24" i="75"/>
  <c r="AB126" i="74" s="1"/>
  <c r="AB11" i="74"/>
  <c r="AM67" i="20"/>
  <c r="AN159" i="6"/>
  <c r="AN75" i="47"/>
  <c r="AN74" i="47"/>
  <c r="AN39" i="47" s="1"/>
  <c r="AN53" i="6"/>
  <c r="AN55" i="6" s="1"/>
  <c r="AN60" i="6" s="1"/>
  <c r="AU18" i="6"/>
  <c r="AQ73" i="47"/>
  <c r="AQ53" i="6"/>
  <c r="AU50" i="6"/>
  <c r="AU135" i="115" s="1"/>
  <c r="AQ38" i="74"/>
  <c r="AU101" i="6"/>
  <c r="AU134" i="115" s="1"/>
  <c r="AU153" i="6"/>
  <c r="AP63" i="20"/>
  <c r="AU154" i="6"/>
  <c r="AP64" i="20"/>
  <c r="AQ69" i="47"/>
  <c r="AU69" i="47" s="1"/>
  <c r="AU188" i="6"/>
  <c r="AR10" i="6"/>
  <c r="O51" i="48"/>
  <c r="AR76" i="47"/>
  <c r="AU21" i="6"/>
  <c r="AR42" i="6"/>
  <c r="AU41" i="6"/>
  <c r="AU71" i="6"/>
  <c r="AR75" i="47"/>
  <c r="AU20" i="6"/>
  <c r="AU170" i="6"/>
  <c r="AL65" i="47"/>
  <c r="AL30" i="47" s="1"/>
  <c r="AN68" i="47"/>
  <c r="AN33" i="47" s="1"/>
  <c r="N57" i="48"/>
  <c r="AQ68" i="47"/>
  <c r="AU14" i="6"/>
  <c r="AU20" i="115" s="1"/>
  <c r="AU88" i="6"/>
  <c r="AR159" i="6"/>
  <c r="AR151" i="6"/>
  <c r="AQ63" i="20"/>
  <c r="N59" i="48"/>
  <c r="AQ67" i="74"/>
  <c r="AQ67" i="47"/>
  <c r="AQ41" i="74"/>
  <c r="AQ68" i="74"/>
  <c r="AR53" i="6"/>
  <c r="AR55" i="6" s="1"/>
  <c r="AR60" i="6" s="1"/>
  <c r="AR117" i="74"/>
  <c r="AS66" i="74"/>
  <c r="AR71" i="47"/>
  <c r="AR70" i="6"/>
  <c r="AR22" i="115" s="1"/>
  <c r="AR208" i="6"/>
  <c r="AR65" i="47"/>
  <c r="AT15" i="74"/>
  <c r="AT67" i="74"/>
  <c r="AQ40" i="74"/>
  <c r="AQ159" i="6"/>
  <c r="AQ15" i="74"/>
  <c r="AT159" i="6"/>
  <c r="AS68" i="20"/>
  <c r="AN66" i="20"/>
  <c r="AR13" i="74"/>
  <c r="AQ105" i="20"/>
  <c r="P57" i="48"/>
  <c r="Q61" i="48"/>
  <c r="P55" i="48"/>
  <c r="AR183" i="6"/>
  <c r="AR188" i="18"/>
  <c r="AT53" i="6"/>
  <c r="AT55" i="6" s="1"/>
  <c r="AT60" i="6" s="1"/>
  <c r="O55" i="48"/>
  <c r="AO105" i="47"/>
  <c r="AQ111" i="47"/>
  <c r="AK113" i="47"/>
  <c r="AQ112" i="47"/>
  <c r="AT104" i="47"/>
  <c r="AT107" i="47"/>
  <c r="AR107" i="47"/>
  <c r="AS111" i="47"/>
  <c r="AP31" i="115"/>
  <c r="AP32" i="115"/>
  <c r="AQ113" i="47"/>
  <c r="AR106" i="47"/>
  <c r="AR109" i="47"/>
  <c r="AU108" i="115"/>
  <c r="AS103" i="47"/>
  <c r="AU146" i="115"/>
  <c r="AR104" i="47"/>
  <c r="AM112" i="47"/>
  <c r="AM111" i="47"/>
  <c r="AM114" i="47"/>
  <c r="AM113" i="47"/>
  <c r="AN105" i="47"/>
  <c r="AL106" i="47"/>
  <c r="AN103" i="47"/>
  <c r="AS112" i="47"/>
  <c r="AO103" i="47"/>
  <c r="AL111" i="47"/>
  <c r="AN8" i="12"/>
  <c r="AN147" i="115" s="1"/>
  <c r="AO104" i="47"/>
  <c r="AO8" i="12"/>
  <c r="AQ109" i="47"/>
  <c r="AQ107" i="47"/>
  <c r="AT113" i="47"/>
  <c r="AT103" i="47"/>
  <c r="AT106" i="47"/>
  <c r="AK104" i="47"/>
  <c r="AS105" i="47"/>
  <c r="AN107" i="47"/>
  <c r="AH13" i="56"/>
  <c r="AK112" i="47"/>
  <c r="AL8" i="12"/>
  <c r="AL185" i="115" s="1"/>
  <c r="AL113" i="47"/>
  <c r="AJ124" i="47"/>
  <c r="AK24" i="56"/>
  <c r="AJ121" i="47"/>
  <c r="AP120" i="47"/>
  <c r="AN129" i="47"/>
  <c r="AU34" i="12"/>
  <c r="AS131" i="47"/>
  <c r="AI121" i="47"/>
  <c r="AK24" i="12"/>
  <c r="AI123" i="47"/>
  <c r="AH132" i="47"/>
  <c r="AK132" i="47" s="1"/>
  <c r="AK35" i="12"/>
  <c r="AQ129" i="47"/>
  <c r="AU32" i="12"/>
  <c r="AK9" i="12"/>
  <c r="AG123" i="47"/>
  <c r="AK28" i="12"/>
  <c r="AH131" i="47"/>
  <c r="AK131" i="47" s="1"/>
  <c r="AK34" i="12"/>
  <c r="AU10" i="12"/>
  <c r="AQ124" i="47"/>
  <c r="AU35" i="12"/>
  <c r="AR132" i="47"/>
  <c r="AS121" i="47"/>
  <c r="AS29" i="12"/>
  <c r="AG125" i="47"/>
  <c r="AK11" i="12"/>
  <c r="AG127" i="47"/>
  <c r="AT29" i="12"/>
  <c r="AP24" i="12"/>
  <c r="AK27" i="12"/>
  <c r="AU24" i="12"/>
  <c r="AR121" i="47"/>
  <c r="AH35" i="56"/>
  <c r="AP33" i="12"/>
  <c r="AP34" i="12"/>
  <c r="AS129" i="47"/>
  <c r="AP32" i="12"/>
  <c r="AH108" i="47"/>
  <c r="AH110" i="47" s="1"/>
  <c r="AH115" i="47" s="1"/>
  <c r="R47" i="47"/>
  <c r="AK102" i="47"/>
  <c r="AK130" i="47"/>
  <c r="AT43" i="47"/>
  <c r="AK105" i="47"/>
  <c r="D47" i="47"/>
  <c r="O47" i="47"/>
  <c r="AK114" i="47"/>
  <c r="AK111" i="47"/>
  <c r="AK109" i="47"/>
  <c r="N50" i="47"/>
  <c r="AK103" i="47"/>
  <c r="AJ108" i="47"/>
  <c r="AJ110" i="47" s="1"/>
  <c r="AJ115" i="47" s="1"/>
  <c r="AP131" i="47"/>
  <c r="AK107" i="47"/>
  <c r="AG108" i="47"/>
  <c r="W50" i="47"/>
  <c r="AA50" i="47" s="1"/>
  <c r="W47" i="47"/>
  <c r="U47" i="47"/>
  <c r="AI108" i="47"/>
  <c r="AI110" i="47" s="1"/>
  <c r="AI115" i="47" s="1"/>
  <c r="AK106" i="47"/>
  <c r="P50" i="47"/>
  <c r="AU120" i="47"/>
  <c r="S47" i="47"/>
  <c r="AK120" i="47"/>
  <c r="AL121" i="47"/>
  <c r="AU22" i="19"/>
  <c r="AU65" i="19"/>
  <c r="AQ71" i="115"/>
  <c r="E51" i="19"/>
  <c r="E58" i="19" s="1"/>
  <c r="AU71" i="19"/>
  <c r="AH124" i="47"/>
  <c r="AK10" i="12"/>
  <c r="AI185" i="115"/>
  <c r="AI182" i="115" s="1"/>
  <c r="AI193" i="115" s="1"/>
  <c r="AO7" i="12"/>
  <c r="AO11" i="12"/>
  <c r="AO125" i="47" s="1"/>
  <c r="AH122" i="47"/>
  <c r="AI24" i="56"/>
  <c r="AU9" i="19"/>
  <c r="AM7" i="12"/>
  <c r="AU16" i="19"/>
  <c r="AU28" i="19"/>
  <c r="AL124" i="47"/>
  <c r="AP10" i="12"/>
  <c r="AT123" i="47"/>
  <c r="AU13" i="19"/>
  <c r="AU42" i="19"/>
  <c r="AU56" i="19"/>
  <c r="AU14" i="19"/>
  <c r="AU48" i="19"/>
  <c r="AU15" i="19"/>
  <c r="AM125" i="47"/>
  <c r="AU72" i="19"/>
  <c r="AU38" i="19"/>
  <c r="AU20" i="19"/>
  <c r="AU36" i="19"/>
  <c r="AU66" i="19"/>
  <c r="AR15" i="12"/>
  <c r="AS123" i="47"/>
  <c r="AU49" i="19"/>
  <c r="AL59" i="74"/>
  <c r="C45" i="75"/>
  <c r="C19" i="75" s="1"/>
  <c r="AT59" i="74"/>
  <c r="AJ59" i="74"/>
  <c r="AQ59" i="74"/>
  <c r="AG59" i="74"/>
  <c r="C51" i="93"/>
  <c r="AI75" i="93"/>
  <c r="AK35" i="93"/>
  <c r="AU32" i="93"/>
  <c r="AI93" i="93"/>
  <c r="AH18" i="93"/>
  <c r="AP56" i="93"/>
  <c r="AI69" i="93"/>
  <c r="AU70" i="93"/>
  <c r="AP20" i="93"/>
  <c r="AK30" i="93"/>
  <c r="AJ69" i="93"/>
  <c r="E45" i="93"/>
  <c r="E51" i="93" s="1"/>
  <c r="E58" i="93" s="1"/>
  <c r="E60" i="93" s="1"/>
  <c r="AP54" i="93"/>
  <c r="AI8" i="93"/>
  <c r="AJ26" i="93"/>
  <c r="AP11" i="93"/>
  <c r="AP16" i="93"/>
  <c r="AI47" i="93"/>
  <c r="AU66" i="93"/>
  <c r="AP13" i="93"/>
  <c r="AK15" i="93"/>
  <c r="AK23" i="93"/>
  <c r="AK29" i="93"/>
  <c r="AP34" i="93"/>
  <c r="AK44" i="93"/>
  <c r="AP49" i="93"/>
  <c r="AH93" i="93"/>
  <c r="AK36" i="93"/>
  <c r="E28" i="77"/>
  <c r="G21" i="77"/>
  <c r="I12" i="77"/>
  <c r="I21" i="77"/>
  <c r="G18" i="77"/>
  <c r="I8" i="77"/>
  <c r="I15" i="77"/>
  <c r="E21" i="77"/>
  <c r="G31" i="77"/>
  <c r="G8" i="77"/>
  <c r="G12" i="77"/>
  <c r="E19" i="77"/>
  <c r="E8" i="77"/>
  <c r="I18" i="77"/>
  <c r="I31" i="77"/>
  <c r="E24" i="77"/>
  <c r="G11" i="77"/>
  <c r="G20" i="77"/>
  <c r="I28" i="77"/>
  <c r="E29" i="77"/>
  <c r="G15" i="77"/>
  <c r="I24" i="77"/>
  <c r="G28" i="77"/>
  <c r="I26" i="77"/>
  <c r="I6" i="77"/>
  <c r="G30" i="77"/>
  <c r="I30" i="77"/>
  <c r="G17" i="77"/>
  <c r="G26" i="77"/>
  <c r="E15" i="77"/>
  <c r="E12" i="77"/>
  <c r="E31" i="77"/>
  <c r="I25" i="77"/>
  <c r="I20" i="77"/>
  <c r="E20" i="77"/>
  <c r="E9" i="77"/>
  <c r="E14" i="77"/>
  <c r="I10" i="77"/>
  <c r="I23" i="77"/>
  <c r="G16" i="77"/>
  <c r="G13" i="77"/>
  <c r="G14" i="77"/>
  <c r="G9" i="77"/>
  <c r="I11" i="77"/>
  <c r="I9" i="77"/>
  <c r="I29" i="77"/>
  <c r="G29" i="77"/>
  <c r="E17" i="77"/>
  <c r="E32" i="77"/>
  <c r="I17" i="77"/>
  <c r="E11" i="77"/>
  <c r="E13" i="77"/>
  <c r="I14" i="77"/>
  <c r="E16" i="77"/>
  <c r="G6" i="77"/>
  <c r="I16" i="77"/>
  <c r="E27" i="77"/>
  <c r="I19" i="77"/>
  <c r="I7" i="77"/>
  <c r="G23" i="77"/>
  <c r="G24" i="77"/>
  <c r="G27" i="77"/>
  <c r="G7" i="77"/>
  <c r="I22" i="77"/>
  <c r="H34" i="77"/>
  <c r="G19" i="77"/>
  <c r="G25" i="77"/>
  <c r="I27" i="77"/>
  <c r="I13" i="77"/>
  <c r="E18" i="77"/>
  <c r="F38" i="48"/>
  <c r="AM81" i="20"/>
  <c r="AO81" i="20" s="1"/>
  <c r="AM111" i="20"/>
  <c r="AO112" i="20"/>
  <c r="AO108" i="20"/>
  <c r="AM10" i="20"/>
  <c r="AM6" i="20"/>
  <c r="AM28" i="20"/>
  <c r="AF156" i="5"/>
  <c r="AK13" i="56"/>
  <c r="AC295" i="5"/>
  <c r="AK15" i="56"/>
  <c r="AE102" i="74"/>
  <c r="AF209" i="5"/>
  <c r="G10" i="77"/>
  <c r="F34" i="77"/>
  <c r="AF66" i="20"/>
  <c r="AK128" i="6"/>
  <c r="AC9" i="115"/>
  <c r="AF134" i="5"/>
  <c r="AK38" i="6"/>
  <c r="AF132" i="5"/>
  <c r="AB27" i="74"/>
  <c r="AB79" i="74"/>
  <c r="AH75" i="74"/>
  <c r="AE295" i="5"/>
  <c r="AE103" i="74"/>
  <c r="AB76" i="74"/>
  <c r="AB53" i="74"/>
  <c r="AG105" i="20"/>
  <c r="I38" i="48"/>
  <c r="AC90" i="115"/>
  <c r="AE50" i="74"/>
  <c r="AK13" i="5"/>
  <c r="AH68" i="74"/>
  <c r="AF157" i="5"/>
  <c r="AO16" i="56"/>
  <c r="AJ14" i="74"/>
  <c r="AI42" i="74"/>
  <c r="AP19" i="9"/>
  <c r="AL31" i="74"/>
  <c r="AL87" i="47"/>
  <c r="AL83" i="74"/>
  <c r="AP25" i="9"/>
  <c r="AL93" i="47"/>
  <c r="AL57" i="74"/>
  <c r="AI54" i="20"/>
  <c r="AO38" i="56"/>
  <c r="AL66" i="74"/>
  <c r="AP132" i="6"/>
  <c r="AP61" i="115" s="1"/>
  <c r="AL67" i="47"/>
  <c r="AL14" i="74"/>
  <c r="AK68" i="20"/>
  <c r="AP158" i="6"/>
  <c r="AL95" i="74"/>
  <c r="AP209" i="6"/>
  <c r="AJ66" i="74"/>
  <c r="AM15" i="56"/>
  <c r="AL103" i="47"/>
  <c r="AP69" i="6"/>
  <c r="AL70" i="6"/>
  <c r="AL22" i="115" s="1"/>
  <c r="AI10" i="20"/>
  <c r="AI21" i="18"/>
  <c r="AI104" i="20"/>
  <c r="AI121" i="18"/>
  <c r="AP60" i="47"/>
  <c r="AH66" i="74"/>
  <c r="AG42" i="74"/>
  <c r="AI18" i="18"/>
  <c r="AI32" i="18"/>
  <c r="AJ42" i="74"/>
  <c r="AP27" i="9"/>
  <c r="AL95" i="47"/>
  <c r="AL109" i="47"/>
  <c r="AK121" i="18"/>
  <c r="E7" i="77"/>
  <c r="AL74" i="47"/>
  <c r="AK58" i="18"/>
  <c r="AP100" i="6"/>
  <c r="AP96" i="115" s="1"/>
  <c r="AL208" i="6"/>
  <c r="AL69" i="74"/>
  <c r="AK90" i="18"/>
  <c r="AK104" i="18"/>
  <c r="AK111" i="18" s="1"/>
  <c r="AO102" i="18"/>
  <c r="AP35" i="12"/>
  <c r="AL132" i="47"/>
  <c r="AP132" i="47" s="1"/>
  <c r="AP162" i="6"/>
  <c r="AP62" i="115" s="1"/>
  <c r="AP71" i="6"/>
  <c r="AL97" i="74"/>
  <c r="AL96" i="74" s="1"/>
  <c r="AM86" i="47"/>
  <c r="AM57" i="74"/>
  <c r="AP18" i="6"/>
  <c r="AL53" i="6"/>
  <c r="AL94" i="74"/>
  <c r="AL15" i="74"/>
  <c r="AL39" i="74"/>
  <c r="AP85" i="6"/>
  <c r="AK68" i="18"/>
  <c r="AK75" i="18" s="1"/>
  <c r="E6" i="77"/>
  <c r="D34" i="77"/>
  <c r="AK66" i="20"/>
  <c r="AK152" i="18"/>
  <c r="AK158" i="18" s="1"/>
  <c r="AK139" i="18"/>
  <c r="AP211" i="6"/>
  <c r="AP64" i="115" s="1"/>
  <c r="AP13" i="6"/>
  <c r="AL159" i="6"/>
  <c r="AP153" i="6"/>
  <c r="AK63" i="20"/>
  <c r="AM103" i="47"/>
  <c r="AM105" i="47"/>
  <c r="AM39" i="9"/>
  <c r="AM41" i="9" s="1"/>
  <c r="AM46" i="9" s="1"/>
  <c r="AM297" i="5"/>
  <c r="AM57" i="47"/>
  <c r="AL62" i="20"/>
  <c r="AL31" i="20"/>
  <c r="AL30" i="20" s="1"/>
  <c r="AL58" i="74"/>
  <c r="J54" i="48"/>
  <c r="AP11" i="6"/>
  <c r="AL65" i="74"/>
  <c r="AL86" i="47"/>
  <c r="AL41" i="74"/>
  <c r="AP161" i="6"/>
  <c r="AP138" i="115" s="1"/>
  <c r="AP51" i="6"/>
  <c r="AP59" i="115" s="1"/>
  <c r="AK44" i="18"/>
  <c r="AM31" i="74"/>
  <c r="AM50" i="74"/>
  <c r="AP19" i="5"/>
  <c r="AM24" i="74"/>
  <c r="AM148" i="5"/>
  <c r="AP34" i="5"/>
  <c r="AL28" i="74"/>
  <c r="AL243" i="5"/>
  <c r="AN113" i="47"/>
  <c r="AP40" i="5"/>
  <c r="AP124" i="115" s="1"/>
  <c r="AL291" i="5"/>
  <c r="AL88" i="47"/>
  <c r="AL76" i="47"/>
  <c r="AL42" i="74"/>
  <c r="AL157" i="18"/>
  <c r="AM301" i="5"/>
  <c r="AM289" i="5"/>
  <c r="AP258" i="5"/>
  <c r="AM106" i="74"/>
  <c r="AL80" i="74"/>
  <c r="N66" i="75" s="1"/>
  <c r="AP78" i="6"/>
  <c r="AP98" i="115" s="1"/>
  <c r="AK57" i="18"/>
  <c r="AM83" i="74"/>
  <c r="AM109" i="47"/>
  <c r="AM89" i="47"/>
  <c r="AP224" i="5"/>
  <c r="AP55" i="115" s="1"/>
  <c r="AM54" i="74"/>
  <c r="AL293" i="5"/>
  <c r="J37" i="48"/>
  <c r="J38" i="48" s="1"/>
  <c r="AM88" i="47"/>
  <c r="AM46" i="74"/>
  <c r="AM302" i="5"/>
  <c r="AP151" i="5"/>
  <c r="AM76" i="74"/>
  <c r="O62" i="75" s="1"/>
  <c r="P51" i="75"/>
  <c r="AL20" i="74"/>
  <c r="AL32" i="5"/>
  <c r="AL10" i="115" s="1"/>
  <c r="AL72" i="74"/>
  <c r="AP163" i="5"/>
  <c r="AP147" i="5"/>
  <c r="AL270" i="5"/>
  <c r="AP160" i="6"/>
  <c r="AP100" i="115" s="1"/>
  <c r="AM76" i="47"/>
  <c r="AL298" i="5"/>
  <c r="AP41" i="5"/>
  <c r="AP48" i="115" s="1"/>
  <c r="AP242" i="5"/>
  <c r="AM40" i="74"/>
  <c r="AM159" i="6"/>
  <c r="AP23" i="9"/>
  <c r="AM285" i="5"/>
  <c r="AP44" i="5"/>
  <c r="AP220" i="5"/>
  <c r="E10" i="77"/>
  <c r="E25" i="77"/>
  <c r="AM104" i="47"/>
  <c r="AP236" i="5"/>
  <c r="AP221" i="5"/>
  <c r="AL226" i="5"/>
  <c r="E30" i="77"/>
  <c r="AG26" i="93"/>
  <c r="AK27" i="93"/>
  <c r="AH47" i="93"/>
  <c r="AK49" i="93"/>
  <c r="AK65" i="93"/>
  <c r="AP66" i="93"/>
  <c r="AK71" i="93"/>
  <c r="AH69" i="93"/>
  <c r="AL300" i="5"/>
  <c r="AL302" i="5"/>
  <c r="AM64" i="74"/>
  <c r="AM16" i="74"/>
  <c r="AP27" i="12"/>
  <c r="C34" i="77"/>
  <c r="AN111" i="47"/>
  <c r="AM55" i="47"/>
  <c r="AP150" i="5"/>
  <c r="AP128" i="115" s="1"/>
  <c r="AL53" i="74"/>
  <c r="AM68" i="74"/>
  <c r="AL303" i="5"/>
  <c r="AM17" i="74"/>
  <c r="AP237" i="5"/>
  <c r="AE114" i="20"/>
  <c r="AN183" i="6"/>
  <c r="AP24" i="6"/>
  <c r="AP18" i="5"/>
  <c r="E26" i="77"/>
  <c r="AN89" i="47"/>
  <c r="AM298" i="5"/>
  <c r="AM28" i="74"/>
  <c r="AL289" i="5"/>
  <c r="AP12" i="5"/>
  <c r="AL288" i="5"/>
  <c r="AM12" i="74"/>
  <c r="AL50" i="74"/>
  <c r="AM13" i="74"/>
  <c r="E23" i="77"/>
  <c r="AM303" i="5"/>
  <c r="AM58" i="47" s="1"/>
  <c r="AP267" i="5"/>
  <c r="AP123" i="115" s="1"/>
  <c r="AP222" i="5"/>
  <c r="AP93" i="115" s="1"/>
  <c r="AM183" i="6"/>
  <c r="AL55" i="74"/>
  <c r="AL148" i="5"/>
  <c r="AP13" i="5"/>
  <c r="AM39" i="74"/>
  <c r="AN106" i="47"/>
  <c r="AN94" i="47"/>
  <c r="AN87" i="47"/>
  <c r="AN91" i="47"/>
  <c r="AN93" i="47"/>
  <c r="AN85" i="47"/>
  <c r="AN104" i="47"/>
  <c r="AL42" i="102"/>
  <c r="AH41" i="102"/>
  <c r="Z14" i="88"/>
  <c r="AK32" i="93"/>
  <c r="I32" i="77"/>
  <c r="G32" i="77"/>
  <c r="AP9" i="93"/>
  <c r="AG18" i="93"/>
  <c r="AK19" i="93"/>
  <c r="AP22" i="93"/>
  <c r="AP50" i="93"/>
  <c r="AG80" i="93"/>
  <c r="AK80" i="93" s="1"/>
  <c r="AK81" i="93"/>
  <c r="AT129" i="47"/>
  <c r="AM41" i="102"/>
  <c r="AQ42" i="102"/>
  <c r="AA14" i="88"/>
  <c r="AB14" i="88"/>
  <c r="AM62" i="103"/>
  <c r="AQ73" i="102"/>
  <c r="AM71" i="102"/>
  <c r="AK53" i="93"/>
  <c r="AK59" i="93"/>
  <c r="AP76" i="93"/>
  <c r="AM66" i="20"/>
  <c r="AM34" i="20" s="1"/>
  <c r="AJ8" i="93"/>
  <c r="AK9" i="93"/>
  <c r="AK11" i="93"/>
  <c r="AG8" i="93"/>
  <c r="AP14" i="93"/>
  <c r="AK16" i="93"/>
  <c r="AK24" i="93"/>
  <c r="AP28" i="93"/>
  <c r="AP35" i="93"/>
  <c r="AP37" i="93"/>
  <c r="AK40" i="93"/>
  <c r="AK42" i="93"/>
  <c r="AP43" i="93"/>
  <c r="AJ47" i="93"/>
  <c r="AK50" i="93"/>
  <c r="AK56" i="93"/>
  <c r="AP70" i="93"/>
  <c r="AG69" i="93"/>
  <c r="AK72" i="93"/>
  <c r="AK68" i="93"/>
  <c r="AJ18" i="93"/>
  <c r="AI26" i="93"/>
  <c r="AP87" i="93"/>
  <c r="AH19" i="103"/>
  <c r="AH9" i="103"/>
  <c r="AL24" i="103"/>
  <c r="AJ27" i="103"/>
  <c r="AQ37" i="103"/>
  <c r="AH41" i="103"/>
  <c r="AL42" i="103"/>
  <c r="AQ43" i="103"/>
  <c r="AL45" i="103"/>
  <c r="AL49" i="103"/>
  <c r="AH48" i="103"/>
  <c r="AQ50" i="103"/>
  <c r="AM48" i="103"/>
  <c r="AQ48" i="103" s="1"/>
  <c r="AL55" i="103"/>
  <c r="AH54" i="103"/>
  <c r="AL54" i="103" s="1"/>
  <c r="AL61" i="103"/>
  <c r="AP27" i="93"/>
  <c r="AG47" i="93"/>
  <c r="AK48" i="93"/>
  <c r="AP84" i="93"/>
  <c r="AL12" i="103"/>
  <c r="AL17" i="103"/>
  <c r="AQ34" i="103"/>
  <c r="AL36" i="103"/>
  <c r="AH8" i="93"/>
  <c r="AH26" i="93"/>
  <c r="AQ21" i="103"/>
  <c r="AM19" i="103"/>
  <c r="AM27" i="103"/>
  <c r="AQ28" i="103"/>
  <c r="AH27" i="103"/>
  <c r="AL30" i="103"/>
  <c r="AK48" i="103"/>
  <c r="AP19" i="93"/>
  <c r="AH75" i="93"/>
  <c r="AK76" i="93"/>
  <c r="AK82" i="93"/>
  <c r="AG93" i="93"/>
  <c r="AQ10" i="103"/>
  <c r="AN9" i="103"/>
  <c r="AO27" i="103"/>
  <c r="AQ89" i="47"/>
  <c r="AQ95" i="47"/>
  <c r="AQ93" i="47"/>
  <c r="AQ88" i="47"/>
  <c r="AQ87" i="47"/>
  <c r="AQ58" i="103"/>
  <c r="AL21" i="103"/>
  <c r="AI27" i="103"/>
  <c r="AQ86" i="47"/>
  <c r="AQ20" i="103"/>
  <c r="AL38" i="103"/>
  <c r="AL28" i="103"/>
  <c r="AL11" i="103"/>
  <c r="AQ14" i="103"/>
  <c r="AQ30" i="103"/>
  <c r="AQ58" i="102"/>
  <c r="AL10" i="103"/>
  <c r="AQ38" i="103"/>
  <c r="AQ44" i="103"/>
  <c r="AL15" i="103"/>
  <c r="U17" i="45"/>
  <c r="X48" i="108"/>
  <c r="AS94" i="47"/>
  <c r="AR95" i="47"/>
  <c r="AR91" i="47"/>
  <c r="AS85" i="47"/>
  <c r="AT94" i="47"/>
  <c r="Q19" i="97"/>
  <c r="Y48" i="108"/>
  <c r="AS88" i="47"/>
  <c r="AQ94" i="47"/>
  <c r="AQ85" i="47"/>
  <c r="AR92" i="18" l="1"/>
  <c r="AQ134" i="18"/>
  <c r="G8" i="48"/>
  <c r="J10" i="48"/>
  <c r="G28" i="48"/>
  <c r="AO84" i="20"/>
  <c r="AO83" i="20" s="1"/>
  <c r="AT28" i="20"/>
  <c r="AF53" i="20"/>
  <c r="AT79" i="20"/>
  <c r="Z6" i="88"/>
  <c r="AH39" i="18"/>
  <c r="AQ56" i="18"/>
  <c r="AQ61" i="18" s="1"/>
  <c r="AL171" i="18"/>
  <c r="AL169" i="18"/>
  <c r="AK213" i="18"/>
  <c r="AN225" i="18"/>
  <c r="AN183" i="18"/>
  <c r="AN237" i="18"/>
  <c r="AH171" i="18"/>
  <c r="AL111" i="18"/>
  <c r="AF237" i="18"/>
  <c r="AR134" i="18"/>
  <c r="AG39" i="18"/>
  <c r="AS158" i="18"/>
  <c r="AP236" i="18"/>
  <c r="AN212" i="18"/>
  <c r="AG170" i="18"/>
  <c r="AL212" i="18"/>
  <c r="AH74" i="18"/>
  <c r="AH214" i="18"/>
  <c r="AL213" i="18"/>
  <c r="AL61" i="18"/>
  <c r="AK214" i="18"/>
  <c r="AG183" i="18"/>
  <c r="AR12" i="18"/>
  <c r="AN213" i="18"/>
  <c r="AN181" i="18"/>
  <c r="AF238" i="18"/>
  <c r="AH75" i="18"/>
  <c r="AH212" i="18"/>
  <c r="AG182" i="18"/>
  <c r="AG37" i="18"/>
  <c r="AM85" i="18"/>
  <c r="AI85" i="18"/>
  <c r="AK169" i="18"/>
  <c r="AJ60" i="18"/>
  <c r="AL110" i="18"/>
  <c r="AM134" i="18"/>
  <c r="AM87" i="18"/>
  <c r="AQ224" i="18"/>
  <c r="AH224" i="18"/>
  <c r="AP109" i="18"/>
  <c r="AN226" i="18"/>
  <c r="AH238" i="18"/>
  <c r="F37" i="75"/>
  <c r="AN11" i="74"/>
  <c r="AF9" i="18"/>
  <c r="K37" i="75"/>
  <c r="AA57" i="108"/>
  <c r="AP75" i="18"/>
  <c r="AM201" i="18"/>
  <c r="AP73" i="18"/>
  <c r="AH37" i="18"/>
  <c r="AQ212" i="18"/>
  <c r="AM200" i="18"/>
  <c r="AQ171" i="18"/>
  <c r="AL50" i="18"/>
  <c r="AG214" i="18"/>
  <c r="AR85" i="18"/>
  <c r="AP110" i="18"/>
  <c r="AQ213" i="18"/>
  <c r="AM37" i="18"/>
  <c r="AS212" i="18"/>
  <c r="AM158" i="18"/>
  <c r="AS213" i="18"/>
  <c r="P99" i="18"/>
  <c r="AQ170" i="18"/>
  <c r="AG212" i="18"/>
  <c r="AQ135" i="18"/>
  <c r="AS157" i="18"/>
  <c r="AI51" i="18"/>
  <c r="AR37" i="18"/>
  <c r="AR39" i="18"/>
  <c r="AI49" i="18"/>
  <c r="AT128" i="18"/>
  <c r="AT135" i="18" s="1"/>
  <c r="AS75" i="18"/>
  <c r="AS74" i="18"/>
  <c r="AR20" i="18"/>
  <c r="AR27" i="18" s="1"/>
  <c r="AS170" i="18"/>
  <c r="AP133" i="18"/>
  <c r="J8" i="48"/>
  <c r="AM182" i="18"/>
  <c r="AM181" i="18"/>
  <c r="G36" i="97"/>
  <c r="AT231" i="18"/>
  <c r="AT237" i="18" s="1"/>
  <c r="AA6" i="88"/>
  <c r="G39" i="97"/>
  <c r="Y27" i="45"/>
  <c r="AH140" i="18"/>
  <c r="AH145" i="18" s="1"/>
  <c r="AG92" i="18"/>
  <c r="AG98" i="18" s="1"/>
  <c r="AL8" i="18"/>
  <c r="AL14" i="18" s="1"/>
  <c r="AS38" i="20"/>
  <c r="AS30" i="20"/>
  <c r="AS98" i="18"/>
  <c r="AS10" i="18"/>
  <c r="AS12" i="18"/>
  <c r="AL49" i="18"/>
  <c r="AR133" i="18"/>
  <c r="AS7" i="18"/>
  <c r="AR86" i="18"/>
  <c r="AS85" i="20"/>
  <c r="AS84" i="20"/>
  <c r="AT84" i="20" s="1"/>
  <c r="AS140" i="18"/>
  <c r="AS145" i="18" s="1"/>
  <c r="AG56" i="18"/>
  <c r="AG62" i="18" s="1"/>
  <c r="AT29" i="20"/>
  <c r="AV8" i="103"/>
  <c r="AS39" i="18"/>
  <c r="AS36" i="20"/>
  <c r="AS34" i="20"/>
  <c r="AO179" i="115"/>
  <c r="AO194" i="115" s="1"/>
  <c r="AN33" i="20"/>
  <c r="AN39" i="20" s="1"/>
  <c r="AS6" i="20"/>
  <c r="AS77" i="20"/>
  <c r="AI77" i="20"/>
  <c r="D66" i="75"/>
  <c r="F68" i="75"/>
  <c r="AI30" i="74"/>
  <c r="AG16" i="116"/>
  <c r="AP237" i="18"/>
  <c r="Q36" i="75"/>
  <c r="AS38" i="18"/>
  <c r="AL147" i="18"/>
  <c r="AM38" i="18"/>
  <c r="AT32" i="18"/>
  <c r="AT38" i="18" s="1"/>
  <c r="AF109" i="18"/>
  <c r="AS37" i="18"/>
  <c r="AL224" i="18"/>
  <c r="AO224" i="18" s="1"/>
  <c r="AT112" i="20"/>
  <c r="AS111" i="20"/>
  <c r="AT111" i="20" s="1"/>
  <c r="AQ225" i="18"/>
  <c r="P36" i="75"/>
  <c r="AO27" i="115"/>
  <c r="AO42" i="115" s="1"/>
  <c r="AO18" i="116" s="1"/>
  <c r="AI140" i="18"/>
  <c r="AI146" i="18" s="1"/>
  <c r="AS171" i="18"/>
  <c r="AM238" i="18"/>
  <c r="AS224" i="18"/>
  <c r="AN92" i="18"/>
  <c r="AN99" i="18" s="1"/>
  <c r="AP8" i="102"/>
  <c r="AI74" i="18"/>
  <c r="L34" i="97"/>
  <c r="AL75" i="102"/>
  <c r="AL80" i="102" s="1"/>
  <c r="AQ54" i="103"/>
  <c r="AI73" i="18"/>
  <c r="L36" i="97"/>
  <c r="Z7" i="108"/>
  <c r="AS18" i="20" s="1"/>
  <c r="AS225" i="18"/>
  <c r="G200" i="18"/>
  <c r="AL54" i="102"/>
  <c r="AF56" i="18"/>
  <c r="AF61" i="18" s="1"/>
  <c r="AI169" i="18"/>
  <c r="AI86" i="18"/>
  <c r="AG87" i="18"/>
  <c r="AM225" i="18"/>
  <c r="AG133" i="18"/>
  <c r="AM38" i="5"/>
  <c r="AM43" i="5" s="1"/>
  <c r="AM133" i="18"/>
  <c r="AI170" i="18"/>
  <c r="AO8" i="103"/>
  <c r="AO46" i="103" s="1"/>
  <c r="AO52" i="103" s="1"/>
  <c r="AO60" i="103" s="1"/>
  <c r="AO62" i="103" s="1"/>
  <c r="AK182" i="18"/>
  <c r="AG73" i="18"/>
  <c r="AI182" i="18"/>
  <c r="AI158" i="18"/>
  <c r="AN8" i="103"/>
  <c r="AN46" i="103" s="1"/>
  <c r="AN52" i="103" s="1"/>
  <c r="AN60" i="103" s="1"/>
  <c r="AN62" i="103" s="1"/>
  <c r="AN64" i="103" s="1"/>
  <c r="AQ19" i="103"/>
  <c r="AJ8" i="103"/>
  <c r="AJ46" i="103" s="1"/>
  <c r="AJ52" i="103" s="1"/>
  <c r="AJ60" i="103" s="1"/>
  <c r="AJ62" i="103" s="1"/>
  <c r="AJ64" i="103" s="1"/>
  <c r="AM226" i="18"/>
  <c r="AI157" i="18"/>
  <c r="AK181" i="18"/>
  <c r="G199" i="18"/>
  <c r="AG140" i="18"/>
  <c r="AG145" i="18" s="1"/>
  <c r="AU62" i="115"/>
  <c r="AU99" i="115"/>
  <c r="AU102" i="115"/>
  <c r="AU139" i="115"/>
  <c r="AU63" i="115"/>
  <c r="AU137" i="115"/>
  <c r="AU100" i="115"/>
  <c r="AU64" i="115"/>
  <c r="AB131" i="74"/>
  <c r="AU104" i="115"/>
  <c r="AR27" i="115"/>
  <c r="AR42" i="115" s="1"/>
  <c r="AR18" i="116" s="1"/>
  <c r="AN28" i="116"/>
  <c r="AI77" i="6"/>
  <c r="AI82" i="6" s="1"/>
  <c r="AI84" i="6" s="1"/>
  <c r="AI89" i="6" s="1"/>
  <c r="AN30" i="74"/>
  <c r="AG42" i="116"/>
  <c r="N201" i="18"/>
  <c r="M200" i="18"/>
  <c r="AU142" i="115"/>
  <c r="AU66" i="115"/>
  <c r="AU143" i="115"/>
  <c r="AV71" i="11"/>
  <c r="AV61" i="11"/>
  <c r="AV111" i="74" s="1"/>
  <c r="X71" i="75" s="1"/>
  <c r="N7" i="104"/>
  <c r="AD132" i="115"/>
  <c r="L63" i="75"/>
  <c r="AP39" i="18"/>
  <c r="N199" i="18"/>
  <c r="M201" i="18"/>
  <c r="AK10" i="18"/>
  <c r="AF92" i="18"/>
  <c r="AF98" i="18" s="1"/>
  <c r="Y7" i="108"/>
  <c r="AR18" i="20" s="1"/>
  <c r="G38" i="75"/>
  <c r="AG14" i="116"/>
  <c r="AP37" i="18"/>
  <c r="AI90" i="74"/>
  <c r="K50" i="75" s="1"/>
  <c r="I201" i="18"/>
  <c r="AQ38" i="18"/>
  <c r="AR140" i="18"/>
  <c r="AR146" i="18" s="1"/>
  <c r="N81" i="104"/>
  <c r="N27" i="104" s="1"/>
  <c r="AN41" i="116"/>
  <c r="AM49" i="18"/>
  <c r="AJ8" i="102"/>
  <c r="AJ75" i="102"/>
  <c r="AJ80" i="102" s="1"/>
  <c r="Q44" i="75"/>
  <c r="AR169" i="18"/>
  <c r="AT169" i="18" s="1"/>
  <c r="AI56" i="74"/>
  <c r="AN15" i="116"/>
  <c r="AK171" i="18"/>
  <c r="AR7" i="18"/>
  <c r="AL145" i="18"/>
  <c r="AN73" i="18"/>
  <c r="AR65" i="115"/>
  <c r="AR80" i="115" s="1"/>
  <c r="AQ66" i="102"/>
  <c r="AN75" i="18"/>
  <c r="AQ236" i="18"/>
  <c r="AR38" i="5"/>
  <c r="AR43" i="5" s="1"/>
  <c r="AR45" i="5" s="1"/>
  <c r="AR50" i="5" s="1"/>
  <c r="P98" i="18"/>
  <c r="P27" i="75"/>
  <c r="AN129" i="74" s="1"/>
  <c r="Q28" i="75"/>
  <c r="Q14" i="75" s="1"/>
  <c r="AO91" i="18"/>
  <c r="AQ238" i="18"/>
  <c r="AO30" i="74"/>
  <c r="AS111" i="18"/>
  <c r="AL225" i="18"/>
  <c r="AO60" i="18"/>
  <c r="AM98" i="18"/>
  <c r="AQ37" i="18"/>
  <c r="AH236" i="18"/>
  <c r="AC132" i="115"/>
  <c r="AG11" i="18"/>
  <c r="AQ55" i="102"/>
  <c r="Q81" i="104"/>
  <c r="Q27" i="104" s="1"/>
  <c r="AR77" i="20"/>
  <c r="AP76" i="20"/>
  <c r="AF20" i="18"/>
  <c r="AF26" i="18" s="1"/>
  <c r="AG82" i="74"/>
  <c r="AM74" i="18"/>
  <c r="J41" i="48"/>
  <c r="J44" i="48" s="1"/>
  <c r="AK22" i="20" s="1"/>
  <c r="AM51" i="18"/>
  <c r="AG85" i="18"/>
  <c r="AQ111" i="18"/>
  <c r="D51" i="19"/>
  <c r="G45" i="19"/>
  <c r="AM73" i="18"/>
  <c r="AG169" i="18"/>
  <c r="AN236" i="18"/>
  <c r="R81" i="104"/>
  <c r="AP77" i="20"/>
  <c r="AM97" i="18"/>
  <c r="AR76" i="20"/>
  <c r="AJ30" i="47"/>
  <c r="AJ9" i="47" s="1"/>
  <c r="G35" i="75"/>
  <c r="AG33" i="47"/>
  <c r="AG12" i="47" s="1"/>
  <c r="K40" i="75"/>
  <c r="AR30" i="20"/>
  <c r="AQ28" i="115"/>
  <c r="AQ27" i="115" s="1"/>
  <c r="AQ42" i="115" s="1"/>
  <c r="AQ18" i="116" s="1"/>
  <c r="T26" i="75"/>
  <c r="T12" i="75" s="1"/>
  <c r="AL129" i="6"/>
  <c r="AL64" i="47" s="1"/>
  <c r="V65" i="75"/>
  <c r="AN39" i="18"/>
  <c r="AN37" i="18"/>
  <c r="AF7" i="18"/>
  <c r="AR6" i="18"/>
  <c r="AF110" i="18"/>
  <c r="AO55" i="18"/>
  <c r="AT198" i="18"/>
  <c r="L199" i="18"/>
  <c r="AR171" i="18"/>
  <c r="O81" i="104"/>
  <c r="AN141" i="115"/>
  <c r="AN156" i="115" s="1"/>
  <c r="AR158" i="18"/>
  <c r="AG29" i="116"/>
  <c r="AR212" i="18"/>
  <c r="AH225" i="18"/>
  <c r="AR56" i="18"/>
  <c r="AR62" i="18" s="1"/>
  <c r="AN11" i="18"/>
  <c r="AF86" i="18"/>
  <c r="AR49" i="18"/>
  <c r="AN16" i="9"/>
  <c r="AN22" i="9" s="1"/>
  <c r="AN24" i="9" s="1"/>
  <c r="AH49" i="18"/>
  <c r="AF181" i="18"/>
  <c r="AO141" i="18"/>
  <c r="AL134" i="18"/>
  <c r="AF87" i="18"/>
  <c r="P81" i="104"/>
  <c r="P27" i="104" s="1"/>
  <c r="AO8" i="102"/>
  <c r="AO46" i="102" s="1"/>
  <c r="AO52" i="102" s="1"/>
  <c r="AO59" i="102" s="1"/>
  <c r="AO61" i="102" s="1"/>
  <c r="AF182" i="18"/>
  <c r="AO59" i="18"/>
  <c r="AL133" i="18"/>
  <c r="AN38" i="5"/>
  <c r="AN287" i="5" s="1"/>
  <c r="AN286" i="5" s="1"/>
  <c r="L200" i="18"/>
  <c r="AT60" i="18"/>
  <c r="AO207" i="18"/>
  <c r="AO213" i="18" s="1"/>
  <c r="AC52" i="74"/>
  <c r="AH159" i="18"/>
  <c r="I41" i="75"/>
  <c r="AQ48" i="102"/>
  <c r="AM212" i="18"/>
  <c r="T44" i="75"/>
  <c r="AH51" i="18"/>
  <c r="AR10" i="18"/>
  <c r="AR194" i="18"/>
  <c r="P194" i="18"/>
  <c r="P199" i="18" s="1"/>
  <c r="AP134" i="18"/>
  <c r="AT68" i="18"/>
  <c r="AT75" i="18" s="1"/>
  <c r="AQ27" i="102"/>
  <c r="AK29" i="115"/>
  <c r="AH82" i="74"/>
  <c r="AL30" i="74"/>
  <c r="N44" i="75"/>
  <c r="AR82" i="74"/>
  <c r="E42" i="75"/>
  <c r="E18" i="75" s="1"/>
  <c r="L43" i="75"/>
  <c r="AM179" i="115"/>
  <c r="AM194" i="115" s="1"/>
  <c r="AR30" i="74"/>
  <c r="AO141" i="115"/>
  <c r="AO156" i="115" s="1"/>
  <c r="AR141" i="115"/>
  <c r="AR156" i="115" s="1"/>
  <c r="AR179" i="115"/>
  <c r="AR194" i="115" s="1"/>
  <c r="G42" i="75"/>
  <c r="G18" i="75" s="1"/>
  <c r="AR63" i="74"/>
  <c r="AR62" i="74" s="1"/>
  <c r="AJ214" i="6"/>
  <c r="AJ216" i="6" s="1"/>
  <c r="N29" i="75"/>
  <c r="AL131" i="74" s="1"/>
  <c r="AI129" i="6"/>
  <c r="AI134" i="6" s="1"/>
  <c r="AI136" i="6" s="1"/>
  <c r="Q29" i="75"/>
  <c r="AO131" i="74" s="1"/>
  <c r="AH106" i="20"/>
  <c r="AO14" i="116"/>
  <c r="P39" i="75"/>
  <c r="AC29" i="74"/>
  <c r="AD13" i="115"/>
  <c r="AD38" i="115" s="1"/>
  <c r="AU25" i="5"/>
  <c r="Q39" i="75"/>
  <c r="L37" i="75"/>
  <c r="P41" i="75"/>
  <c r="G63" i="75"/>
  <c r="AN15" i="5"/>
  <c r="AN17" i="5" s="1"/>
  <c r="AF246" i="5"/>
  <c r="AF56" i="115" s="1"/>
  <c r="AD54" i="115"/>
  <c r="AC78" i="74"/>
  <c r="T41" i="75"/>
  <c r="T40" i="75"/>
  <c r="L32" i="75"/>
  <c r="G39" i="75"/>
  <c r="K34" i="75"/>
  <c r="AC76" i="74"/>
  <c r="AF77" i="20"/>
  <c r="AI114" i="115"/>
  <c r="AD16" i="115"/>
  <c r="AR45" i="74"/>
  <c r="AR44" i="74" s="1"/>
  <c r="K36" i="75"/>
  <c r="AC26" i="74"/>
  <c r="S41" i="75"/>
  <c r="O58" i="75"/>
  <c r="O41" i="75"/>
  <c r="K41" i="75"/>
  <c r="AI300" i="5"/>
  <c r="AK300" i="5" s="1"/>
  <c r="AP18" i="115"/>
  <c r="AL15" i="5"/>
  <c r="AL17" i="5" s="1"/>
  <c r="T39" i="75"/>
  <c r="AI92" i="20"/>
  <c r="AG114" i="115"/>
  <c r="AP169" i="115"/>
  <c r="T32" i="75"/>
  <c r="I36" i="75"/>
  <c r="AC54" i="115"/>
  <c r="AF92" i="20"/>
  <c r="AO191" i="115"/>
  <c r="AF241" i="5"/>
  <c r="AG46" i="115"/>
  <c r="L40" i="75"/>
  <c r="AE122" i="115"/>
  <c r="AC161" i="115"/>
  <c r="N39" i="75"/>
  <c r="AL160" i="115"/>
  <c r="AF220" i="5"/>
  <c r="AK192" i="5"/>
  <c r="AK103" i="74" s="1"/>
  <c r="AM191" i="115"/>
  <c r="AI115" i="115"/>
  <c r="AG32" i="47"/>
  <c r="AG11" i="47" s="1"/>
  <c r="AI302" i="5"/>
  <c r="AP10" i="5"/>
  <c r="N40" i="75"/>
  <c r="D37" i="75"/>
  <c r="AD297" i="5"/>
  <c r="I34" i="75"/>
  <c r="I40" i="75"/>
  <c r="P40" i="75"/>
  <c r="AH76" i="20"/>
  <c r="AH77" i="20"/>
  <c r="AI63" i="74"/>
  <c r="AI62" i="74" s="1"/>
  <c r="I27" i="75"/>
  <c r="AG129" i="74" s="1"/>
  <c r="AL19" i="115"/>
  <c r="AL40" i="115" s="1"/>
  <c r="AL11" i="116" s="1"/>
  <c r="AI13" i="116"/>
  <c r="AO16" i="116"/>
  <c r="AK106" i="20"/>
  <c r="N34" i="48"/>
  <c r="AQ40" i="47"/>
  <c r="AQ19" i="47" s="1"/>
  <c r="AK18" i="115"/>
  <c r="P34" i="48"/>
  <c r="K41" i="48"/>
  <c r="K44" i="48" s="1"/>
  <c r="AL22" i="20" s="1"/>
  <c r="F10" i="48"/>
  <c r="AP127" i="47"/>
  <c r="AP129" i="47"/>
  <c r="AT7" i="20"/>
  <c r="AH39" i="47"/>
  <c r="AH18" i="47" s="1"/>
  <c r="AS15" i="5"/>
  <c r="AU57" i="47"/>
  <c r="AI65" i="115"/>
  <c r="AI80" i="115" s="1"/>
  <c r="AN27" i="115"/>
  <c r="AN42" i="115" s="1"/>
  <c r="AT27" i="115"/>
  <c r="AT42" i="115" s="1"/>
  <c r="AT18" i="116" s="1"/>
  <c r="AG179" i="115"/>
  <c r="AG194" i="115" s="1"/>
  <c r="AI179" i="115"/>
  <c r="AI194" i="115" s="1"/>
  <c r="F42" i="75"/>
  <c r="F18" i="75" s="1"/>
  <c r="R23" i="104"/>
  <c r="AU75" i="19"/>
  <c r="AR123" i="47"/>
  <c r="AQ102" i="47"/>
  <c r="AP30" i="115"/>
  <c r="AP41" i="115" s="1"/>
  <c r="AQ68" i="115"/>
  <c r="AQ79" i="115" s="1"/>
  <c r="AJ32" i="47"/>
  <c r="AJ11" i="47" s="1"/>
  <c r="AJ36" i="47"/>
  <c r="AJ15" i="47" s="1"/>
  <c r="AG38" i="47"/>
  <c r="AG17" i="47" s="1"/>
  <c r="AU124" i="47"/>
  <c r="AJ40" i="47"/>
  <c r="AJ19" i="47" s="1"/>
  <c r="AO41" i="47"/>
  <c r="AO20" i="47" s="1"/>
  <c r="AG31" i="47"/>
  <c r="AG10" i="47" s="1"/>
  <c r="AK127" i="47"/>
  <c r="AO52" i="47"/>
  <c r="AO54" i="47" s="1"/>
  <c r="AO59" i="47" s="1"/>
  <c r="AO61" i="47" s="1"/>
  <c r="AG36" i="47"/>
  <c r="AG15" i="47" s="1"/>
  <c r="AK17" i="115"/>
  <c r="AK56" i="18"/>
  <c r="AK62" i="18" s="1"/>
  <c r="AR39" i="115"/>
  <c r="AJ39" i="115"/>
  <c r="L65" i="48"/>
  <c r="L66" i="48" s="1"/>
  <c r="AJ47" i="47"/>
  <c r="AJ52" i="47" s="1"/>
  <c r="AJ54" i="47" s="1"/>
  <c r="AJ59" i="47" s="1"/>
  <c r="AJ61" i="47" s="1"/>
  <c r="AS86" i="18"/>
  <c r="AJ55" i="18"/>
  <c r="AJ68" i="18"/>
  <c r="AJ74" i="18" s="1"/>
  <c r="AH57" i="115"/>
  <c r="AH78" i="115" s="1"/>
  <c r="AR16" i="9"/>
  <c r="AM236" i="18"/>
  <c r="AK76" i="74"/>
  <c r="M62" i="75" s="1"/>
  <c r="AM42" i="116"/>
  <c r="AM57" i="115"/>
  <c r="AM78" i="115" s="1"/>
  <c r="AG160" i="115"/>
  <c r="AP8" i="103"/>
  <c r="G41" i="75"/>
  <c r="AG30" i="74"/>
  <c r="AO95" i="18"/>
  <c r="L8" i="48"/>
  <c r="G40" i="75"/>
  <c r="AR115" i="115"/>
  <c r="AI84" i="115"/>
  <c r="AH179" i="115"/>
  <c r="AH194" i="115" s="1"/>
  <c r="AS144" i="115"/>
  <c r="AS155" i="115" s="1"/>
  <c r="AJ141" i="115"/>
  <c r="AJ156" i="115" s="1"/>
  <c r="AG76" i="115"/>
  <c r="AP24" i="115"/>
  <c r="AP14" i="116" s="1"/>
  <c r="AL84" i="115"/>
  <c r="AR157" i="18"/>
  <c r="AL20" i="18"/>
  <c r="AL26" i="18" s="1"/>
  <c r="K63" i="75"/>
  <c r="AL14" i="116"/>
  <c r="AO15" i="5"/>
  <c r="AO17" i="5" s="1"/>
  <c r="AO22" i="5" s="1"/>
  <c r="AI27" i="115"/>
  <c r="AI42" i="115" s="1"/>
  <c r="AM61" i="18"/>
  <c r="AH92" i="18"/>
  <c r="AH99" i="18" s="1"/>
  <c r="AG10" i="88"/>
  <c r="AJ31" i="47"/>
  <c r="AJ10" i="47" s="1"/>
  <c r="L34" i="75"/>
  <c r="AH12" i="18"/>
  <c r="AO19" i="115"/>
  <c r="AO40" i="115" s="1"/>
  <c r="AR191" i="115"/>
  <c r="AQ38" i="20"/>
  <c r="AK199" i="18"/>
  <c r="AP92" i="18"/>
  <c r="AP99" i="18" s="1"/>
  <c r="AQ41" i="103"/>
  <c r="AG115" i="115"/>
  <c r="P7" i="104"/>
  <c r="AK104" i="115"/>
  <c r="I199" i="18"/>
  <c r="AR236" i="18"/>
  <c r="AT144" i="18"/>
  <c r="AJ141" i="18"/>
  <c r="AM160" i="115"/>
  <c r="AG19" i="115"/>
  <c r="AG40" i="115" s="1"/>
  <c r="AQ82" i="102"/>
  <c r="AQ31" i="47"/>
  <c r="AQ110" i="18"/>
  <c r="AT91" i="18"/>
  <c r="AN8" i="102"/>
  <c r="AN46" i="102" s="1"/>
  <c r="AN52" i="102" s="1"/>
  <c r="AN59" i="102" s="1"/>
  <c r="AN61" i="102" s="1"/>
  <c r="AP177" i="115"/>
  <c r="AN20" i="18"/>
  <c r="AN26" i="18" s="1"/>
  <c r="AR159" i="18"/>
  <c r="AG77" i="115"/>
  <c r="AQ30" i="115"/>
  <c r="AQ41" i="115" s="1"/>
  <c r="AL191" i="115"/>
  <c r="AB8" i="115"/>
  <c r="AR129" i="47"/>
  <c r="AO39" i="115"/>
  <c r="AN179" i="115"/>
  <c r="AN194" i="115" s="1"/>
  <c r="AH8" i="102"/>
  <c r="AS57" i="115"/>
  <c r="AS78" i="115" s="1"/>
  <c r="AI133" i="115"/>
  <c r="AI154" i="115" s="1"/>
  <c r="AJ14" i="116"/>
  <c r="AR114" i="115"/>
  <c r="P23" i="104"/>
  <c r="AE153" i="115"/>
  <c r="AJ54" i="20"/>
  <c r="AR160" i="115"/>
  <c r="G21" i="98"/>
  <c r="AM12" i="116" a="1"/>
  <c r="AM12" i="116" s="1"/>
  <c r="AO57" i="115"/>
  <c r="AO78" i="115" s="1"/>
  <c r="AL115" i="115"/>
  <c r="AG84" i="115"/>
  <c r="AT39" i="115"/>
  <c r="AU127" i="47"/>
  <c r="AG11" i="88"/>
  <c r="AE8" i="115"/>
  <c r="AK80" i="102"/>
  <c r="AK88" i="102" s="1"/>
  <c r="AK52" i="103"/>
  <c r="AK60" i="103" s="1"/>
  <c r="AK62" i="103" s="1"/>
  <c r="AK64" i="103" s="1"/>
  <c r="AP180" i="115"/>
  <c r="AS14" i="12"/>
  <c r="AR237" i="18"/>
  <c r="AK117" i="5"/>
  <c r="AN50" i="18"/>
  <c r="AR213" i="18"/>
  <c r="AF11" i="88"/>
  <c r="AL133" i="115"/>
  <c r="AL154" i="115" s="1"/>
  <c r="AN14" i="116"/>
  <c r="AG65" i="115"/>
  <c r="AG80" i="115" s="1"/>
  <c r="AB153" i="115"/>
  <c r="AP46" i="102"/>
  <c r="AP52" i="102" s="1"/>
  <c r="AP59" i="102" s="1"/>
  <c r="AP61" i="102" s="1"/>
  <c r="D68" i="75"/>
  <c r="AM115" i="115"/>
  <c r="AM113" i="115" s="1"/>
  <c r="AK8" i="102"/>
  <c r="AK46" i="102" s="1"/>
  <c r="AK52" i="102" s="1"/>
  <c r="AK59" i="102" s="1"/>
  <c r="AK61" i="102" s="1"/>
  <c r="AI8" i="102"/>
  <c r="AI46" i="102" s="1"/>
  <c r="AI52" i="102" s="1"/>
  <c r="AI59" i="102" s="1"/>
  <c r="AI61" i="102" s="1"/>
  <c r="AQ75" i="18"/>
  <c r="AF9" i="88"/>
  <c r="AM84" i="115"/>
  <c r="AN39" i="115"/>
  <c r="AN114" i="115"/>
  <c r="AL39" i="115"/>
  <c r="AE84" i="115"/>
  <c r="AI141" i="115"/>
  <c r="AI156" i="115" s="1"/>
  <c r="AG191" i="115"/>
  <c r="AG92" i="20"/>
  <c r="AI29" i="116"/>
  <c r="AG190" i="115"/>
  <c r="AU130" i="47"/>
  <c r="V41" i="75"/>
  <c r="AI171" i="115"/>
  <c r="AI192" i="115" s="1"/>
  <c r="AK16" i="115"/>
  <c r="AG76" i="20"/>
  <c r="AU17" i="115"/>
  <c r="J62" i="75"/>
  <c r="AS65" i="115"/>
  <c r="AS80" i="115" s="1"/>
  <c r="AK15" i="115"/>
  <c r="AR106" i="115"/>
  <c r="AR117" i="115" s="1"/>
  <c r="AR17" i="116" s="1"/>
  <c r="AK12" i="115"/>
  <c r="AI77" i="115"/>
  <c r="AR40" i="47"/>
  <c r="AR31" i="47"/>
  <c r="AU169" i="115"/>
  <c r="AS36" i="47"/>
  <c r="AS15" i="47" s="1"/>
  <c r="AR38" i="47"/>
  <c r="AU14" i="115"/>
  <c r="AS40" i="47"/>
  <c r="AS19" i="47" s="1"/>
  <c r="AR68" i="115"/>
  <c r="AR79" i="115" s="1"/>
  <c r="AT40" i="47"/>
  <c r="AS179" i="115"/>
  <c r="AS194" i="115" s="1"/>
  <c r="AQ106" i="115"/>
  <c r="AQ117" i="115" s="1"/>
  <c r="AR36" i="47"/>
  <c r="AR15" i="47" s="1"/>
  <c r="AD128" i="115"/>
  <c r="AI30" i="116"/>
  <c r="AI43" i="116"/>
  <c r="AP102" i="115"/>
  <c r="AK177" i="115"/>
  <c r="AF91" i="115"/>
  <c r="AP142" i="115"/>
  <c r="AP141" i="115" s="1"/>
  <c r="AP156" i="115" s="1"/>
  <c r="AU184" i="115"/>
  <c r="AL62" i="18"/>
  <c r="AN110" i="18"/>
  <c r="AP70" i="115"/>
  <c r="AC85" i="115"/>
  <c r="AC51" i="115"/>
  <c r="I39" i="75"/>
  <c r="AP7" i="18"/>
  <c r="AQ20" i="18"/>
  <c r="AQ26" i="18" s="1"/>
  <c r="AT96" i="18"/>
  <c r="AF7" i="88"/>
  <c r="AI41" i="116"/>
  <c r="AI28" i="116"/>
  <c r="AL65" i="115"/>
  <c r="AL80" i="115" s="1"/>
  <c r="AL106" i="115"/>
  <c r="AL117" i="115" s="1"/>
  <c r="AL17" i="116" s="1"/>
  <c r="AO76" i="115"/>
  <c r="AO46" i="115"/>
  <c r="AO77" i="115"/>
  <c r="AJ30" i="116"/>
  <c r="AJ43" i="116"/>
  <c r="AL114" i="115"/>
  <c r="AO29" i="116"/>
  <c r="AO42" i="116"/>
  <c r="AJ114" i="115"/>
  <c r="AJ84" i="115"/>
  <c r="AJ115" i="115"/>
  <c r="AN84" i="115"/>
  <c r="AN115" i="115"/>
  <c r="AP52" i="115"/>
  <c r="AP31" i="74"/>
  <c r="AP66" i="115"/>
  <c r="AP65" i="115" s="1"/>
  <c r="AP80" i="115" s="1"/>
  <c r="AP21" i="115"/>
  <c r="K38" i="75"/>
  <c r="AF268" i="5"/>
  <c r="AF47" i="115" s="1"/>
  <c r="AD47" i="115"/>
  <c r="AK180" i="115"/>
  <c r="N52" i="48"/>
  <c r="N53" i="48" s="1"/>
  <c r="N58" i="48" s="1"/>
  <c r="N60" i="48" s="1"/>
  <c r="N62" i="48" s="1"/>
  <c r="N63" i="48" s="1"/>
  <c r="AS85" i="74"/>
  <c r="AN109" i="18"/>
  <c r="AT139" i="18"/>
  <c r="AI181" i="18"/>
  <c r="AR133" i="115"/>
  <c r="AR154" i="115" s="1"/>
  <c r="AT28" i="116"/>
  <c r="AM39" i="115"/>
  <c r="N13" i="97"/>
  <c r="AO26" i="116"/>
  <c r="AO39" i="116"/>
  <c r="AB115" i="115"/>
  <c r="AB84" i="115"/>
  <c r="AB114" i="115"/>
  <c r="AB160" i="115"/>
  <c r="AB190" i="115"/>
  <c r="AB191" i="115"/>
  <c r="AP132" i="115"/>
  <c r="AP176" i="115"/>
  <c r="AG28" i="115"/>
  <c r="AG27" i="115" s="1"/>
  <c r="AG42" i="115" s="1"/>
  <c r="AP9" i="115"/>
  <c r="V7" i="108"/>
  <c r="AF10" i="88"/>
  <c r="AR76" i="115"/>
  <c r="AR77" i="115"/>
  <c r="AR46" i="115"/>
  <c r="AM8" i="102"/>
  <c r="AM46" i="102" s="1"/>
  <c r="AQ9" i="102"/>
  <c r="AL46" i="115"/>
  <c r="AL77" i="115"/>
  <c r="AL76" i="115"/>
  <c r="AB46" i="115"/>
  <c r="AB77" i="115"/>
  <c r="AB76" i="115"/>
  <c r="AE190" i="115"/>
  <c r="AE160" i="115"/>
  <c r="AE191" i="115"/>
  <c r="AC53" i="74"/>
  <c r="AC131" i="115"/>
  <c r="AP69" i="115"/>
  <c r="AP145" i="115"/>
  <c r="AF242" i="5"/>
  <c r="AO172" i="115"/>
  <c r="AO133" i="115"/>
  <c r="AO154" i="115" s="1"/>
  <c r="AJ28" i="116"/>
  <c r="AJ41" i="116"/>
  <c r="AP200" i="18"/>
  <c r="AO152" i="115"/>
  <c r="AO153" i="115"/>
  <c r="AO122" i="115"/>
  <c r="AR153" i="115"/>
  <c r="AR152" i="115"/>
  <c r="AR122" i="115"/>
  <c r="AG39" i="116"/>
  <c r="AG26" i="116"/>
  <c r="AJ190" i="115"/>
  <c r="AJ191" i="115"/>
  <c r="AJ160" i="115"/>
  <c r="AL39" i="116"/>
  <c r="AL26" i="116"/>
  <c r="AC170" i="115"/>
  <c r="AJ13" i="116"/>
  <c r="AJ27" i="116"/>
  <c r="AJ40" i="116"/>
  <c r="AC81" i="74"/>
  <c r="AC47" i="115"/>
  <c r="AC168" i="115"/>
  <c r="AP184" i="115"/>
  <c r="AB6" i="88"/>
  <c r="Q13" i="99"/>
  <c r="AL16" i="9"/>
  <c r="AL28" i="115"/>
  <c r="AL27" i="115" s="1"/>
  <c r="AL42" i="115" s="1"/>
  <c r="AL18" i="116" s="1"/>
  <c r="AN129" i="6"/>
  <c r="AN23" i="115"/>
  <c r="AN26" i="116" s="1"/>
  <c r="AK63" i="115"/>
  <c r="AK57" i="115" s="1"/>
  <c r="AK78" i="115" s="1"/>
  <c r="AP178" i="115"/>
  <c r="AP131" i="115"/>
  <c r="AH160" i="115"/>
  <c r="AS141" i="115"/>
  <c r="AS156" i="115" s="1"/>
  <c r="AO41" i="116"/>
  <c r="AL190" i="115"/>
  <c r="AN160" i="115"/>
  <c r="AN191" i="115"/>
  <c r="AN190" i="115"/>
  <c r="AL179" i="115"/>
  <c r="AL194" i="115" s="1"/>
  <c r="AB39" i="115"/>
  <c r="AB36" i="115" s="1"/>
  <c r="AB35" i="115" s="1"/>
  <c r="AL28" i="116"/>
  <c r="AL57" i="115"/>
  <c r="AL78" i="115" s="1"/>
  <c r="AJ76" i="115"/>
  <c r="AJ77" i="115"/>
  <c r="AJ46" i="115"/>
  <c r="AL27" i="116"/>
  <c r="AE46" i="115"/>
  <c r="AE77" i="115"/>
  <c r="AE76" i="115"/>
  <c r="AJ19" i="115"/>
  <c r="AJ40" i="115" s="1"/>
  <c r="AL29" i="116"/>
  <c r="AC17" i="115"/>
  <c r="AK9" i="115"/>
  <c r="AP181" i="115"/>
  <c r="AP105" i="115"/>
  <c r="AP103" i="115" s="1"/>
  <c r="AP118" i="115" s="1"/>
  <c r="AK139" i="115"/>
  <c r="AG135" i="18"/>
  <c r="AP26" i="115"/>
  <c r="AF128" i="5"/>
  <c r="AF49" i="74" s="1"/>
  <c r="AD127" i="115"/>
  <c r="AM71" i="115"/>
  <c r="AM68" i="115" s="1"/>
  <c r="AM79" i="115" s="1"/>
  <c r="AQ159" i="18"/>
  <c r="AQ76" i="115"/>
  <c r="AO12" i="116" a="1"/>
  <c r="AO12" i="116" s="1"/>
  <c r="AO95" i="115"/>
  <c r="AO116" i="115" s="1"/>
  <c r="AN172" i="115"/>
  <c r="AN133" i="115"/>
  <c r="AN154" i="115" s="1"/>
  <c r="AR84" i="115"/>
  <c r="AM15" i="116"/>
  <c r="AD18" i="115"/>
  <c r="AL41" i="116"/>
  <c r="AL40" i="116"/>
  <c r="AL42" i="116"/>
  <c r="AC165" i="115"/>
  <c r="AM23" i="115"/>
  <c r="AM13" i="116" s="1"/>
  <c r="AO122" i="47"/>
  <c r="AO147" i="115"/>
  <c r="AO144" i="115" s="1"/>
  <c r="AO155" i="115" s="1"/>
  <c r="AP101" i="115"/>
  <c r="AP80" i="74"/>
  <c r="AP56" i="115"/>
  <c r="AJ30" i="74"/>
  <c r="AE7" i="88"/>
  <c r="AM16" i="9"/>
  <c r="AM22" i="9" s="1"/>
  <c r="AM28" i="115"/>
  <c r="AM27" i="115" s="1"/>
  <c r="AM42" i="115" s="1"/>
  <c r="AF167" i="115"/>
  <c r="AH20" i="18"/>
  <c r="AH27" i="18" s="1"/>
  <c r="AD52" i="74"/>
  <c r="AD130" i="115"/>
  <c r="AC92" i="115"/>
  <c r="AI97" i="74"/>
  <c r="AI96" i="74" s="1"/>
  <c r="K43" i="75"/>
  <c r="AN123" i="47"/>
  <c r="AN71" i="115"/>
  <c r="AN68" i="115" s="1"/>
  <c r="AN79" i="115" s="1"/>
  <c r="AP201" i="18"/>
  <c r="AQ74" i="18"/>
  <c r="AT95" i="18"/>
  <c r="AP171" i="18"/>
  <c r="N34" i="97"/>
  <c r="Q34" i="97" s="1"/>
  <c r="AT41" i="116"/>
  <c r="AS106" i="115"/>
  <c r="AS117" i="115" s="1"/>
  <c r="AS68" i="115"/>
  <c r="AS79" i="115" s="1"/>
  <c r="AN144" i="115"/>
  <c r="AN155" i="115" s="1"/>
  <c r="AL12" i="116" a="1"/>
  <c r="AL12" i="116" s="1"/>
  <c r="AO190" i="115"/>
  <c r="AO160" i="115"/>
  <c r="AG28" i="116"/>
  <c r="AG41" i="116"/>
  <c r="AE152" i="115"/>
  <c r="AB122" i="115"/>
  <c r="AB152" i="115"/>
  <c r="AF125" i="5"/>
  <c r="AC166" i="115"/>
  <c r="AP170" i="115"/>
  <c r="AP166" i="115"/>
  <c r="AP174" i="115"/>
  <c r="AP133" i="115"/>
  <c r="AP154" i="115" s="1"/>
  <c r="AP172" i="115"/>
  <c r="AP162" i="115"/>
  <c r="AF147" i="5"/>
  <c r="AP175" i="115"/>
  <c r="AP17" i="115"/>
  <c r="AP170" i="18"/>
  <c r="AS182" i="115"/>
  <c r="AS193" i="115" s="1"/>
  <c r="M13" i="98"/>
  <c r="AL153" i="115"/>
  <c r="AL152" i="115"/>
  <c r="AL122" i="115"/>
  <c r="AG27" i="116"/>
  <c r="AG40" i="116"/>
  <c r="AG39" i="115"/>
  <c r="AQ19" i="102"/>
  <c r="AJ122" i="115"/>
  <c r="AJ153" i="115"/>
  <c r="AJ152" i="115"/>
  <c r="AE39" i="115"/>
  <c r="AE36" i="115" s="1"/>
  <c r="AE35" i="115" s="1"/>
  <c r="Q7" i="104"/>
  <c r="O7" i="104"/>
  <c r="AE114" i="115"/>
  <c r="AE115" i="115"/>
  <c r="AP108" i="115"/>
  <c r="AJ28" i="115"/>
  <c r="AJ27" i="115" s="1"/>
  <c r="AJ42" i="115" s="1"/>
  <c r="AJ18" i="116" s="1"/>
  <c r="AN133" i="18"/>
  <c r="AK21" i="115"/>
  <c r="AK161" i="115"/>
  <c r="AP14" i="115"/>
  <c r="AO123" i="47"/>
  <c r="AO71" i="115"/>
  <c r="AO68" i="115" s="1"/>
  <c r="AO79" i="115" s="1"/>
  <c r="AQ86" i="18"/>
  <c r="AD74" i="88"/>
  <c r="AE10" i="88"/>
  <c r="AS122" i="115"/>
  <c r="AI46" i="115"/>
  <c r="AN12" i="116" a="1"/>
  <c r="AN12" i="116" s="1"/>
  <c r="AN95" i="115"/>
  <c r="AN116" i="115" s="1"/>
  <c r="AN106" i="115"/>
  <c r="AN117" i="115" s="1"/>
  <c r="AN17" i="116" s="1"/>
  <c r="R7" i="104"/>
  <c r="AO115" i="115"/>
  <c r="AO84" i="115"/>
  <c r="AG43" i="116"/>
  <c r="AG30" i="116"/>
  <c r="AG12" i="116" a="1"/>
  <c r="AG12" i="116" s="1"/>
  <c r="AG95" i="115"/>
  <c r="AG116" i="115" s="1"/>
  <c r="AJ179" i="115"/>
  <c r="AJ194" i="115" s="1"/>
  <c r="AI39" i="116"/>
  <c r="AI26" i="116"/>
  <c r="AI39" i="115"/>
  <c r="AM133" i="115"/>
  <c r="AM154" i="115" s="1"/>
  <c r="AM172" i="115"/>
  <c r="AN152" i="115"/>
  <c r="AN122" i="115"/>
  <c r="AN153" i="115"/>
  <c r="AC169" i="115"/>
  <c r="AM109" i="115"/>
  <c r="AM106" i="115" s="1"/>
  <c r="AM117" i="115" s="1"/>
  <c r="AM185" i="115"/>
  <c r="AM182" i="115" s="1"/>
  <c r="AM193" i="115" s="1"/>
  <c r="AL122" i="47"/>
  <c r="AL10" i="47" s="1"/>
  <c r="AL147" i="115"/>
  <c r="AL144" i="115" s="1"/>
  <c r="AL155" i="115" s="1"/>
  <c r="AP13" i="74"/>
  <c r="AP60" i="115"/>
  <c r="AP57" i="115" s="1"/>
  <c r="AP78" i="115" s="1"/>
  <c r="AK65" i="115"/>
  <c r="AK80" i="115" s="1"/>
  <c r="AR23" i="115"/>
  <c r="AR26" i="116" s="1"/>
  <c r="AP29" i="115"/>
  <c r="AP86" i="115"/>
  <c r="AP114" i="115" s="1"/>
  <c r="AC50" i="74"/>
  <c r="AC128" i="115"/>
  <c r="AO21" i="18"/>
  <c r="AE9" i="88"/>
  <c r="AN29" i="116"/>
  <c r="AN42" i="116"/>
  <c r="AN185" i="115"/>
  <c r="AN182" i="115" s="1"/>
  <c r="AN193" i="115" s="1"/>
  <c r="AL25" i="116"/>
  <c r="AL171" i="115"/>
  <c r="AL192" i="115" s="1"/>
  <c r="AL38" i="116"/>
  <c r="AM54" i="102"/>
  <c r="AQ54" i="102" s="1"/>
  <c r="AG172" i="115"/>
  <c r="AG133" i="115"/>
  <c r="AG154" i="115" s="1"/>
  <c r="AO28" i="116"/>
  <c r="AJ39" i="116"/>
  <c r="AJ26" i="116"/>
  <c r="AM27" i="116"/>
  <c r="AM40" i="116"/>
  <c r="AC130" i="115"/>
  <c r="AJ16" i="116"/>
  <c r="AJ65" i="115"/>
  <c r="AJ80" i="115" s="1"/>
  <c r="AK71" i="115"/>
  <c r="AK68" i="115" s="1"/>
  <c r="AK79" i="115" s="1"/>
  <c r="AJ16" i="9"/>
  <c r="AJ84" i="47" s="1"/>
  <c r="AJ90" i="47" s="1"/>
  <c r="AJ92" i="47" s="1"/>
  <c r="AJ97" i="47" s="1"/>
  <c r="AD55" i="115"/>
  <c r="AC55" i="115"/>
  <c r="AO109" i="115"/>
  <c r="AO106" i="115" s="1"/>
  <c r="AO117" i="115" s="1"/>
  <c r="AO17" i="116" s="1"/>
  <c r="AO185" i="115"/>
  <c r="AO182" i="115" s="1"/>
  <c r="AO193" i="115" s="1"/>
  <c r="AR32" i="47"/>
  <c r="AP25" i="115"/>
  <c r="AI11" i="18"/>
  <c r="AN134" i="18"/>
  <c r="AP173" i="115"/>
  <c r="AF130" i="115"/>
  <c r="AC123" i="115"/>
  <c r="AM122" i="47"/>
  <c r="AM10" i="47" s="1"/>
  <c r="AM147" i="115"/>
  <c r="AM144" i="115" s="1"/>
  <c r="AM155" i="115" s="1"/>
  <c r="AT193" i="18"/>
  <c r="AQ49" i="18"/>
  <c r="AP158" i="18"/>
  <c r="AC6" i="88"/>
  <c r="AE8" i="88"/>
  <c r="AT30" i="115"/>
  <c r="AT41" i="115" s="1"/>
  <c r="AS191" i="115"/>
  <c r="AI57" i="115"/>
  <c r="AI78" i="115" s="1"/>
  <c r="AN57" i="115"/>
  <c r="AN78" i="115" s="1"/>
  <c r="AM122" i="115"/>
  <c r="AM153" i="115"/>
  <c r="AM152" i="115"/>
  <c r="AL141" i="115"/>
  <c r="AL156" i="115" s="1"/>
  <c r="AN77" i="115"/>
  <c r="AN46" i="115"/>
  <c r="AN76" i="115"/>
  <c r="AR21" i="115"/>
  <c r="AR12" i="116" s="1" a="1"/>
  <c r="AR12" i="116" s="1"/>
  <c r="AO114" i="115"/>
  <c r="AJ29" i="116"/>
  <c r="AJ42" i="116"/>
  <c r="AP107" i="115"/>
  <c r="AP183" i="115"/>
  <c r="AC94" i="115"/>
  <c r="AI147" i="115"/>
  <c r="AI144" i="115" s="1"/>
  <c r="AI155" i="115" s="1"/>
  <c r="AD14" i="115"/>
  <c r="AC14" i="115"/>
  <c r="Q38" i="97"/>
  <c r="AI16" i="9"/>
  <c r="AI22" i="9" s="1"/>
  <c r="AP146" i="115"/>
  <c r="AJ33" i="47"/>
  <c r="AJ12" i="47" s="1"/>
  <c r="AF15" i="115"/>
  <c r="I38" i="75"/>
  <c r="AP161" i="115"/>
  <c r="L36" i="75"/>
  <c r="AP29" i="74"/>
  <c r="AP47" i="115"/>
  <c r="AQ21" i="114"/>
  <c r="AG74" i="18"/>
  <c r="AT58" i="18"/>
  <c r="AH7" i="18"/>
  <c r="AG9" i="88"/>
  <c r="AH16" i="116"/>
  <c r="AS15" i="116"/>
  <c r="AR57" i="115"/>
  <c r="AR78" i="115" s="1"/>
  <c r="AM41" i="116"/>
  <c r="AM28" i="116"/>
  <c r="AR190" i="115"/>
  <c r="AN27" i="116"/>
  <c r="AN40" i="116"/>
  <c r="AM29" i="116"/>
  <c r="AO40" i="116"/>
  <c r="AO27" i="116"/>
  <c r="AM46" i="115"/>
  <c r="AM76" i="115"/>
  <c r="AM77" i="115"/>
  <c r="AL182" i="115"/>
  <c r="AL193" i="115" s="1"/>
  <c r="AM190" i="115"/>
  <c r="AG57" i="115"/>
  <c r="AG78" i="115" s="1"/>
  <c r="AJ57" i="115"/>
  <c r="AJ78" i="115" s="1"/>
  <c r="AQ11" i="74"/>
  <c r="AQ10" i="74" s="1"/>
  <c r="L29" i="75"/>
  <c r="L15" i="75" s="1"/>
  <c r="L27" i="75"/>
  <c r="AJ129" i="74" s="1"/>
  <c r="Q26" i="75"/>
  <c r="Q12" i="75" s="1"/>
  <c r="AT187" i="18"/>
  <c r="I25" i="75"/>
  <c r="AG127" i="74" s="1"/>
  <c r="S25" i="75"/>
  <c r="AQ127" i="74" s="1"/>
  <c r="U25" i="75"/>
  <c r="AS127" i="74" s="1"/>
  <c r="AG37" i="74"/>
  <c r="AG36" i="74" s="1"/>
  <c r="K25" i="75"/>
  <c r="AI127" i="74" s="1"/>
  <c r="I26" i="75"/>
  <c r="AG128" i="74" s="1"/>
  <c r="AF30" i="20"/>
  <c r="AQ133" i="115"/>
  <c r="AQ154" i="115" s="1"/>
  <c r="AQ15" i="116"/>
  <c r="P24" i="75"/>
  <c r="AN126" i="74" s="1"/>
  <c r="O34" i="48"/>
  <c r="Q27" i="75"/>
  <c r="Q13" i="75" s="1"/>
  <c r="AR16" i="116"/>
  <c r="AN37" i="74"/>
  <c r="AN36" i="74" s="1"/>
  <c r="AI42" i="116"/>
  <c r="AT16" i="116"/>
  <c r="AG69" i="20"/>
  <c r="K58" i="48"/>
  <c r="K60" i="48" s="1"/>
  <c r="K62" i="48" s="1"/>
  <c r="K63" i="48" s="1"/>
  <c r="AS16" i="116"/>
  <c r="AQ19" i="115"/>
  <c r="AQ40" i="115" s="1"/>
  <c r="AF38" i="20"/>
  <c r="AT57" i="115"/>
  <c r="AT78" i="115" s="1"/>
  <c r="AJ10" i="115"/>
  <c r="AM38" i="115"/>
  <c r="AM8" i="115"/>
  <c r="AO10" i="115"/>
  <c r="AR38" i="115"/>
  <c r="AR8" i="115"/>
  <c r="AN38" i="115"/>
  <c r="AN8" i="115"/>
  <c r="AL8" i="115"/>
  <c r="AL38" i="115"/>
  <c r="AO38" i="5"/>
  <c r="AO43" i="5" s="1"/>
  <c r="AO45" i="5" s="1"/>
  <c r="AO50" i="5" s="1"/>
  <c r="AH191" i="115"/>
  <c r="AH190" i="115"/>
  <c r="AS160" i="115"/>
  <c r="AU166" i="115"/>
  <c r="AK90" i="115"/>
  <c r="AK74" i="74"/>
  <c r="M60" i="75" s="1"/>
  <c r="AK50" i="115"/>
  <c r="AK50" i="6"/>
  <c r="AK135" i="115" s="1"/>
  <c r="AJ135" i="115"/>
  <c r="AJ133" i="115" s="1"/>
  <c r="AJ154" i="115" s="1"/>
  <c r="AT46" i="115"/>
  <c r="AT77" i="115"/>
  <c r="AT76" i="115"/>
  <c r="AH30" i="116"/>
  <c r="AH43" i="116"/>
  <c r="AH15" i="116"/>
  <c r="AH41" i="116"/>
  <c r="AH28" i="116"/>
  <c r="AU26" i="115"/>
  <c r="AK140" i="115"/>
  <c r="AK102" i="115"/>
  <c r="AK175" i="115"/>
  <c r="AH171" i="115"/>
  <c r="AH192" i="115" s="1"/>
  <c r="AQ179" i="115"/>
  <c r="AQ194" i="115" s="1"/>
  <c r="AS190" i="115"/>
  <c r="AS77" i="115"/>
  <c r="AS76" i="115"/>
  <c r="AQ27" i="116"/>
  <c r="AQ40" i="116"/>
  <c r="AH42" i="116"/>
  <c r="AH29" i="116"/>
  <c r="AQ114" i="115"/>
  <c r="AQ84" i="115"/>
  <c r="AQ115" i="115"/>
  <c r="AR42" i="116"/>
  <c r="AR29" i="116"/>
  <c r="AK89" i="115"/>
  <c r="AU123" i="115"/>
  <c r="AK162" i="115"/>
  <c r="AU84" i="74"/>
  <c r="AU67" i="115"/>
  <c r="AS24" i="115"/>
  <c r="AS19" i="115" s="1"/>
  <c r="AS40" i="115" s="1"/>
  <c r="AT172" i="115"/>
  <c r="AT133" i="115"/>
  <c r="AT154" i="115" s="1"/>
  <c r="AR28" i="116"/>
  <c r="AR41" i="116"/>
  <c r="AQ95" i="115"/>
  <c r="AQ116" i="115" s="1"/>
  <c r="AQ12" i="116" a="1"/>
  <c r="AQ12" i="116" s="1"/>
  <c r="AH114" i="115"/>
  <c r="AH84" i="115"/>
  <c r="AH115" i="115"/>
  <c r="AR171" i="115"/>
  <c r="AR192" i="115" s="1"/>
  <c r="AH95" i="115"/>
  <c r="AH116" i="115" s="1"/>
  <c r="AU183" i="115"/>
  <c r="AU107" i="115"/>
  <c r="AU172" i="115"/>
  <c r="AK151" i="6"/>
  <c r="AK24" i="115" s="1"/>
  <c r="AI24" i="115"/>
  <c r="AK181" i="115"/>
  <c r="AK105" i="115"/>
  <c r="AK164" i="115"/>
  <c r="AS10" i="115"/>
  <c r="AS38" i="115" s="1"/>
  <c r="AH23" i="115"/>
  <c r="AH13" i="116" s="1"/>
  <c r="AU128" i="115"/>
  <c r="AU47" i="115"/>
  <c r="AT23" i="115"/>
  <c r="AT19" i="115" s="1"/>
  <c r="AT40" i="115" s="1"/>
  <c r="AI10" i="115"/>
  <c r="AI16" i="116"/>
  <c r="AI95" i="115"/>
  <c r="AI116" i="115" s="1"/>
  <c r="AS39" i="115"/>
  <c r="AS39" i="116"/>
  <c r="AK172" i="115"/>
  <c r="AU140" i="115"/>
  <c r="AU25" i="115"/>
  <c r="AU181" i="115"/>
  <c r="AU105" i="115"/>
  <c r="AH28" i="115"/>
  <c r="AH27" i="115" s="1"/>
  <c r="AH42" i="115" s="1"/>
  <c r="AU56" i="115"/>
  <c r="AU55" i="115"/>
  <c r="AK127" i="115"/>
  <c r="AH77" i="115"/>
  <c r="AH76" i="115"/>
  <c r="AH46" i="115"/>
  <c r="AT122" i="115"/>
  <c r="AT153" i="115"/>
  <c r="AT152" i="115"/>
  <c r="AG153" i="115"/>
  <c r="AG122" i="115"/>
  <c r="AG152" i="115"/>
  <c r="AS115" i="115"/>
  <c r="AS84" i="115"/>
  <c r="AS114" i="115"/>
  <c r="AS26" i="116"/>
  <c r="AS172" i="115"/>
  <c r="AS133" i="115"/>
  <c r="AS154" i="115" s="1"/>
  <c r="AQ190" i="115"/>
  <c r="AQ191" i="115"/>
  <c r="AQ160" i="115"/>
  <c r="AH133" i="115"/>
  <c r="AH154" i="115" s="1"/>
  <c r="AJ173" i="115"/>
  <c r="AJ97" i="115"/>
  <c r="AU176" i="115"/>
  <c r="AU131" i="115"/>
  <c r="AU9" i="115"/>
  <c r="AU93" i="115"/>
  <c r="AU115" i="115" s="1"/>
  <c r="AT114" i="115"/>
  <c r="AT84" i="115"/>
  <c r="AT115" i="115"/>
  <c r="AQ39" i="116"/>
  <c r="AQ26" i="116"/>
  <c r="AT12" i="116" a="1"/>
  <c r="AT12" i="116" s="1"/>
  <c r="AT95" i="115"/>
  <c r="AT116" i="115" s="1"/>
  <c r="AT68" i="115"/>
  <c r="AT79" i="115" s="1"/>
  <c r="AQ46" i="115"/>
  <c r="AQ77" i="115"/>
  <c r="AQ153" i="115"/>
  <c r="AQ152" i="115"/>
  <c r="AQ122" i="115"/>
  <c r="AI190" i="115"/>
  <c r="AI191" i="115"/>
  <c r="AI160" i="115"/>
  <c r="AS30" i="115"/>
  <c r="AS41" i="115" s="1"/>
  <c r="AH152" i="115"/>
  <c r="AH122" i="115"/>
  <c r="AH22" i="115"/>
  <c r="AU132" i="115"/>
  <c r="AU52" i="115"/>
  <c r="AK130" i="115"/>
  <c r="AH39" i="115"/>
  <c r="AI38" i="116"/>
  <c r="AI25" i="116"/>
  <c r="AI12" i="116" a="1"/>
  <c r="AI12" i="116" s="1"/>
  <c r="AT65" i="115"/>
  <c r="AT80" i="115" s="1"/>
  <c r="AS46" i="115"/>
  <c r="AS42" i="116"/>
  <c r="AS29" i="116"/>
  <c r="AI153" i="115"/>
  <c r="AI122" i="115"/>
  <c r="AI152" i="115"/>
  <c r="AQ29" i="116"/>
  <c r="AQ42" i="116"/>
  <c r="AT185" i="115"/>
  <c r="AT182" i="115" s="1"/>
  <c r="AT193" i="115" s="1"/>
  <c r="AT109" i="115"/>
  <c r="AT106" i="115" s="1"/>
  <c r="AT117" i="115" s="1"/>
  <c r="AK100" i="115"/>
  <c r="AH38" i="5"/>
  <c r="AH43" i="5" s="1"/>
  <c r="AH45" i="5" s="1"/>
  <c r="AH50" i="5" s="1"/>
  <c r="AH10" i="115"/>
  <c r="AH38" i="115" s="1"/>
  <c r="AU136" i="115"/>
  <c r="AT40" i="116"/>
  <c r="AT27" i="116"/>
  <c r="AQ185" i="115"/>
  <c r="AQ182" i="115" s="1"/>
  <c r="AQ193" i="115" s="1"/>
  <c r="AQ147" i="115"/>
  <c r="AQ144" i="115" s="1"/>
  <c r="AQ155" i="115" s="1"/>
  <c r="AK143" i="115"/>
  <c r="AK141" i="115" s="1"/>
  <c r="AK156" i="115" s="1"/>
  <c r="AK109" i="115"/>
  <c r="AK106" i="115" s="1"/>
  <c r="AK117" i="115" s="1"/>
  <c r="AK17" i="116" s="1"/>
  <c r="AU178" i="115"/>
  <c r="AU175" i="115"/>
  <c r="AU32" i="115"/>
  <c r="AG10" i="115"/>
  <c r="AK14" i="115"/>
  <c r="AK13" i="115"/>
  <c r="AU173" i="115"/>
  <c r="AU177" i="115"/>
  <c r="AK126" i="115"/>
  <c r="AK80" i="74"/>
  <c r="M66" i="75" s="1"/>
  <c r="AK56" i="115"/>
  <c r="AK168" i="115"/>
  <c r="AS13" i="116"/>
  <c r="AT191" i="115"/>
  <c r="AT160" i="115"/>
  <c r="AT190" i="115"/>
  <c r="AS153" i="115"/>
  <c r="AT179" i="115"/>
  <c r="AT194" i="115" s="1"/>
  <c r="AS95" i="115"/>
  <c r="AS116" i="115" s="1"/>
  <c r="AS12" i="116" a="1"/>
  <c r="AS12" i="116" s="1"/>
  <c r="AI76" i="115"/>
  <c r="AH40" i="116"/>
  <c r="AH27" i="116"/>
  <c r="AU59" i="115"/>
  <c r="AK25" i="115"/>
  <c r="AU161" i="115"/>
  <c r="AU180" i="115"/>
  <c r="AU70" i="115"/>
  <c r="AK174" i="115"/>
  <c r="AK91" i="115"/>
  <c r="AK26" i="115"/>
  <c r="AK178" i="115"/>
  <c r="AK123" i="115"/>
  <c r="AK52" i="115"/>
  <c r="AK169" i="115"/>
  <c r="AS41" i="116"/>
  <c r="AS28" i="116"/>
  <c r="AS152" i="115"/>
  <c r="AR24" i="115"/>
  <c r="AR95" i="115"/>
  <c r="AR116" i="115" s="1"/>
  <c r="AQ39" i="115"/>
  <c r="AQ37" i="115" s="1"/>
  <c r="AQ8" i="115"/>
  <c r="AU174" i="115"/>
  <c r="AU29" i="115"/>
  <c r="AU101" i="115"/>
  <c r="AR147" i="115"/>
  <c r="AR144" i="115" s="1"/>
  <c r="AR155" i="115" s="1"/>
  <c r="AR185" i="115"/>
  <c r="AR182" i="115" s="1"/>
  <c r="AR193" i="115" s="1"/>
  <c r="AU61" i="115"/>
  <c r="AU138" i="115"/>
  <c r="AK166" i="115"/>
  <c r="AU18" i="115"/>
  <c r="AT10" i="115"/>
  <c r="AU31" i="115"/>
  <c r="AU170" i="115"/>
  <c r="AK165" i="115"/>
  <c r="AU162" i="115"/>
  <c r="AS28" i="115"/>
  <c r="AS27" i="115" s="1"/>
  <c r="AS42" i="115" s="1"/>
  <c r="AS18" i="116" s="1"/>
  <c r="AK170" i="115"/>
  <c r="AK53" i="115"/>
  <c r="AQ172" i="115"/>
  <c r="AQ28" i="116"/>
  <c r="AQ41" i="116"/>
  <c r="AK124" i="115"/>
  <c r="AK167" i="115"/>
  <c r="AU145" i="115"/>
  <c r="AK176" i="115"/>
  <c r="AK88" i="115"/>
  <c r="AU69" i="115"/>
  <c r="AK85" i="115"/>
  <c r="AT122" i="47"/>
  <c r="AT147" i="115"/>
  <c r="AT144" i="115" s="1"/>
  <c r="AT155" i="115" s="1"/>
  <c r="AK94" i="115"/>
  <c r="AU98" i="115"/>
  <c r="AT42" i="116"/>
  <c r="AT29" i="116"/>
  <c r="AH153" i="115"/>
  <c r="AQ141" i="115"/>
  <c r="AQ156" i="115" s="1"/>
  <c r="AQ65" i="115"/>
  <c r="AQ80" i="115" s="1"/>
  <c r="AQ13" i="116"/>
  <c r="N38" i="48"/>
  <c r="N44" i="48" s="1"/>
  <c r="AP22" i="20" s="1"/>
  <c r="AG33" i="20"/>
  <c r="AG39" i="20" s="1"/>
  <c r="AK10" i="6"/>
  <c r="Q11" i="98"/>
  <c r="L11" i="98"/>
  <c r="L21" i="98"/>
  <c r="G11" i="97"/>
  <c r="Q11" i="97"/>
  <c r="Q31" i="97"/>
  <c r="G34" i="97"/>
  <c r="AH11" i="114"/>
  <c r="AJ11" i="114" s="1"/>
  <c r="AO85" i="74"/>
  <c r="Q35" i="48"/>
  <c r="Q38" i="48" s="1"/>
  <c r="Q44" i="48" s="1"/>
  <c r="AS22" i="20" s="1"/>
  <c r="AS10" i="20"/>
  <c r="AK52" i="74"/>
  <c r="AF118" i="88"/>
  <c r="AG14" i="88"/>
  <c r="AF74" i="88"/>
  <c r="AG74" i="88"/>
  <c r="AG68" i="88"/>
  <c r="AG66" i="88" s="1"/>
  <c r="AE74" i="88"/>
  <c r="W7" i="108"/>
  <c r="X7" i="108"/>
  <c r="X57" i="108" s="1"/>
  <c r="AI13" i="87"/>
  <c r="AH30" i="20"/>
  <c r="AH33" i="20"/>
  <c r="AH39" i="20" s="1"/>
  <c r="O44" i="48"/>
  <c r="AQ22" i="20" s="1"/>
  <c r="AJ28" i="20"/>
  <c r="AO28" i="20"/>
  <c r="AJ83" i="20"/>
  <c r="AJ29" i="20"/>
  <c r="AJ111" i="20"/>
  <c r="AH53" i="20"/>
  <c r="AT80" i="20"/>
  <c r="AJ75" i="20"/>
  <c r="AI53" i="20"/>
  <c r="AR70" i="20"/>
  <c r="AH70" i="20"/>
  <c r="AR38" i="20"/>
  <c r="AH65" i="20"/>
  <c r="AH71" i="20" s="1"/>
  <c r="AJ49" i="20"/>
  <c r="AJ55" i="20" s="1"/>
  <c r="AJ46" i="20"/>
  <c r="AN106" i="20"/>
  <c r="AN78" i="20"/>
  <c r="G10" i="48"/>
  <c r="G41" i="48"/>
  <c r="G44" i="48" s="1"/>
  <c r="AG22" i="20" s="1"/>
  <c r="L18" i="48"/>
  <c r="L10" i="48" s="1"/>
  <c r="M10" i="48"/>
  <c r="K10" i="48"/>
  <c r="K8" i="48"/>
  <c r="M8" i="48"/>
  <c r="F52" i="48"/>
  <c r="F53" i="48" s="1"/>
  <c r="F58" i="48" s="1"/>
  <c r="F60" i="48" s="1"/>
  <c r="F62" i="48" s="1"/>
  <c r="F63" i="48" s="1"/>
  <c r="AL86" i="18"/>
  <c r="AI224" i="18"/>
  <c r="AI236" i="18"/>
  <c r="AI225" i="18"/>
  <c r="AR9" i="18"/>
  <c r="AG49" i="18"/>
  <c r="AL97" i="18"/>
  <c r="AL73" i="18"/>
  <c r="AQ140" i="18"/>
  <c r="AQ145" i="18" s="1"/>
  <c r="AF49" i="18"/>
  <c r="AM109" i="18"/>
  <c r="AL75" i="18"/>
  <c r="AL87" i="18"/>
  <c r="AN51" i="18"/>
  <c r="AM63" i="18"/>
  <c r="AQ85" i="18"/>
  <c r="AH194" i="18"/>
  <c r="AH201" i="18" s="1"/>
  <c r="AM110" i="18"/>
  <c r="AI237" i="18"/>
  <c r="AT57" i="18"/>
  <c r="AT24" i="18"/>
  <c r="AQ92" i="18"/>
  <c r="AQ97" i="18" s="1"/>
  <c r="AO121" i="18"/>
  <c r="AK200" i="18"/>
  <c r="AS11" i="18"/>
  <c r="AJ231" i="18"/>
  <c r="AJ238" i="18" s="1"/>
  <c r="AQ87" i="18"/>
  <c r="AH134" i="18"/>
  <c r="AH133" i="18"/>
  <c r="AL236" i="18"/>
  <c r="AK87" i="18"/>
  <c r="AP11" i="18"/>
  <c r="AH56" i="18"/>
  <c r="AH61" i="18" s="1"/>
  <c r="AP140" i="18"/>
  <c r="AP145" i="18" s="1"/>
  <c r="AF62" i="18"/>
  <c r="AP20" i="18"/>
  <c r="AP157" i="18"/>
  <c r="AL237" i="18"/>
  <c r="AS87" i="18"/>
  <c r="AF51" i="18"/>
  <c r="AQ7" i="18"/>
  <c r="AS50" i="18"/>
  <c r="AK86" i="18"/>
  <c r="AH9" i="18"/>
  <c r="AJ121" i="18"/>
  <c r="AG158" i="18"/>
  <c r="AQ194" i="18"/>
  <c r="AS51" i="18"/>
  <c r="AN56" i="18"/>
  <c r="AJ95" i="18"/>
  <c r="AH111" i="18"/>
  <c r="AK225" i="18"/>
  <c r="AG159" i="18"/>
  <c r="AO80" i="18"/>
  <c r="AO87" i="18" s="1"/>
  <c r="AJ44" i="18"/>
  <c r="AJ50" i="18" s="1"/>
  <c r="AL99" i="18"/>
  <c r="AK226" i="18"/>
  <c r="AT197" i="18"/>
  <c r="AO219" i="18"/>
  <c r="AO225" i="18" s="1"/>
  <c r="AJ196" i="18"/>
  <c r="AN9" i="18"/>
  <c r="AM159" i="18"/>
  <c r="AQ11" i="18"/>
  <c r="AT141" i="18"/>
  <c r="AF140" i="18"/>
  <c r="AF147" i="18" s="1"/>
  <c r="AL159" i="18"/>
  <c r="AJ143" i="18"/>
  <c r="AJ94" i="18"/>
  <c r="AH85" i="18"/>
  <c r="AT18" i="18"/>
  <c r="AJ193" i="18"/>
  <c r="AP10" i="18"/>
  <c r="AO189" i="18"/>
  <c r="AJ142" i="18"/>
  <c r="AJ164" i="18"/>
  <c r="AJ171" i="18" s="1"/>
  <c r="AH158" i="18"/>
  <c r="AJ57" i="18"/>
  <c r="AK6" i="18"/>
  <c r="P146" i="18"/>
  <c r="AT19" i="18"/>
  <c r="P147" i="18"/>
  <c r="AH87" i="18"/>
  <c r="J199" i="18"/>
  <c r="AG236" i="18"/>
  <c r="J200" i="18"/>
  <c r="AI214" i="18"/>
  <c r="AG51" i="18"/>
  <c r="AT59" i="18"/>
  <c r="AM20" i="18"/>
  <c r="AM26" i="18" s="1"/>
  <c r="AJ139" i="18"/>
  <c r="AO93" i="18"/>
  <c r="AI213" i="18"/>
  <c r="AJ23" i="18"/>
  <c r="AO139" i="18"/>
  <c r="AP12" i="18"/>
  <c r="AJ90" i="18"/>
  <c r="AF224" i="18"/>
  <c r="AP56" i="18"/>
  <c r="AJ189" i="18"/>
  <c r="AJ195" i="18"/>
  <c r="AT55" i="18"/>
  <c r="AO94" i="18"/>
  <c r="AP159" i="18"/>
  <c r="AR51" i="18"/>
  <c r="AO19" i="18"/>
  <c r="AR109" i="18"/>
  <c r="AM146" i="18"/>
  <c r="AG226" i="18"/>
  <c r="AM7" i="18"/>
  <c r="AM8" i="18" s="1"/>
  <c r="AO32" i="18"/>
  <c r="AO38" i="18" s="1"/>
  <c r="AJ219" i="18"/>
  <c r="AJ225" i="18" s="1"/>
  <c r="AG225" i="18"/>
  <c r="AT196" i="18"/>
  <c r="AQ182" i="18"/>
  <c r="AO54" i="18"/>
  <c r="AO96" i="18"/>
  <c r="AJ198" i="18"/>
  <c r="AJ58" i="18"/>
  <c r="AG9" i="18"/>
  <c r="AG237" i="18"/>
  <c r="AL37" i="18"/>
  <c r="AR50" i="18"/>
  <c r="AF133" i="18"/>
  <c r="AF134" i="18"/>
  <c r="AG194" i="18"/>
  <c r="AF226" i="18"/>
  <c r="AL39" i="18"/>
  <c r="AQ12" i="18"/>
  <c r="AT23" i="18"/>
  <c r="AR110" i="18"/>
  <c r="AI92" i="18"/>
  <c r="AI99" i="18" s="1"/>
  <c r="AJ22" i="18"/>
  <c r="AM213" i="18"/>
  <c r="AQ181" i="18"/>
  <c r="AK38" i="18"/>
  <c r="AK39" i="18"/>
  <c r="AT93" i="18"/>
  <c r="AI56" i="18"/>
  <c r="AI61" i="18" s="1"/>
  <c r="AN171" i="18"/>
  <c r="AT219" i="18"/>
  <c r="AT226" i="18" s="1"/>
  <c r="AN12" i="18"/>
  <c r="AH11" i="18"/>
  <c r="AI7" i="18"/>
  <c r="AN170" i="18"/>
  <c r="AT142" i="18"/>
  <c r="AJ96" i="18"/>
  <c r="AM171" i="18"/>
  <c r="AI134" i="18"/>
  <c r="H199" i="18"/>
  <c r="AP6" i="18"/>
  <c r="K194" i="18"/>
  <c r="K200" i="18" s="1"/>
  <c r="AT164" i="18"/>
  <c r="AT171" i="18" s="1"/>
  <c r="AT143" i="18"/>
  <c r="AO164" i="18"/>
  <c r="AO170" i="18" s="1"/>
  <c r="AJ144" i="18"/>
  <c r="AJ197" i="18"/>
  <c r="AT90" i="18"/>
  <c r="AP9" i="18"/>
  <c r="AN10" i="18"/>
  <c r="H200" i="18"/>
  <c r="AJ93" i="18"/>
  <c r="AR181" i="18"/>
  <c r="AR182" i="18"/>
  <c r="AR183" i="18"/>
  <c r="AT94" i="18"/>
  <c r="AO22" i="18"/>
  <c r="AJ176" i="18"/>
  <c r="AJ182" i="18" s="1"/>
  <c r="AH181" i="18"/>
  <c r="AF194" i="18"/>
  <c r="AF6" i="18"/>
  <c r="AF12" i="18"/>
  <c r="P27" i="18"/>
  <c r="AM169" i="18"/>
  <c r="AH182" i="18"/>
  <c r="AF11" i="18"/>
  <c r="AQ10" i="18"/>
  <c r="AH10" i="18"/>
  <c r="AG6" i="18"/>
  <c r="AJ94" i="20"/>
  <c r="AS33" i="20"/>
  <c r="AJ93" i="20"/>
  <c r="AJ35" i="20"/>
  <c r="AF83" i="20"/>
  <c r="F44" i="48"/>
  <c r="AF22" i="20" s="1"/>
  <c r="AG38" i="20"/>
  <c r="AR65" i="20"/>
  <c r="AO18" i="18"/>
  <c r="AP226" i="18"/>
  <c r="AI133" i="18"/>
  <c r="AK133" i="18"/>
  <c r="AL181" i="18"/>
  <c r="AG238" i="18"/>
  <c r="AR225" i="18"/>
  <c r="AR226" i="18"/>
  <c r="AO23" i="18"/>
  <c r="AK11" i="18"/>
  <c r="AI110" i="18"/>
  <c r="AS97" i="18"/>
  <c r="AO128" i="18"/>
  <c r="AO135" i="18" s="1"/>
  <c r="AS99" i="18"/>
  <c r="AQ50" i="18"/>
  <c r="AK12" i="18"/>
  <c r="AG10" i="18"/>
  <c r="AH6" i="18"/>
  <c r="O200" i="18"/>
  <c r="O201" i="18"/>
  <c r="AJ128" i="18"/>
  <c r="AJ135" i="18" s="1"/>
  <c r="AK237" i="18"/>
  <c r="AO231" i="18"/>
  <c r="AK236" i="18"/>
  <c r="AK135" i="18"/>
  <c r="AQ157" i="18"/>
  <c r="K51" i="18"/>
  <c r="AO176" i="18"/>
  <c r="P13" i="18"/>
  <c r="P15" i="18"/>
  <c r="P26" i="18"/>
  <c r="AS20" i="18"/>
  <c r="K49" i="18"/>
  <c r="AQ158" i="18"/>
  <c r="AL182" i="18"/>
  <c r="AP224" i="18"/>
  <c r="AQ51" i="18"/>
  <c r="AT138" i="18"/>
  <c r="AJ54" i="18"/>
  <c r="K27" i="18"/>
  <c r="AF171" i="18"/>
  <c r="AF169" i="18"/>
  <c r="AN6" i="18"/>
  <c r="AT21" i="18"/>
  <c r="AP225" i="18"/>
  <c r="AJ207" i="18"/>
  <c r="AR98" i="18"/>
  <c r="AJ138" i="18"/>
  <c r="P85" i="18"/>
  <c r="P86" i="18"/>
  <c r="AP212" i="18"/>
  <c r="AT207" i="18"/>
  <c r="AT214" i="18" s="1"/>
  <c r="AP213" i="18"/>
  <c r="AP214" i="18"/>
  <c r="AP49" i="18"/>
  <c r="AP50" i="18"/>
  <c r="AP51" i="18"/>
  <c r="AT44" i="18"/>
  <c r="AT50" i="18" s="1"/>
  <c r="AT152" i="18"/>
  <c r="K26" i="18"/>
  <c r="AQ6" i="18"/>
  <c r="AT22" i="18"/>
  <c r="AQ34" i="114"/>
  <c r="AM21" i="114"/>
  <c r="AM27" i="114" s="1"/>
  <c r="AM123" i="47"/>
  <c r="AM11" i="47" s="1"/>
  <c r="AM116" i="74" s="1"/>
  <c r="AM119" i="74" s="1"/>
  <c r="AK11" i="114"/>
  <c r="AK27" i="114" s="1"/>
  <c r="AL30" i="114"/>
  <c r="AR34" i="114"/>
  <c r="AJ37" i="114"/>
  <c r="AG34" i="114"/>
  <c r="AM30" i="114"/>
  <c r="AI30" i="114"/>
  <c r="AJ17" i="114"/>
  <c r="AI21" i="114"/>
  <c r="AI27" i="114" s="1"/>
  <c r="AO32" i="114"/>
  <c r="AU80" i="19"/>
  <c r="AT33" i="114"/>
  <c r="AS17" i="114"/>
  <c r="AT17" i="114" s="1"/>
  <c r="AN30" i="114"/>
  <c r="AQ11" i="114"/>
  <c r="AN21" i="114"/>
  <c r="AL21" i="114"/>
  <c r="AL27" i="114" s="1"/>
  <c r="AM12" i="12"/>
  <c r="AM14" i="12" s="1"/>
  <c r="AM19" i="12" s="1"/>
  <c r="AT14" i="114"/>
  <c r="AT13" i="114"/>
  <c r="AH30" i="114"/>
  <c r="AO13" i="114"/>
  <c r="AM34" i="114"/>
  <c r="AJ12" i="114"/>
  <c r="AL34" i="114"/>
  <c r="AN34" i="114"/>
  <c r="AS11" i="114"/>
  <c r="AP30" i="114"/>
  <c r="AI34" i="114"/>
  <c r="AF34" i="114"/>
  <c r="AR7" i="114"/>
  <c r="AR30" i="114"/>
  <c r="AO38" i="114"/>
  <c r="AO39" i="114"/>
  <c r="AO26" i="114"/>
  <c r="AJ33" i="114"/>
  <c r="AK17" i="114"/>
  <c r="AO17" i="114" s="1"/>
  <c r="AO18" i="114"/>
  <c r="AJ10" i="114"/>
  <c r="AQ30" i="114"/>
  <c r="AN11" i="114"/>
  <c r="AJ35" i="114"/>
  <c r="AP11" i="114"/>
  <c r="AO33" i="114"/>
  <c r="AO35" i="114"/>
  <c r="AR21" i="114"/>
  <c r="AR27" i="114" s="1"/>
  <c r="AF30" i="114"/>
  <c r="AU47" i="19"/>
  <c r="AP21" i="114"/>
  <c r="AT37" i="114"/>
  <c r="AF7" i="114"/>
  <c r="AJ7" i="114" s="1"/>
  <c r="AO7" i="114"/>
  <c r="C42" i="75"/>
  <c r="C18" i="75" s="1"/>
  <c r="AN56" i="74"/>
  <c r="AI82" i="74"/>
  <c r="AJ82" i="74"/>
  <c r="AK41" i="9"/>
  <c r="AJ46" i="9"/>
  <c r="AJ110" i="74" s="1"/>
  <c r="L70" i="75" s="1"/>
  <c r="C68" i="75"/>
  <c r="D42" i="75"/>
  <c r="D18" i="75" s="1"/>
  <c r="AP32" i="74"/>
  <c r="G68" i="75"/>
  <c r="E68" i="75"/>
  <c r="H68" i="75"/>
  <c r="P44" i="75"/>
  <c r="AO19" i="47"/>
  <c r="AO19" i="74"/>
  <c r="AO18" i="74" s="1"/>
  <c r="AP54" i="74"/>
  <c r="AG43" i="47"/>
  <c r="AJ39" i="47"/>
  <c r="AJ18" i="47" s="1"/>
  <c r="AP285" i="5"/>
  <c r="AR43" i="47"/>
  <c r="K39" i="75"/>
  <c r="Q40" i="75"/>
  <c r="AC23" i="74"/>
  <c r="E35" i="75" s="1"/>
  <c r="AU60" i="47"/>
  <c r="I37" i="75"/>
  <c r="AC204" i="5"/>
  <c r="AC206" i="5" s="1"/>
  <c r="AC211" i="5" s="1"/>
  <c r="AM47" i="47"/>
  <c r="AM52" i="47" s="1"/>
  <c r="AP291" i="5"/>
  <c r="AD51" i="115"/>
  <c r="AB212" i="5"/>
  <c r="AB214" i="5" s="1"/>
  <c r="G37" i="75"/>
  <c r="AP288" i="5"/>
  <c r="I35" i="75"/>
  <c r="D36" i="75"/>
  <c r="AR39" i="47"/>
  <c r="D41" i="75"/>
  <c r="L39" i="75"/>
  <c r="AK212" i="5"/>
  <c r="AD123" i="115"/>
  <c r="AJ302" i="5"/>
  <c r="T36" i="75"/>
  <c r="AC55" i="74"/>
  <c r="AK141" i="5"/>
  <c r="AK101" i="74" s="1"/>
  <c r="AJ80" i="20"/>
  <c r="AC291" i="5"/>
  <c r="D35" i="75"/>
  <c r="AO71" i="74"/>
  <c r="AO70" i="74" s="1"/>
  <c r="V39" i="75"/>
  <c r="AP297" i="5"/>
  <c r="AK25" i="74"/>
  <c r="AP301" i="5"/>
  <c r="AC289" i="5"/>
  <c r="AP296" i="5"/>
  <c r="AK51" i="47"/>
  <c r="AJ79" i="20"/>
  <c r="D38" i="75"/>
  <c r="AF126" i="5"/>
  <c r="AP295" i="5"/>
  <c r="P32" i="75"/>
  <c r="AP300" i="5"/>
  <c r="AC270" i="5"/>
  <c r="AC272" i="5" s="1"/>
  <c r="AC277" i="5" s="1"/>
  <c r="G50" i="47"/>
  <c r="AI33" i="47"/>
  <c r="AI12" i="47" s="1"/>
  <c r="AC287" i="5"/>
  <c r="AC75" i="74"/>
  <c r="L38" i="75"/>
  <c r="AJ71" i="74"/>
  <c r="AJ70" i="74" s="1"/>
  <c r="K64" i="75"/>
  <c r="AH15" i="5"/>
  <c r="AH17" i="5" s="1"/>
  <c r="AF52" i="74"/>
  <c r="AP290" i="5"/>
  <c r="AP118" i="74" s="1"/>
  <c r="AD49" i="74"/>
  <c r="AK226" i="5"/>
  <c r="AD291" i="5"/>
  <c r="AK77" i="74"/>
  <c r="AP293" i="5"/>
  <c r="AW30" i="47"/>
  <c r="AW52" i="47"/>
  <c r="AZ48" i="47"/>
  <c r="AZ52" i="47" s="1"/>
  <c r="AZ54" i="47" s="1"/>
  <c r="Q41" i="75"/>
  <c r="AF51" i="74"/>
  <c r="AP28" i="74"/>
  <c r="AF150" i="5"/>
  <c r="AZ57" i="47"/>
  <c r="AZ55" i="47"/>
  <c r="AV24" i="47"/>
  <c r="AP106" i="47"/>
  <c r="AO12" i="47"/>
  <c r="AP114" i="47"/>
  <c r="AO15" i="47"/>
  <c r="AP49" i="47"/>
  <c r="AN36" i="47"/>
  <c r="AN15" i="47" s="1"/>
  <c r="AO108" i="47"/>
  <c r="AO110" i="47" s="1"/>
  <c r="AO115" i="47" s="1"/>
  <c r="AP107" i="47"/>
  <c r="AP112" i="47"/>
  <c r="AK53" i="47"/>
  <c r="AN54" i="47"/>
  <c r="AN59" i="47" s="1"/>
  <c r="AN61" i="47" s="1"/>
  <c r="AR41" i="47"/>
  <c r="Q47" i="47"/>
  <c r="AO13" i="47"/>
  <c r="AU132" i="47"/>
  <c r="AL52" i="47"/>
  <c r="AL54" i="47" s="1"/>
  <c r="AK123" i="47"/>
  <c r="AP124" i="47"/>
  <c r="AN41" i="47"/>
  <c r="AN20" i="47" s="1"/>
  <c r="AP63" i="6"/>
  <c r="AP90" i="74" s="1"/>
  <c r="AR37" i="74"/>
  <c r="AR36" i="74" s="1"/>
  <c r="P25" i="75"/>
  <c r="AN127" i="74" s="1"/>
  <c r="AS37" i="74"/>
  <c r="AS36" i="74" s="1"/>
  <c r="AN63" i="74"/>
  <c r="AN62" i="74" s="1"/>
  <c r="P26" i="75"/>
  <c r="P12" i="75" s="1"/>
  <c r="AL106" i="20"/>
  <c r="K26" i="75"/>
  <c r="K12" i="75" s="1"/>
  <c r="AK68" i="74"/>
  <c r="N28" i="75"/>
  <c r="N14" i="75" s="1"/>
  <c r="AP39" i="74"/>
  <c r="AI37" i="74"/>
  <c r="AI36" i="74" s="1"/>
  <c r="T25" i="75"/>
  <c r="AR127" i="74" s="1"/>
  <c r="AO15" i="6"/>
  <c r="AP15" i="6" s="1"/>
  <c r="AO64" i="47"/>
  <c r="AO29" i="47" s="1"/>
  <c r="L28" i="75"/>
  <c r="L14" i="75" s="1"/>
  <c r="P29" i="75"/>
  <c r="P15" i="75" s="1"/>
  <c r="I29" i="75"/>
  <c r="AG131" i="74" s="1"/>
  <c r="V26" i="75"/>
  <c r="V12" i="75" s="1"/>
  <c r="AS63" i="74"/>
  <c r="AS62" i="74" s="1"/>
  <c r="T27" i="75"/>
  <c r="AR129" i="74" s="1"/>
  <c r="AE62" i="74"/>
  <c r="G48" i="75" s="1"/>
  <c r="K54" i="75"/>
  <c r="J28" i="75"/>
  <c r="J14" i="75" s="1"/>
  <c r="AG30" i="47"/>
  <c r="AG9" i="47" s="1"/>
  <c r="O29" i="75"/>
  <c r="AM131" i="74" s="1"/>
  <c r="O55" i="75"/>
  <c r="AM114" i="6"/>
  <c r="AP114" i="6" s="1"/>
  <c r="AP112" i="6"/>
  <c r="AP38" i="74"/>
  <c r="G22" i="75"/>
  <c r="K24" i="75"/>
  <c r="AI126" i="74" s="1"/>
  <c r="AT129" i="6"/>
  <c r="AU42" i="6"/>
  <c r="AU21" i="115" s="1"/>
  <c r="AP40" i="74"/>
  <c r="AP12" i="74"/>
  <c r="AP183" i="6"/>
  <c r="K27" i="75"/>
  <c r="K13" i="75" s="1"/>
  <c r="AP10" i="6"/>
  <c r="T24" i="75"/>
  <c r="AR126" i="74" s="1"/>
  <c r="AK40" i="74"/>
  <c r="AP224" i="6"/>
  <c r="AP95" i="74" s="1"/>
  <c r="AT32" i="114"/>
  <c r="AH33" i="47"/>
  <c r="AP81" i="93"/>
  <c r="AK75" i="93"/>
  <c r="AJ73" i="93"/>
  <c r="AJ78" i="93" s="1"/>
  <c r="AJ86" i="93" s="1"/>
  <c r="AJ88" i="93" s="1"/>
  <c r="AU54" i="93"/>
  <c r="AP75" i="93"/>
  <c r="AP40" i="93"/>
  <c r="AJ33" i="74"/>
  <c r="L45" i="75" s="1"/>
  <c r="L19" i="75" s="1"/>
  <c r="AS59" i="74"/>
  <c r="AT36" i="114"/>
  <c r="AT23" i="114"/>
  <c r="AS21" i="114"/>
  <c r="AT38" i="114"/>
  <c r="AT25" i="114"/>
  <c r="AT35" i="114"/>
  <c r="AH36" i="47"/>
  <c r="AH15" i="47" s="1"/>
  <c r="AT8" i="114"/>
  <c r="AS7" i="114"/>
  <c r="AU67" i="74"/>
  <c r="W53" i="75" s="1"/>
  <c r="AT26" i="114"/>
  <c r="AJ31" i="114"/>
  <c r="AG30" i="114"/>
  <c r="AF27" i="114"/>
  <c r="AG27" i="114"/>
  <c r="AH34" i="114"/>
  <c r="AJ26" i="114"/>
  <c r="AJ32" i="114"/>
  <c r="AD78" i="74"/>
  <c r="AF202" i="5"/>
  <c r="AF54" i="115" s="1"/>
  <c r="Q20" i="98"/>
  <c r="AG7" i="18"/>
  <c r="AG20" i="18"/>
  <c r="AG25" i="18" s="1"/>
  <c r="AD298" i="5"/>
  <c r="AK183" i="6"/>
  <c r="I43" i="75"/>
  <c r="AH109" i="18"/>
  <c r="AF37" i="18"/>
  <c r="AF39" i="18"/>
  <c r="AF38" i="18"/>
  <c r="AJ91" i="18"/>
  <c r="AC28" i="74"/>
  <c r="E40" i="75" s="1"/>
  <c r="AC80" i="74"/>
  <c r="L55" i="75"/>
  <c r="AM145" i="18"/>
  <c r="AO116" i="18"/>
  <c r="AB183" i="5"/>
  <c r="AB185" i="5" s="1"/>
  <c r="AB287" i="5"/>
  <c r="AB292" i="5" s="1"/>
  <c r="AB294" i="5" s="1"/>
  <c r="AB299" i="5" s="1"/>
  <c r="AF212" i="18"/>
  <c r="AF213" i="18"/>
  <c r="AF214" i="18"/>
  <c r="AI73" i="93"/>
  <c r="AI78" i="93" s="1"/>
  <c r="AI86" i="93" s="1"/>
  <c r="AI88" i="93" s="1"/>
  <c r="P70" i="75"/>
  <c r="AF74" i="18"/>
  <c r="AF75" i="18"/>
  <c r="AF73" i="18"/>
  <c r="AP96" i="47"/>
  <c r="AI12" i="18"/>
  <c r="N24" i="75"/>
  <c r="AL126" i="74" s="1"/>
  <c r="AK38" i="20"/>
  <c r="AK86" i="47"/>
  <c r="AL13" i="47"/>
  <c r="AK233" i="5"/>
  <c r="AD93" i="115"/>
  <c r="AG111" i="18"/>
  <c r="AG110" i="18"/>
  <c r="AJ80" i="18"/>
  <c r="AP105" i="47"/>
  <c r="I32" i="75"/>
  <c r="AT36" i="47"/>
  <c r="AQ32" i="47"/>
  <c r="AU80" i="74"/>
  <c r="W66" i="75" s="1"/>
  <c r="AS16" i="9"/>
  <c r="U65" i="75"/>
  <c r="AK26" i="74"/>
  <c r="AK17" i="74"/>
  <c r="AU49" i="47"/>
  <c r="AQ30" i="74"/>
  <c r="AU29" i="74"/>
  <c r="AK288" i="5"/>
  <c r="AQ30" i="47"/>
  <c r="AU81" i="74"/>
  <c r="AT189" i="6"/>
  <c r="AT191" i="6" s="1"/>
  <c r="J41" i="75"/>
  <c r="AS30" i="74"/>
  <c r="AK49" i="47"/>
  <c r="AS31" i="47"/>
  <c r="J32" i="75"/>
  <c r="AQ38" i="47"/>
  <c r="AQ17" i="47" s="1"/>
  <c r="AK55" i="74"/>
  <c r="AJ38" i="74"/>
  <c r="S55" i="75"/>
  <c r="AQ39" i="47"/>
  <c r="AQ18" i="47" s="1"/>
  <c r="U29" i="75"/>
  <c r="U15" i="75" s="1"/>
  <c r="AH31" i="47"/>
  <c r="AH10" i="47" s="1"/>
  <c r="AU55" i="47"/>
  <c r="AH77" i="6"/>
  <c r="AH82" i="6" s="1"/>
  <c r="AH84" i="6" s="1"/>
  <c r="AH89" i="6" s="1"/>
  <c r="AK50" i="47"/>
  <c r="AQ41" i="9"/>
  <c r="V32" i="75"/>
  <c r="V40" i="75"/>
  <c r="AU15" i="74"/>
  <c r="AS82" i="74"/>
  <c r="AU48" i="47"/>
  <c r="AT71" i="74"/>
  <c r="AT70" i="74" s="1"/>
  <c r="AS189" i="6"/>
  <c r="AK49" i="74"/>
  <c r="AH32" i="47"/>
  <c r="AH11" i="47" s="1"/>
  <c r="AH116" i="74" s="1"/>
  <c r="AH119" i="74" s="1"/>
  <c r="AH52" i="47"/>
  <c r="AH54" i="47" s="1"/>
  <c r="AG71" i="74"/>
  <c r="I57" i="75" s="1"/>
  <c r="AL33" i="47"/>
  <c r="AL12" i="47" s="1"/>
  <c r="U36" i="75"/>
  <c r="AT30" i="47"/>
  <c r="AI32" i="47"/>
  <c r="V62" i="75"/>
  <c r="AS30" i="47"/>
  <c r="AT22" i="47"/>
  <c r="AU40" i="19"/>
  <c r="AO12" i="12"/>
  <c r="AO14" i="12" s="1"/>
  <c r="AO19" i="12" s="1"/>
  <c r="AR122" i="47"/>
  <c r="AR12" i="12"/>
  <c r="AU7" i="12"/>
  <c r="AT12" i="12"/>
  <c r="AP7" i="12"/>
  <c r="AH13" i="47"/>
  <c r="AS126" i="47"/>
  <c r="AJ126" i="47"/>
  <c r="AJ128" i="47" s="1"/>
  <c r="AJ133" i="47" s="1"/>
  <c r="AL41" i="103"/>
  <c r="S40" i="75"/>
  <c r="V44" i="75"/>
  <c r="AL19" i="103"/>
  <c r="AJ91" i="20"/>
  <c r="AK270" i="5"/>
  <c r="AS38" i="47"/>
  <c r="AU55" i="74"/>
  <c r="S28" i="75"/>
  <c r="S14" i="75" s="1"/>
  <c r="AU54" i="74"/>
  <c r="AI30" i="47"/>
  <c r="AU51" i="47"/>
  <c r="AU64" i="93"/>
  <c r="AR106" i="20"/>
  <c r="AT33" i="47"/>
  <c r="AH16" i="9"/>
  <c r="AU66" i="74"/>
  <c r="AJ39" i="74"/>
  <c r="L25" i="75" s="1"/>
  <c r="AJ127" i="74" s="1"/>
  <c r="AK48" i="74"/>
  <c r="AQ129" i="6"/>
  <c r="AT121" i="47"/>
  <c r="AU53" i="74"/>
  <c r="AU28" i="74"/>
  <c r="AG38" i="5"/>
  <c r="AG43" i="5" s="1"/>
  <c r="AG45" i="5" s="1"/>
  <c r="AG50" i="5" s="1"/>
  <c r="AH129" i="6"/>
  <c r="AH134" i="6" s="1"/>
  <c r="AH136" i="6" s="1"/>
  <c r="AH141" i="6" s="1"/>
  <c r="AI43" i="47"/>
  <c r="AI22" i="47" s="1"/>
  <c r="AU234" i="5"/>
  <c r="AK60" i="47"/>
  <c r="AU69" i="74"/>
  <c r="AT56" i="74"/>
  <c r="AT45" i="74"/>
  <c r="AT44" i="74" s="1"/>
  <c r="AT214" i="6"/>
  <c r="AU243" i="5"/>
  <c r="AS47" i="47"/>
  <c r="U39" i="75"/>
  <c r="R27" i="104"/>
  <c r="O27" i="104"/>
  <c r="M27" i="104"/>
  <c r="AU163" i="5"/>
  <c r="AU102" i="74" s="1"/>
  <c r="AQ33" i="47"/>
  <c r="AQ12" i="47" s="1"/>
  <c r="AS33" i="47"/>
  <c r="AH92" i="20"/>
  <c r="AU41" i="74"/>
  <c r="AU236" i="5"/>
  <c r="AU105" i="74" s="1"/>
  <c r="AU161" i="5"/>
  <c r="C15" i="75"/>
  <c r="AS39" i="47"/>
  <c r="AG71" i="20"/>
  <c r="H48" i="75"/>
  <c r="AN10" i="74"/>
  <c r="U24" i="75"/>
  <c r="AS126" i="74" s="1"/>
  <c r="AJ105" i="20"/>
  <c r="AH38" i="20"/>
  <c r="D13" i="75"/>
  <c r="K29" i="75"/>
  <c r="AI131" i="74" s="1"/>
  <c r="AI38" i="47"/>
  <c r="AI17" i="47" s="1"/>
  <c r="U26" i="75"/>
  <c r="AS128" i="74" s="1"/>
  <c r="AS189" i="18"/>
  <c r="F12" i="75"/>
  <c r="G53" i="48"/>
  <c r="G58" i="48" s="1"/>
  <c r="G60" i="48" s="1"/>
  <c r="G62" i="48" s="1"/>
  <c r="G63" i="48" s="1"/>
  <c r="AL76" i="20"/>
  <c r="AL78" i="20" s="1"/>
  <c r="AO104" i="20"/>
  <c r="AP69" i="47"/>
  <c r="AK68" i="47"/>
  <c r="O26" i="75"/>
  <c r="O12" i="75" s="1"/>
  <c r="D12" i="75"/>
  <c r="AJ90" i="20"/>
  <c r="AK31" i="74"/>
  <c r="AS32" i="47"/>
  <c r="AK32" i="5"/>
  <c r="AK24" i="74"/>
  <c r="AS11" i="74"/>
  <c r="AS10" i="74" s="1"/>
  <c r="AI38" i="5"/>
  <c r="AI43" i="5" s="1"/>
  <c r="AI45" i="5" s="1"/>
  <c r="AI50" i="5" s="1"/>
  <c r="AI41" i="47"/>
  <c r="AI20" i="47" s="1"/>
  <c r="AU64" i="74"/>
  <c r="W50" i="75" s="1"/>
  <c r="J40" i="75"/>
  <c r="AK57" i="47"/>
  <c r="AQ43" i="47"/>
  <c r="AQ22" i="47" s="1"/>
  <c r="AH30" i="74"/>
  <c r="AU81" i="93"/>
  <c r="AU301" i="5"/>
  <c r="AK55" i="47"/>
  <c r="O52" i="48"/>
  <c r="O53" i="48" s="1"/>
  <c r="O58" i="48" s="1"/>
  <c r="O60" i="48" s="1"/>
  <c r="O62" i="48" s="1"/>
  <c r="O63" i="48" s="1"/>
  <c r="AU50" i="47"/>
  <c r="AU78" i="47"/>
  <c r="AS71" i="74"/>
  <c r="AS70" i="74" s="1"/>
  <c r="AU50" i="74"/>
  <c r="AI8" i="103"/>
  <c r="AI46" i="103" s="1"/>
  <c r="AI52" i="103" s="1"/>
  <c r="AI60" i="103" s="1"/>
  <c r="AI62" i="103" s="1"/>
  <c r="J26" i="75"/>
  <c r="AH128" i="74" s="1"/>
  <c r="AK23" i="74"/>
  <c r="AS38" i="5"/>
  <c r="AS43" i="5" s="1"/>
  <c r="AS45" i="5" s="1"/>
  <c r="AU14" i="74"/>
  <c r="AI36" i="47"/>
  <c r="AI15" i="47" s="1"/>
  <c r="S39" i="75"/>
  <c r="AU53" i="19"/>
  <c r="AU68" i="74"/>
  <c r="W54" i="75" s="1"/>
  <c r="AH43" i="47"/>
  <c r="AH22" i="47" s="1"/>
  <c r="H65" i="48"/>
  <c r="H66" i="48" s="1"/>
  <c r="AG40" i="88"/>
  <c r="AR13" i="47"/>
  <c r="AL36" i="47"/>
  <c r="AL15" i="47" s="1"/>
  <c r="H44" i="48"/>
  <c r="AH22" i="20" s="1"/>
  <c r="I44" i="48"/>
  <c r="AI22" i="20" s="1"/>
  <c r="I52" i="48"/>
  <c r="I53" i="48" s="1"/>
  <c r="I58" i="48" s="1"/>
  <c r="I60" i="48" s="1"/>
  <c r="I62" i="48" s="1"/>
  <c r="I63" i="48" s="1"/>
  <c r="AU74" i="47"/>
  <c r="AS41" i="47"/>
  <c r="AK89" i="47"/>
  <c r="AP111" i="47"/>
  <c r="AS13" i="47"/>
  <c r="M41" i="48"/>
  <c r="M44" i="48" s="1"/>
  <c r="AN22" i="20" s="1"/>
  <c r="M52" i="48"/>
  <c r="M53" i="48" s="1"/>
  <c r="M58" i="48" s="1"/>
  <c r="M60" i="48" s="1"/>
  <c r="M62" i="48" s="1"/>
  <c r="M63" i="48" s="1"/>
  <c r="AN13" i="47"/>
  <c r="AK93" i="47"/>
  <c r="AM30" i="74"/>
  <c r="AM18" i="47"/>
  <c r="AK59" i="74"/>
  <c r="AR99" i="18"/>
  <c r="AJ19" i="18"/>
  <c r="AN87" i="18"/>
  <c r="AN86" i="18"/>
  <c r="AN85" i="18"/>
  <c r="AF159" i="18"/>
  <c r="AJ152" i="18"/>
  <c r="AF158" i="18"/>
  <c r="AF157" i="18"/>
  <c r="P213" i="18"/>
  <c r="P214" i="18"/>
  <c r="P212" i="18"/>
  <c r="AS110" i="18"/>
  <c r="K145" i="18"/>
  <c r="K146" i="18"/>
  <c r="K147" i="18"/>
  <c r="AN157" i="18"/>
  <c r="AN159" i="18"/>
  <c r="AN158" i="18"/>
  <c r="AO194" i="18"/>
  <c r="AL201" i="18"/>
  <c r="AL200" i="18"/>
  <c r="AL199" i="18"/>
  <c r="K14" i="18"/>
  <c r="K13" i="18"/>
  <c r="K15" i="18"/>
  <c r="AJ59" i="18"/>
  <c r="AR97" i="18"/>
  <c r="AL12" i="18"/>
  <c r="AO24" i="18"/>
  <c r="AJ24" i="18"/>
  <c r="AG12" i="18"/>
  <c r="AQ9" i="18"/>
  <c r="AN199" i="18"/>
  <c r="AN201" i="18"/>
  <c r="AN200" i="18"/>
  <c r="AS194" i="18"/>
  <c r="AS200" i="18" s="1"/>
  <c r="AT192" i="18"/>
  <c r="AN7" i="18"/>
  <c r="AF10" i="18"/>
  <c r="AN146" i="18"/>
  <c r="AN147" i="18"/>
  <c r="AN145" i="18"/>
  <c r="AR74" i="18"/>
  <c r="AR75" i="18"/>
  <c r="AR73" i="18"/>
  <c r="K236" i="18"/>
  <c r="K237" i="18"/>
  <c r="K238" i="18"/>
  <c r="AT104" i="18"/>
  <c r="AT195" i="18"/>
  <c r="AS17" i="6"/>
  <c r="S44" i="75"/>
  <c r="AU123" i="6"/>
  <c r="AS76" i="20"/>
  <c r="AI31" i="47"/>
  <c r="V27" i="75"/>
  <c r="V13" i="75" s="1"/>
  <c r="AI71" i="74"/>
  <c r="AI70" i="74" s="1"/>
  <c r="AU112" i="47"/>
  <c r="AS214" i="6"/>
  <c r="Q53" i="48"/>
  <c r="Q58" i="48" s="1"/>
  <c r="Q60" i="48" s="1"/>
  <c r="Q62" i="48" s="1"/>
  <c r="Q63" i="48" s="1"/>
  <c r="V36" i="75"/>
  <c r="AS108" i="47"/>
  <c r="AU105" i="47"/>
  <c r="AR33" i="20"/>
  <c r="AR39" i="20" s="1"/>
  <c r="AK291" i="5"/>
  <c r="AU12" i="74"/>
  <c r="AU39" i="74"/>
  <c r="AK29" i="12"/>
  <c r="AI40" i="47"/>
  <c r="AI19" i="47" s="1"/>
  <c r="AK75" i="47"/>
  <c r="AU293" i="5"/>
  <c r="AH34" i="20"/>
  <c r="AU103" i="47"/>
  <c r="AU285" i="5"/>
  <c r="AQ71" i="74"/>
  <c r="S57" i="75" s="1"/>
  <c r="AK46" i="74"/>
  <c r="AH40" i="47"/>
  <c r="AH19" i="47" s="1"/>
  <c r="AQ36" i="47"/>
  <c r="AQ15" i="47" s="1"/>
  <c r="AH15" i="6"/>
  <c r="AH17" i="6" s="1"/>
  <c r="AH22" i="6" s="1"/>
  <c r="G65" i="48" s="1"/>
  <c r="G66" i="48" s="1"/>
  <c r="G68" i="48" s="1"/>
  <c r="AT85" i="74"/>
  <c r="AT15" i="6"/>
  <c r="AT38" i="5"/>
  <c r="AT287" i="5" s="1"/>
  <c r="AT286" i="5" s="1"/>
  <c r="AK22" i="74"/>
  <c r="U41" i="75"/>
  <c r="AU107" i="47"/>
  <c r="AU40" i="74"/>
  <c r="AU10" i="6"/>
  <c r="AU289" i="5"/>
  <c r="AK301" i="5"/>
  <c r="AT13" i="47"/>
  <c r="J39" i="75"/>
  <c r="AT68" i="20"/>
  <c r="AS106" i="20"/>
  <c r="AK88" i="47"/>
  <c r="AK20" i="74"/>
  <c r="AK85" i="74"/>
  <c r="AN85" i="74"/>
  <c r="AX60" i="47"/>
  <c r="AM19" i="74"/>
  <c r="AM18" i="74" s="1"/>
  <c r="C13" i="75"/>
  <c r="AJ97" i="74"/>
  <c r="AJ96" i="74" s="1"/>
  <c r="P43" i="75"/>
  <c r="AA128" i="74"/>
  <c r="G23" i="75"/>
  <c r="G11" i="75" s="1"/>
  <c r="AF129" i="74"/>
  <c r="AF128" i="74"/>
  <c r="T29" i="75"/>
  <c r="T15" i="75" s="1"/>
  <c r="F15" i="75"/>
  <c r="N26" i="75"/>
  <c r="N12" i="75" s="1"/>
  <c r="U50" i="75"/>
  <c r="F13" i="75"/>
  <c r="AT63" i="74"/>
  <c r="V49" i="75" s="1"/>
  <c r="E23" i="75"/>
  <c r="AC125" i="74" s="1"/>
  <c r="H42" i="75"/>
  <c r="H18" i="75" s="1"/>
  <c r="O28" i="75"/>
  <c r="O14" i="75" s="1"/>
  <c r="E22" i="75"/>
  <c r="AH97" i="74"/>
  <c r="AH96" i="74" s="1"/>
  <c r="J60" i="75"/>
  <c r="AM97" i="74"/>
  <c r="AM96" i="74" s="1"/>
  <c r="G61" i="75"/>
  <c r="AU53" i="47"/>
  <c r="J35" i="75"/>
  <c r="O66" i="75"/>
  <c r="G47" i="47"/>
  <c r="AT32" i="47"/>
  <c r="AN45" i="74"/>
  <c r="AN44" i="74" s="1"/>
  <c r="AA47" i="47"/>
  <c r="AG19" i="74"/>
  <c r="AG18" i="74" s="1"/>
  <c r="AO39" i="47"/>
  <c r="AO18" i="47" s="1"/>
  <c r="AJ19" i="74"/>
  <c r="N41" i="75"/>
  <c r="AN71" i="74"/>
  <c r="P57" i="75" s="1"/>
  <c r="AI19" i="74"/>
  <c r="AI18" i="74" s="1"/>
  <c r="J34" i="75"/>
  <c r="AO31" i="47"/>
  <c r="L50" i="47"/>
  <c r="AN19" i="74"/>
  <c r="AN18" i="74" s="1"/>
  <c r="O39" i="75"/>
  <c r="E63" i="75"/>
  <c r="D65" i="75"/>
  <c r="AA9" i="74"/>
  <c r="AB19" i="74"/>
  <c r="AB18" i="74" s="1"/>
  <c r="AE19" i="74"/>
  <c r="AE18" i="74" s="1"/>
  <c r="AE9" i="74" s="1"/>
  <c r="AH38" i="47"/>
  <c r="AH17" i="47" s="1"/>
  <c r="E37" i="75"/>
  <c r="AP53" i="47"/>
  <c r="AJ45" i="74"/>
  <c r="AJ44" i="74" s="1"/>
  <c r="AG45" i="74"/>
  <c r="AG44" i="74" s="1"/>
  <c r="J37" i="75"/>
  <c r="P28" i="75"/>
  <c r="P14" i="75" s="1"/>
  <c r="S26" i="75"/>
  <c r="S12" i="75" s="1"/>
  <c r="AJ36" i="20"/>
  <c r="AM76" i="20"/>
  <c r="AM78" i="20" s="1"/>
  <c r="N54" i="75"/>
  <c r="AP71" i="47"/>
  <c r="AO10" i="74"/>
  <c r="C22" i="75"/>
  <c r="AK78" i="47"/>
  <c r="T54" i="75"/>
  <c r="AE131" i="74"/>
  <c r="AT39" i="47"/>
  <c r="AN9" i="47"/>
  <c r="AP75" i="47"/>
  <c r="S51" i="75"/>
  <c r="J29" i="75"/>
  <c r="AH131" i="74" s="1"/>
  <c r="T28" i="75"/>
  <c r="T14" i="75" s="1"/>
  <c r="AF33" i="20"/>
  <c r="AF39" i="20" s="1"/>
  <c r="AP73" i="47"/>
  <c r="AH11" i="74"/>
  <c r="AH10" i="74" s="1"/>
  <c r="AG40" i="47"/>
  <c r="AG19" i="47" s="1"/>
  <c r="AM12" i="47"/>
  <c r="AF131" i="74"/>
  <c r="AK74" i="47"/>
  <c r="AL11" i="74"/>
  <c r="AL10" i="74" s="1"/>
  <c r="O27" i="75"/>
  <c r="AM129" i="74" s="1"/>
  <c r="S29" i="75"/>
  <c r="S15" i="75" s="1"/>
  <c r="AK73" i="47"/>
  <c r="AK69" i="47"/>
  <c r="C23" i="75"/>
  <c r="AA125" i="74" s="1"/>
  <c r="H49" i="75"/>
  <c r="AP78" i="47"/>
  <c r="AN40" i="47"/>
  <c r="AN19" i="47" s="1"/>
  <c r="AP66" i="47"/>
  <c r="H58" i="48"/>
  <c r="H60" i="48" s="1"/>
  <c r="H62" i="48" s="1"/>
  <c r="H63" i="48" s="1"/>
  <c r="AU66" i="47"/>
  <c r="V28" i="75"/>
  <c r="AT130" i="74" s="1"/>
  <c r="F22" i="75"/>
  <c r="L53" i="48"/>
  <c r="L58" i="48" s="1"/>
  <c r="L60" i="48" s="1"/>
  <c r="L62" i="48" s="1"/>
  <c r="L63" i="48" s="1"/>
  <c r="AJ11" i="74"/>
  <c r="AJ10" i="74" s="1"/>
  <c r="U28" i="75"/>
  <c r="AS130" i="74" s="1"/>
  <c r="E13" i="75"/>
  <c r="AC129" i="74"/>
  <c r="AH37" i="74"/>
  <c r="AH36" i="74" s="1"/>
  <c r="AJ63" i="74"/>
  <c r="L49" i="75" s="1"/>
  <c r="AU8" i="93"/>
  <c r="AZ8" i="93" s="1"/>
  <c r="AH19" i="74"/>
  <c r="AH18" i="74" s="1"/>
  <c r="AU73" i="47"/>
  <c r="K35" i="75"/>
  <c r="AK290" i="5"/>
  <c r="AK118" i="74" s="1"/>
  <c r="AG41" i="47"/>
  <c r="AG20" i="47" s="1"/>
  <c r="AK289" i="5"/>
  <c r="P44" i="48"/>
  <c r="AR22" i="20" s="1"/>
  <c r="AL48" i="103"/>
  <c r="AU114" i="47"/>
  <c r="P52" i="48"/>
  <c r="P53" i="48" s="1"/>
  <c r="P58" i="48" s="1"/>
  <c r="P60" i="48" s="1"/>
  <c r="P62" i="48" s="1"/>
  <c r="P63" i="48" s="1"/>
  <c r="AQ85" i="74"/>
  <c r="AT41" i="47"/>
  <c r="AU106" i="47"/>
  <c r="AK91" i="47"/>
  <c r="AU68" i="47"/>
  <c r="AU79" i="74"/>
  <c r="AU18" i="93"/>
  <c r="AU53" i="93"/>
  <c r="AK66" i="47"/>
  <c r="AT104" i="20"/>
  <c r="AU13" i="74"/>
  <c r="AK12" i="74"/>
  <c r="J65" i="75"/>
  <c r="J27" i="75"/>
  <c r="AH129" i="74" s="1"/>
  <c r="AK76" i="47"/>
  <c r="AH126" i="47"/>
  <c r="AH128" i="47" s="1"/>
  <c r="AU56" i="47"/>
  <c r="S65" i="75"/>
  <c r="AL27" i="103"/>
  <c r="AU111" i="47"/>
  <c r="O10" i="48"/>
  <c r="AK48" i="47"/>
  <c r="AU67" i="47"/>
  <c r="AI39" i="47"/>
  <c r="AI18" i="47" s="1"/>
  <c r="AU295" i="5"/>
  <c r="AU96" i="47"/>
  <c r="O8" i="48"/>
  <c r="K32" i="75"/>
  <c r="AT102" i="47"/>
  <c r="AK78" i="74"/>
  <c r="M64" i="75" s="1"/>
  <c r="S62" i="75"/>
  <c r="AU76" i="74"/>
  <c r="AH30" i="47"/>
  <c r="AH9" i="47" s="1"/>
  <c r="AK297" i="5"/>
  <c r="AK56" i="47"/>
  <c r="AU76" i="47"/>
  <c r="AR102" i="47"/>
  <c r="AU26" i="93"/>
  <c r="AK75" i="74"/>
  <c r="AK298" i="5"/>
  <c r="AK39" i="74"/>
  <c r="AU69" i="93"/>
  <c r="AU303" i="5"/>
  <c r="AU39" i="9"/>
  <c r="AU57" i="74"/>
  <c r="AU109" i="47"/>
  <c r="AK71" i="47"/>
  <c r="AU288" i="5"/>
  <c r="AU65" i="74"/>
  <c r="AO37" i="56"/>
  <c r="V70" i="75"/>
  <c r="AP37" i="56"/>
  <c r="AG16" i="9"/>
  <c r="AG22" i="9" s="1"/>
  <c r="AO16" i="9"/>
  <c r="AK87" i="47"/>
  <c r="AK85" i="47"/>
  <c r="AK39" i="9"/>
  <c r="AK96" i="47"/>
  <c r="AO26" i="56"/>
  <c r="AP10" i="9"/>
  <c r="AP28" i="115" s="1"/>
  <c r="U44" i="75"/>
  <c r="AK94" i="47"/>
  <c r="O44" i="75"/>
  <c r="AK10" i="9"/>
  <c r="AK58" i="74"/>
  <c r="AT82" i="74"/>
  <c r="AU65" i="47"/>
  <c r="F23" i="75"/>
  <c r="F11" i="75" s="1"/>
  <c r="AJ38" i="47"/>
  <c r="AJ17" i="47" s="1"/>
  <c r="AK13" i="74"/>
  <c r="U53" i="75"/>
  <c r="AT82" i="6"/>
  <c r="AT84" i="6" s="1"/>
  <c r="AT89" i="6" s="1"/>
  <c r="AT31" i="47"/>
  <c r="AR30" i="47"/>
  <c r="N50" i="75"/>
  <c r="AS77" i="6"/>
  <c r="AC128" i="74"/>
  <c r="AR129" i="6"/>
  <c r="AK70" i="20"/>
  <c r="AM106" i="20"/>
  <c r="AR33" i="47"/>
  <c r="S27" i="75"/>
  <c r="AQ129" i="74" s="1"/>
  <c r="AO38" i="47"/>
  <c r="AO17" i="47" s="1"/>
  <c r="AJ41" i="47"/>
  <c r="AJ20" i="47" s="1"/>
  <c r="AI25" i="6"/>
  <c r="AI89" i="74" s="1"/>
  <c r="AE129" i="74"/>
  <c r="G13" i="75"/>
  <c r="V24" i="75"/>
  <c r="AT126" i="74" s="1"/>
  <c r="AT37" i="74"/>
  <c r="T53" i="75"/>
  <c r="E49" i="75"/>
  <c r="AC62" i="74"/>
  <c r="E48" i="75" s="1"/>
  <c r="J58" i="48"/>
  <c r="J60" i="48" s="1"/>
  <c r="J62" i="48" s="1"/>
  <c r="J63" i="48" s="1"/>
  <c r="AJ32" i="20"/>
  <c r="AS129" i="6"/>
  <c r="AG77" i="6"/>
  <c r="AI11" i="74"/>
  <c r="AI10" i="74" s="1"/>
  <c r="N25" i="75"/>
  <c r="AL127" i="74" s="1"/>
  <c r="Q55" i="75"/>
  <c r="AU43" i="74"/>
  <c r="AK49" i="6"/>
  <c r="AJ53" i="6"/>
  <c r="AJ55" i="6" s="1"/>
  <c r="AJ60" i="6" s="1"/>
  <c r="AJ63" i="6" s="1"/>
  <c r="AG11" i="74"/>
  <c r="AG10" i="74" s="1"/>
  <c r="AT38" i="47"/>
  <c r="AS164" i="6"/>
  <c r="AS166" i="6" s="1"/>
  <c r="U27" i="75"/>
  <c r="AS129" i="74" s="1"/>
  <c r="AO37" i="74"/>
  <c r="AO36" i="74" s="1"/>
  <c r="L26" i="75"/>
  <c r="AJ128" i="74" s="1"/>
  <c r="AH189" i="6"/>
  <c r="AH191" i="6" s="1"/>
  <c r="AK43" i="74"/>
  <c r="G12" i="75"/>
  <c r="H23" i="75"/>
  <c r="AF36" i="74"/>
  <c r="H22" i="75" s="1"/>
  <c r="V29" i="75"/>
  <c r="AK65" i="47"/>
  <c r="AU16" i="74"/>
  <c r="AP65" i="47"/>
  <c r="AK42" i="74"/>
  <c r="AK14" i="74"/>
  <c r="E15" i="75"/>
  <c r="AP106" i="20"/>
  <c r="AJ68" i="20"/>
  <c r="AU131" i="47"/>
  <c r="AG126" i="47"/>
  <c r="AG128" i="47" s="1"/>
  <c r="AG133" i="47" s="1"/>
  <c r="AP8" i="12"/>
  <c r="AI16" i="87"/>
  <c r="P28" i="48"/>
  <c r="P10" i="48" s="1"/>
  <c r="P8" i="48"/>
  <c r="N18" i="48"/>
  <c r="N10" i="48" s="1"/>
  <c r="N8" i="48"/>
  <c r="L41" i="48"/>
  <c r="L44" i="48" s="1"/>
  <c r="AM22" i="20" s="1"/>
  <c r="H28" i="48"/>
  <c r="H10" i="48" s="1"/>
  <c r="H8" i="48"/>
  <c r="I18" i="48"/>
  <c r="I10" i="48" s="1"/>
  <c r="I8" i="48"/>
  <c r="AP16" i="20"/>
  <c r="AS65" i="20"/>
  <c r="AT59" i="20"/>
  <c r="AS70" i="20"/>
  <c r="M34" i="48"/>
  <c r="AG118" i="88"/>
  <c r="K61" i="18"/>
  <c r="K62" i="18"/>
  <c r="K63" i="18"/>
  <c r="AP87" i="18"/>
  <c r="AP86" i="18"/>
  <c r="AT80" i="18"/>
  <c r="AP85" i="18"/>
  <c r="K224" i="18"/>
  <c r="K225" i="18"/>
  <c r="K226" i="18"/>
  <c r="K98" i="18"/>
  <c r="K97" i="18"/>
  <c r="K99" i="18"/>
  <c r="P225" i="18"/>
  <c r="P226" i="18"/>
  <c r="P224" i="18"/>
  <c r="P51" i="18"/>
  <c r="P49" i="18"/>
  <c r="P50" i="18"/>
  <c r="AI194" i="18"/>
  <c r="AJ192" i="18"/>
  <c r="AK7" i="18"/>
  <c r="AP182" i="18"/>
  <c r="AP181" i="18"/>
  <c r="AP183" i="18"/>
  <c r="AT176" i="18"/>
  <c r="K87" i="18"/>
  <c r="K85" i="18"/>
  <c r="K86" i="18"/>
  <c r="AS56" i="18"/>
  <c r="AS6" i="18"/>
  <c r="AT54" i="18"/>
  <c r="AI10" i="18"/>
  <c r="AI109" i="18"/>
  <c r="AJ104" i="18"/>
  <c r="AK20" i="18"/>
  <c r="P236" i="18"/>
  <c r="P238" i="18"/>
  <c r="P237" i="18"/>
  <c r="P62" i="18"/>
  <c r="P61" i="18"/>
  <c r="P63" i="18"/>
  <c r="K214" i="18"/>
  <c r="K212" i="18"/>
  <c r="K213" i="18"/>
  <c r="Q19" i="98"/>
  <c r="N21" i="98"/>
  <c r="Q21" i="98" s="1"/>
  <c r="O13" i="98"/>
  <c r="H16" i="98"/>
  <c r="L13" i="98"/>
  <c r="C13" i="98"/>
  <c r="G11" i="98"/>
  <c r="P13" i="98"/>
  <c r="G11" i="99"/>
  <c r="Q11" i="99"/>
  <c r="M19" i="99"/>
  <c r="G13" i="99"/>
  <c r="C16" i="99"/>
  <c r="L11" i="99"/>
  <c r="H13" i="99"/>
  <c r="K16" i="99"/>
  <c r="M39" i="97"/>
  <c r="K18" i="97"/>
  <c r="K41" i="97"/>
  <c r="O39" i="97"/>
  <c r="O18" i="97"/>
  <c r="H41" i="97"/>
  <c r="L39" i="97"/>
  <c r="G41" i="97"/>
  <c r="C42" i="97"/>
  <c r="H18" i="97"/>
  <c r="L16" i="97"/>
  <c r="P36" i="97"/>
  <c r="P13" i="97"/>
  <c r="L11" i="97"/>
  <c r="C16" i="97"/>
  <c r="G13" i="97"/>
  <c r="M16" i="97"/>
  <c r="L13" i="97"/>
  <c r="AN26" i="56"/>
  <c r="AN37" i="56"/>
  <c r="AI37" i="56"/>
  <c r="AI26" i="56"/>
  <c r="AJ15" i="56"/>
  <c r="AJ26" i="56"/>
  <c r="L44" i="75"/>
  <c r="AP58" i="74"/>
  <c r="AN82" i="74"/>
  <c r="AK32" i="74"/>
  <c r="AT16" i="9"/>
  <c r="I44" i="75"/>
  <c r="AG56" i="74"/>
  <c r="AO110" i="74"/>
  <c r="Q70" i="75" s="1"/>
  <c r="AO82" i="74"/>
  <c r="AP84" i="74"/>
  <c r="AK84" i="74"/>
  <c r="AU58" i="74"/>
  <c r="AQ82" i="74"/>
  <c r="Q43" i="75"/>
  <c r="AO56" i="74"/>
  <c r="K44" i="75"/>
  <c r="AJ37" i="56"/>
  <c r="AS56" i="74"/>
  <c r="U43" i="75"/>
  <c r="AP26" i="56"/>
  <c r="AU32" i="74"/>
  <c r="AU83" i="74"/>
  <c r="J44" i="75"/>
  <c r="AS41" i="9"/>
  <c r="AP91" i="47"/>
  <c r="AR41" i="9"/>
  <c r="AH56" i="74"/>
  <c r="J43" i="75"/>
  <c r="AQ56" i="74"/>
  <c r="S43" i="75"/>
  <c r="AT30" i="74"/>
  <c r="V43" i="75"/>
  <c r="AP15" i="56"/>
  <c r="AI15" i="56"/>
  <c r="AG110" i="74"/>
  <c r="I70" i="75" s="1"/>
  <c r="AP95" i="47"/>
  <c r="AH110" i="74"/>
  <c r="J70" i="75" s="1"/>
  <c r="AI110" i="74"/>
  <c r="K70" i="75" s="1"/>
  <c r="AU31" i="74"/>
  <c r="AN15" i="56"/>
  <c r="AR56" i="74"/>
  <c r="T43" i="75"/>
  <c r="AU10" i="9"/>
  <c r="AQ16" i="9"/>
  <c r="AK95" i="47"/>
  <c r="AK83" i="74"/>
  <c r="AK57" i="74"/>
  <c r="AJ56" i="74"/>
  <c r="AJ22" i="56"/>
  <c r="D39" i="75"/>
  <c r="AQ15" i="5"/>
  <c r="AU10" i="5"/>
  <c r="AQ47" i="47"/>
  <c r="AR15" i="5"/>
  <c r="AR47" i="47"/>
  <c r="AR248" i="5"/>
  <c r="AR250" i="5" s="1"/>
  <c r="AR255" i="5" s="1"/>
  <c r="AK81" i="74"/>
  <c r="AK29" i="74"/>
  <c r="AJ287" i="5"/>
  <c r="AJ286" i="5" s="1"/>
  <c r="AI153" i="5"/>
  <c r="AI45" i="74"/>
  <c r="AK303" i="5"/>
  <c r="AH58" i="47"/>
  <c r="C57" i="75"/>
  <c r="AA70" i="74"/>
  <c r="AK248" i="5"/>
  <c r="AS22" i="47"/>
  <c r="AU24" i="74"/>
  <c r="AU296" i="5"/>
  <c r="AU270" i="5"/>
  <c r="AQ272" i="5"/>
  <c r="AE287" i="5"/>
  <c r="AE183" i="5"/>
  <c r="D40" i="75"/>
  <c r="L35" i="75"/>
  <c r="AK148" i="5"/>
  <c r="S36" i="75"/>
  <c r="AP53" i="74"/>
  <c r="AI15" i="5"/>
  <c r="AI47" i="47"/>
  <c r="AI52" i="47" s="1"/>
  <c r="AI54" i="47" s="1"/>
  <c r="AI59" i="47" s="1"/>
  <c r="AI61" i="47" s="1"/>
  <c r="AO22" i="56"/>
  <c r="AK50" i="74"/>
  <c r="C31" i="75"/>
  <c r="AA44" i="74"/>
  <c r="AF77" i="74"/>
  <c r="H63" i="75" s="1"/>
  <c r="AF25" i="74"/>
  <c r="AC24" i="74"/>
  <c r="AS45" i="74"/>
  <c r="U32" i="75"/>
  <c r="AU291" i="5"/>
  <c r="U40" i="75"/>
  <c r="AS19" i="74"/>
  <c r="AS18" i="74" s="1"/>
  <c r="AT19" i="74"/>
  <c r="AT18" i="74" s="1"/>
  <c r="AQ250" i="5"/>
  <c r="S66" i="75"/>
  <c r="AP98" i="74"/>
  <c r="T58" i="75"/>
  <c r="AR71" i="74"/>
  <c r="AD293" i="5"/>
  <c r="AF293" i="5" s="1"/>
  <c r="AF249" i="5"/>
  <c r="AP11" i="56"/>
  <c r="AC131" i="5"/>
  <c r="AC133" i="5" s="1"/>
  <c r="AC138" i="5" s="1"/>
  <c r="AC139" i="5" s="1"/>
  <c r="AE71" i="74"/>
  <c r="AE70" i="74" s="1"/>
  <c r="AK53" i="74"/>
  <c r="AF178" i="5"/>
  <c r="AS248" i="5"/>
  <c r="AS250" i="5" s="1"/>
  <c r="AS255" i="5" s="1"/>
  <c r="AU27" i="74"/>
  <c r="AU298" i="5"/>
  <c r="AU72" i="74"/>
  <c r="AK250" i="5"/>
  <c r="AM15" i="47"/>
  <c r="AG39" i="47"/>
  <c r="AG18" i="47" s="1"/>
  <c r="S32" i="75"/>
  <c r="AQ45" i="74"/>
  <c r="AU290" i="5"/>
  <c r="AU118" i="74" s="1"/>
  <c r="AQ38" i="5"/>
  <c r="AU32" i="5"/>
  <c r="AU10" i="115" s="1"/>
  <c r="AU38" i="115" s="1"/>
  <c r="AR19" i="74"/>
  <c r="AR18" i="74" s="1"/>
  <c r="AF247" i="5"/>
  <c r="AP16" i="56"/>
  <c r="J38" i="75"/>
  <c r="AK72" i="74"/>
  <c r="AK79" i="74"/>
  <c r="M65" i="75" s="1"/>
  <c r="AE97" i="74"/>
  <c r="AE96" i="74" s="1"/>
  <c r="AU46" i="74"/>
  <c r="AR153" i="5"/>
  <c r="AR155" i="5" s="1"/>
  <c r="AR160" i="5" s="1"/>
  <c r="AQ19" i="74"/>
  <c r="AQ18" i="74" s="1"/>
  <c r="AO45" i="74"/>
  <c r="Q32" i="75"/>
  <c r="AK27" i="56"/>
  <c r="AJ43" i="5"/>
  <c r="AJ292" i="5" s="1"/>
  <c r="AK293" i="5"/>
  <c r="AK51" i="74"/>
  <c r="AN14" i="56"/>
  <c r="AU20" i="74"/>
  <c r="AG47" i="47"/>
  <c r="AK10" i="5"/>
  <c r="AK243" i="5"/>
  <c r="AT15" i="5"/>
  <c r="AT47" i="47"/>
  <c r="AQ228" i="5"/>
  <c r="AU226" i="5"/>
  <c r="AG15" i="5"/>
  <c r="AU148" i="5"/>
  <c r="AK285" i="5"/>
  <c r="AD29" i="74"/>
  <c r="AD81" i="74"/>
  <c r="AK295" i="5"/>
  <c r="AK28" i="74"/>
  <c r="AU297" i="5"/>
  <c r="AK54" i="74"/>
  <c r="AP38" i="56"/>
  <c r="AP27" i="56"/>
  <c r="AK27" i="74"/>
  <c r="AQ155" i="5"/>
  <c r="AK296" i="5"/>
  <c r="AH45" i="74"/>
  <c r="J36" i="75"/>
  <c r="AL106" i="6"/>
  <c r="AP104" i="6"/>
  <c r="AJ129" i="6"/>
  <c r="AK41" i="74"/>
  <c r="AU71" i="47"/>
  <c r="AN69" i="20"/>
  <c r="AN34" i="20"/>
  <c r="AP65" i="20"/>
  <c r="AP31" i="20"/>
  <c r="AP62" i="20"/>
  <c r="AT63" i="20"/>
  <c r="AA62" i="74"/>
  <c r="C49" i="75"/>
  <c r="AP68" i="74"/>
  <c r="AP16" i="74"/>
  <c r="I65" i="48"/>
  <c r="I66" i="48" s="1"/>
  <c r="AQ164" i="6"/>
  <c r="AQ166" i="6" s="1"/>
  <c r="AU159" i="6"/>
  <c r="AU75" i="47"/>
  <c r="I50" i="75"/>
  <c r="AG63" i="74"/>
  <c r="AM129" i="6"/>
  <c r="AP123" i="6"/>
  <c r="AP23" i="115" s="1"/>
  <c r="AP13" i="116" s="1"/>
  <c r="AK67" i="74"/>
  <c r="AG17" i="6"/>
  <c r="AP70" i="20"/>
  <c r="AP35" i="20"/>
  <c r="AT67" i="20"/>
  <c r="AR11" i="74"/>
  <c r="AR10" i="74" s="1"/>
  <c r="AK15" i="74"/>
  <c r="AJ77" i="6"/>
  <c r="AK70" i="6"/>
  <c r="AK22" i="115" s="1"/>
  <c r="AR11" i="18"/>
  <c r="AT188" i="18"/>
  <c r="AR214" i="6"/>
  <c r="AK77" i="20"/>
  <c r="AO77" i="20" s="1"/>
  <c r="AO105" i="20"/>
  <c r="AQ63" i="74"/>
  <c r="S50" i="75"/>
  <c r="AU17" i="74"/>
  <c r="AG30" i="20"/>
  <c r="AK65" i="74"/>
  <c r="M51" i="75" s="1"/>
  <c r="AG55" i="6"/>
  <c r="AQ37" i="74"/>
  <c r="S24" i="75"/>
  <c r="AQ126" i="74" s="1"/>
  <c r="AQ214" i="6"/>
  <c r="AU208" i="6"/>
  <c r="AN164" i="6"/>
  <c r="AN166" i="6" s="1"/>
  <c r="AN171" i="6" s="1"/>
  <c r="AM82" i="6"/>
  <c r="AM84" i="6" s="1"/>
  <c r="AM89" i="6" s="1"/>
  <c r="AM90" i="6" s="1"/>
  <c r="AN214" i="6"/>
  <c r="AN216" i="6" s="1"/>
  <c r="AN221" i="6" s="1"/>
  <c r="AN227" i="6" s="1"/>
  <c r="AP34" i="20"/>
  <c r="AT66" i="20"/>
  <c r="AJ189" i="6"/>
  <c r="AP34" i="56"/>
  <c r="AP23" i="56"/>
  <c r="AK64" i="74"/>
  <c r="J24" i="75"/>
  <c r="AH126" i="74" s="1"/>
  <c r="AR189" i="18"/>
  <c r="AQ77" i="20"/>
  <c r="AQ106" i="20"/>
  <c r="AT105" i="20"/>
  <c r="AQ62" i="20"/>
  <c r="AQ31" i="20"/>
  <c r="AQ65" i="20"/>
  <c r="AR15" i="6"/>
  <c r="AM35" i="20"/>
  <c r="AO35" i="20" s="1"/>
  <c r="AO67" i="20"/>
  <c r="AQ196" i="6"/>
  <c r="AP43" i="74"/>
  <c r="AQ17" i="6"/>
  <c r="AK159" i="6"/>
  <c r="AG189" i="6"/>
  <c r="AR189" i="6"/>
  <c r="AT164" i="6"/>
  <c r="AT166" i="6" s="1"/>
  <c r="V53" i="75"/>
  <c r="AU151" i="6"/>
  <c r="AU38" i="74"/>
  <c r="AP12" i="56"/>
  <c r="J25" i="75"/>
  <c r="AH127" i="74" s="1"/>
  <c r="AK69" i="74"/>
  <c r="AJ164" i="6"/>
  <c r="AK164" i="6" s="1"/>
  <c r="AG172" i="6"/>
  <c r="AG174" i="6"/>
  <c r="AP68" i="47"/>
  <c r="AH63" i="74"/>
  <c r="AH62" i="74" s="1"/>
  <c r="J50" i="75"/>
  <c r="AB62" i="74"/>
  <c r="D48" i="75" s="1"/>
  <c r="D49" i="75"/>
  <c r="AI62" i="20"/>
  <c r="AJ62" i="20" s="1"/>
  <c r="AI31" i="20"/>
  <c r="AJ63" i="20"/>
  <c r="I51" i="75"/>
  <c r="AF106" i="20"/>
  <c r="AF76" i="20"/>
  <c r="AR164" i="6"/>
  <c r="AR166" i="6" s="1"/>
  <c r="AT10" i="74"/>
  <c r="S54" i="75"/>
  <c r="S53" i="75"/>
  <c r="AU183" i="6"/>
  <c r="AP32" i="20"/>
  <c r="AT64" i="20"/>
  <c r="K52" i="75"/>
  <c r="AK208" i="6"/>
  <c r="AP42" i="74"/>
  <c r="J55" i="75"/>
  <c r="I24" i="75"/>
  <c r="AG126" i="74" s="1"/>
  <c r="AK66" i="74"/>
  <c r="AQ55" i="6"/>
  <c r="AU53" i="6"/>
  <c r="AR77" i="6"/>
  <c r="AU70" i="6"/>
  <c r="AU22" i="115" s="1"/>
  <c r="U52" i="75"/>
  <c r="AB10" i="74"/>
  <c r="D22" i="75" s="1"/>
  <c r="D23" i="75"/>
  <c r="D11" i="75" s="1"/>
  <c r="T52" i="75"/>
  <c r="AU42" i="74"/>
  <c r="Q50" i="75"/>
  <c r="AO63" i="74"/>
  <c r="F49" i="75"/>
  <c r="AD62" i="74"/>
  <c r="F48" i="75" s="1"/>
  <c r="Q24" i="75"/>
  <c r="AO126" i="74" s="1"/>
  <c r="AK16" i="74"/>
  <c r="AK123" i="6"/>
  <c r="AK23" i="115" s="1"/>
  <c r="AK13" i="116" s="1"/>
  <c r="AG129" i="6"/>
  <c r="AK67" i="47"/>
  <c r="AO13" i="56"/>
  <c r="AS13" i="56" s="1"/>
  <c r="AL102" i="47"/>
  <c r="AL108" i="47" s="1"/>
  <c r="AN12" i="12"/>
  <c r="AN14" i="12" s="1"/>
  <c r="AN19" i="12" s="1"/>
  <c r="AU104" i="47"/>
  <c r="AN122" i="47"/>
  <c r="AN10" i="47" s="1"/>
  <c r="AK35" i="56"/>
  <c r="AU113" i="47"/>
  <c r="AM102" i="47"/>
  <c r="AM108" i="47" s="1"/>
  <c r="AM110" i="47" s="1"/>
  <c r="AM115" i="47" s="1"/>
  <c r="AN102" i="47"/>
  <c r="AN108" i="47" s="1"/>
  <c r="AN110" i="47" s="1"/>
  <c r="AN115" i="47" s="1"/>
  <c r="AR36" i="12"/>
  <c r="AI35" i="56"/>
  <c r="AG13" i="47"/>
  <c r="AL13" i="56"/>
  <c r="AP125" i="47"/>
  <c r="AK121" i="47"/>
  <c r="AT31" i="12"/>
  <c r="AS31" i="12"/>
  <c r="AU29" i="12"/>
  <c r="AK125" i="47"/>
  <c r="AJ13" i="56"/>
  <c r="AU15" i="12"/>
  <c r="AQ36" i="12"/>
  <c r="AN17" i="47"/>
  <c r="V47" i="47"/>
  <c r="AP76" i="47"/>
  <c r="AP88" i="47"/>
  <c r="AM41" i="47"/>
  <c r="AM20" i="47" s="1"/>
  <c r="AP86" i="47"/>
  <c r="Q50" i="47"/>
  <c r="AP109" i="47"/>
  <c r="AK108" i="47"/>
  <c r="AG110" i="47"/>
  <c r="AO35" i="56"/>
  <c r="AS35" i="56" s="1"/>
  <c r="AO24" i="56"/>
  <c r="AS24" i="56" s="1"/>
  <c r="AQ122" i="47"/>
  <c r="AU8" i="12"/>
  <c r="AQ12" i="12"/>
  <c r="AU8" i="19"/>
  <c r="AL9" i="12"/>
  <c r="AL71" i="115" s="1"/>
  <c r="AL68" i="115" s="1"/>
  <c r="AL79" i="115" s="1"/>
  <c r="AQ125" i="47"/>
  <c r="AU125" i="47" s="1"/>
  <c r="AU11" i="12"/>
  <c r="AO121" i="47"/>
  <c r="E60" i="19"/>
  <c r="AI122" i="47"/>
  <c r="AK122" i="47" s="1"/>
  <c r="AU18" i="19"/>
  <c r="AM121" i="47"/>
  <c r="AQ123" i="47"/>
  <c r="AU9" i="12"/>
  <c r="AP11" i="12"/>
  <c r="AK124" i="47"/>
  <c r="AK8" i="12"/>
  <c r="AK185" i="115" s="1"/>
  <c r="AK182" i="115" s="1"/>
  <c r="AK193" i="115" s="1"/>
  <c r="AI13" i="56"/>
  <c r="AU64" i="19"/>
  <c r="AU26" i="19"/>
  <c r="AU69" i="19"/>
  <c r="AR85" i="74"/>
  <c r="AP59" i="74"/>
  <c r="AM85" i="74"/>
  <c r="AP80" i="93"/>
  <c r="G45" i="93"/>
  <c r="AP53" i="93"/>
  <c r="AU80" i="93"/>
  <c r="AZ80" i="93" s="1"/>
  <c r="AI7" i="93"/>
  <c r="AI45" i="93" s="1"/>
  <c r="AI51" i="93" s="1"/>
  <c r="AI58" i="93" s="1"/>
  <c r="AI60" i="93" s="1"/>
  <c r="AH73" i="93"/>
  <c r="AH78" i="93" s="1"/>
  <c r="AH86" i="93" s="1"/>
  <c r="AH88" i="93" s="1"/>
  <c r="AK69" i="93"/>
  <c r="AP26" i="93"/>
  <c r="AU40" i="93"/>
  <c r="AU47" i="93"/>
  <c r="AH7" i="93"/>
  <c r="AH45" i="93" s="1"/>
  <c r="AH51" i="93" s="1"/>
  <c r="AH58" i="93" s="1"/>
  <c r="AH60" i="93" s="1"/>
  <c r="G51" i="93"/>
  <c r="C58" i="93"/>
  <c r="AH16" i="56"/>
  <c r="AO65" i="103"/>
  <c r="AO64" i="103"/>
  <c r="AJ7" i="93"/>
  <c r="AJ45" i="93" s="1"/>
  <c r="AJ51" i="93" s="1"/>
  <c r="AJ58" i="93" s="1"/>
  <c r="AJ60" i="93" s="1"/>
  <c r="AP29" i="12"/>
  <c r="AP50" i="74"/>
  <c r="AP27" i="74"/>
  <c r="AP79" i="74"/>
  <c r="AP64" i="93"/>
  <c r="AM64" i="103"/>
  <c r="AM65" i="103"/>
  <c r="O25" i="75"/>
  <c r="AM127" i="74" s="1"/>
  <c r="AP55" i="74"/>
  <c r="AL71" i="74"/>
  <c r="N58" i="75"/>
  <c r="AP208" i="6"/>
  <c r="AL214" i="6"/>
  <c r="AI106" i="20"/>
  <c r="AJ104" i="20"/>
  <c r="AI27" i="20"/>
  <c r="AI70" i="20"/>
  <c r="AI65" i="20"/>
  <c r="AJ59" i="20"/>
  <c r="AJ70" i="20" s="1"/>
  <c r="AN33" i="56"/>
  <c r="AO27" i="56"/>
  <c r="AF158" i="5"/>
  <c r="AC297" i="5"/>
  <c r="AD296" i="5"/>
  <c r="AF296" i="5" s="1"/>
  <c r="AD50" i="74"/>
  <c r="AD303" i="5"/>
  <c r="AB71" i="74"/>
  <c r="D62" i="75"/>
  <c r="AF225" i="5"/>
  <c r="AM83" i="20"/>
  <c r="AO111" i="20"/>
  <c r="AK34" i="20"/>
  <c r="AO66" i="20"/>
  <c r="AP47" i="93"/>
  <c r="AM38" i="47"/>
  <c r="AP55" i="47"/>
  <c r="AM164" i="6"/>
  <c r="AM166" i="6" s="1"/>
  <c r="AM171" i="6" s="1"/>
  <c r="AM172" i="6" s="1"/>
  <c r="AI37" i="18"/>
  <c r="AI39" i="18"/>
  <c r="AI38" i="18"/>
  <c r="AJ32" i="18"/>
  <c r="AP103" i="47"/>
  <c r="AP66" i="74"/>
  <c r="AP14" i="74"/>
  <c r="AC288" i="5"/>
  <c r="AC153" i="5"/>
  <c r="AK255" i="5"/>
  <c r="AJ33" i="56"/>
  <c r="AP113" i="47"/>
  <c r="AL164" i="6"/>
  <c r="AP159" i="6"/>
  <c r="N55" i="75"/>
  <c r="AP46" i="74"/>
  <c r="AP243" i="5"/>
  <c r="AL248" i="5"/>
  <c r="AK49" i="18"/>
  <c r="AK51" i="18"/>
  <c r="AK50" i="18"/>
  <c r="AO44" i="18"/>
  <c r="AI20" i="18"/>
  <c r="AI26" i="18" s="1"/>
  <c r="AI6" i="18"/>
  <c r="AJ18" i="18"/>
  <c r="N52" i="75"/>
  <c r="AP93" i="47"/>
  <c r="AL17" i="47"/>
  <c r="AJ17" i="5"/>
  <c r="J61" i="75"/>
  <c r="AH71" i="74"/>
  <c r="AJ38" i="56"/>
  <c r="AM13" i="47"/>
  <c r="AP89" i="47"/>
  <c r="AU86" i="47"/>
  <c r="AP94" i="47"/>
  <c r="AN18" i="47"/>
  <c r="AL45" i="74"/>
  <c r="N36" i="75"/>
  <c r="AP303" i="5"/>
  <c r="AL58" i="47"/>
  <c r="AM63" i="74"/>
  <c r="O50" i="75"/>
  <c r="AL228" i="5"/>
  <c r="AP226" i="5"/>
  <c r="AP32" i="5"/>
  <c r="AP10" i="115" s="1"/>
  <c r="AL38" i="5"/>
  <c r="AM37" i="74"/>
  <c r="AK157" i="18"/>
  <c r="AK159" i="18"/>
  <c r="AO152" i="18"/>
  <c r="AL55" i="6"/>
  <c r="AP53" i="6"/>
  <c r="AM22" i="5"/>
  <c r="AP57" i="74"/>
  <c r="AL19" i="47"/>
  <c r="K28" i="75"/>
  <c r="AD204" i="5"/>
  <c r="AF200" i="5"/>
  <c r="AF92" i="115" s="1"/>
  <c r="AN12" i="47"/>
  <c r="AK26" i="56"/>
  <c r="AM70" i="20"/>
  <c r="AM27" i="20"/>
  <c r="AM65" i="20"/>
  <c r="AP74" i="47"/>
  <c r="AL39" i="47"/>
  <c r="AP18" i="93"/>
  <c r="AM11" i="74"/>
  <c r="AM10" i="74" s="1"/>
  <c r="O24" i="75"/>
  <c r="AM126" i="74" s="1"/>
  <c r="AM82" i="74"/>
  <c r="AM56" i="74"/>
  <c r="O43" i="75"/>
  <c r="AL37" i="74"/>
  <c r="AB45" i="74"/>
  <c r="AB101" i="74"/>
  <c r="AN189" i="6"/>
  <c r="AN191" i="6" s="1"/>
  <c r="AN196" i="6" s="1"/>
  <c r="AK26" i="93"/>
  <c r="AP69" i="93"/>
  <c r="N32" i="75"/>
  <c r="AL19" i="74"/>
  <c r="AL18" i="74" s="1"/>
  <c r="AU94" i="47"/>
  <c r="AU95" i="47"/>
  <c r="AM8" i="103"/>
  <c r="AQ60" i="103"/>
  <c r="AP148" i="5"/>
  <c r="AL153" i="5"/>
  <c r="AL272" i="5"/>
  <c r="AP270" i="5"/>
  <c r="AO57" i="18"/>
  <c r="AP76" i="74"/>
  <c r="O36" i="75"/>
  <c r="AM40" i="47"/>
  <c r="AP57" i="47"/>
  <c r="AK74" i="18"/>
  <c r="AK110" i="18"/>
  <c r="AK109" i="18"/>
  <c r="AO104" i="18"/>
  <c r="AM37" i="56"/>
  <c r="AC286" i="5"/>
  <c r="AI27" i="56"/>
  <c r="AI33" i="56"/>
  <c r="AI22" i="56"/>
  <c r="N51" i="75"/>
  <c r="AL63" i="74"/>
  <c r="AP105" i="74"/>
  <c r="AL111" i="74"/>
  <c r="AP69" i="74"/>
  <c r="AP17" i="74"/>
  <c r="AK92" i="18"/>
  <c r="AO90" i="18"/>
  <c r="AK140" i="18"/>
  <c r="I28" i="75"/>
  <c r="AN11" i="56"/>
  <c r="AU11" i="56" s="1"/>
  <c r="AP24" i="74"/>
  <c r="AM75" i="102"/>
  <c r="AQ71" i="102"/>
  <c r="AU87" i="47"/>
  <c r="AU88" i="47"/>
  <c r="AK65" i="103"/>
  <c r="AU85" i="47"/>
  <c r="AP64" i="74"/>
  <c r="AK47" i="93"/>
  <c r="AL27" i="20"/>
  <c r="AL70" i="20"/>
  <c r="AL65" i="20"/>
  <c r="AO59" i="20"/>
  <c r="AP20" i="74"/>
  <c r="AP72" i="74"/>
  <c r="AM71" i="74"/>
  <c r="AM153" i="5"/>
  <c r="AM155" i="5" s="1"/>
  <c r="AM160" i="5" s="1"/>
  <c r="AP41" i="74"/>
  <c r="AM110" i="74"/>
  <c r="O70" i="75" s="1"/>
  <c r="AK9" i="18"/>
  <c r="AP67" i="74"/>
  <c r="AP15" i="74"/>
  <c r="AL17" i="6"/>
  <c r="AL77" i="6"/>
  <c r="AP70" i="6"/>
  <c r="AP22" i="115" s="1"/>
  <c r="AL82" i="74"/>
  <c r="AC290" i="5"/>
  <c r="AC79" i="74"/>
  <c r="AC226" i="5"/>
  <c r="AC27" i="74"/>
  <c r="AK37" i="56"/>
  <c r="AH8" i="103"/>
  <c r="AL9" i="103"/>
  <c r="AP8" i="93"/>
  <c r="AQ9" i="103"/>
  <c r="AQ41" i="47"/>
  <c r="AU58" i="47"/>
  <c r="AG73" i="93"/>
  <c r="AK64" i="93"/>
  <c r="AK8" i="93"/>
  <c r="AG7" i="93"/>
  <c r="AK18" i="93"/>
  <c r="AU91" i="47"/>
  <c r="AP85" i="47"/>
  <c r="AM189" i="6"/>
  <c r="AP289" i="5"/>
  <c r="AP302" i="5"/>
  <c r="O32" i="75"/>
  <c r="AM45" i="74"/>
  <c r="O40" i="75"/>
  <c r="N27" i="75"/>
  <c r="AK65" i="20"/>
  <c r="AK31" i="20"/>
  <c r="AK62" i="20"/>
  <c r="AO62" i="20" s="1"/>
  <c r="AO63" i="20"/>
  <c r="AK73" i="18"/>
  <c r="AO68" i="18"/>
  <c r="AO58" i="18"/>
  <c r="AK36" i="20"/>
  <c r="AO36" i="20" s="1"/>
  <c r="AO68" i="20"/>
  <c r="AP87" i="47"/>
  <c r="AF34" i="20"/>
  <c r="AJ66" i="20"/>
  <c r="AF69" i="20"/>
  <c r="AK272" i="5"/>
  <c r="AG277" i="5"/>
  <c r="AK277" i="5" s="1"/>
  <c r="AI76" i="20"/>
  <c r="AD295" i="5"/>
  <c r="AF295" i="5" s="1"/>
  <c r="L34" i="48"/>
  <c r="AO6" i="20"/>
  <c r="AP102" i="74"/>
  <c r="AU93" i="47"/>
  <c r="AQ27" i="103"/>
  <c r="AU89" i="47"/>
  <c r="AH46" i="102"/>
  <c r="AH52" i="102" s="1"/>
  <c r="AH59" i="102" s="1"/>
  <c r="AL41" i="102"/>
  <c r="AP298" i="5"/>
  <c r="AP106" i="74"/>
  <c r="AL9" i="47"/>
  <c r="AP30" i="47"/>
  <c r="J52" i="75"/>
  <c r="AP39" i="9"/>
  <c r="AN38" i="56"/>
  <c r="AC285" i="5"/>
  <c r="AF137" i="5"/>
  <c r="AC298" i="5"/>
  <c r="AH33" i="56"/>
  <c r="AH22" i="56"/>
  <c r="AH166" i="6"/>
  <c r="AH38" i="56"/>
  <c r="AH27" i="56"/>
  <c r="AM16" i="20"/>
  <c r="AO16" i="20" s="1"/>
  <c r="AO10" i="20"/>
  <c r="G36" i="75"/>
  <c r="AE45" i="74"/>
  <c r="AG106" i="20"/>
  <c r="AG77" i="20"/>
  <c r="AC248" i="5"/>
  <c r="AL46" i="9"/>
  <c r="AP41" i="9"/>
  <c r="AO33" i="56"/>
  <c r="AQ41" i="102"/>
  <c r="AP104" i="47"/>
  <c r="AL22" i="47"/>
  <c r="AP43" i="47"/>
  <c r="AI9" i="18"/>
  <c r="AJ21" i="18"/>
  <c r="AI16" i="20"/>
  <c r="AJ16" i="20" s="1"/>
  <c r="AJ10" i="20"/>
  <c r="AL85" i="74"/>
  <c r="AP85" i="74"/>
  <c r="AL32" i="47"/>
  <c r="AP67" i="47"/>
  <c r="N43" i="75"/>
  <c r="AL56" i="74"/>
  <c r="AP83" i="74"/>
  <c r="G62" i="75"/>
  <c r="AF229" i="5"/>
  <c r="AK36" i="12"/>
  <c r="AK31" i="12"/>
  <c r="AQ62" i="18" l="1"/>
  <c r="AQ63" i="18"/>
  <c r="AL134" i="6"/>
  <c r="Z57" i="108"/>
  <c r="Y57" i="108"/>
  <c r="AG61" i="18"/>
  <c r="AO11" i="18"/>
  <c r="AO169" i="18"/>
  <c r="AR26" i="18"/>
  <c r="AT39" i="18"/>
  <c r="AI145" i="18"/>
  <c r="AK63" i="18"/>
  <c r="AT109" i="18"/>
  <c r="AG63" i="18"/>
  <c r="AJ157" i="18"/>
  <c r="AO212" i="18"/>
  <c r="AG97" i="18"/>
  <c r="AJ212" i="18"/>
  <c r="AR145" i="18"/>
  <c r="AT145" i="18" s="1"/>
  <c r="AR147" i="18"/>
  <c r="AF63" i="18"/>
  <c r="AT133" i="18"/>
  <c r="AT238" i="18"/>
  <c r="AT134" i="18"/>
  <c r="AK61" i="18"/>
  <c r="AO85" i="18"/>
  <c r="AA124" i="74"/>
  <c r="P42" i="75"/>
  <c r="AN84" i="47"/>
  <c r="AN90" i="47" s="1"/>
  <c r="AN92" i="47" s="1"/>
  <c r="AN97" i="47" s="1"/>
  <c r="AR287" i="5"/>
  <c r="AR286" i="5" s="1"/>
  <c r="AR128" i="74"/>
  <c r="AV65" i="11"/>
  <c r="AO49" i="18"/>
  <c r="AH26" i="18"/>
  <c r="AN27" i="18"/>
  <c r="AG146" i="18"/>
  <c r="AH25" i="18"/>
  <c r="AL13" i="18"/>
  <c r="AO181" i="18"/>
  <c r="AN98" i="18"/>
  <c r="AT224" i="18"/>
  <c r="AG147" i="18"/>
  <c r="AN97" i="18"/>
  <c r="AR25" i="18"/>
  <c r="AI147" i="18"/>
  <c r="AL15" i="18"/>
  <c r="AP98" i="18"/>
  <c r="AG99" i="18"/>
  <c r="AN25" i="18"/>
  <c r="AV67" i="11"/>
  <c r="AO31" i="116"/>
  <c r="AF267" i="5"/>
  <c r="AF123" i="115" s="1"/>
  <c r="AD55" i="74"/>
  <c r="F41" i="75" s="1"/>
  <c r="AI64" i="47"/>
  <c r="AI29" i="47" s="1"/>
  <c r="AH147" i="18"/>
  <c r="AF8" i="18"/>
  <c r="AF15" i="18" s="1"/>
  <c r="AP8" i="18"/>
  <c r="AP15" i="18" s="1"/>
  <c r="AH146" i="18"/>
  <c r="AH98" i="18"/>
  <c r="AO44" i="116"/>
  <c r="AQ146" i="18"/>
  <c r="AT74" i="18"/>
  <c r="AO56" i="18"/>
  <c r="AO63" i="18" s="1"/>
  <c r="AT212" i="18"/>
  <c r="AP97" i="18"/>
  <c r="AT97" i="18" s="1"/>
  <c r="AN65" i="103"/>
  <c r="AN37" i="20"/>
  <c r="AQ62" i="103"/>
  <c r="Q34" i="48"/>
  <c r="AS26" i="18"/>
  <c r="AJ181" i="18"/>
  <c r="AS146" i="18"/>
  <c r="P201" i="18"/>
  <c r="AS147" i="18"/>
  <c r="AH97" i="18"/>
  <c r="AT37" i="18"/>
  <c r="AT7" i="18"/>
  <c r="AF99" i="18"/>
  <c r="AN62" i="18"/>
  <c r="AF97" i="18"/>
  <c r="AS83" i="20"/>
  <c r="AJ92" i="18"/>
  <c r="AJ98" i="18" s="1"/>
  <c r="AO214" i="18"/>
  <c r="AT85" i="20"/>
  <c r="AT83" i="20" s="1"/>
  <c r="AT18" i="20"/>
  <c r="K42" i="75"/>
  <c r="K18" i="75" s="1"/>
  <c r="AS78" i="20"/>
  <c r="AS69" i="20"/>
  <c r="AR31" i="116"/>
  <c r="AT6" i="20"/>
  <c r="AS16" i="20"/>
  <c r="R66" i="75"/>
  <c r="AM287" i="5"/>
  <c r="AM286" i="5" s="1"/>
  <c r="Q42" i="75"/>
  <c r="Q18" i="75" s="1"/>
  <c r="N42" i="75"/>
  <c r="N18" i="75" s="1"/>
  <c r="T42" i="75"/>
  <c r="T18" i="75" s="1"/>
  <c r="AU103" i="115"/>
  <c r="AU118" i="115" s="1"/>
  <c r="AO130" i="74"/>
  <c r="Q15" i="75"/>
  <c r="N15" i="75"/>
  <c r="AF78" i="20"/>
  <c r="AN131" i="74"/>
  <c r="R26" i="75"/>
  <c r="AP128" i="74" s="1"/>
  <c r="AS39" i="20"/>
  <c r="AT236" i="18"/>
  <c r="I13" i="75"/>
  <c r="AM84" i="47"/>
  <c r="AM90" i="47" s="1"/>
  <c r="AM92" i="47" s="1"/>
  <c r="AM97" i="47" s="1"/>
  <c r="AL27" i="18"/>
  <c r="AL8" i="102"/>
  <c r="AL46" i="102" s="1"/>
  <c r="AL52" i="102" s="1"/>
  <c r="AK214" i="6"/>
  <c r="AL25" i="18"/>
  <c r="AO73" i="18"/>
  <c r="AD79" i="74"/>
  <c r="V57" i="108"/>
  <c r="AF27" i="18"/>
  <c r="AF25" i="18"/>
  <c r="P23" i="75"/>
  <c r="P11" i="75" s="1"/>
  <c r="AJ75" i="18"/>
  <c r="AU141" i="115"/>
  <c r="AU156" i="115" s="1"/>
  <c r="AJ169" i="18"/>
  <c r="AF224" i="5"/>
  <c r="AF55" i="115" s="1"/>
  <c r="AO6" i="18"/>
  <c r="P49" i="75"/>
  <c r="AJ73" i="18"/>
  <c r="AO10" i="18"/>
  <c r="AF28" i="74"/>
  <c r="AJ131" i="74"/>
  <c r="AJ85" i="18"/>
  <c r="AU16" i="116"/>
  <c r="AU24" i="115"/>
  <c r="AU14" i="116" s="1"/>
  <c r="AP78" i="20"/>
  <c r="P13" i="75"/>
  <c r="AK173" i="115"/>
  <c r="AK171" i="115" s="1"/>
  <c r="AK192" i="115" s="1"/>
  <c r="AU65" i="115"/>
  <c r="AU80" i="115" s="1"/>
  <c r="AR84" i="47"/>
  <c r="AI84" i="47"/>
  <c r="AI90" i="47" s="1"/>
  <c r="AI92" i="47" s="1"/>
  <c r="AI97" i="47" s="1"/>
  <c r="AO17" i="6"/>
  <c r="AO22" i="6" s="1"/>
  <c r="AR22" i="9"/>
  <c r="AR24" i="9" s="1"/>
  <c r="AF245" i="5"/>
  <c r="AF132" i="115" s="1"/>
  <c r="AJ46" i="102"/>
  <c r="AJ52" i="102" s="1"/>
  <c r="AJ59" i="102" s="1"/>
  <c r="AJ61" i="102" s="1"/>
  <c r="AD54" i="74"/>
  <c r="AF80" i="74"/>
  <c r="P200" i="18"/>
  <c r="AD28" i="74"/>
  <c r="AU28" i="115"/>
  <c r="AU27" i="115" s="1"/>
  <c r="AU42" i="115" s="1"/>
  <c r="AR78" i="20"/>
  <c r="AF124" i="5"/>
  <c r="AF13" i="115" s="1"/>
  <c r="AF38" i="115" s="1"/>
  <c r="AN43" i="5"/>
  <c r="AN45" i="5" s="1"/>
  <c r="AN50" i="5" s="1"/>
  <c r="AT13" i="56"/>
  <c r="AG37" i="20"/>
  <c r="AL84" i="47"/>
  <c r="AL90" i="47" s="1"/>
  <c r="AP27" i="115"/>
  <c r="AP42" i="115" s="1"/>
  <c r="AL22" i="9"/>
  <c r="AL24" i="9" s="1"/>
  <c r="AN134" i="6"/>
  <c r="AN136" i="6" s="1"/>
  <c r="AN141" i="6" s="1"/>
  <c r="AO37" i="18"/>
  <c r="AO157" i="18"/>
  <c r="AT10" i="20"/>
  <c r="AJ140" i="18"/>
  <c r="AJ147" i="18" s="1"/>
  <c r="AF146" i="18"/>
  <c r="AO86" i="18"/>
  <c r="AJ51" i="18"/>
  <c r="AP146" i="18"/>
  <c r="AQ27" i="18"/>
  <c r="AR200" i="18"/>
  <c r="AO133" i="18"/>
  <c r="AR61" i="18"/>
  <c r="AR199" i="18"/>
  <c r="AR201" i="18"/>
  <c r="AF291" i="5"/>
  <c r="D58" i="19"/>
  <c r="G51" i="19"/>
  <c r="AJ65" i="103"/>
  <c r="AR8" i="18"/>
  <c r="AR13" i="18" s="1"/>
  <c r="AT34" i="20"/>
  <c r="E38" i="75"/>
  <c r="AC45" i="74"/>
  <c r="AC44" i="74" s="1"/>
  <c r="AK302" i="5"/>
  <c r="AT19" i="47"/>
  <c r="AK38" i="74"/>
  <c r="AK37" i="74" s="1"/>
  <c r="AK36" i="74" s="1"/>
  <c r="AD26" i="74"/>
  <c r="F38" i="75" s="1"/>
  <c r="AI97" i="18"/>
  <c r="E41" i="75"/>
  <c r="AI98" i="18"/>
  <c r="AO226" i="18"/>
  <c r="AP30" i="74"/>
  <c r="AI44" i="116"/>
  <c r="AF145" i="18"/>
  <c r="AJ53" i="20"/>
  <c r="AO11" i="116"/>
  <c r="AQ8" i="102"/>
  <c r="K201" i="18"/>
  <c r="AN31" i="116"/>
  <c r="K199" i="18"/>
  <c r="AD80" i="74"/>
  <c r="AF197" i="5"/>
  <c r="AF26" i="74" s="1"/>
  <c r="H38" i="75" s="1"/>
  <c r="AT73" i="18"/>
  <c r="AP37" i="74"/>
  <c r="AP36" i="74" s="1"/>
  <c r="AD56" i="115"/>
  <c r="AR63" i="18"/>
  <c r="AR44" i="116"/>
  <c r="AN18" i="116"/>
  <c r="AN44" i="116"/>
  <c r="AI24" i="9"/>
  <c r="AI29" i="9" s="1"/>
  <c r="AI31" i="116"/>
  <c r="AG44" i="116"/>
  <c r="P18" i="75"/>
  <c r="AK46" i="9"/>
  <c r="AK110" i="74" s="1"/>
  <c r="M70" i="75" s="1"/>
  <c r="AP179" i="115"/>
  <c r="AP194" i="115" s="1"/>
  <c r="AK103" i="115"/>
  <c r="AK118" i="115" s="1"/>
  <c r="AG31" i="116"/>
  <c r="AI18" i="116"/>
  <c r="R25" i="75"/>
  <c r="AP127" i="74" s="1"/>
  <c r="AN64" i="47"/>
  <c r="AN29" i="47" s="1"/>
  <c r="R40" i="75"/>
  <c r="AO292" i="5"/>
  <c r="AD290" i="5"/>
  <c r="AD118" i="74" s="1"/>
  <c r="AD119" i="74" s="1"/>
  <c r="AD75" i="74"/>
  <c r="AF129" i="5"/>
  <c r="AF51" i="115" s="1"/>
  <c r="AD23" i="74"/>
  <c r="F35" i="75" s="1"/>
  <c r="Q57" i="75"/>
  <c r="AG113" i="115"/>
  <c r="AF297" i="5"/>
  <c r="AO287" i="5"/>
  <c r="AO286" i="5" s="1"/>
  <c r="AO189" i="115"/>
  <c r="AE37" i="115"/>
  <c r="AC8" i="115"/>
  <c r="AO75" i="115"/>
  <c r="AR113" i="115"/>
  <c r="AD52" i="115"/>
  <c r="AD76" i="74"/>
  <c r="AF76" i="74" s="1"/>
  <c r="AI113" i="115"/>
  <c r="AF151" i="5"/>
  <c r="AR37" i="115"/>
  <c r="AL113" i="115"/>
  <c r="AL189" i="115"/>
  <c r="AF146" i="5"/>
  <c r="AF14" i="115" s="1"/>
  <c r="AJ92" i="20"/>
  <c r="H37" i="75"/>
  <c r="AD27" i="74"/>
  <c r="AH78" i="20"/>
  <c r="AR189" i="115"/>
  <c r="AR75" i="115"/>
  <c r="AS17" i="5"/>
  <c r="AD24" i="74"/>
  <c r="AO294" i="5"/>
  <c r="AF81" i="74"/>
  <c r="E36" i="75"/>
  <c r="AN113" i="115"/>
  <c r="AB37" i="115"/>
  <c r="AF29" i="74"/>
  <c r="AP15" i="5"/>
  <c r="AP153" i="115"/>
  <c r="AI112" i="115"/>
  <c r="AI111" i="115" s="1"/>
  <c r="AL130" i="74"/>
  <c r="AP12" i="116" a="1"/>
  <c r="AP12" i="116" s="1"/>
  <c r="AG11" i="116"/>
  <c r="AG74" i="115"/>
  <c r="AG73" i="115" s="1"/>
  <c r="AP11" i="74"/>
  <c r="AP28" i="116"/>
  <c r="AR71" i="20"/>
  <c r="H67" i="48"/>
  <c r="AE6" i="88"/>
  <c r="AH44" i="116"/>
  <c r="AQ108" i="47"/>
  <c r="AG75" i="115"/>
  <c r="AG189" i="115"/>
  <c r="AS22" i="9"/>
  <c r="L42" i="75"/>
  <c r="L18" i="75" s="1"/>
  <c r="AG18" i="116"/>
  <c r="I42" i="75"/>
  <c r="I18" i="75" s="1"/>
  <c r="AR11" i="47"/>
  <c r="AQ27" i="114"/>
  <c r="AS17" i="116"/>
  <c r="AO11" i="47"/>
  <c r="AO116" i="74" s="1"/>
  <c r="AO119" i="74" s="1"/>
  <c r="AM126" i="47"/>
  <c r="AM128" i="47" s="1"/>
  <c r="AM133" i="47" s="1"/>
  <c r="AQ10" i="47"/>
  <c r="AU40" i="47"/>
  <c r="AR19" i="47"/>
  <c r="AP47" i="47"/>
  <c r="AP52" i="47" s="1"/>
  <c r="AP54" i="47" s="1"/>
  <c r="AR17" i="47"/>
  <c r="AU129" i="47"/>
  <c r="AQ17" i="116"/>
  <c r="AN11" i="47"/>
  <c r="O42" i="75"/>
  <c r="O18" i="75" s="1"/>
  <c r="AJ22" i="9"/>
  <c r="AJ24" i="9" s="1"/>
  <c r="Q13" i="97"/>
  <c r="AH189" i="115"/>
  <c r="AT92" i="18"/>
  <c r="AT98" i="18" s="1"/>
  <c r="AO109" i="18"/>
  <c r="M63" i="75"/>
  <c r="AG112" i="115"/>
  <c r="AG111" i="115" s="1"/>
  <c r="L13" i="75"/>
  <c r="AP190" i="115"/>
  <c r="AJ189" i="115"/>
  <c r="AT20" i="18"/>
  <c r="AT27" i="18" s="1"/>
  <c r="AK133" i="115"/>
  <c r="AK154" i="115" s="1"/>
  <c r="AO128" i="74"/>
  <c r="AR25" i="116"/>
  <c r="AQ36" i="115"/>
  <c r="AQ35" i="115" s="1"/>
  <c r="R41" i="75"/>
  <c r="AH62" i="18"/>
  <c r="AF6" i="88"/>
  <c r="AP95" i="115"/>
  <c r="AP116" i="115" s="1"/>
  <c r="AO10" i="47"/>
  <c r="AL112" i="115"/>
  <c r="AL111" i="115" s="1"/>
  <c r="AL120" i="115" s="1"/>
  <c r="AM31" i="116"/>
  <c r="AM18" i="116"/>
  <c r="AU30" i="115"/>
  <c r="AU41" i="115" s="1"/>
  <c r="AP147" i="18"/>
  <c r="AJ224" i="18"/>
  <c r="AJ113" i="115"/>
  <c r="AK90" i="102"/>
  <c r="AK97" i="102" s="1"/>
  <c r="AL88" i="102"/>
  <c r="AL90" i="102" s="1"/>
  <c r="AL97" i="102" s="1"/>
  <c r="AJ170" i="18"/>
  <c r="AC160" i="115"/>
  <c r="AN19" i="115"/>
  <c r="AN40" i="115" s="1"/>
  <c r="AN36" i="115" s="1"/>
  <c r="AP122" i="115"/>
  <c r="AP152" i="115"/>
  <c r="AD125" i="74"/>
  <c r="AD124" i="74" s="1"/>
  <c r="AR52" i="47"/>
  <c r="AP25" i="18"/>
  <c r="AJ236" i="18"/>
  <c r="AS19" i="12"/>
  <c r="AT39" i="114"/>
  <c r="AT225" i="18"/>
  <c r="AH8" i="18"/>
  <c r="AH14" i="18" s="1"/>
  <c r="AQ74" i="115"/>
  <c r="AQ73" i="115" s="1"/>
  <c r="AN75" i="115"/>
  <c r="AN39" i="116"/>
  <c r="AO74" i="115"/>
  <c r="AO73" i="115" s="1"/>
  <c r="AN61" i="18"/>
  <c r="AR150" i="115"/>
  <c r="AR149" i="115" s="1"/>
  <c r="AK39" i="115"/>
  <c r="AH18" i="116"/>
  <c r="AU84" i="115"/>
  <c r="K56" i="75"/>
  <c r="AU114" i="115"/>
  <c r="AU113" i="115" s="1"/>
  <c r="AK179" i="115"/>
  <c r="AK194" i="115" s="1"/>
  <c r="AQ75" i="115"/>
  <c r="AT17" i="116"/>
  <c r="M38" i="75"/>
  <c r="AS189" i="115"/>
  <c r="AT126" i="47"/>
  <c r="AT12" i="47"/>
  <c r="AH188" i="115"/>
  <c r="AH187" i="115" s="1"/>
  <c r="AT14" i="12"/>
  <c r="AS52" i="47"/>
  <c r="AU147" i="115"/>
  <c r="AU144" i="115" s="1"/>
  <c r="AU155" i="115" s="1"/>
  <c r="AT39" i="116"/>
  <c r="AR14" i="12"/>
  <c r="AR74" i="115"/>
  <c r="AR73" i="115" s="1"/>
  <c r="AU71" i="115"/>
  <c r="AU68" i="115" s="1"/>
  <c r="AU79" i="115" s="1"/>
  <c r="AS110" i="47"/>
  <c r="AS128" i="47"/>
  <c r="AS133" i="47" s="1"/>
  <c r="AT52" i="47"/>
  <c r="AM43" i="116"/>
  <c r="AM30" i="116"/>
  <c r="AM17" i="116"/>
  <c r="AM112" i="115"/>
  <c r="AM111" i="115" s="1"/>
  <c r="AM120" i="115" s="1"/>
  <c r="AN30" i="116"/>
  <c r="AN43" i="116"/>
  <c r="AF264" i="5"/>
  <c r="AD161" i="115"/>
  <c r="AT49" i="18"/>
  <c r="AP63" i="18"/>
  <c r="AJ49" i="18"/>
  <c r="AK77" i="115"/>
  <c r="AU179" i="115"/>
  <c r="AU194" i="115" s="1"/>
  <c r="AP191" i="115"/>
  <c r="AN74" i="115"/>
  <c r="AN73" i="115" s="1"/>
  <c r="AP19" i="115"/>
  <c r="AP40" i="115" s="1"/>
  <c r="AM44" i="116"/>
  <c r="AC190" i="115"/>
  <c r="AR13" i="116"/>
  <c r="AP84" i="115"/>
  <c r="AC115" i="115"/>
  <c r="AC84" i="115"/>
  <c r="AC114" i="115"/>
  <c r="AQ147" i="18"/>
  <c r="AQ18" i="20"/>
  <c r="AP160" i="115"/>
  <c r="AN151" i="115"/>
  <c r="AN150" i="115"/>
  <c r="AN149" i="115" s="1"/>
  <c r="AG7" i="88"/>
  <c r="AE150" i="115"/>
  <c r="AE149" i="115" s="1"/>
  <c r="AE151" i="115"/>
  <c r="AN171" i="115"/>
  <c r="AN192" i="115" s="1"/>
  <c r="AN38" i="116"/>
  <c r="AN25" i="116"/>
  <c r="AN13" i="116"/>
  <c r="AC39" i="115"/>
  <c r="AP40" i="116"/>
  <c r="AP27" i="116"/>
  <c r="AP16" i="116"/>
  <c r="AD270" i="5"/>
  <c r="AD272" i="5" s="1"/>
  <c r="AD85" i="115"/>
  <c r="AP18" i="20"/>
  <c r="AM189" i="115"/>
  <c r="AO113" i="115"/>
  <c r="AO112" i="115"/>
  <c r="AO111" i="115" s="1"/>
  <c r="AM171" i="115"/>
  <c r="AM192" i="115" s="1"/>
  <c r="AM38" i="116"/>
  <c r="AM25" i="116"/>
  <c r="AE74" i="115"/>
  <c r="AE73" i="115" s="1"/>
  <c r="AE75" i="115"/>
  <c r="AL44" i="116"/>
  <c r="AL31" i="116"/>
  <c r="AL75" i="115"/>
  <c r="AL74" i="115"/>
  <c r="AL73" i="115" s="1"/>
  <c r="AF244" i="5"/>
  <c r="AF94" i="115" s="1"/>
  <c r="AD94" i="115"/>
  <c r="AP109" i="115"/>
  <c r="AP106" i="115" s="1"/>
  <c r="AP117" i="115" s="1"/>
  <c r="AP17" i="116" s="1"/>
  <c r="AP185" i="115"/>
  <c r="AP182" i="115" s="1"/>
  <c r="AP193" i="115" s="1"/>
  <c r="AP27" i="18"/>
  <c r="AG6" i="88"/>
  <c r="AK190" i="115"/>
  <c r="AL188" i="115"/>
  <c r="AL187" i="115" s="1"/>
  <c r="AL24" i="116"/>
  <c r="AL37" i="116"/>
  <c r="AP26" i="116"/>
  <c r="AP39" i="116"/>
  <c r="AN189" i="115"/>
  <c r="AM19" i="115"/>
  <c r="AM40" i="115" s="1"/>
  <c r="AM11" i="116" s="1"/>
  <c r="N16" i="97"/>
  <c r="AF149" i="5"/>
  <c r="AF90" i="115" s="1"/>
  <c r="AD90" i="115"/>
  <c r="AF223" i="5"/>
  <c r="AF53" i="74" s="1"/>
  <c r="AD131" i="115"/>
  <c r="AD122" i="115" s="1"/>
  <c r="AL30" i="116"/>
  <c r="AL43" i="116"/>
  <c r="AP46" i="115"/>
  <c r="AP76" i="115"/>
  <c r="AP77" i="115"/>
  <c r="AJ151" i="115"/>
  <c r="AL150" i="115"/>
  <c r="AL149" i="115" s="1"/>
  <c r="AL151" i="115"/>
  <c r="AD166" i="115"/>
  <c r="AP41" i="116"/>
  <c r="AO151" i="115"/>
  <c r="AO150" i="115"/>
  <c r="AO149" i="115" s="1"/>
  <c r="AQ200" i="18"/>
  <c r="AP42" i="116"/>
  <c r="AP29" i="116"/>
  <c r="AF127" i="5"/>
  <c r="AF89" i="115" s="1"/>
  <c r="AD89" i="115"/>
  <c r="AP147" i="115"/>
  <c r="AP144" i="115" s="1"/>
  <c r="AP155" i="115" s="1"/>
  <c r="AT157" i="18"/>
  <c r="AM74" i="115"/>
  <c r="AM73" i="115" s="1"/>
  <c r="AM75" i="115"/>
  <c r="AC153" i="115"/>
  <c r="AC122" i="115"/>
  <c r="AC152" i="115"/>
  <c r="AN112" i="115"/>
  <c r="AN111" i="115" s="1"/>
  <c r="AG8" i="88"/>
  <c r="AJ134" i="18"/>
  <c r="AF18" i="115"/>
  <c r="AJ44" i="116"/>
  <c r="AJ31" i="116"/>
  <c r="N36" i="97"/>
  <c r="AP15" i="116"/>
  <c r="AB189" i="115"/>
  <c r="AB188" i="115"/>
  <c r="AQ25" i="18"/>
  <c r="AD169" i="115"/>
  <c r="M16" i="98"/>
  <c r="AK147" i="115"/>
  <c r="AK144" i="115" s="1"/>
  <c r="AK155" i="115" s="1"/>
  <c r="AJ74" i="115"/>
  <c r="AJ73" i="115" s="1"/>
  <c r="AJ75" i="115"/>
  <c r="AR38" i="116"/>
  <c r="AD168" i="115"/>
  <c r="AF198" i="5"/>
  <c r="AF168" i="115" s="1"/>
  <c r="AM26" i="116"/>
  <c r="AS8" i="115"/>
  <c r="AM151" i="115"/>
  <c r="AM150" i="115"/>
  <c r="AM149" i="115" s="1"/>
  <c r="AO30" i="116"/>
  <c r="AO43" i="116"/>
  <c r="AG171" i="115"/>
  <c r="AG192" i="115" s="1"/>
  <c r="AG38" i="116"/>
  <c r="AG25" i="116"/>
  <c r="AD165" i="115"/>
  <c r="AC46" i="115"/>
  <c r="AC76" i="115"/>
  <c r="AC77" i="115"/>
  <c r="AE189" i="115"/>
  <c r="AE188" i="115"/>
  <c r="AB113" i="115"/>
  <c r="AB112" i="115"/>
  <c r="AM39" i="116"/>
  <c r="AF263" i="5"/>
  <c r="AD9" i="115"/>
  <c r="AP26" i="18"/>
  <c r="AQ98" i="18"/>
  <c r="AJ150" i="115"/>
  <c r="AJ149" i="115" s="1"/>
  <c r="AR39" i="116"/>
  <c r="AC191" i="115"/>
  <c r="AE112" i="115"/>
  <c r="AE113" i="115"/>
  <c r="AP171" i="115"/>
  <c r="AP192" i="115" s="1"/>
  <c r="AP38" i="116"/>
  <c r="AP25" i="116"/>
  <c r="AO171" i="115"/>
  <c r="AO192" i="115" s="1"/>
  <c r="AO38" i="116"/>
  <c r="AO25" i="116"/>
  <c r="AB74" i="115"/>
  <c r="AB73" i="115" s="1"/>
  <c r="AB75" i="115"/>
  <c r="AP39" i="115"/>
  <c r="AP115" i="115"/>
  <c r="AF128" i="115"/>
  <c r="AQ99" i="18"/>
  <c r="AB151" i="115"/>
  <c r="AB150" i="115"/>
  <c r="AB149" i="115" s="1"/>
  <c r="AF127" i="115"/>
  <c r="AD17" i="115"/>
  <c r="AF219" i="5"/>
  <c r="AR151" i="115"/>
  <c r="AD170" i="115"/>
  <c r="E11" i="75"/>
  <c r="E10" i="75" s="1"/>
  <c r="AO70" i="47"/>
  <c r="AO72" i="47" s="1"/>
  <c r="AO77" i="47" s="1"/>
  <c r="AE61" i="74"/>
  <c r="AO129" i="74"/>
  <c r="AT26" i="116"/>
  <c r="AN128" i="74"/>
  <c r="I15" i="75"/>
  <c r="AT13" i="116"/>
  <c r="I12" i="75"/>
  <c r="AU95" i="115"/>
  <c r="AU116" i="115" s="1"/>
  <c r="AH19" i="115"/>
  <c r="AH40" i="115" s="1"/>
  <c r="AH11" i="116" s="1"/>
  <c r="AR22" i="47"/>
  <c r="AQ11" i="116"/>
  <c r="AP69" i="20"/>
  <c r="AU15" i="116"/>
  <c r="AU133" i="115"/>
  <c r="AU154" i="115" s="1"/>
  <c r="AS14" i="116"/>
  <c r="AJ130" i="74"/>
  <c r="AM128" i="74"/>
  <c r="AH37" i="20"/>
  <c r="AU12" i="116" a="1"/>
  <c r="AU12" i="116" s="1"/>
  <c r="AL37" i="115"/>
  <c r="AL36" i="115"/>
  <c r="AP38" i="115"/>
  <c r="AP8" i="115"/>
  <c r="AH292" i="5"/>
  <c r="AO8" i="115"/>
  <c r="AO38" i="115"/>
  <c r="AN37" i="115"/>
  <c r="AM37" i="115"/>
  <c r="AH287" i="5"/>
  <c r="AH286" i="5" s="1"/>
  <c r="AJ38" i="115"/>
  <c r="AJ8" i="115"/>
  <c r="AH8" i="115"/>
  <c r="AT30" i="116"/>
  <c r="AT43" i="116"/>
  <c r="AQ43" i="116"/>
  <c r="AQ30" i="116"/>
  <c r="AK10" i="115"/>
  <c r="AK114" i="115"/>
  <c r="AK115" i="115"/>
  <c r="AK84" i="115"/>
  <c r="AR19" i="115"/>
  <c r="AR40" i="115" s="1"/>
  <c r="AR36" i="115" s="1"/>
  <c r="AR35" i="115" s="1"/>
  <c r="AR14" i="116"/>
  <c r="AK30" i="116"/>
  <c r="AK43" i="116"/>
  <c r="AK160" i="115"/>
  <c r="AR40" i="116"/>
  <c r="AS43" i="116"/>
  <c r="AS74" i="115"/>
  <c r="AS73" i="115" s="1"/>
  <c r="AS75" i="115"/>
  <c r="AK16" i="116"/>
  <c r="AH39" i="116"/>
  <c r="AK16" i="9"/>
  <c r="AK28" i="115"/>
  <c r="AK27" i="115" s="1"/>
  <c r="AK42" i="115" s="1"/>
  <c r="AS150" i="115"/>
  <c r="AS149" i="115" s="1"/>
  <c r="AS151" i="115"/>
  <c r="AK191" i="115"/>
  <c r="AI151" i="115"/>
  <c r="AI150" i="115"/>
  <c r="AI149" i="115" s="1"/>
  <c r="AH150" i="115"/>
  <c r="AH149" i="115" s="1"/>
  <c r="AH151" i="115"/>
  <c r="AU39" i="115"/>
  <c r="AU37" i="115" s="1"/>
  <c r="AU8" i="115"/>
  <c r="AQ189" i="115"/>
  <c r="AT150" i="115"/>
  <c r="AT149" i="115" s="1"/>
  <c r="AT151" i="115"/>
  <c r="AR27" i="116"/>
  <c r="AS30" i="116"/>
  <c r="AH26" i="116"/>
  <c r="AT38" i="115"/>
  <c r="AT8" i="115"/>
  <c r="AI75" i="115"/>
  <c r="AI74" i="115"/>
  <c r="AI73" i="115" s="1"/>
  <c r="AS171" i="115"/>
  <c r="AS192" i="115" s="1"/>
  <c r="AS38" i="116"/>
  <c r="AS25" i="116"/>
  <c r="AU77" i="115"/>
  <c r="AU76" i="115"/>
  <c r="AU46" i="115"/>
  <c r="AI14" i="116"/>
  <c r="AI40" i="116"/>
  <c r="AI27" i="116"/>
  <c r="AH37" i="115"/>
  <c r="AT11" i="116"/>
  <c r="AH113" i="115"/>
  <c r="AH112" i="115"/>
  <c r="AT75" i="115"/>
  <c r="AT74" i="115"/>
  <c r="AT73" i="115" s="1"/>
  <c r="AK97" i="115"/>
  <c r="AU23" i="115"/>
  <c r="AU13" i="116" s="1"/>
  <c r="AS11" i="116"/>
  <c r="AH74" i="115"/>
  <c r="AH73" i="115" s="1"/>
  <c r="AH75" i="115"/>
  <c r="AS36" i="115"/>
  <c r="AS35" i="115" s="1"/>
  <c r="AH12" i="116" a="1"/>
  <c r="AH12" i="116" s="1"/>
  <c r="T13" i="75"/>
  <c r="AK40" i="116"/>
  <c r="AK27" i="116"/>
  <c r="AU191" i="115"/>
  <c r="AU190" i="115"/>
  <c r="AU160" i="115"/>
  <c r="AS27" i="116"/>
  <c r="AK76" i="115"/>
  <c r="AK14" i="116"/>
  <c r="AS113" i="115"/>
  <c r="AS112" i="115"/>
  <c r="AQ44" i="116"/>
  <c r="AQ31" i="116"/>
  <c r="AK122" i="115"/>
  <c r="AK153" i="115"/>
  <c r="AK152" i="115"/>
  <c r="AK19" i="115"/>
  <c r="AK40" i="115" s="1"/>
  <c r="AK15" i="116"/>
  <c r="AK41" i="116"/>
  <c r="AK28" i="116"/>
  <c r="AS40" i="116"/>
  <c r="AU41" i="116"/>
  <c r="AU28" i="116"/>
  <c r="AK46" i="115"/>
  <c r="AI189" i="115"/>
  <c r="AI188" i="115"/>
  <c r="AU171" i="115"/>
  <c r="AU192" i="115" s="1"/>
  <c r="AU38" i="116"/>
  <c r="AU25" i="116"/>
  <c r="AQ113" i="115"/>
  <c r="AQ10" i="116" s="1"/>
  <c r="AQ112" i="115"/>
  <c r="AH25" i="116"/>
  <c r="AT44" i="116"/>
  <c r="AT31" i="116"/>
  <c r="AJ12" i="116" a="1"/>
  <c r="AJ12" i="116" s="1"/>
  <c r="AJ95" i="115"/>
  <c r="AJ116" i="115" s="1"/>
  <c r="AU153" i="115"/>
  <c r="AU152" i="115"/>
  <c r="AU122" i="115"/>
  <c r="AH38" i="116"/>
  <c r="AH31" i="116"/>
  <c r="AK42" i="116"/>
  <c r="AK29" i="116"/>
  <c r="AQ151" i="115"/>
  <c r="AQ150" i="115"/>
  <c r="AQ149" i="115" s="1"/>
  <c r="AJ25" i="116"/>
  <c r="AJ38" i="116"/>
  <c r="AJ171" i="115"/>
  <c r="AJ192" i="115" s="1"/>
  <c r="AG150" i="115"/>
  <c r="AG149" i="115" s="1"/>
  <c r="AG151" i="115"/>
  <c r="AS31" i="116"/>
  <c r="AS37" i="115"/>
  <c r="AU185" i="115"/>
  <c r="AU182" i="115" s="1"/>
  <c r="AU193" i="115" s="1"/>
  <c r="AU109" i="115"/>
  <c r="AU106" i="115" s="1"/>
  <c r="AU117" i="115" s="1"/>
  <c r="AQ38" i="116"/>
  <c r="AQ25" i="116"/>
  <c r="AQ171" i="115"/>
  <c r="AQ192" i="115" s="1"/>
  <c r="AR30" i="116"/>
  <c r="AR43" i="116"/>
  <c r="AR112" i="115"/>
  <c r="AT189" i="115"/>
  <c r="AU42" i="116"/>
  <c r="AU29" i="116"/>
  <c r="AI19" i="115"/>
  <c r="AI40" i="115" s="1"/>
  <c r="AT113" i="115"/>
  <c r="AT112" i="115"/>
  <c r="AS44" i="116"/>
  <c r="AT171" i="115"/>
  <c r="AT192" i="115" s="1"/>
  <c r="AT188" i="115" s="1"/>
  <c r="AT38" i="116"/>
  <c r="AT25" i="116"/>
  <c r="AT134" i="6"/>
  <c r="AT64" i="47"/>
  <c r="AT70" i="47" s="1"/>
  <c r="AU57" i="115"/>
  <c r="AU78" i="115" s="1"/>
  <c r="AG38" i="115"/>
  <c r="AG8" i="115"/>
  <c r="AI8" i="115"/>
  <c r="AI38" i="115"/>
  <c r="AR188" i="115"/>
  <c r="AK39" i="116"/>
  <c r="AK26" i="116"/>
  <c r="AH130" i="74"/>
  <c r="AI33" i="74"/>
  <c r="AI9" i="74" s="1"/>
  <c r="AG70" i="74"/>
  <c r="I56" i="75" s="1"/>
  <c r="M26" i="75"/>
  <c r="AK128" i="74" s="1"/>
  <c r="AH27" i="114"/>
  <c r="AO33" i="74"/>
  <c r="Q45" i="75" s="1"/>
  <c r="Q19" i="75" s="1"/>
  <c r="AU85" i="74"/>
  <c r="AU59" i="74"/>
  <c r="AR18" i="47"/>
  <c r="M61" i="75"/>
  <c r="AS37" i="20"/>
  <c r="W57" i="108"/>
  <c r="AI23" i="87"/>
  <c r="AJ8" i="87"/>
  <c r="AO106" i="20"/>
  <c r="AH69" i="20"/>
  <c r="AR69" i="20"/>
  <c r="AO22" i="20"/>
  <c r="AJ22" i="20"/>
  <c r="AT22" i="20"/>
  <c r="AT85" i="18"/>
  <c r="AM27" i="18"/>
  <c r="AQ8" i="18"/>
  <c r="AQ14" i="18" s="1"/>
  <c r="AM25" i="18"/>
  <c r="AT9" i="18"/>
  <c r="AT12" i="18"/>
  <c r="AJ37" i="18"/>
  <c r="AN63" i="18"/>
  <c r="AT140" i="18"/>
  <c r="AT147" i="18" s="1"/>
  <c r="AJ237" i="18"/>
  <c r="AH199" i="18"/>
  <c r="AQ201" i="18"/>
  <c r="AQ199" i="18"/>
  <c r="AH200" i="18"/>
  <c r="AH63" i="18"/>
  <c r="AO236" i="18"/>
  <c r="AM15" i="18"/>
  <c r="AM14" i="18"/>
  <c r="AM13" i="18"/>
  <c r="AJ56" i="18"/>
  <c r="AJ62" i="18" s="1"/>
  <c r="AP61" i="18"/>
  <c r="AP62" i="18"/>
  <c r="AT213" i="18"/>
  <c r="AI63" i="18"/>
  <c r="AN8" i="18"/>
  <c r="AN13" i="18" s="1"/>
  <c r="AT51" i="18"/>
  <c r="AT10" i="18"/>
  <c r="AI62" i="18"/>
  <c r="AO39" i="18"/>
  <c r="AJ12" i="18"/>
  <c r="AG201" i="18"/>
  <c r="AG199" i="18"/>
  <c r="AJ7" i="18"/>
  <c r="AJ183" i="18"/>
  <c r="AT170" i="18"/>
  <c r="AG200" i="18"/>
  <c r="AJ133" i="18"/>
  <c r="AJ226" i="18"/>
  <c r="AJ11" i="18"/>
  <c r="AO171" i="18"/>
  <c r="AT6" i="18"/>
  <c r="AF200" i="18"/>
  <c r="AF201" i="18"/>
  <c r="AF199" i="18"/>
  <c r="AJ61" i="18"/>
  <c r="AJ109" i="18"/>
  <c r="AO238" i="18"/>
  <c r="AO237" i="18"/>
  <c r="AS25" i="18"/>
  <c r="AJ10" i="18"/>
  <c r="AO7" i="18"/>
  <c r="AG8" i="18"/>
  <c r="AS27" i="18"/>
  <c r="AT159" i="18"/>
  <c r="AT158" i="18"/>
  <c r="AJ213" i="18"/>
  <c r="AJ214" i="18"/>
  <c r="AO182" i="18"/>
  <c r="AO183" i="18"/>
  <c r="AO134" i="18"/>
  <c r="AT7" i="114"/>
  <c r="AO37" i="114"/>
  <c r="AR40" i="114"/>
  <c r="AF40" i="114"/>
  <c r="AM40" i="114"/>
  <c r="AT11" i="114"/>
  <c r="AO21" i="114"/>
  <c r="AN40" i="114"/>
  <c r="AL40" i="114"/>
  <c r="AI40" i="114"/>
  <c r="AH40" i="114"/>
  <c r="AN27" i="114"/>
  <c r="AP27" i="114"/>
  <c r="AO11" i="114"/>
  <c r="AP34" i="114"/>
  <c r="AP40" i="114" s="1"/>
  <c r="AK34" i="114"/>
  <c r="AO34" i="114" s="1"/>
  <c r="AQ40" i="114"/>
  <c r="AO31" i="114"/>
  <c r="AK30" i="114"/>
  <c r="AR46" i="9"/>
  <c r="AP16" i="9"/>
  <c r="R44" i="75"/>
  <c r="AQ46" i="9"/>
  <c r="AO22" i="9"/>
  <c r="AO24" i="9" s="1"/>
  <c r="AO84" i="47"/>
  <c r="AO90" i="47" s="1"/>
  <c r="AO92" i="47" s="1"/>
  <c r="AO97" i="47" s="1"/>
  <c r="AM24" i="9"/>
  <c r="AM29" i="9" s="1"/>
  <c r="AD226" i="5"/>
  <c r="AD228" i="5" s="1"/>
  <c r="AD233" i="5" s="1"/>
  <c r="AD234" i="5" s="1"/>
  <c r="AD236" i="5" s="1"/>
  <c r="AD105" i="74" s="1"/>
  <c r="AD53" i="74"/>
  <c r="AB300" i="5"/>
  <c r="AL59" i="47"/>
  <c r="AL61" i="47" s="1"/>
  <c r="AD289" i="5"/>
  <c r="AF289" i="5" s="1"/>
  <c r="M37" i="75"/>
  <c r="AC104" i="74"/>
  <c r="E64" i="75" s="1"/>
  <c r="AC212" i="5"/>
  <c r="AC214" i="5" s="1"/>
  <c r="AK33" i="47"/>
  <c r="L57" i="75"/>
  <c r="L56" i="75"/>
  <c r="AI287" i="5"/>
  <c r="AI286" i="5" s="1"/>
  <c r="W41" i="75"/>
  <c r="G56" i="75"/>
  <c r="AZ59" i="47"/>
  <c r="AD287" i="5"/>
  <c r="AF287" i="5" s="1"/>
  <c r="AF298" i="5"/>
  <c r="AX43" i="47"/>
  <c r="AZ60" i="47"/>
  <c r="AX61" i="47"/>
  <c r="AX44" i="47" s="1"/>
  <c r="AW9" i="47"/>
  <c r="AZ30" i="47"/>
  <c r="AU153" i="5"/>
  <c r="AW54" i="47"/>
  <c r="AW35" i="47"/>
  <c r="AF50" i="74"/>
  <c r="AF266" i="5"/>
  <c r="L31" i="75"/>
  <c r="AZ38" i="47"/>
  <c r="AZ19" i="47"/>
  <c r="AZ40" i="47"/>
  <c r="AV113" i="74"/>
  <c r="AR20" i="47"/>
  <c r="AP33" i="47"/>
  <c r="AH12" i="47"/>
  <c r="AK12" i="47" s="1"/>
  <c r="AP102" i="47"/>
  <c r="AI128" i="74"/>
  <c r="R24" i="75"/>
  <c r="AP126" i="74" s="1"/>
  <c r="AO76" i="20"/>
  <c r="D10" i="75"/>
  <c r="AR64" i="47"/>
  <c r="AU7" i="93"/>
  <c r="AT128" i="74"/>
  <c r="U49" i="75"/>
  <c r="O15" i="75"/>
  <c r="AQ11" i="47"/>
  <c r="AI129" i="74"/>
  <c r="AQ64" i="47"/>
  <c r="AQ70" i="47" s="1"/>
  <c r="AT15" i="47"/>
  <c r="Q22" i="75"/>
  <c r="AP36" i="47"/>
  <c r="AM130" i="74"/>
  <c r="P22" i="75"/>
  <c r="AP129" i="6"/>
  <c r="AM64" i="47"/>
  <c r="AM70" i="47" s="1"/>
  <c r="AM72" i="47" s="1"/>
  <c r="AM77" i="47" s="1"/>
  <c r="AM79" i="47" s="1"/>
  <c r="R28" i="75"/>
  <c r="AP130" i="74" s="1"/>
  <c r="AS34" i="114"/>
  <c r="AT21" i="114"/>
  <c r="AS27" i="114"/>
  <c r="AT31" i="114"/>
  <c r="AS30" i="114"/>
  <c r="AG40" i="114"/>
  <c r="AJ30" i="114"/>
  <c r="AJ34" i="114"/>
  <c r="AJ21" i="114"/>
  <c r="AJ39" i="114"/>
  <c r="R39" i="75"/>
  <c r="AK8" i="18"/>
  <c r="AK15" i="18" s="1"/>
  <c r="M28" i="75"/>
  <c r="M14" i="75" s="1"/>
  <c r="AG27" i="18"/>
  <c r="AG26" i="18"/>
  <c r="AO199" i="18"/>
  <c r="AF78" i="74"/>
  <c r="AJ86" i="18"/>
  <c r="AJ87" i="18"/>
  <c r="AF222" i="5"/>
  <c r="AS10" i="47"/>
  <c r="AQ134" i="6"/>
  <c r="AQ136" i="6" s="1"/>
  <c r="W62" i="75"/>
  <c r="AU129" i="6"/>
  <c r="AS131" i="74"/>
  <c r="J12" i="75"/>
  <c r="M36" i="75"/>
  <c r="AI11" i="47"/>
  <c r="AI116" i="74" s="1"/>
  <c r="AI119" i="74" s="1"/>
  <c r="V42" i="75"/>
  <c r="V18" i="75" s="1"/>
  <c r="AU189" i="6"/>
  <c r="AK15" i="6"/>
  <c r="AS84" i="47"/>
  <c r="S42" i="75"/>
  <c r="S18" i="75" s="1"/>
  <c r="AS18" i="47"/>
  <c r="AU43" i="47"/>
  <c r="AS191" i="6"/>
  <c r="AK30" i="74"/>
  <c r="AT196" i="6"/>
  <c r="AS22" i="6"/>
  <c r="P65" i="48" s="1"/>
  <c r="P66" i="48" s="1"/>
  <c r="AJ37" i="74"/>
  <c r="L23" i="75" s="1"/>
  <c r="AK31" i="47"/>
  <c r="AT129" i="74"/>
  <c r="L24" i="75"/>
  <c r="AJ126" i="74" s="1"/>
  <c r="AK13" i="47"/>
  <c r="AK32" i="47"/>
  <c r="U42" i="75"/>
  <c r="U18" i="75" s="1"/>
  <c r="AU33" i="47"/>
  <c r="AS12" i="47"/>
  <c r="AU73" i="93"/>
  <c r="AS17" i="47"/>
  <c r="AH59" i="47"/>
  <c r="AH61" i="47" s="1"/>
  <c r="AQ9" i="47"/>
  <c r="M29" i="75"/>
  <c r="M15" i="75" s="1"/>
  <c r="AS9" i="47"/>
  <c r="AT17" i="6"/>
  <c r="AH22" i="9"/>
  <c r="AH24" i="9" s="1"/>
  <c r="AH64" i="47"/>
  <c r="AH84" i="47"/>
  <c r="AH90" i="47" s="1"/>
  <c r="AH92" i="47" s="1"/>
  <c r="AH97" i="47" s="1"/>
  <c r="W27" i="75"/>
  <c r="W13" i="75" s="1"/>
  <c r="AG287" i="5"/>
  <c r="AG286" i="5" s="1"/>
  <c r="AK38" i="5"/>
  <c r="M35" i="75"/>
  <c r="AT43" i="5"/>
  <c r="AT45" i="5" s="1"/>
  <c r="AT50" i="5" s="1"/>
  <c r="AT51" i="5" s="1"/>
  <c r="AJ18" i="74"/>
  <c r="L30" i="75" s="1"/>
  <c r="L17" i="75" s="1"/>
  <c r="L16" i="75" s="1"/>
  <c r="AT20" i="47"/>
  <c r="AR126" i="47"/>
  <c r="AR10" i="47"/>
  <c r="AN126" i="47"/>
  <c r="AN128" i="47" s="1"/>
  <c r="AN133" i="47" s="1"/>
  <c r="AP122" i="47"/>
  <c r="AP13" i="47"/>
  <c r="AU121" i="47"/>
  <c r="AT9" i="47"/>
  <c r="U12" i="75"/>
  <c r="AQ70" i="74"/>
  <c r="S56" i="75" s="1"/>
  <c r="W40" i="75"/>
  <c r="AQ130" i="74"/>
  <c r="AI9" i="47"/>
  <c r="M34" i="75"/>
  <c r="W65" i="75"/>
  <c r="U23" i="75"/>
  <c r="U11" i="75" s="1"/>
  <c r="AT33" i="74"/>
  <c r="V45" i="75" s="1"/>
  <c r="V19" i="75" s="1"/>
  <c r="W39" i="75"/>
  <c r="AT216" i="6"/>
  <c r="W26" i="75"/>
  <c r="AU128" i="74" s="1"/>
  <c r="AL128" i="74"/>
  <c r="K15" i="75"/>
  <c r="AK19" i="47"/>
  <c r="F10" i="75"/>
  <c r="Q23" i="75"/>
  <c r="AO125" i="74" s="1"/>
  <c r="AK36" i="47"/>
  <c r="AU36" i="47"/>
  <c r="AP31" i="47"/>
  <c r="AO34" i="20"/>
  <c r="O13" i="75"/>
  <c r="AJ62" i="74"/>
  <c r="AJ61" i="74" s="1"/>
  <c r="AC124" i="74"/>
  <c r="AR37" i="20"/>
  <c r="K57" i="75"/>
  <c r="M44" i="75"/>
  <c r="AS11" i="47"/>
  <c r="J42" i="75"/>
  <c r="J18" i="75" s="1"/>
  <c r="AQ131" i="74"/>
  <c r="AS287" i="5"/>
  <c r="AS286" i="5" s="1"/>
  <c r="M32" i="75"/>
  <c r="J15" i="75"/>
  <c r="AI65" i="103"/>
  <c r="AI64" i="103"/>
  <c r="AJ34" i="20"/>
  <c r="AK43" i="47"/>
  <c r="AK22" i="47"/>
  <c r="W36" i="75"/>
  <c r="AT11" i="47"/>
  <c r="AS20" i="47"/>
  <c r="AU32" i="47"/>
  <c r="AK189" i="6"/>
  <c r="AT17" i="47"/>
  <c r="AK15" i="47"/>
  <c r="AO12" i="18"/>
  <c r="AT110" i="18"/>
  <c r="AT111" i="18"/>
  <c r="AS199" i="18"/>
  <c r="AT194" i="18"/>
  <c r="AT200" i="18" s="1"/>
  <c r="AS201" i="18"/>
  <c r="AO200" i="18"/>
  <c r="AO201" i="18"/>
  <c r="AJ159" i="18"/>
  <c r="AJ158" i="18"/>
  <c r="AU39" i="47"/>
  <c r="W28" i="75"/>
  <c r="W14" i="75" s="1"/>
  <c r="S13" i="75"/>
  <c r="AT76" i="20"/>
  <c r="AT108" i="47"/>
  <c r="J13" i="75"/>
  <c r="AS216" i="6"/>
  <c r="AT18" i="47"/>
  <c r="AU11" i="74"/>
  <c r="AU10" i="74" s="1"/>
  <c r="U22" i="75"/>
  <c r="AQ33" i="74"/>
  <c r="AQ9" i="74" s="1"/>
  <c r="AQ128" i="74"/>
  <c r="W29" i="75"/>
  <c r="AU131" i="74" s="1"/>
  <c r="AR131" i="74"/>
  <c r="AU31" i="12"/>
  <c r="AK53" i="6"/>
  <c r="AT62" i="74"/>
  <c r="AT61" i="74" s="1"/>
  <c r="AS61" i="74"/>
  <c r="AN130" i="74"/>
  <c r="U14" i="75"/>
  <c r="J23" i="75"/>
  <c r="J11" i="75" s="1"/>
  <c r="I31" i="75"/>
  <c r="I23" i="75"/>
  <c r="AG125" i="74" s="1"/>
  <c r="C11" i="75"/>
  <c r="C10" i="75" s="1"/>
  <c r="AE125" i="74"/>
  <c r="AE124" i="74" s="1"/>
  <c r="I30" i="75"/>
  <c r="I17" i="75" s="1"/>
  <c r="I16" i="75" s="1"/>
  <c r="P30" i="75"/>
  <c r="P17" i="75" s="1"/>
  <c r="P16" i="75" s="1"/>
  <c r="AK30" i="47"/>
  <c r="P31" i="75"/>
  <c r="AK40" i="47"/>
  <c r="G57" i="75"/>
  <c r="AJ116" i="74"/>
  <c r="AJ119" i="74" s="1"/>
  <c r="AN70" i="74"/>
  <c r="AN61" i="74" s="1"/>
  <c r="M40" i="75"/>
  <c r="AK97" i="74"/>
  <c r="AK96" i="74" s="1"/>
  <c r="AU19" i="74"/>
  <c r="AU18" i="74" s="1"/>
  <c r="M39" i="75"/>
  <c r="AN35" i="74"/>
  <c r="T30" i="75"/>
  <c r="T17" i="75" s="1"/>
  <c r="T16" i="75" s="1"/>
  <c r="R29" i="75"/>
  <c r="R15" i="75" s="1"/>
  <c r="L12" i="75"/>
  <c r="AU31" i="47"/>
  <c r="AR130" i="74"/>
  <c r="AK78" i="20"/>
  <c r="AO78" i="20" s="1"/>
  <c r="AK39" i="47"/>
  <c r="V14" i="75"/>
  <c r="AK38" i="47"/>
  <c r="AR12" i="47"/>
  <c r="AT106" i="20"/>
  <c r="AU38" i="47"/>
  <c r="AU56" i="74"/>
  <c r="AK11" i="74"/>
  <c r="W25" i="75"/>
  <c r="AU127" i="74" s="1"/>
  <c r="AT10" i="47"/>
  <c r="AK63" i="74"/>
  <c r="AK62" i="74" s="1"/>
  <c r="AK18" i="47"/>
  <c r="AR108" i="47"/>
  <c r="AU102" i="47"/>
  <c r="AS292" i="5"/>
  <c r="AU63" i="74"/>
  <c r="AR9" i="47"/>
  <c r="M25" i="75"/>
  <c r="AK127" i="74" s="1"/>
  <c r="AU30" i="47"/>
  <c r="AK25" i="6"/>
  <c r="AK89" i="74" s="1"/>
  <c r="AI61" i="74"/>
  <c r="AK19" i="74"/>
  <c r="AK18" i="74" s="1"/>
  <c r="W51" i="75"/>
  <c r="AG84" i="47"/>
  <c r="AH15" i="56"/>
  <c r="AK17" i="47"/>
  <c r="AO10" i="56"/>
  <c r="AS10" i="56" s="1"/>
  <c r="U13" i="75"/>
  <c r="V23" i="75"/>
  <c r="AT36" i="74"/>
  <c r="AT35" i="74" s="1"/>
  <c r="T23" i="75"/>
  <c r="AR125" i="74" s="1"/>
  <c r="V15" i="75"/>
  <c r="AT131" i="74"/>
  <c r="H11" i="75"/>
  <c r="H10" i="75" s="1"/>
  <c r="AF125" i="74"/>
  <c r="AF124" i="74" s="1"/>
  <c r="AS64" i="47"/>
  <c r="AS134" i="6"/>
  <c r="K23" i="75"/>
  <c r="AK63" i="6"/>
  <c r="AK90" i="74" s="1"/>
  <c r="M50" i="75" s="1"/>
  <c r="AJ61" i="6"/>
  <c r="AK61" i="6" s="1"/>
  <c r="AJ90" i="74"/>
  <c r="L50" i="75" s="1"/>
  <c r="AR134" i="6"/>
  <c r="G10" i="75"/>
  <c r="AT11" i="18"/>
  <c r="AO12" i="56"/>
  <c r="AS12" i="56" s="1"/>
  <c r="AG82" i="6"/>
  <c r="AG84" i="6" s="1"/>
  <c r="AG89" i="6" s="1"/>
  <c r="AS82" i="6"/>
  <c r="AS84" i="6" s="1"/>
  <c r="AS89" i="6" s="1"/>
  <c r="AK12" i="12"/>
  <c r="AT27" i="20"/>
  <c r="AS71" i="20"/>
  <c r="AO20" i="18"/>
  <c r="AK26" i="18"/>
  <c r="AK27" i="18"/>
  <c r="AK25" i="18"/>
  <c r="AT181" i="18"/>
  <c r="AT183" i="18"/>
  <c r="AT182" i="18"/>
  <c r="AT86" i="18"/>
  <c r="AT87" i="18"/>
  <c r="AS8" i="18"/>
  <c r="AS62" i="18"/>
  <c r="AS61" i="18"/>
  <c r="AS63" i="18"/>
  <c r="AT56" i="18"/>
  <c r="AJ111" i="18"/>
  <c r="AJ110" i="18"/>
  <c r="AI199" i="18"/>
  <c r="AI201" i="18"/>
  <c r="AI200" i="18"/>
  <c r="AJ194" i="18"/>
  <c r="C16" i="98"/>
  <c r="G13" i="98"/>
  <c r="L16" i="98"/>
  <c r="H18" i="98"/>
  <c r="L18" i="98" s="1"/>
  <c r="O16" i="98"/>
  <c r="Q13" i="98"/>
  <c r="P16" i="98"/>
  <c r="C18" i="99"/>
  <c r="G16" i="99"/>
  <c r="M21" i="99"/>
  <c r="L13" i="99"/>
  <c r="H16" i="99"/>
  <c r="P19" i="99"/>
  <c r="P21" i="99" s="1"/>
  <c r="K18" i="99"/>
  <c r="O20" i="97"/>
  <c r="H20" i="97"/>
  <c r="L18" i="97"/>
  <c r="K42" i="97"/>
  <c r="P39" i="97"/>
  <c r="G16" i="97"/>
  <c r="C18" i="97"/>
  <c r="G42" i="97"/>
  <c r="C44" i="97"/>
  <c r="G44" i="97" s="1"/>
  <c r="K20" i="97"/>
  <c r="O41" i="97"/>
  <c r="M18" i="97"/>
  <c r="P16" i="97"/>
  <c r="L41" i="97"/>
  <c r="H42" i="97"/>
  <c r="M41" i="97"/>
  <c r="AU30" i="74"/>
  <c r="AG24" i="9"/>
  <c r="AU16" i="9"/>
  <c r="AQ22" i="9"/>
  <c r="AQ84" i="47"/>
  <c r="AM26" i="56"/>
  <c r="W44" i="75"/>
  <c r="AK82" i="74"/>
  <c r="AS46" i="9"/>
  <c r="AU82" i="74"/>
  <c r="AU41" i="9"/>
  <c r="AH37" i="56"/>
  <c r="AK56" i="74"/>
  <c r="M43" i="75"/>
  <c r="W43" i="75"/>
  <c r="AT22" i="9"/>
  <c r="AT84" i="47"/>
  <c r="AH26" i="56"/>
  <c r="AQ43" i="5"/>
  <c r="AQ292" i="5" s="1"/>
  <c r="AU38" i="5"/>
  <c r="AU71" i="74"/>
  <c r="AE185" i="5"/>
  <c r="AF185" i="5" s="1"/>
  <c r="AF183" i="5"/>
  <c r="T31" i="75"/>
  <c r="AQ17" i="5"/>
  <c r="AU15" i="5"/>
  <c r="AK45" i="74"/>
  <c r="AK44" i="74" s="1"/>
  <c r="AN16" i="56"/>
  <c r="J31" i="75"/>
  <c r="AH44" i="74"/>
  <c r="J30" i="75" s="1"/>
  <c r="J17" i="75" s="1"/>
  <c r="J16" i="75" s="1"/>
  <c r="AP25" i="56"/>
  <c r="AP36" i="56"/>
  <c r="V31" i="75"/>
  <c r="AJ45" i="5"/>
  <c r="AJ294" i="5" s="1"/>
  <c r="AK43" i="5"/>
  <c r="AS22" i="56"/>
  <c r="U31" i="75"/>
  <c r="AS44" i="74"/>
  <c r="U30" i="75" s="1"/>
  <c r="U17" i="75" s="1"/>
  <c r="U16" i="75" s="1"/>
  <c r="C56" i="75"/>
  <c r="C30" i="75"/>
  <c r="C17" i="75" s="1"/>
  <c r="C16" i="75" s="1"/>
  <c r="AA35" i="74"/>
  <c r="C21" i="75" s="1"/>
  <c r="AA120" i="74" s="1"/>
  <c r="AA121" i="74" s="1"/>
  <c r="AS50" i="5"/>
  <c r="V30" i="75"/>
  <c r="V17" i="75" s="1"/>
  <c r="V16" i="75" s="1"/>
  <c r="M41" i="75"/>
  <c r="AQ160" i="5"/>
  <c r="AU160" i="5" s="1"/>
  <c r="AU155" i="5"/>
  <c r="AN27" i="56"/>
  <c r="AQ233" i="5"/>
  <c r="AU233" i="5" s="1"/>
  <c r="AU228" i="5"/>
  <c r="S31" i="75"/>
  <c r="AQ44" i="74"/>
  <c r="S30" i="75" s="1"/>
  <c r="S17" i="75" s="1"/>
  <c r="S16" i="75" s="1"/>
  <c r="AK58" i="47"/>
  <c r="AH41" i="47"/>
  <c r="AI44" i="74"/>
  <c r="K30" i="75" s="1"/>
  <c r="K31" i="75"/>
  <c r="AI16" i="56"/>
  <c r="AK38" i="56"/>
  <c r="AT22" i="56"/>
  <c r="AK71" i="74"/>
  <c r="M58" i="75"/>
  <c r="AK33" i="56"/>
  <c r="AK22" i="56"/>
  <c r="AG17" i="5"/>
  <c r="AG292" i="5"/>
  <c r="AO44" i="74"/>
  <c r="Q31" i="75"/>
  <c r="Q56" i="75"/>
  <c r="AH22" i="5"/>
  <c r="AH299" i="5" s="1"/>
  <c r="AH294" i="5"/>
  <c r="AU250" i="5"/>
  <c r="AQ255" i="5"/>
  <c r="AU255" i="5" s="1"/>
  <c r="AC278" i="5"/>
  <c r="AC280" i="5" s="1"/>
  <c r="AI11" i="56"/>
  <c r="AM27" i="56"/>
  <c r="AM38" i="56"/>
  <c r="AI38" i="56"/>
  <c r="AU248" i="5"/>
  <c r="AJ27" i="56"/>
  <c r="AR292" i="5"/>
  <c r="AR17" i="5"/>
  <c r="AR70" i="74"/>
  <c r="T57" i="75"/>
  <c r="AL11" i="56"/>
  <c r="AN22" i="56"/>
  <c r="AU22" i="56" s="1"/>
  <c r="AT17" i="5"/>
  <c r="AP14" i="56"/>
  <c r="AD131" i="5"/>
  <c r="AI292" i="5"/>
  <c r="AI17" i="5"/>
  <c r="AO299" i="5"/>
  <c r="AP33" i="56"/>
  <c r="AP22" i="56"/>
  <c r="AQ287" i="5"/>
  <c r="AE292" i="5"/>
  <c r="AE294" i="5" s="1"/>
  <c r="AE299" i="5" s="1"/>
  <c r="AG52" i="47"/>
  <c r="AG54" i="47" s="1"/>
  <c r="AG59" i="47" s="1"/>
  <c r="AK47" i="47"/>
  <c r="AK52" i="47" s="1"/>
  <c r="AK54" i="47" s="1"/>
  <c r="AU45" i="74"/>
  <c r="W32" i="75"/>
  <c r="AP19" i="74"/>
  <c r="AP18" i="74" s="1"/>
  <c r="AM16" i="56"/>
  <c r="AQ277" i="5"/>
  <c r="AU277" i="5" s="1"/>
  <c r="AU272" i="5"/>
  <c r="AI155" i="5"/>
  <c r="AK153" i="5"/>
  <c r="AU47" i="47"/>
  <c r="AQ52" i="47"/>
  <c r="AQ54" i="47" s="1"/>
  <c r="AQ59" i="47" s="1"/>
  <c r="AQ61" i="47" s="1"/>
  <c r="AR82" i="6"/>
  <c r="AU77" i="6"/>
  <c r="AB125" i="74"/>
  <c r="AB124" i="74" s="1"/>
  <c r="AQ33" i="20"/>
  <c r="AQ30" i="20"/>
  <c r="AT189" i="18"/>
  <c r="AQ62" i="74"/>
  <c r="AJ134" i="6"/>
  <c r="AJ64" i="47"/>
  <c r="AI30" i="20"/>
  <c r="AJ30" i="20" s="1"/>
  <c r="AJ31" i="20"/>
  <c r="AJ191" i="6"/>
  <c r="AM92" i="6"/>
  <c r="AP90" i="6"/>
  <c r="AU37" i="74"/>
  <c r="W24" i="75"/>
  <c r="AU126" i="74" s="1"/>
  <c r="AJ82" i="6"/>
  <c r="AJ84" i="6" s="1"/>
  <c r="AK77" i="6"/>
  <c r="AB9" i="74"/>
  <c r="AK55" i="6"/>
  <c r="AG60" i="6"/>
  <c r="AK60" i="6" s="1"/>
  <c r="AU164" i="6"/>
  <c r="AT32" i="20"/>
  <c r="AR17" i="6"/>
  <c r="AP106" i="6"/>
  <c r="AL111" i="6"/>
  <c r="AP111" i="6" s="1"/>
  <c r="AI141" i="6"/>
  <c r="AR191" i="6"/>
  <c r="K49" i="75"/>
  <c r="AI88" i="74"/>
  <c r="K48" i="75" s="1"/>
  <c r="T22" i="75"/>
  <c r="AR35" i="74"/>
  <c r="AO62" i="74"/>
  <c r="AI12" i="56"/>
  <c r="AJ166" i="6"/>
  <c r="J22" i="75"/>
  <c r="AT62" i="20"/>
  <c r="AT36" i="20"/>
  <c r="S23" i="75"/>
  <c r="AQ125" i="74" s="1"/>
  <c r="AQ36" i="74"/>
  <c r="AM134" i="6"/>
  <c r="AM136" i="6" s="1"/>
  <c r="AM141" i="6" s="1"/>
  <c r="AP30" i="20"/>
  <c r="AP33" i="20"/>
  <c r="AP37" i="20" s="1"/>
  <c r="AT31" i="20"/>
  <c r="AG62" i="74"/>
  <c r="I49" i="75"/>
  <c r="AP71" i="20"/>
  <c r="AT65" i="20"/>
  <c r="AT71" i="20" s="1"/>
  <c r="AG93" i="74"/>
  <c r="M55" i="75"/>
  <c r="AU15" i="6"/>
  <c r="AA61" i="74"/>
  <c r="C48" i="75"/>
  <c r="AJ106" i="20"/>
  <c r="AK129" i="6"/>
  <c r="AG134" i="6"/>
  <c r="AG64" i="47"/>
  <c r="AQ22" i="6"/>
  <c r="AU214" i="6"/>
  <c r="AQ216" i="6"/>
  <c r="AT70" i="20"/>
  <c r="M27" i="75"/>
  <c r="M13" i="75" s="1"/>
  <c r="AQ60" i="6"/>
  <c r="AU60" i="6" s="1"/>
  <c r="AU55" i="6"/>
  <c r="J49" i="75"/>
  <c r="AG191" i="6"/>
  <c r="AQ71" i="20"/>
  <c r="AQ69" i="20"/>
  <c r="AT77" i="20"/>
  <c r="AQ78" i="20"/>
  <c r="AR216" i="6"/>
  <c r="AP38" i="20"/>
  <c r="AT35" i="20"/>
  <c r="AK17" i="6"/>
  <c r="AG22" i="6"/>
  <c r="AM13" i="56"/>
  <c r="AT36" i="12"/>
  <c r="AS36" i="12"/>
  <c r="AP12" i="47"/>
  <c r="AM9" i="47"/>
  <c r="AQ13" i="47"/>
  <c r="AG115" i="47"/>
  <c r="AK115" i="47" s="1"/>
  <c r="AK110" i="47"/>
  <c r="AP13" i="56"/>
  <c r="AU122" i="47"/>
  <c r="AQ126" i="47"/>
  <c r="AN35" i="56"/>
  <c r="AU35" i="56" s="1"/>
  <c r="AN24" i="56"/>
  <c r="AU24" i="56" s="1"/>
  <c r="AP121" i="47"/>
  <c r="AI10" i="56"/>
  <c r="AU86" i="19"/>
  <c r="AI126" i="47"/>
  <c r="AI10" i="47"/>
  <c r="AH133" i="47"/>
  <c r="AJ24" i="56"/>
  <c r="AT24" i="56" s="1"/>
  <c r="AJ35" i="56"/>
  <c r="AT35" i="56" s="1"/>
  <c r="AP24" i="56"/>
  <c r="AP35" i="56"/>
  <c r="AL123" i="47"/>
  <c r="AL11" i="47" s="1"/>
  <c r="AP9" i="12"/>
  <c r="AP71" i="115" s="1"/>
  <c r="AP68" i="115" s="1"/>
  <c r="AP79" i="115" s="1"/>
  <c r="AL12" i="12"/>
  <c r="AU7" i="19"/>
  <c r="AQ14" i="12"/>
  <c r="AU12" i="12"/>
  <c r="AK19" i="12"/>
  <c r="AK14" i="12"/>
  <c r="AU73" i="19"/>
  <c r="AU78" i="19"/>
  <c r="AU123" i="47"/>
  <c r="AO126" i="47"/>
  <c r="AO128" i="47" s="1"/>
  <c r="AO133" i="47" s="1"/>
  <c r="AO9" i="47"/>
  <c r="AS33" i="74"/>
  <c r="AN33" i="74"/>
  <c r="AI111" i="74"/>
  <c r="K71" i="75" s="1"/>
  <c r="AG33" i="74"/>
  <c r="AK33" i="74"/>
  <c r="M45" i="75" s="1"/>
  <c r="M19" i="75" s="1"/>
  <c r="AH33" i="74"/>
  <c r="C60" i="93"/>
  <c r="G58" i="93"/>
  <c r="AU78" i="93"/>
  <c r="AI34" i="56"/>
  <c r="AI23" i="56"/>
  <c r="E39" i="75"/>
  <c r="AC19" i="74"/>
  <c r="AC18" i="74" s="1"/>
  <c r="AC9" i="74" s="1"/>
  <c r="AO70" i="20"/>
  <c r="AK12" i="56"/>
  <c r="AK145" i="18"/>
  <c r="AO145" i="18" s="1"/>
  <c r="AK147" i="18"/>
  <c r="AO140" i="18"/>
  <c r="AK146" i="18"/>
  <c r="R62" i="75"/>
  <c r="AP164" i="6"/>
  <c r="AL166" i="6"/>
  <c r="R52" i="75"/>
  <c r="AE278" i="5"/>
  <c r="AE303" i="5"/>
  <c r="AF303" i="5" s="1"/>
  <c r="AL70" i="74"/>
  <c r="N57" i="75"/>
  <c r="AP32" i="47"/>
  <c r="AH196" i="6"/>
  <c r="AL22" i="5"/>
  <c r="AP17" i="5"/>
  <c r="AC228" i="5"/>
  <c r="AL22" i="6"/>
  <c r="AL69" i="20"/>
  <c r="AL71" i="20"/>
  <c r="N23" i="75"/>
  <c r="N11" i="75" s="1"/>
  <c r="AL36" i="74"/>
  <c r="AL250" i="5"/>
  <c r="AP248" i="5"/>
  <c r="AO15" i="56"/>
  <c r="AJ221" i="6"/>
  <c r="AK216" i="6"/>
  <c r="AP22" i="47"/>
  <c r="AN22" i="5"/>
  <c r="AL136" i="6"/>
  <c r="AM54" i="47"/>
  <c r="AP71" i="74"/>
  <c r="R58" i="75"/>
  <c r="AJ11" i="56"/>
  <c r="AT11" i="56" s="1"/>
  <c r="AM46" i="103"/>
  <c r="AQ8" i="103"/>
  <c r="AQ69" i="103" s="1"/>
  <c r="AM69" i="103"/>
  <c r="AP73" i="93"/>
  <c r="AB97" i="74"/>
  <c r="AB96" i="74" s="1"/>
  <c r="D61" i="75"/>
  <c r="AB44" i="74"/>
  <c r="D31" i="75"/>
  <c r="AM36" i="74"/>
  <c r="O23" i="75"/>
  <c r="AM125" i="74" s="1"/>
  <c r="AP228" i="5"/>
  <c r="AL233" i="5"/>
  <c r="AP233" i="5" s="1"/>
  <c r="AJ39" i="18"/>
  <c r="AJ38" i="18"/>
  <c r="AK11" i="56"/>
  <c r="AP153" i="5"/>
  <c r="AL155" i="5"/>
  <c r="R43" i="75"/>
  <c r="AP56" i="74"/>
  <c r="AJ22" i="5"/>
  <c r="R32" i="75"/>
  <c r="AP45" i="74"/>
  <c r="AH61" i="102"/>
  <c r="AO74" i="18"/>
  <c r="AO75" i="18"/>
  <c r="AL38" i="20"/>
  <c r="AL33" i="20"/>
  <c r="AO27" i="20"/>
  <c r="AO38" i="20" s="1"/>
  <c r="AJ16" i="56"/>
  <c r="AC141" i="5"/>
  <c r="AJ77" i="20"/>
  <c r="AG78" i="20"/>
  <c r="AO9" i="18"/>
  <c r="AK16" i="56"/>
  <c r="AK97" i="18"/>
  <c r="AK98" i="18"/>
  <c r="AO92" i="18"/>
  <c r="AK99" i="18"/>
  <c r="AO69" i="103"/>
  <c r="AP38" i="47"/>
  <c r="AM17" i="47"/>
  <c r="R65" i="75"/>
  <c r="AI78" i="20"/>
  <c r="AJ76" i="20"/>
  <c r="N13" i="75"/>
  <c r="AL129" i="74"/>
  <c r="AC71" i="74"/>
  <c r="AD286" i="5"/>
  <c r="AF286" i="5" s="1"/>
  <c r="AB302" i="5"/>
  <c r="AP38" i="5"/>
  <c r="AL43" i="5"/>
  <c r="AL287" i="5"/>
  <c r="AN69" i="103"/>
  <c r="AP214" i="6"/>
  <c r="AL216" i="6"/>
  <c r="G31" i="75"/>
  <c r="AE44" i="74"/>
  <c r="AM45" i="5"/>
  <c r="AM292" i="5"/>
  <c r="AC118" i="74"/>
  <c r="AC119" i="74" s="1"/>
  <c r="O49" i="75"/>
  <c r="AM62" i="74"/>
  <c r="AQ65" i="103"/>
  <c r="AQ64" i="103"/>
  <c r="AD285" i="5"/>
  <c r="AF285" i="5" s="1"/>
  <c r="AP82" i="74"/>
  <c r="AJ9" i="18"/>
  <c r="AM33" i="74"/>
  <c r="O45" i="75" s="1"/>
  <c r="O19" i="75" s="1"/>
  <c r="AL29" i="47"/>
  <c r="AL70" i="47"/>
  <c r="AM191" i="6"/>
  <c r="AP189" i="6"/>
  <c r="AP63" i="74"/>
  <c r="R50" i="75"/>
  <c r="AL62" i="74"/>
  <c r="AC155" i="5"/>
  <c r="AN29" i="9"/>
  <c r="AF37" i="20"/>
  <c r="AB70" i="74"/>
  <c r="AI71" i="20"/>
  <c r="AI69" i="20"/>
  <c r="AJ65" i="20"/>
  <c r="AJ71" i="20" s="1"/>
  <c r="AL33" i="74"/>
  <c r="N45" i="75" s="1"/>
  <c r="N19" i="75" s="1"/>
  <c r="AP31" i="12"/>
  <c r="AP36" i="12"/>
  <c r="AU41" i="47"/>
  <c r="AQ20" i="47"/>
  <c r="AM70" i="74"/>
  <c r="O57" i="75"/>
  <c r="AQ75" i="102"/>
  <c r="AM80" i="102"/>
  <c r="AD248" i="5"/>
  <c r="AD250" i="5" s="1"/>
  <c r="AD255" i="5" s="1"/>
  <c r="AD256" i="5" s="1"/>
  <c r="AD258" i="5" s="1"/>
  <c r="AH25" i="56"/>
  <c r="AH36" i="56"/>
  <c r="AM71" i="20"/>
  <c r="AM69" i="20"/>
  <c r="AK36" i="56"/>
  <c r="AK25" i="56"/>
  <c r="AH11" i="56"/>
  <c r="AL41" i="47"/>
  <c r="AP58" i="47"/>
  <c r="AO50" i="18"/>
  <c r="AO51" i="18"/>
  <c r="AM174" i="6"/>
  <c r="AP172" i="6"/>
  <c r="AM52" i="102"/>
  <c r="AQ46" i="102"/>
  <c r="AG116" i="74"/>
  <c r="AG119" i="74" s="1"/>
  <c r="AM38" i="20"/>
  <c r="AM33" i="20"/>
  <c r="J57" i="75"/>
  <c r="AH70" i="74"/>
  <c r="AC292" i="5"/>
  <c r="AO25" i="56"/>
  <c r="AO36" i="56"/>
  <c r="AI38" i="20"/>
  <c r="AI33" i="20"/>
  <c r="AJ27" i="20"/>
  <c r="AJ38" i="20" s="1"/>
  <c r="AH14" i="56"/>
  <c r="N71" i="75"/>
  <c r="AP97" i="74"/>
  <c r="AP96" i="74" s="1"/>
  <c r="AH12" i="56"/>
  <c r="AK30" i="20"/>
  <c r="AO30" i="20" s="1"/>
  <c r="AO31" i="20"/>
  <c r="AK33" i="20"/>
  <c r="AG78" i="93"/>
  <c r="AK73" i="93"/>
  <c r="AP7" i="93"/>
  <c r="R55" i="75"/>
  <c r="K22" i="75"/>
  <c r="AK34" i="56"/>
  <c r="AK23" i="56"/>
  <c r="AC250" i="5"/>
  <c r="AH171" i="6"/>
  <c r="AJ12" i="56"/>
  <c r="AK71" i="20"/>
  <c r="AK69" i="20"/>
  <c r="AO65" i="20"/>
  <c r="AG45" i="93"/>
  <c r="AK7" i="93"/>
  <c r="AP15" i="47"/>
  <c r="R27" i="75"/>
  <c r="AP129" i="74" s="1"/>
  <c r="I22" i="75"/>
  <c r="AG35" i="74"/>
  <c r="AP40" i="47"/>
  <c r="AM19" i="47"/>
  <c r="AL38" i="56"/>
  <c r="AL18" i="47"/>
  <c r="AP18" i="47" s="1"/>
  <c r="AP39" i="47"/>
  <c r="AI130" i="74"/>
  <c r="K14" i="75"/>
  <c r="AL60" i="6"/>
  <c r="AP60" i="6" s="1"/>
  <c r="AP55" i="6"/>
  <c r="AI8" i="18"/>
  <c r="AI14" i="18" s="1"/>
  <c r="AJ6" i="18"/>
  <c r="AD153" i="5"/>
  <c r="AD155" i="5" s="1"/>
  <c r="AD160" i="5" s="1"/>
  <c r="AD161" i="5" s="1"/>
  <c r="AD163" i="5" s="1"/>
  <c r="AD288" i="5"/>
  <c r="AL110" i="47"/>
  <c r="AP108" i="47"/>
  <c r="R36" i="75"/>
  <c r="AL82" i="6"/>
  <c r="AP77" i="6"/>
  <c r="AI25" i="56"/>
  <c r="AI36" i="56"/>
  <c r="AO111" i="18"/>
  <c r="AO110" i="18"/>
  <c r="P48" i="75"/>
  <c r="AS33" i="56"/>
  <c r="AU33" i="56"/>
  <c r="AT33" i="56"/>
  <c r="AP46" i="9"/>
  <c r="AL110" i="74"/>
  <c r="N70" i="75" s="1"/>
  <c r="O31" i="75"/>
  <c r="AM44" i="74"/>
  <c r="O30" i="75" s="1"/>
  <c r="O17" i="75" s="1"/>
  <c r="O16" i="75" s="1"/>
  <c r="AL8" i="103"/>
  <c r="AH46" i="103"/>
  <c r="AM23" i="56"/>
  <c r="AM34" i="56"/>
  <c r="I14" i="75"/>
  <c r="AG130" i="74"/>
  <c r="AL277" i="5"/>
  <c r="AP277" i="5" s="1"/>
  <c r="AP272" i="5"/>
  <c r="AP69" i="103"/>
  <c r="AD206" i="5"/>
  <c r="AF204" i="5"/>
  <c r="AO159" i="18"/>
  <c r="AO158" i="18"/>
  <c r="AL44" i="74"/>
  <c r="N30" i="75" s="1"/>
  <c r="N17" i="75" s="1"/>
  <c r="N16" i="75" s="1"/>
  <c r="N31" i="75"/>
  <c r="AI27" i="18"/>
  <c r="AI25" i="18"/>
  <c r="AJ20" i="18"/>
  <c r="AJ27" i="18" s="1"/>
  <c r="AF281" i="5"/>
  <c r="AN8" i="47" l="1"/>
  <c r="AJ145" i="18"/>
  <c r="AO61" i="18"/>
  <c r="AT99" i="18"/>
  <c r="AF13" i="18"/>
  <c r="AO62" i="18"/>
  <c r="AT26" i="18"/>
  <c r="AK14" i="18"/>
  <c r="AK13" i="18"/>
  <c r="AO13" i="18" s="1"/>
  <c r="AF55" i="74"/>
  <c r="H41" i="75" s="1"/>
  <c r="I67" i="48"/>
  <c r="I68" i="48" s="1"/>
  <c r="AP17" i="6"/>
  <c r="AI70" i="47"/>
  <c r="AI72" i="47" s="1"/>
  <c r="AO97" i="18"/>
  <c r="AP13" i="18"/>
  <c r="AP14" i="18"/>
  <c r="AF14" i="18"/>
  <c r="AJ25" i="18"/>
  <c r="AF79" i="74"/>
  <c r="AL59" i="102"/>
  <c r="AL61" i="102"/>
  <c r="AJ99" i="18"/>
  <c r="AJ97" i="18"/>
  <c r="AF27" i="74"/>
  <c r="H39" i="75" s="1"/>
  <c r="AN294" i="5"/>
  <c r="R12" i="75"/>
  <c r="P10" i="75"/>
  <c r="AP31" i="116"/>
  <c r="AT16" i="20"/>
  <c r="AU27" i="116"/>
  <c r="AU40" i="116"/>
  <c r="AU18" i="116"/>
  <c r="F65" i="75"/>
  <c r="AP18" i="116"/>
  <c r="AP44" i="116"/>
  <c r="R42" i="75"/>
  <c r="R18" i="75" s="1"/>
  <c r="AO37" i="47"/>
  <c r="AN125" i="74"/>
  <c r="AN124" i="74" s="1"/>
  <c r="AO8" i="18"/>
  <c r="AO15" i="18" s="1"/>
  <c r="AQ13" i="18"/>
  <c r="AR15" i="18"/>
  <c r="AF54" i="74"/>
  <c r="H40" i="75" s="1"/>
  <c r="AJ146" i="18"/>
  <c r="AD45" i="74"/>
  <c r="AD44" i="74" s="1"/>
  <c r="AO25" i="18"/>
  <c r="AN292" i="5"/>
  <c r="AK38" i="116"/>
  <c r="AK25" i="116"/>
  <c r="AI8" i="47"/>
  <c r="AI14" i="47" s="1"/>
  <c r="AI16" i="47" s="1"/>
  <c r="AI21" i="47" s="1"/>
  <c r="AI24" i="47" s="1"/>
  <c r="AI113" i="74" s="1"/>
  <c r="AR90" i="47"/>
  <c r="AR92" i="47" s="1"/>
  <c r="F40" i="75"/>
  <c r="AF290" i="5"/>
  <c r="AF118" i="74" s="1"/>
  <c r="AF119" i="74" s="1"/>
  <c r="AF16" i="115"/>
  <c r="AD46" i="115"/>
  <c r="AR14" i="18"/>
  <c r="AE10" i="116"/>
  <c r="R23" i="75"/>
  <c r="R11" i="75" s="1"/>
  <c r="AF23" i="74"/>
  <c r="H35" i="75" s="1"/>
  <c r="AH13" i="18"/>
  <c r="AH15" i="18"/>
  <c r="AP125" i="74"/>
  <c r="Q36" i="97"/>
  <c r="AT128" i="47"/>
  <c r="D60" i="19"/>
  <c r="G60" i="19" s="1"/>
  <c r="G58" i="19"/>
  <c r="AS24" i="9"/>
  <c r="AS29" i="9" s="1"/>
  <c r="M24" i="75"/>
  <c r="AK126" i="74" s="1"/>
  <c r="AS294" i="5"/>
  <c r="AS22" i="5"/>
  <c r="AD71" i="74"/>
  <c r="AD70" i="74" s="1"/>
  <c r="AT136" i="6"/>
  <c r="AT141" i="6" s="1"/>
  <c r="AN70" i="47"/>
  <c r="AN35" i="47" s="1"/>
  <c r="AN11" i="116"/>
  <c r="AT146" i="18"/>
  <c r="AF270" i="5"/>
  <c r="AU44" i="116"/>
  <c r="AF75" i="74"/>
  <c r="AD19" i="74"/>
  <c r="AD18" i="74" s="1"/>
  <c r="AD9" i="74" s="1"/>
  <c r="AR36" i="116"/>
  <c r="F36" i="75"/>
  <c r="AP189" i="115"/>
  <c r="AP150" i="115"/>
  <c r="AP149" i="115" s="1"/>
  <c r="AP158" i="115" s="1"/>
  <c r="AP151" i="115"/>
  <c r="AD76" i="115"/>
  <c r="AD77" i="115"/>
  <c r="AD153" i="115"/>
  <c r="AR10" i="116"/>
  <c r="AR23" i="116"/>
  <c r="AF24" i="74"/>
  <c r="AF52" i="115"/>
  <c r="AF46" i="115" s="1"/>
  <c r="F39" i="75"/>
  <c r="AP188" i="115"/>
  <c r="AP187" i="115" s="1"/>
  <c r="AB10" i="116"/>
  <c r="AP10" i="74"/>
  <c r="R22" i="75" s="1"/>
  <c r="AO124" i="74"/>
  <c r="AP11" i="116"/>
  <c r="AM36" i="115"/>
  <c r="AM35" i="115" s="1"/>
  <c r="H68" i="48"/>
  <c r="M12" i="75"/>
  <c r="AO9" i="74"/>
  <c r="AR116" i="74"/>
  <c r="AR119" i="74" s="1"/>
  <c r="AQ110" i="47"/>
  <c r="AQ115" i="47" s="1"/>
  <c r="AN116" i="74"/>
  <c r="AN119" i="74" s="1"/>
  <c r="AU17" i="116"/>
  <c r="AU19" i="47"/>
  <c r="AP10" i="47"/>
  <c r="AG61" i="74"/>
  <c r="AP112" i="115"/>
  <c r="AP111" i="115" s="1"/>
  <c r="AP120" i="115" s="1"/>
  <c r="AN14" i="18"/>
  <c r="AO35" i="47"/>
  <c r="AU10" i="116"/>
  <c r="AK31" i="116"/>
  <c r="AR54" i="47"/>
  <c r="AT25" i="18"/>
  <c r="AF166" i="115"/>
  <c r="AT8" i="18"/>
  <c r="AT15" i="18" s="1"/>
  <c r="AF226" i="5"/>
  <c r="AR110" i="74"/>
  <c r="T70" i="75" s="1"/>
  <c r="AS36" i="116"/>
  <c r="AF165" i="115"/>
  <c r="AJ27" i="114"/>
  <c r="AD152" i="115"/>
  <c r="AU31" i="116"/>
  <c r="AT29" i="47"/>
  <c r="AT54" i="47"/>
  <c r="AR19" i="12"/>
  <c r="AS54" i="47"/>
  <c r="AR128" i="47"/>
  <c r="AR133" i="47" s="1"/>
  <c r="AS115" i="47"/>
  <c r="AU52" i="47"/>
  <c r="AS90" i="47"/>
  <c r="AJ69" i="20"/>
  <c r="AT19" i="12"/>
  <c r="AR29" i="47"/>
  <c r="AK18" i="116"/>
  <c r="AK113" i="115"/>
  <c r="AP37" i="116"/>
  <c r="AP24" i="116"/>
  <c r="AG37" i="116"/>
  <c r="AG24" i="116"/>
  <c r="AG188" i="115"/>
  <c r="AG187" i="115" s="1"/>
  <c r="AD84" i="115"/>
  <c r="AD114" i="115"/>
  <c r="AD115" i="115"/>
  <c r="AC36" i="115"/>
  <c r="AC35" i="115" s="1"/>
  <c r="AC37" i="115"/>
  <c r="AF170" i="115"/>
  <c r="AP113" i="115"/>
  <c r="AB111" i="115"/>
  <c r="AB8" i="116" s="1"/>
  <c r="AB9" i="116"/>
  <c r="AN15" i="18"/>
  <c r="AR37" i="116"/>
  <c r="AE111" i="115"/>
  <c r="AE8" i="116" s="1"/>
  <c r="AE9" i="116"/>
  <c r="AE187" i="115"/>
  <c r="AE35" i="116"/>
  <c r="AE22" i="116"/>
  <c r="AP74" i="115"/>
  <c r="AP73" i="115" s="1"/>
  <c r="AP75" i="115"/>
  <c r="AJ13" i="87"/>
  <c r="AE23" i="116"/>
  <c r="AE36" i="116"/>
  <c r="N39" i="97"/>
  <c r="AM37" i="116"/>
  <c r="AM24" i="116"/>
  <c r="N18" i="97"/>
  <c r="AN188" i="115"/>
  <c r="AN187" i="115" s="1"/>
  <c r="AN24" i="116"/>
  <c r="AN37" i="116"/>
  <c r="AC189" i="115"/>
  <c r="AC188" i="115"/>
  <c r="AK191" i="6"/>
  <c r="AR25" i="47"/>
  <c r="AF85" i="115"/>
  <c r="AQ15" i="18"/>
  <c r="AC75" i="115"/>
  <c r="AC74" i="115"/>
  <c r="AC73" i="115" s="1"/>
  <c r="AD8" i="115"/>
  <c r="AD39" i="115"/>
  <c r="M18" i="98"/>
  <c r="AC113" i="115"/>
  <c r="AC112" i="115"/>
  <c r="AT25" i="47"/>
  <c r="AH36" i="116"/>
  <c r="AO188" i="115"/>
  <c r="AO187" i="115" s="1"/>
  <c r="AO24" i="116"/>
  <c r="AO37" i="116"/>
  <c r="AF9" i="115"/>
  <c r="AC150" i="115"/>
  <c r="AC149" i="115" s="1"/>
  <c r="AC151" i="115"/>
  <c r="AP43" i="116"/>
  <c r="AP30" i="116"/>
  <c r="Q16" i="99"/>
  <c r="AM188" i="115"/>
  <c r="AM187" i="115" s="1"/>
  <c r="AF93" i="115"/>
  <c r="AF169" i="115"/>
  <c r="AF131" i="115"/>
  <c r="AF153" i="115" s="1"/>
  <c r="AD190" i="115"/>
  <c r="AD191" i="115"/>
  <c r="AD160" i="115"/>
  <c r="AF17" i="115"/>
  <c r="AB187" i="115"/>
  <c r="AB35" i="116"/>
  <c r="AB22" i="116"/>
  <c r="AT21" i="20"/>
  <c r="AF161" i="115"/>
  <c r="AB23" i="116"/>
  <c r="AB36" i="116"/>
  <c r="AH36" i="115"/>
  <c r="AH35" i="115" s="1"/>
  <c r="AH34" i="116" s="1"/>
  <c r="AH37" i="116"/>
  <c r="AH24" i="116"/>
  <c r="AU22" i="47"/>
  <c r="AK188" i="115"/>
  <c r="AK187" i="115" s="1"/>
  <c r="AR24" i="116"/>
  <c r="AT78" i="20"/>
  <c r="AR11" i="116"/>
  <c r="AH10" i="116"/>
  <c r="AN35" i="115"/>
  <c r="AN9" i="116"/>
  <c r="AN10" i="116"/>
  <c r="AN36" i="116"/>
  <c r="AN23" i="116"/>
  <c r="AJ37" i="115"/>
  <c r="AJ36" i="115"/>
  <c r="AJ35" i="115" s="1"/>
  <c r="AO37" i="115"/>
  <c r="AO36" i="115"/>
  <c r="AS23" i="116"/>
  <c r="AP36" i="115"/>
  <c r="AP37" i="115"/>
  <c r="AL35" i="115"/>
  <c r="AL9" i="116"/>
  <c r="AL22" i="116"/>
  <c r="AL35" i="116"/>
  <c r="AM10" i="116"/>
  <c r="AM36" i="116"/>
  <c r="AM23" i="116"/>
  <c r="AL10" i="116"/>
  <c r="AL23" i="116"/>
  <c r="AL36" i="116"/>
  <c r="AH23" i="116"/>
  <c r="AT187" i="115"/>
  <c r="AT111" i="115"/>
  <c r="AQ24" i="116"/>
  <c r="AQ37" i="116"/>
  <c r="AK38" i="115"/>
  <c r="AK8" i="115"/>
  <c r="AK44" i="116"/>
  <c r="AR187" i="115"/>
  <c r="AR35" i="116"/>
  <c r="AR22" i="116"/>
  <c r="AI24" i="116"/>
  <c r="AI37" i="116"/>
  <c r="AK74" i="115"/>
  <c r="AK73" i="115" s="1"/>
  <c r="AK82" i="115" s="1"/>
  <c r="AK75" i="115"/>
  <c r="AH111" i="115"/>
  <c r="AJ11" i="116"/>
  <c r="AJ112" i="115"/>
  <c r="AK24" i="116"/>
  <c r="AK37" i="116"/>
  <c r="AQ188" i="115"/>
  <c r="AK189" i="115"/>
  <c r="AI36" i="115"/>
  <c r="AI22" i="116" s="1"/>
  <c r="AI37" i="115"/>
  <c r="AI10" i="116" s="1"/>
  <c r="AI187" i="115"/>
  <c r="AK151" i="115"/>
  <c r="AK150" i="115"/>
  <c r="AK149" i="115" s="1"/>
  <c r="AU188" i="115"/>
  <c r="AU189" i="115"/>
  <c r="AS24" i="116"/>
  <c r="AS37" i="116"/>
  <c r="AS188" i="115"/>
  <c r="AQ36" i="116"/>
  <c r="AQ23" i="116"/>
  <c r="AI11" i="116"/>
  <c r="AU39" i="116"/>
  <c r="AJ24" i="116"/>
  <c r="AJ37" i="116"/>
  <c r="AJ188" i="115"/>
  <c r="AS111" i="115"/>
  <c r="AS8" i="116" s="1"/>
  <c r="AS9" i="116"/>
  <c r="AU26" i="116"/>
  <c r="AT37" i="115"/>
  <c r="AT10" i="116" s="1"/>
  <c r="AT36" i="115"/>
  <c r="AT35" i="115" s="1"/>
  <c r="AR111" i="115"/>
  <c r="AR8" i="116" s="1"/>
  <c r="AR9" i="116"/>
  <c r="AQ111" i="115"/>
  <c r="AQ8" i="116" s="1"/>
  <c r="AQ9" i="116"/>
  <c r="AG120" i="115"/>
  <c r="AS10" i="116"/>
  <c r="AU19" i="115"/>
  <c r="AU40" i="115" s="1"/>
  <c r="AU24" i="116" s="1"/>
  <c r="AT24" i="116"/>
  <c r="AT37" i="116"/>
  <c r="AK12" i="116" a="1"/>
  <c r="AK12" i="116" s="1"/>
  <c r="AK95" i="115"/>
  <c r="AK116" i="115" s="1"/>
  <c r="AK11" i="116" s="1"/>
  <c r="AU151" i="115"/>
  <c r="AU150" i="115"/>
  <c r="AU149" i="115" s="1"/>
  <c r="AU112" i="115"/>
  <c r="AG36" i="115"/>
  <c r="AG37" i="115"/>
  <c r="AU30" i="116"/>
  <c r="AU43" i="116"/>
  <c r="AU75" i="115"/>
  <c r="AU74" i="115"/>
  <c r="AU73" i="115" s="1"/>
  <c r="K45" i="75"/>
  <c r="K19" i="75" s="1"/>
  <c r="AU45" i="93"/>
  <c r="Q16" i="97"/>
  <c r="AT69" i="20"/>
  <c r="AJ16" i="87"/>
  <c r="AJ63" i="18"/>
  <c r="AJ199" i="18"/>
  <c r="AG15" i="18"/>
  <c r="AG13" i="18"/>
  <c r="AG14" i="18"/>
  <c r="AT34" i="114"/>
  <c r="AO27" i="114"/>
  <c r="AO30" i="114"/>
  <c r="AK40" i="114"/>
  <c r="AP84" i="47"/>
  <c r="AP22" i="9"/>
  <c r="AQ110" i="74"/>
  <c r="S70" i="75" s="1"/>
  <c r="AO8" i="47"/>
  <c r="AD292" i="5"/>
  <c r="AD294" i="5" s="1"/>
  <c r="AD299" i="5" s="1"/>
  <c r="AZ61" i="47"/>
  <c r="AK286" i="5"/>
  <c r="AP59" i="47"/>
  <c r="AP61" i="47" s="1"/>
  <c r="AT53" i="5"/>
  <c r="AT302" i="5" s="1"/>
  <c r="AJ132" i="74"/>
  <c r="AT292" i="5"/>
  <c r="AU292" i="5" s="1"/>
  <c r="AJ9" i="74"/>
  <c r="AZ35" i="47"/>
  <c r="AW59" i="47"/>
  <c r="AW37" i="47"/>
  <c r="AW14" i="47"/>
  <c r="AZ9" i="47"/>
  <c r="AX22" i="47"/>
  <c r="AZ43" i="47"/>
  <c r="AZ17" i="47"/>
  <c r="AV121" i="74"/>
  <c r="AV114" i="74"/>
  <c r="AR70" i="47"/>
  <c r="AQ116" i="74"/>
  <c r="AQ119" i="74" s="1"/>
  <c r="AM35" i="47"/>
  <c r="AU64" i="47"/>
  <c r="AM29" i="47"/>
  <c r="AM8" i="47" s="1"/>
  <c r="AM14" i="47" s="1"/>
  <c r="AM16" i="47" s="1"/>
  <c r="AM21" i="47" s="1"/>
  <c r="AP64" i="47"/>
  <c r="AS125" i="74"/>
  <c r="AS124" i="74" s="1"/>
  <c r="AQ29" i="47"/>
  <c r="AU129" i="74"/>
  <c r="Q11" i="75"/>
  <c r="Q10" i="75" s="1"/>
  <c r="R14" i="75"/>
  <c r="AU15" i="47"/>
  <c r="AP134" i="6"/>
  <c r="AM124" i="74"/>
  <c r="AJ36" i="74"/>
  <c r="L22" i="75" s="1"/>
  <c r="AK130" i="74"/>
  <c r="AT30" i="114"/>
  <c r="AS40" i="114"/>
  <c r="AT27" i="114"/>
  <c r="AJ40" i="114"/>
  <c r="AK11" i="47"/>
  <c r="AK116" i="74" s="1"/>
  <c r="AK119" i="74" s="1"/>
  <c r="M23" i="75"/>
  <c r="M11" i="75" s="1"/>
  <c r="AS196" i="6"/>
  <c r="AT22" i="6"/>
  <c r="AK22" i="9"/>
  <c r="M42" i="75"/>
  <c r="M18" i="75" s="1"/>
  <c r="AU17" i="6"/>
  <c r="AK131" i="74"/>
  <c r="AK287" i="5"/>
  <c r="AU13" i="47"/>
  <c r="AH70" i="47"/>
  <c r="AH29" i="47"/>
  <c r="AH8" i="47" s="1"/>
  <c r="AH14" i="47" s="1"/>
  <c r="AH16" i="47" s="1"/>
  <c r="P56" i="75"/>
  <c r="AU18" i="47"/>
  <c r="AU10" i="47"/>
  <c r="AT116" i="74"/>
  <c r="AT119" i="74" s="1"/>
  <c r="AU17" i="47"/>
  <c r="D57" i="75"/>
  <c r="AT110" i="47"/>
  <c r="AK9" i="47"/>
  <c r="S45" i="75"/>
  <c r="S19" i="75" s="1"/>
  <c r="W12" i="75"/>
  <c r="AT221" i="6"/>
  <c r="AS116" i="74"/>
  <c r="AS119" i="74" s="1"/>
  <c r="AG132" i="74"/>
  <c r="AT9" i="74"/>
  <c r="V21" i="75" s="1"/>
  <c r="I11" i="75"/>
  <c r="I10" i="75" s="1"/>
  <c r="C9" i="75"/>
  <c r="AA114" i="74" s="1"/>
  <c r="AU20" i="47"/>
  <c r="AU11" i="47"/>
  <c r="J10" i="75"/>
  <c r="AU130" i="74"/>
  <c r="W15" i="75"/>
  <c r="AS221" i="6"/>
  <c r="AT201" i="18"/>
  <c r="AT199" i="18"/>
  <c r="AH125" i="74"/>
  <c r="AH124" i="74" s="1"/>
  <c r="AR124" i="74"/>
  <c r="M30" i="75"/>
  <c r="M17" i="75" s="1"/>
  <c r="M16" i="75" s="1"/>
  <c r="W42" i="75"/>
  <c r="W18" i="75" s="1"/>
  <c r="AP131" i="74"/>
  <c r="AT132" i="74"/>
  <c r="AN132" i="74"/>
  <c r="AI35" i="74"/>
  <c r="K21" i="75" s="1"/>
  <c r="AI120" i="74" s="1"/>
  <c r="AU12" i="47"/>
  <c r="AL125" i="74"/>
  <c r="AL124" i="74" s="1"/>
  <c r="AU62" i="74"/>
  <c r="AU9" i="47"/>
  <c r="AK10" i="74"/>
  <c r="AK9" i="74" s="1"/>
  <c r="AG124" i="74"/>
  <c r="AH111" i="74"/>
  <c r="J71" i="75" s="1"/>
  <c r="AS132" i="74"/>
  <c r="U10" i="75"/>
  <c r="AS35" i="74"/>
  <c r="AK292" i="5"/>
  <c r="M49" i="75"/>
  <c r="V22" i="75"/>
  <c r="AU134" i="6"/>
  <c r="AK59" i="47"/>
  <c r="AK61" i="47" s="1"/>
  <c r="AU108" i="47"/>
  <c r="AR110" i="47"/>
  <c r="M31" i="75"/>
  <c r="AL15" i="56"/>
  <c r="AL26" i="56"/>
  <c r="AL37" i="56"/>
  <c r="AG90" i="47"/>
  <c r="AK84" i="47"/>
  <c r="AK35" i="74"/>
  <c r="AS70" i="47"/>
  <c r="AS29" i="47"/>
  <c r="AT12" i="56"/>
  <c r="T11" i="75"/>
  <c r="T10" i="75" s="1"/>
  <c r="AR136" i="6"/>
  <c r="O11" i="75"/>
  <c r="O10" i="75" s="1"/>
  <c r="O9" i="75" s="1"/>
  <c r="V11" i="75"/>
  <c r="V10" i="75" s="1"/>
  <c r="V9" i="75" s="1"/>
  <c r="AT125" i="74"/>
  <c r="AT124" i="74" s="1"/>
  <c r="AO69" i="20"/>
  <c r="AN12" i="56"/>
  <c r="AU12" i="56" s="1"/>
  <c r="AS171" i="6"/>
  <c r="AI125" i="74"/>
  <c r="AI124" i="74" s="1"/>
  <c r="K11" i="75"/>
  <c r="K10" i="75" s="1"/>
  <c r="AS136" i="6"/>
  <c r="AO23" i="56"/>
  <c r="AS23" i="56" s="1"/>
  <c r="AO34" i="56"/>
  <c r="AS34" i="56" s="1"/>
  <c r="AN14" i="47"/>
  <c r="AN16" i="47" s="1"/>
  <c r="AJ200" i="18"/>
  <c r="AJ201" i="18"/>
  <c r="AT63" i="18"/>
  <c r="AT62" i="18"/>
  <c r="AS13" i="18"/>
  <c r="AS14" i="18"/>
  <c r="AS15" i="18"/>
  <c r="AO26" i="18"/>
  <c r="AO27" i="18"/>
  <c r="AT61" i="18"/>
  <c r="AQ132" i="74"/>
  <c r="AA132" i="74"/>
  <c r="AA123" i="74" s="1"/>
  <c r="P18" i="98"/>
  <c r="O18" i="98"/>
  <c r="Q16" i="98"/>
  <c r="G16" i="98"/>
  <c r="C18" i="98"/>
  <c r="G18" i="98" s="1"/>
  <c r="H18" i="99"/>
  <c r="L16" i="99"/>
  <c r="K19" i="99"/>
  <c r="K21" i="99" s="1"/>
  <c r="C19" i="99"/>
  <c r="G18" i="99"/>
  <c r="H44" i="97"/>
  <c r="L42" i="97"/>
  <c r="G18" i="97"/>
  <c r="C20" i="97"/>
  <c r="M20" i="97"/>
  <c r="K21" i="97"/>
  <c r="H21" i="97"/>
  <c r="L20" i="97"/>
  <c r="M42" i="97"/>
  <c r="P18" i="97"/>
  <c r="P41" i="97"/>
  <c r="K44" i="97"/>
  <c r="O42" i="97"/>
  <c r="AO29" i="9"/>
  <c r="AS110" i="74"/>
  <c r="U70" i="75" s="1"/>
  <c r="AU46" i="9"/>
  <c r="AP9" i="47"/>
  <c r="AT90" i="47"/>
  <c r="AH29" i="9"/>
  <c r="AQ90" i="47"/>
  <c r="AU84" i="47"/>
  <c r="AG29" i="9"/>
  <c r="AK24" i="9"/>
  <c r="AI109" i="74"/>
  <c r="AR29" i="9"/>
  <c r="AQ24" i="9"/>
  <c r="AU22" i="9"/>
  <c r="AJ29" i="9"/>
  <c r="AT24" i="9"/>
  <c r="Q30" i="75"/>
  <c r="AO35" i="74"/>
  <c r="AG22" i="5"/>
  <c r="AG299" i="5" s="1"/>
  <c r="AG294" i="5"/>
  <c r="AS51" i="5"/>
  <c r="AS53" i="5"/>
  <c r="AI160" i="5"/>
  <c r="AK160" i="5" s="1"/>
  <c r="AK155" i="5"/>
  <c r="AU70" i="74"/>
  <c r="AI14" i="56"/>
  <c r="AU44" i="74"/>
  <c r="W30" i="75" s="1"/>
  <c r="W17" i="75" s="1"/>
  <c r="W31" i="75"/>
  <c r="AJ25" i="56"/>
  <c r="AT25" i="56" s="1"/>
  <c r="AJ36" i="56"/>
  <c r="AQ22" i="5"/>
  <c r="AU17" i="5"/>
  <c r="AU43" i="5"/>
  <c r="AQ45" i="5"/>
  <c r="AU287" i="5"/>
  <c r="AQ286" i="5"/>
  <c r="AU286" i="5" s="1"/>
  <c r="AI132" i="74"/>
  <c r="K17" i="75"/>
  <c r="K16" i="75" s="1"/>
  <c r="AL22" i="56"/>
  <c r="AL33" i="56"/>
  <c r="AM25" i="56"/>
  <c r="AM36" i="56"/>
  <c r="AH35" i="74"/>
  <c r="AI22" i="5"/>
  <c r="AI294" i="5"/>
  <c r="T56" i="75"/>
  <c r="AR132" i="74"/>
  <c r="AK41" i="47"/>
  <c r="AH20" i="47"/>
  <c r="AK20" i="47" s="1"/>
  <c r="AR61" i="74"/>
  <c r="AK70" i="74"/>
  <c r="M57" i="75"/>
  <c r="AK45" i="5"/>
  <c r="AJ50" i="5"/>
  <c r="AK50" i="5" s="1"/>
  <c r="E31" i="75"/>
  <c r="AD277" i="5"/>
  <c r="AF272" i="5"/>
  <c r="AM14" i="56"/>
  <c r="AD133" i="5"/>
  <c r="AF131" i="5"/>
  <c r="AN25" i="56"/>
  <c r="AU25" i="56" s="1"/>
  <c r="AN36" i="56"/>
  <c r="AU36" i="56" s="1"/>
  <c r="AT98" i="74"/>
  <c r="AT300" i="5"/>
  <c r="AL16" i="56"/>
  <c r="AT294" i="5"/>
  <c r="AT22" i="5"/>
  <c r="AR294" i="5"/>
  <c r="AR22" i="5"/>
  <c r="AL27" i="56"/>
  <c r="AQ124" i="74"/>
  <c r="AK22" i="6"/>
  <c r="F65" i="48"/>
  <c r="F66" i="48" s="1"/>
  <c r="F68" i="48" s="1"/>
  <c r="AT171" i="6"/>
  <c r="AO61" i="74"/>
  <c r="AJ78" i="20"/>
  <c r="AR171" i="6"/>
  <c r="AJ171" i="6"/>
  <c r="AK171" i="6" s="1"/>
  <c r="AQ23" i="6"/>
  <c r="N65" i="48"/>
  <c r="N66" i="48" s="1"/>
  <c r="I53" i="75"/>
  <c r="AG88" i="74"/>
  <c r="I48" i="75" s="1"/>
  <c r="AK82" i="6"/>
  <c r="AO23" i="6"/>
  <c r="AO25" i="6" s="1"/>
  <c r="AO89" i="74" s="1"/>
  <c r="M65" i="48"/>
  <c r="M66" i="48" s="1"/>
  <c r="AK166" i="6"/>
  <c r="AT38" i="20"/>
  <c r="AG70" i="47"/>
  <c r="AG29" i="47"/>
  <c r="AK64" i="47"/>
  <c r="AR196" i="6"/>
  <c r="AU191" i="6"/>
  <c r="AJ89" i="6"/>
  <c r="AK89" i="6" s="1"/>
  <c r="AK84" i="6"/>
  <c r="AM91" i="74"/>
  <c r="O51" i="75" s="1"/>
  <c r="AP92" i="6"/>
  <c r="AP91" i="74" s="1"/>
  <c r="R51" i="75" s="1"/>
  <c r="AR84" i="6"/>
  <c r="AU82" i="6"/>
  <c r="AG196" i="6"/>
  <c r="AT72" i="47"/>
  <c r="AT35" i="47"/>
  <c r="AQ72" i="47"/>
  <c r="AQ35" i="47"/>
  <c r="AR221" i="6"/>
  <c r="AG136" i="6"/>
  <c r="AK134" i="6"/>
  <c r="AJ196" i="6"/>
  <c r="AK129" i="74"/>
  <c r="S22" i="75"/>
  <c r="AQ35" i="74"/>
  <c r="S21" i="75" s="1"/>
  <c r="AJ29" i="47"/>
  <c r="AJ8" i="47" s="1"/>
  <c r="AJ14" i="47" s="1"/>
  <c r="AJ16" i="47" s="1"/>
  <c r="AJ21" i="47" s="1"/>
  <c r="AJ24" i="47" s="1"/>
  <c r="AJ70" i="47"/>
  <c r="AQ61" i="74"/>
  <c r="AU36" i="74"/>
  <c r="W23" i="75"/>
  <c r="AQ37" i="20"/>
  <c r="AQ39" i="20"/>
  <c r="AP39" i="20"/>
  <c r="AT33" i="20"/>
  <c r="AT39" i="20" s="1"/>
  <c r="AN34" i="56"/>
  <c r="AN23" i="56"/>
  <c r="AR22" i="6"/>
  <c r="AJ136" i="6"/>
  <c r="S11" i="75"/>
  <c r="S10" i="75" s="1"/>
  <c r="AQ221" i="6"/>
  <c r="AU216" i="6"/>
  <c r="AT30" i="20"/>
  <c r="AQ171" i="6"/>
  <c r="AU166" i="6"/>
  <c r="AQ141" i="6"/>
  <c r="AU36" i="12"/>
  <c r="AO79" i="47"/>
  <c r="AO44" i="47" s="1"/>
  <c r="AO42" i="47"/>
  <c r="AP17" i="47"/>
  <c r="AK10" i="47"/>
  <c r="AP19" i="47"/>
  <c r="AU88" i="19"/>
  <c r="AL35" i="56"/>
  <c r="AL24" i="56"/>
  <c r="AQ19" i="12"/>
  <c r="AU14" i="12"/>
  <c r="AI128" i="47"/>
  <c r="AK126" i="47"/>
  <c r="AQ128" i="47"/>
  <c r="AU126" i="47"/>
  <c r="AP123" i="47"/>
  <c r="AL126" i="47"/>
  <c r="AN13" i="56"/>
  <c r="AU13" i="56" s="1"/>
  <c r="AU45" i="19"/>
  <c r="AP32" i="56"/>
  <c r="AP21" i="56"/>
  <c r="AL14" i="12"/>
  <c r="AP12" i="12"/>
  <c r="AM35" i="56"/>
  <c r="AM24" i="56"/>
  <c r="AP10" i="56"/>
  <c r="AG9" i="74"/>
  <c r="I21" i="75" s="1"/>
  <c r="AG120" i="74" s="1"/>
  <c r="I45" i="75"/>
  <c r="I19" i="75" s="1"/>
  <c r="P45" i="75"/>
  <c r="P19" i="75" s="1"/>
  <c r="AN9" i="74"/>
  <c r="P21" i="75" s="1"/>
  <c r="AS9" i="74"/>
  <c r="U45" i="75"/>
  <c r="U19" i="75" s="1"/>
  <c r="J45" i="75"/>
  <c r="J19" i="75" s="1"/>
  <c r="AH9" i="74"/>
  <c r="AM9" i="74"/>
  <c r="G60" i="93"/>
  <c r="AR33" i="74"/>
  <c r="AU86" i="93"/>
  <c r="AQ46" i="103"/>
  <c r="AM52" i="103"/>
  <c r="AQ52" i="103" s="1"/>
  <c r="AQ36" i="56"/>
  <c r="AL171" i="6"/>
  <c r="AP171" i="6" s="1"/>
  <c r="AP166" i="6"/>
  <c r="AF288" i="5"/>
  <c r="AL8" i="47"/>
  <c r="AM109" i="74"/>
  <c r="AD102" i="74"/>
  <c r="F62" i="75" s="1"/>
  <c r="AC294" i="5"/>
  <c r="AF153" i="5"/>
  <c r="R13" i="75"/>
  <c r="AC70" i="74"/>
  <c r="AK14" i="56"/>
  <c r="AC35" i="74"/>
  <c r="E21" i="75" s="1"/>
  <c r="AC120" i="74" s="1"/>
  <c r="AC121" i="74" s="1"/>
  <c r="E30" i="75"/>
  <c r="E17" i="75" s="1"/>
  <c r="E16" i="75" s="1"/>
  <c r="E9" i="75" s="1"/>
  <c r="AC114" i="74" s="1"/>
  <c r="AL160" i="5"/>
  <c r="AP160" i="5" s="1"/>
  <c r="AP155" i="5"/>
  <c r="AM59" i="47"/>
  <c r="AM37" i="47"/>
  <c r="AL255" i="5"/>
  <c r="AP255" i="5" s="1"/>
  <c r="AP250" i="5"/>
  <c r="AH197" i="6"/>
  <c r="AS36" i="56"/>
  <c r="AT36" i="56"/>
  <c r="AM37" i="20"/>
  <c r="AM39" i="20"/>
  <c r="AD106" i="74"/>
  <c r="F66" i="75" s="1"/>
  <c r="AB61" i="74"/>
  <c r="D56" i="75"/>
  <c r="AC160" i="5"/>
  <c r="AF155" i="5"/>
  <c r="AO147" i="18"/>
  <c r="AO146" i="18"/>
  <c r="AI39" i="20"/>
  <c r="AI37" i="20"/>
  <c r="AJ37" i="20" s="1"/>
  <c r="AJ33" i="20"/>
  <c r="AJ39" i="20" s="1"/>
  <c r="AJ125" i="74"/>
  <c r="AJ124" i="74" s="1"/>
  <c r="L11" i="75"/>
  <c r="L10" i="75" s="1"/>
  <c r="L9" i="75" s="1"/>
  <c r="AQ80" i="102"/>
  <c r="AM88" i="102"/>
  <c r="AL46" i="103"/>
  <c r="AH52" i="103"/>
  <c r="AK78" i="93"/>
  <c r="AG86" i="93"/>
  <c r="AG61" i="47"/>
  <c r="AK39" i="20"/>
  <c r="AO33" i="20"/>
  <c r="AO39" i="20" s="1"/>
  <c r="AK37" i="20"/>
  <c r="AS25" i="56"/>
  <c r="AH132" i="74"/>
  <c r="J56" i="75"/>
  <c r="AL221" i="6"/>
  <c r="AP216" i="6"/>
  <c r="AL39" i="20"/>
  <c r="AL37" i="20"/>
  <c r="AN299" i="5"/>
  <c r="AL61" i="74"/>
  <c r="AM35" i="74"/>
  <c r="O22" i="75"/>
  <c r="AB35" i="74"/>
  <c r="D21" i="75" s="1"/>
  <c r="AB120" i="74" s="1"/>
  <c r="AB121" i="74" s="1"/>
  <c r="D30" i="75"/>
  <c r="D17" i="75" s="1"/>
  <c r="D16" i="75" s="1"/>
  <c r="D9" i="75" s="1"/>
  <c r="AB114" i="74" s="1"/>
  <c r="AK45" i="93"/>
  <c r="AG51" i="93"/>
  <c r="AF248" i="5"/>
  <c r="AK32" i="56"/>
  <c r="AK21" i="56"/>
  <c r="AM59" i="102"/>
  <c r="AQ52" i="102"/>
  <c r="AP62" i="74"/>
  <c r="AI21" i="56"/>
  <c r="AI32" i="56"/>
  <c r="AP110" i="74"/>
  <c r="R70" i="75" s="1"/>
  <c r="AP82" i="6"/>
  <c r="AL84" i="6"/>
  <c r="AF250" i="5"/>
  <c r="AC255" i="5"/>
  <c r="AP174" i="6"/>
  <c r="AP93" i="74" s="1"/>
  <c r="R53" i="75" s="1"/>
  <c r="AM93" i="74"/>
  <c r="AM132" i="74"/>
  <c r="O56" i="75"/>
  <c r="N10" i="75"/>
  <c r="N9" i="75" s="1"/>
  <c r="AJ10" i="56"/>
  <c r="AT10" i="56" s="1"/>
  <c r="AO14" i="56"/>
  <c r="AP24" i="9"/>
  <c r="AL29" i="9"/>
  <c r="AH61" i="74"/>
  <c r="AH10" i="56"/>
  <c r="AP33" i="74"/>
  <c r="R45" i="75" s="1"/>
  <c r="R19" i="75" s="1"/>
  <c r="AN109" i="74"/>
  <c r="AM196" i="6"/>
  <c r="AP191" i="6"/>
  <c r="R31" i="75"/>
  <c r="AP44" i="74"/>
  <c r="R30" i="75" s="1"/>
  <c r="R17" i="75" s="1"/>
  <c r="R16" i="75" s="1"/>
  <c r="AP78" i="93"/>
  <c r="AP22" i="5"/>
  <c r="AL36" i="56"/>
  <c r="AL9" i="74"/>
  <c r="AL92" i="47"/>
  <c r="AP90" i="47"/>
  <c r="AM61" i="74"/>
  <c r="AM50" i="5"/>
  <c r="AM299" i="5" s="1"/>
  <c r="AM294" i="5"/>
  <c r="AE35" i="74"/>
  <c r="G21" i="75" s="1"/>
  <c r="AE120" i="74" s="1"/>
  <c r="AE121" i="74" s="1"/>
  <c r="G30" i="75"/>
  <c r="AP287" i="5"/>
  <c r="AL286" i="5"/>
  <c r="AP286" i="5" s="1"/>
  <c r="AC101" i="74"/>
  <c r="N56" i="75"/>
  <c r="AL132" i="74"/>
  <c r="AP45" i="93"/>
  <c r="AK10" i="56"/>
  <c r="AL141" i="6"/>
  <c r="AP141" i="6" s="1"/>
  <c r="AP136" i="6"/>
  <c r="J65" i="48"/>
  <c r="J66" i="48" s="1"/>
  <c r="AL23" i="6"/>
  <c r="AP22" i="6"/>
  <c r="AL115" i="47"/>
  <c r="AP115" i="47" s="1"/>
  <c r="AP110" i="47"/>
  <c r="AH34" i="56"/>
  <c r="AH23" i="56"/>
  <c r="AL20" i="47"/>
  <c r="AP41" i="47"/>
  <c r="AL72" i="47"/>
  <c r="AL35" i="47"/>
  <c r="AP43" i="5"/>
  <c r="AL45" i="5"/>
  <c r="AL292" i="5"/>
  <c r="AM32" i="56"/>
  <c r="AM22" i="56"/>
  <c r="AM33" i="56"/>
  <c r="AM11" i="56"/>
  <c r="AO98" i="18"/>
  <c r="AO99" i="18"/>
  <c r="AK221" i="6"/>
  <c r="AL35" i="74"/>
  <c r="N22" i="75"/>
  <c r="AL116" i="74"/>
  <c r="AL119" i="74" s="1"/>
  <c r="AP11" i="47"/>
  <c r="AE280" i="5"/>
  <c r="AE302" i="5" s="1"/>
  <c r="AE300" i="5"/>
  <c r="AL14" i="56"/>
  <c r="AD211" i="5"/>
  <c r="AF206" i="5"/>
  <c r="AL23" i="56"/>
  <c r="AI13" i="18"/>
  <c r="AJ8" i="18"/>
  <c r="AJ15" i="18" s="1"/>
  <c r="AI15" i="18"/>
  <c r="AM12" i="56"/>
  <c r="AO71" i="20"/>
  <c r="AJ26" i="18"/>
  <c r="AJ14" i="56"/>
  <c r="R57" i="75"/>
  <c r="AP70" i="74"/>
  <c r="AC233" i="5"/>
  <c r="AF228" i="5"/>
  <c r="AJ23" i="56"/>
  <c r="AT23" i="56" s="1"/>
  <c r="AJ34" i="56"/>
  <c r="J67" i="48" l="1"/>
  <c r="AL23" i="47" s="1"/>
  <c r="AO14" i="18"/>
  <c r="AP292" i="5"/>
  <c r="P9" i="75"/>
  <c r="AP70" i="47"/>
  <c r="AR8" i="47"/>
  <c r="AQ8" i="47"/>
  <c r="AQ14" i="47" s="1"/>
  <c r="AT133" i="47"/>
  <c r="AF71" i="74"/>
  <c r="AF70" i="74" s="1"/>
  <c r="AI35" i="47"/>
  <c r="AN72" i="47"/>
  <c r="AN77" i="47" s="1"/>
  <c r="AN79" i="47" s="1"/>
  <c r="AN44" i="47" s="1"/>
  <c r="W16" i="75"/>
  <c r="AF45" i="74"/>
  <c r="AF44" i="74" s="1"/>
  <c r="AP124" i="74"/>
  <c r="AM9" i="116"/>
  <c r="AF77" i="115"/>
  <c r="AJ123" i="74"/>
  <c r="AF19" i="74"/>
  <c r="AF18" i="74" s="1"/>
  <c r="AF9" i="74" s="1"/>
  <c r="AS299" i="5"/>
  <c r="Q39" i="97"/>
  <c r="AF76" i="115"/>
  <c r="F31" i="75"/>
  <c r="AD75" i="115"/>
  <c r="AD74" i="115"/>
  <c r="AD73" i="115" s="1"/>
  <c r="H36" i="75"/>
  <c r="AP22" i="116"/>
  <c r="AD150" i="115"/>
  <c r="AD149" i="115" s="1"/>
  <c r="Q21" i="75"/>
  <c r="AO120" i="74" s="1"/>
  <c r="AN123" i="74"/>
  <c r="AT8" i="47"/>
  <c r="AT14" i="18"/>
  <c r="M10" i="75"/>
  <c r="M9" i="75" s="1"/>
  <c r="AN120" i="74"/>
  <c r="AH9" i="116"/>
  <c r="AH21" i="116"/>
  <c r="AH22" i="116"/>
  <c r="AH35" i="116"/>
  <c r="AM22" i="116"/>
  <c r="AM35" i="116"/>
  <c r="AP10" i="116"/>
  <c r="AR59" i="47"/>
  <c r="AN35" i="116"/>
  <c r="AN22" i="116"/>
  <c r="AD151" i="115"/>
  <c r="AJ13" i="18"/>
  <c r="AF292" i="5"/>
  <c r="AU54" i="47"/>
  <c r="AT115" i="47"/>
  <c r="AU116" i="74"/>
  <c r="AU119" i="74" s="1"/>
  <c r="AS59" i="47"/>
  <c r="Q65" i="48"/>
  <c r="Q66" i="48" s="1"/>
  <c r="AR35" i="47"/>
  <c r="AS92" i="47"/>
  <c r="AT59" i="47"/>
  <c r="AD113" i="115"/>
  <c r="AD112" i="115"/>
  <c r="N20" i="97"/>
  <c r="AF114" i="115"/>
  <c r="AF115" i="115"/>
  <c r="AF84" i="115"/>
  <c r="AF160" i="115"/>
  <c r="AF191" i="115"/>
  <c r="AF190" i="115"/>
  <c r="AD36" i="115"/>
  <c r="AD35" i="115" s="1"/>
  <c r="AD37" i="115"/>
  <c r="AE21" i="116"/>
  <c r="AE34" i="116"/>
  <c r="AK8" i="87"/>
  <c r="AP23" i="116"/>
  <c r="N19" i="99"/>
  <c r="Q18" i="99"/>
  <c r="AS25" i="47"/>
  <c r="AP36" i="116"/>
  <c r="AD189" i="115"/>
  <c r="AD188" i="115"/>
  <c r="AJ23" i="87"/>
  <c r="AC22" i="116"/>
  <c r="AC35" i="116"/>
  <c r="AC187" i="115"/>
  <c r="AC111" i="115"/>
  <c r="AC8" i="116" s="1"/>
  <c r="AC9" i="116"/>
  <c r="AC23" i="116"/>
  <c r="AC36" i="116"/>
  <c r="AC10" i="116"/>
  <c r="N41" i="97"/>
  <c r="AF152" i="115"/>
  <c r="AB21" i="116"/>
  <c r="AB34" i="116"/>
  <c r="AF39" i="115"/>
  <c r="AF8" i="115"/>
  <c r="AF122" i="115"/>
  <c r="AM123" i="74"/>
  <c r="AK112" i="115"/>
  <c r="AK111" i="115" s="1"/>
  <c r="AU37" i="116"/>
  <c r="AP35" i="116"/>
  <c r="AL8" i="116"/>
  <c r="AL34" i="116"/>
  <c r="AL21" i="116"/>
  <c r="AJ10" i="116"/>
  <c r="AJ36" i="116"/>
  <c r="AJ23" i="116"/>
  <c r="AM8" i="116"/>
  <c r="AM34" i="116"/>
  <c r="AM21" i="116"/>
  <c r="AI23" i="116"/>
  <c r="AI36" i="116"/>
  <c r="AP35" i="115"/>
  <c r="AP8" i="116" s="1"/>
  <c r="AP9" i="116"/>
  <c r="AO35" i="115"/>
  <c r="AO9" i="116"/>
  <c r="AO35" i="116"/>
  <c r="AO22" i="116"/>
  <c r="AO10" i="116"/>
  <c r="AO36" i="116"/>
  <c r="AO23" i="116"/>
  <c r="AN8" i="116"/>
  <c r="AN21" i="116"/>
  <c r="AN34" i="116"/>
  <c r="AI35" i="115"/>
  <c r="AI8" i="116" s="1"/>
  <c r="AI9" i="116"/>
  <c r="AR21" i="116"/>
  <c r="AR34" i="116"/>
  <c r="AT9" i="116"/>
  <c r="AJ111" i="115"/>
  <c r="AJ8" i="116" s="1"/>
  <c r="AJ9" i="116"/>
  <c r="AT8" i="116"/>
  <c r="AU111" i="115"/>
  <c r="AU36" i="116"/>
  <c r="AU23" i="116"/>
  <c r="AU187" i="115"/>
  <c r="AQ187" i="115"/>
  <c r="AQ35" i="116"/>
  <c r="AQ22" i="116"/>
  <c r="AK36" i="115"/>
  <c r="AK37" i="115"/>
  <c r="AK10" i="116" s="1"/>
  <c r="AG23" i="116"/>
  <c r="AG10" i="116"/>
  <c r="AG36" i="116"/>
  <c r="AJ35" i="116"/>
  <c r="AJ187" i="115"/>
  <c r="AJ22" i="116"/>
  <c r="AG35" i="115"/>
  <c r="AG22" i="116"/>
  <c r="AG9" i="116"/>
  <c r="AG35" i="116"/>
  <c r="AU11" i="116"/>
  <c r="AU36" i="115"/>
  <c r="AU35" i="115" s="1"/>
  <c r="AI35" i="116"/>
  <c r="AT23" i="116"/>
  <c r="AT35" i="116"/>
  <c r="AT36" i="116"/>
  <c r="AS35" i="116"/>
  <c r="AS187" i="115"/>
  <c r="AS22" i="116"/>
  <c r="AT22" i="116"/>
  <c r="AH120" i="115"/>
  <c r="AH8" i="116"/>
  <c r="AT34" i="116"/>
  <c r="AT21" i="116"/>
  <c r="AU70" i="47"/>
  <c r="AR72" i="47"/>
  <c r="AU51" i="93"/>
  <c r="Q18" i="97"/>
  <c r="AO40" i="114"/>
  <c r="AO14" i="47"/>
  <c r="AR299" i="5"/>
  <c r="AP29" i="47"/>
  <c r="AI299" i="5"/>
  <c r="AX24" i="47"/>
  <c r="AZ22" i="47"/>
  <c r="AJ299" i="5"/>
  <c r="AW16" i="47"/>
  <c r="AZ14" i="47"/>
  <c r="AZ37" i="47"/>
  <c r="AW61" i="47"/>
  <c r="AW44" i="47" s="1"/>
  <c r="AW42" i="47"/>
  <c r="AY113" i="74"/>
  <c r="AP35" i="47"/>
  <c r="AU136" i="6"/>
  <c r="AU29" i="47"/>
  <c r="AJ35" i="74"/>
  <c r="L21" i="75" s="1"/>
  <c r="AJ120" i="74" s="1"/>
  <c r="AK125" i="74"/>
  <c r="AK124" i="74" s="1"/>
  <c r="AT40" i="114"/>
  <c r="AK196" i="6"/>
  <c r="AS123" i="74"/>
  <c r="S9" i="75"/>
  <c r="AH72" i="47"/>
  <c r="AH35" i="47"/>
  <c r="AT120" i="74"/>
  <c r="AS222" i="6"/>
  <c r="AS224" i="6" s="1"/>
  <c r="AS95" i="74" s="1"/>
  <c r="AT123" i="74"/>
  <c r="AT222" i="6"/>
  <c r="AT224" i="6" s="1"/>
  <c r="AT95" i="74" s="1"/>
  <c r="AG123" i="74"/>
  <c r="AK22" i="5"/>
  <c r="J9" i="75"/>
  <c r="I9" i="75"/>
  <c r="AR123" i="74"/>
  <c r="AU61" i="74"/>
  <c r="AH123" i="74"/>
  <c r="AT13" i="18"/>
  <c r="AK132" i="74"/>
  <c r="K67" i="48"/>
  <c r="L67" i="48" s="1"/>
  <c r="M67" i="48" s="1"/>
  <c r="AO23" i="47" s="1"/>
  <c r="J68" i="48"/>
  <c r="AK294" i="5"/>
  <c r="U9" i="75"/>
  <c r="AP35" i="74"/>
  <c r="K9" i="75"/>
  <c r="AI114" i="74" s="1"/>
  <c r="AQ123" i="74"/>
  <c r="M21" i="75"/>
  <c r="AK120" i="74" s="1"/>
  <c r="M22" i="75"/>
  <c r="U21" i="75"/>
  <c r="AS120" i="74" s="1"/>
  <c r="AQ25" i="47"/>
  <c r="AU171" i="6"/>
  <c r="AR115" i="47"/>
  <c r="AU110" i="47"/>
  <c r="AI123" i="74"/>
  <c r="AU23" i="56"/>
  <c r="AK90" i="47"/>
  <c r="AG92" i="47"/>
  <c r="J21" i="75"/>
  <c r="AH120" i="74" s="1"/>
  <c r="AS8" i="47"/>
  <c r="AT34" i="56"/>
  <c r="AU221" i="6"/>
  <c r="AS72" i="47"/>
  <c r="AS35" i="47"/>
  <c r="AO32" i="56"/>
  <c r="AS32" i="56" s="1"/>
  <c r="AO21" i="56"/>
  <c r="AS21" i="56" s="1"/>
  <c r="AL34" i="56"/>
  <c r="AU34" i="56"/>
  <c r="AS141" i="6"/>
  <c r="AR141" i="6"/>
  <c r="AT37" i="20"/>
  <c r="Q18" i="98"/>
  <c r="G19" i="99"/>
  <c r="C21" i="99"/>
  <c r="G21" i="99" s="1"/>
  <c r="L18" i="99"/>
  <c r="H19" i="99"/>
  <c r="K23" i="97"/>
  <c r="M21" i="97"/>
  <c r="P20" i="97"/>
  <c r="O44" i="97"/>
  <c r="C21" i="97"/>
  <c r="G20" i="97"/>
  <c r="M44" i="97"/>
  <c r="L21" i="97"/>
  <c r="H23" i="97"/>
  <c r="L44" i="97"/>
  <c r="AG109" i="74"/>
  <c r="AK29" i="9"/>
  <c r="AI121" i="74"/>
  <c r="AS109" i="74"/>
  <c r="AH109" i="74"/>
  <c r="AR97" i="47"/>
  <c r="AT92" i="47"/>
  <c r="AT29" i="9"/>
  <c r="AO109" i="74"/>
  <c r="AJ109" i="74"/>
  <c r="K69" i="75"/>
  <c r="AI108" i="74"/>
  <c r="K68" i="75" s="1"/>
  <c r="AQ92" i="47"/>
  <c r="AU90" i="47"/>
  <c r="AL25" i="56"/>
  <c r="AU110" i="74"/>
  <c r="W70" i="75" s="1"/>
  <c r="AQ29" i="9"/>
  <c r="AU24" i="9"/>
  <c r="AR109" i="74"/>
  <c r="Q17" i="75"/>
  <c r="Q16" i="75" s="1"/>
  <c r="Q9" i="75" s="1"/>
  <c r="AO132" i="74"/>
  <c r="AO123" i="74" s="1"/>
  <c r="AB132" i="74"/>
  <c r="AB123" i="74" s="1"/>
  <c r="AU22" i="5"/>
  <c r="AN10" i="56"/>
  <c r="AU10" i="56" s="1"/>
  <c r="AN32" i="56"/>
  <c r="AI9" i="56"/>
  <c r="AT299" i="5"/>
  <c r="AU53" i="5"/>
  <c r="AS302" i="5"/>
  <c r="AU302" i="5" s="1"/>
  <c r="AU132" i="74"/>
  <c r="AN21" i="56"/>
  <c r="AS300" i="5"/>
  <c r="AU300" i="5" s="1"/>
  <c r="AS98" i="74"/>
  <c r="AU51" i="5"/>
  <c r="AU98" i="74" s="1"/>
  <c r="AH21" i="47"/>
  <c r="AH24" i="47" s="1"/>
  <c r="AU45" i="5"/>
  <c r="AQ50" i="5"/>
  <c r="AU50" i="5" s="1"/>
  <c r="AD278" i="5"/>
  <c r="AF277" i="5"/>
  <c r="M56" i="75"/>
  <c r="AK61" i="74"/>
  <c r="AT97" i="74"/>
  <c r="V58" i="75"/>
  <c r="AF133" i="5"/>
  <c r="AD138" i="5"/>
  <c r="AQ294" i="5"/>
  <c r="AU294" i="5" s="1"/>
  <c r="O21" i="75"/>
  <c r="AM120" i="74" s="1"/>
  <c r="AJ197" i="6"/>
  <c r="AK197" i="6" s="1"/>
  <c r="AR222" i="6"/>
  <c r="AQ77" i="47"/>
  <c r="AQ37" i="47"/>
  <c r="AJ141" i="6"/>
  <c r="AJ174" i="6"/>
  <c r="AJ172" i="6"/>
  <c r="AK172" i="6" s="1"/>
  <c r="AQ120" i="74"/>
  <c r="AR23" i="6"/>
  <c r="AU23" i="6" s="1"/>
  <c r="O65" i="48"/>
  <c r="O66" i="48" s="1"/>
  <c r="AR25" i="6"/>
  <c r="AJ35" i="47"/>
  <c r="AJ72" i="47"/>
  <c r="AT77" i="47"/>
  <c r="AT37" i="47"/>
  <c r="AU22" i="6"/>
  <c r="AJ113" i="74"/>
  <c r="AJ114" i="74" s="1"/>
  <c r="AQ25" i="6"/>
  <c r="N21" i="75"/>
  <c r="AL120" i="74" s="1"/>
  <c r="W11" i="75"/>
  <c r="AU125" i="74"/>
  <c r="AU124" i="74" s="1"/>
  <c r="AG141" i="6"/>
  <c r="AK136" i="6"/>
  <c r="AU84" i="6"/>
  <c r="AR89" i="6"/>
  <c r="AU89" i="6" s="1"/>
  <c r="AU196" i="6"/>
  <c r="AO88" i="74"/>
  <c r="Q48" i="75" s="1"/>
  <c r="Q49" i="75"/>
  <c r="AI37" i="47"/>
  <c r="AI77" i="47"/>
  <c r="W22" i="75"/>
  <c r="AU35" i="74"/>
  <c r="AL21" i="56"/>
  <c r="AL12" i="56"/>
  <c r="AQ144" i="6"/>
  <c r="AQ142" i="6"/>
  <c r="AU142" i="6" s="1"/>
  <c r="AG8" i="47"/>
  <c r="AK29" i="47"/>
  <c r="R10" i="75"/>
  <c r="R9" i="75" s="1"/>
  <c r="AG72" i="47"/>
  <c r="AG35" i="47"/>
  <c r="AK70" i="47"/>
  <c r="AU51" i="19"/>
  <c r="AL19" i="12"/>
  <c r="AP19" i="12" s="1"/>
  <c r="AP14" i="12"/>
  <c r="AQ35" i="56"/>
  <c r="AP31" i="56"/>
  <c r="AP20" i="56"/>
  <c r="AP126" i="47"/>
  <c r="AL128" i="47"/>
  <c r="AU128" i="47"/>
  <c r="AQ133" i="47"/>
  <c r="AU19" i="12"/>
  <c r="AN20" i="56"/>
  <c r="AN31" i="56"/>
  <c r="AU58" i="19"/>
  <c r="AP9" i="56"/>
  <c r="AI133" i="47"/>
  <c r="AK133" i="47" s="1"/>
  <c r="AK128" i="47"/>
  <c r="AO111" i="74"/>
  <c r="Q71" i="75" s="1"/>
  <c r="AP9" i="74"/>
  <c r="AU33" i="74"/>
  <c r="AR9" i="74"/>
  <c r="T21" i="75" s="1"/>
  <c r="AR120" i="74" s="1"/>
  <c r="T45" i="75"/>
  <c r="T19" i="75" s="1"/>
  <c r="T9" i="75" s="1"/>
  <c r="AU88" i="93"/>
  <c r="AH9" i="56"/>
  <c r="AM90" i="102"/>
  <c r="AQ88" i="102"/>
  <c r="E61" i="75"/>
  <c r="AL109" i="74"/>
  <c r="AI31" i="56"/>
  <c r="AI20" i="56"/>
  <c r="AG88" i="93"/>
  <c r="AK86" i="93"/>
  <c r="AH199" i="6"/>
  <c r="AP116" i="74"/>
  <c r="AP119" i="74" s="1"/>
  <c r="AL97" i="47"/>
  <c r="AP92" i="47"/>
  <c r="AJ111" i="74"/>
  <c r="L71" i="75" s="1"/>
  <c r="O53" i="75"/>
  <c r="AM61" i="102"/>
  <c r="AQ61" i="102" s="1"/>
  <c r="AQ59" i="102"/>
  <c r="AM108" i="74"/>
  <c r="O68" i="75" s="1"/>
  <c r="O69" i="75"/>
  <c r="AC234" i="5"/>
  <c r="AF233" i="5"/>
  <c r="AD212" i="5"/>
  <c r="AD104" i="74"/>
  <c r="F64" i="75" s="1"/>
  <c r="AF211" i="5"/>
  <c r="AP45" i="5"/>
  <c r="AL50" i="5"/>
  <c r="AL294" i="5"/>
  <c r="AP294" i="5" s="1"/>
  <c r="AQ33" i="56"/>
  <c r="AN108" i="74"/>
  <c r="P68" i="75" s="1"/>
  <c r="P69" i="75"/>
  <c r="AP29" i="9"/>
  <c r="AK20" i="56"/>
  <c r="AK31" i="56"/>
  <c r="AO9" i="56"/>
  <c r="AL14" i="47"/>
  <c r="AP8" i="47"/>
  <c r="AP51" i="93"/>
  <c r="AS14" i="56"/>
  <c r="AU14" i="56"/>
  <c r="AT14" i="56"/>
  <c r="AC132" i="74"/>
  <c r="AC123" i="74" s="1"/>
  <c r="AC61" i="74"/>
  <c r="AP86" i="93"/>
  <c r="AL227" i="6"/>
  <c r="AP221" i="6"/>
  <c r="AJ21" i="56"/>
  <c r="AJ32" i="56"/>
  <c r="AM20" i="56"/>
  <c r="AM10" i="56"/>
  <c r="AH21" i="56"/>
  <c r="AH32" i="56"/>
  <c r="AC256" i="5"/>
  <c r="AF255" i="5"/>
  <c r="AO37" i="20"/>
  <c r="AD35" i="74"/>
  <c r="F21" i="75" s="1"/>
  <c r="AD120" i="74" s="1"/>
  <c r="AD121" i="74" s="1"/>
  <c r="F30" i="75"/>
  <c r="F17" i="75" s="1"/>
  <c r="F16" i="75" s="1"/>
  <c r="F9" i="75" s="1"/>
  <c r="AD114" i="74" s="1"/>
  <c r="AP132" i="74"/>
  <c r="R56" i="75"/>
  <c r="AQ11" i="56"/>
  <c r="AP61" i="74"/>
  <c r="AH60" i="103"/>
  <c r="AL52" i="103"/>
  <c r="AC299" i="5"/>
  <c r="AF299" i="5" s="1"/>
  <c r="AF294" i="5"/>
  <c r="AN21" i="47"/>
  <c r="AP20" i="47"/>
  <c r="AL77" i="47"/>
  <c r="AL37" i="47"/>
  <c r="AL25" i="6"/>
  <c r="AP23" i="6"/>
  <c r="AE132" i="74"/>
  <c r="AE123" i="74" s="1"/>
  <c r="G17" i="75"/>
  <c r="G16" i="75" s="1"/>
  <c r="G9" i="75" s="1"/>
  <c r="AE114" i="74" s="1"/>
  <c r="AM197" i="6"/>
  <c r="AP196" i="6"/>
  <c r="AJ9" i="56"/>
  <c r="AK51" i="93"/>
  <c r="AG58" i="93"/>
  <c r="AG60" i="93" s="1"/>
  <c r="AK60" i="93" s="1"/>
  <c r="AL123" i="74"/>
  <c r="AM61" i="47"/>
  <c r="AM44" i="47" s="1"/>
  <c r="AM42" i="47"/>
  <c r="AD61" i="74"/>
  <c r="AQ34" i="56"/>
  <c r="AM21" i="56"/>
  <c r="AP84" i="6"/>
  <c r="AL89" i="6"/>
  <c r="AP89" i="6" s="1"/>
  <c r="AK9" i="56"/>
  <c r="AJ14" i="18"/>
  <c r="AN9" i="56"/>
  <c r="AC161" i="5"/>
  <c r="AF160" i="5"/>
  <c r="AU133" i="47" l="1"/>
  <c r="AR14" i="47"/>
  <c r="AP72" i="47"/>
  <c r="AN42" i="47"/>
  <c r="AN37" i="47"/>
  <c r="AP37" i="47" s="1"/>
  <c r="AP123" i="74"/>
  <c r="H31" i="75"/>
  <c r="W10" i="75"/>
  <c r="AF75" i="115"/>
  <c r="AT14" i="47"/>
  <c r="AT16" i="47" s="1"/>
  <c r="AF74" i="115"/>
  <c r="AF73" i="115" s="1"/>
  <c r="Q41" i="97"/>
  <c r="AK13" i="87"/>
  <c r="AX113" i="74"/>
  <c r="AD10" i="116"/>
  <c r="AR61" i="47"/>
  <c r="AR37" i="47"/>
  <c r="AR77" i="47"/>
  <c r="AR42" i="47" s="1"/>
  <c r="AK23" i="116"/>
  <c r="AS61" i="47"/>
  <c r="AT61" i="47"/>
  <c r="AU59" i="47"/>
  <c r="AS97" i="47"/>
  <c r="AD36" i="116"/>
  <c r="AD23" i="116"/>
  <c r="AF37" i="115"/>
  <c r="AF36" i="115"/>
  <c r="AF35" i="115" s="1"/>
  <c r="AC21" i="116"/>
  <c r="AC34" i="116"/>
  <c r="AF113" i="115"/>
  <c r="AF112" i="115"/>
  <c r="AF189" i="115"/>
  <c r="AF188" i="115"/>
  <c r="AF150" i="115"/>
  <c r="AF149" i="115" s="1"/>
  <c r="AF151" i="115"/>
  <c r="N21" i="99"/>
  <c r="Q21" i="99" s="1"/>
  <c r="Q19" i="99"/>
  <c r="AK16" i="87"/>
  <c r="N42" i="97"/>
  <c r="AD111" i="115"/>
  <c r="AD8" i="116" s="1"/>
  <c r="AD9" i="116"/>
  <c r="AD187" i="115"/>
  <c r="AD22" i="116"/>
  <c r="AD35" i="116"/>
  <c r="AU72" i="47"/>
  <c r="AO8" i="116"/>
  <c r="AO21" i="116"/>
  <c r="AO34" i="116"/>
  <c r="AP21" i="116"/>
  <c r="AP34" i="116"/>
  <c r="AI21" i="116"/>
  <c r="AI34" i="116"/>
  <c r="AS34" i="116"/>
  <c r="AS21" i="116"/>
  <c r="AU34" i="116"/>
  <c r="AU21" i="116"/>
  <c r="AU22" i="116"/>
  <c r="AK36" i="116"/>
  <c r="AK35" i="115"/>
  <c r="AK8" i="116" s="1"/>
  <c r="AK35" i="116"/>
  <c r="AK22" i="116"/>
  <c r="AU35" i="116"/>
  <c r="AU9" i="116"/>
  <c r="AJ21" i="116"/>
  <c r="AJ34" i="116"/>
  <c r="AK9" i="116"/>
  <c r="AU8" i="116"/>
  <c r="AG34" i="116"/>
  <c r="AG21" i="116"/>
  <c r="AG8" i="116"/>
  <c r="AQ34" i="116"/>
  <c r="AQ21" i="116"/>
  <c r="AK120" i="115"/>
  <c r="AP97" i="47"/>
  <c r="AK299" i="5"/>
  <c r="AU58" i="93"/>
  <c r="AO16" i="47"/>
  <c r="AZ44" i="47"/>
  <c r="AW21" i="47"/>
  <c r="AZ16" i="47"/>
  <c r="AZ42" i="47"/>
  <c r="M68" i="48"/>
  <c r="AU141" i="6"/>
  <c r="AU222" i="6"/>
  <c r="AH77" i="47"/>
  <c r="AH37" i="47"/>
  <c r="AQ16" i="47"/>
  <c r="AU8" i="47"/>
  <c r="AT88" i="74"/>
  <c r="V48" i="75" s="1"/>
  <c r="V55" i="75"/>
  <c r="AS88" i="74"/>
  <c r="U48" i="75" s="1"/>
  <c r="U55" i="75"/>
  <c r="AN23" i="47"/>
  <c r="K68" i="48"/>
  <c r="L68" i="48"/>
  <c r="N67" i="48"/>
  <c r="N68" i="48" s="1"/>
  <c r="AM23" i="47"/>
  <c r="AK123" i="74"/>
  <c r="R21" i="75"/>
  <c r="AP120" i="74" s="1"/>
  <c r="AU123" i="74"/>
  <c r="AU115" i="47"/>
  <c r="AK92" i="47"/>
  <c r="AG97" i="47"/>
  <c r="AS77" i="47"/>
  <c r="AS37" i="47"/>
  <c r="AT32" i="56"/>
  <c r="AO20" i="56"/>
  <c r="AS26" i="56" s="1"/>
  <c r="AO31" i="56"/>
  <c r="AS37" i="56" s="1"/>
  <c r="AT21" i="56"/>
  <c r="AK35" i="47"/>
  <c r="AU32" i="56"/>
  <c r="AU21" i="56"/>
  <c r="AS14" i="47"/>
  <c r="AU35" i="47"/>
  <c r="AJ121" i="74"/>
  <c r="L19" i="99"/>
  <c r="H21" i="99"/>
  <c r="L21" i="99" s="1"/>
  <c r="G21" i="97"/>
  <c r="C23" i="97"/>
  <c r="G23" i="97" s="1"/>
  <c r="Q20" i="97"/>
  <c r="L23" i="97"/>
  <c r="Q21" i="97"/>
  <c r="M23" i="97"/>
  <c r="AT97" i="47"/>
  <c r="AK109" i="74"/>
  <c r="I69" i="75"/>
  <c r="AG108" i="74"/>
  <c r="I68" i="75" s="1"/>
  <c r="AT109" i="74"/>
  <c r="AO108" i="74"/>
  <c r="Q68" i="75" s="1"/>
  <c r="Q69" i="75"/>
  <c r="AH108" i="74"/>
  <c r="J68" i="75" s="1"/>
  <c r="J69" i="75"/>
  <c r="AQ109" i="74"/>
  <c r="AS108" i="74"/>
  <c r="U68" i="75" s="1"/>
  <c r="U69" i="75"/>
  <c r="AQ97" i="47"/>
  <c r="AU92" i="47"/>
  <c r="AR108" i="74"/>
  <c r="T68" i="75" s="1"/>
  <c r="T69" i="75"/>
  <c r="AU29" i="9"/>
  <c r="L69" i="75"/>
  <c r="AJ108" i="74"/>
  <c r="L68" i="75" s="1"/>
  <c r="AD139" i="5"/>
  <c r="AF138" i="5"/>
  <c r="AU97" i="74"/>
  <c r="W58" i="75"/>
  <c r="AF278" i="5"/>
  <c r="AD280" i="5"/>
  <c r="AF280" i="5" s="1"/>
  <c r="AH113" i="74"/>
  <c r="AS97" i="74"/>
  <c r="U58" i="75"/>
  <c r="AT96" i="74"/>
  <c r="V56" i="75" s="1"/>
  <c r="V57" i="75"/>
  <c r="AQ299" i="5"/>
  <c r="AU299" i="5" s="1"/>
  <c r="AJ144" i="6"/>
  <c r="AJ142" i="6"/>
  <c r="AK142" i="6" s="1"/>
  <c r="AU144" i="6"/>
  <c r="AU92" i="74" s="1"/>
  <c r="W52" i="75" s="1"/>
  <c r="AQ92" i="74"/>
  <c r="S52" i="75" s="1"/>
  <c r="AJ199" i="6"/>
  <c r="AJ94" i="74" s="1"/>
  <c r="L54" i="75" s="1"/>
  <c r="AU25" i="6"/>
  <c r="AU89" i="74" s="1"/>
  <c r="AQ89" i="74"/>
  <c r="AR89" i="74"/>
  <c r="AJ93" i="74"/>
  <c r="L53" i="75" s="1"/>
  <c r="AK174" i="6"/>
  <c r="AK93" i="74" s="1"/>
  <c r="M53" i="75" s="1"/>
  <c r="AK141" i="6"/>
  <c r="AJ37" i="47"/>
  <c r="AJ77" i="47"/>
  <c r="AT79" i="47"/>
  <c r="AT42" i="47"/>
  <c r="AL32" i="56"/>
  <c r="AG37" i="47"/>
  <c r="AG77" i="47"/>
  <c r="AK72" i="47"/>
  <c r="AQ79" i="47"/>
  <c r="AQ42" i="47"/>
  <c r="AG14" i="47"/>
  <c r="AK8" i="47"/>
  <c r="AL10" i="56"/>
  <c r="AI79" i="47"/>
  <c r="AI44" i="47" s="1"/>
  <c r="AI42" i="47"/>
  <c r="AR224" i="6"/>
  <c r="AU224" i="6" s="1"/>
  <c r="AQ10" i="56"/>
  <c r="AL133" i="47"/>
  <c r="AP133" i="47" s="1"/>
  <c r="AP128" i="47"/>
  <c r="AU60" i="19"/>
  <c r="AQ111" i="74"/>
  <c r="S71" i="75" s="1"/>
  <c r="AT111" i="74"/>
  <c r="V71" i="75" s="1"/>
  <c r="W45" i="75"/>
  <c r="W19" i="75" s="1"/>
  <c r="AU9" i="74"/>
  <c r="AK88" i="93"/>
  <c r="AD132" i="74"/>
  <c r="AD123" i="74" s="1"/>
  <c r="AP58" i="93"/>
  <c r="AF104" i="74"/>
  <c r="H64" i="75" s="1"/>
  <c r="AL108" i="74"/>
  <c r="N68" i="75" s="1"/>
  <c r="N69" i="75"/>
  <c r="AJ31" i="56"/>
  <c r="AJ20" i="56"/>
  <c r="AD214" i="5"/>
  <c r="AF214" i="5" s="1"/>
  <c r="AF212" i="5"/>
  <c r="AH62" i="103"/>
  <c r="AK69" i="103"/>
  <c r="AL69" i="103" s="1"/>
  <c r="AJ69" i="103"/>
  <c r="AL60" i="103"/>
  <c r="AH69" i="103"/>
  <c r="AI69" i="103"/>
  <c r="AH20" i="56"/>
  <c r="AH31" i="56"/>
  <c r="AC163" i="5"/>
  <c r="AF161" i="5"/>
  <c r="AC300" i="5"/>
  <c r="AF35" i="74"/>
  <c r="H21" i="75" s="1"/>
  <c r="AF120" i="74" s="1"/>
  <c r="AF121" i="74" s="1"/>
  <c r="H30" i="75"/>
  <c r="H17" i="75" s="1"/>
  <c r="H16" i="75" s="1"/>
  <c r="H9" i="75" s="1"/>
  <c r="AF114" i="74" s="1"/>
  <c r="AC258" i="5"/>
  <c r="AF256" i="5"/>
  <c r="AC236" i="5"/>
  <c r="AF234" i="5"/>
  <c r="AM93" i="102"/>
  <c r="AM97" i="102"/>
  <c r="AQ90" i="102"/>
  <c r="AL16" i="47"/>
  <c r="AP14" i="47"/>
  <c r="AH94" i="74"/>
  <c r="AM31" i="56"/>
  <c r="AM199" i="6"/>
  <c r="AP197" i="6"/>
  <c r="AF61" i="74"/>
  <c r="AP77" i="47"/>
  <c r="AL79" i="47"/>
  <c r="AL42" i="47"/>
  <c r="AM9" i="56"/>
  <c r="AU15" i="56"/>
  <c r="AS15" i="56"/>
  <c r="AT15" i="56"/>
  <c r="AP109" i="74"/>
  <c r="AP50" i="5"/>
  <c r="AL299" i="5"/>
  <c r="AP299" i="5" s="1"/>
  <c r="AL89" i="74"/>
  <c r="AP25" i="6"/>
  <c r="AP89" i="74" s="1"/>
  <c r="AP88" i="93"/>
  <c r="AR16" i="47" l="1"/>
  <c r="AR21" i="47" s="1"/>
  <c r="AP42" i="47"/>
  <c r="W21" i="75"/>
  <c r="AU120" i="74" s="1"/>
  <c r="AC21" i="75"/>
  <c r="BA120" i="74" s="1"/>
  <c r="BA121" i="74" s="1"/>
  <c r="W9" i="75"/>
  <c r="AX114" i="74"/>
  <c r="AL8" i="87"/>
  <c r="AK23" i="87"/>
  <c r="AR79" i="47"/>
  <c r="AR44" i="47" s="1"/>
  <c r="AX121" i="74"/>
  <c r="AU61" i="47"/>
  <c r="AT44" i="47"/>
  <c r="AU77" i="47"/>
  <c r="AF111" i="115"/>
  <c r="AF8" i="116" s="1"/>
  <c r="AF9" i="116"/>
  <c r="AD21" i="116"/>
  <c r="AD34" i="116"/>
  <c r="AF10" i="116"/>
  <c r="Q23" i="97"/>
  <c r="N44" i="97"/>
  <c r="Q42" i="97"/>
  <c r="AF35" i="116"/>
  <c r="AF187" i="115"/>
  <c r="AF22" i="116"/>
  <c r="AF23" i="116"/>
  <c r="AF36" i="116"/>
  <c r="AO21" i="47"/>
  <c r="AK21" i="116"/>
  <c r="AK34" i="116"/>
  <c r="AK97" i="47"/>
  <c r="AU60" i="93"/>
  <c r="AW24" i="47"/>
  <c r="AZ21" i="47"/>
  <c r="AN24" i="47"/>
  <c r="AN113" i="74" s="1"/>
  <c r="AH79" i="47"/>
  <c r="AH44" i="47" s="1"/>
  <c r="AH42" i="47"/>
  <c r="AQ21" i="47"/>
  <c r="AT21" i="47"/>
  <c r="AU14" i="47"/>
  <c r="O67" i="48"/>
  <c r="O68" i="48" s="1"/>
  <c r="AQ23" i="47"/>
  <c r="AM24" i="47"/>
  <c r="AM113" i="74" s="1"/>
  <c r="AM121" i="74" s="1"/>
  <c r="AP23" i="47"/>
  <c r="AF132" i="74"/>
  <c r="AF123" i="74" s="1"/>
  <c r="AU97" i="47"/>
  <c r="AT37" i="56"/>
  <c r="AT26" i="56"/>
  <c r="AU26" i="56"/>
  <c r="AK199" i="6"/>
  <c r="AK94" i="74" s="1"/>
  <c r="M54" i="75" s="1"/>
  <c r="AU37" i="56"/>
  <c r="AS79" i="47"/>
  <c r="AS42" i="47"/>
  <c r="AU37" i="47"/>
  <c r="AS16" i="47"/>
  <c r="AQ108" i="74"/>
  <c r="S68" i="75" s="1"/>
  <c r="S69" i="75"/>
  <c r="AU109" i="74"/>
  <c r="AK108" i="74"/>
  <c r="M68" i="75" s="1"/>
  <c r="M69" i="75"/>
  <c r="V69" i="75"/>
  <c r="AT108" i="74"/>
  <c r="V68" i="75" s="1"/>
  <c r="AU96" i="74"/>
  <c r="W56" i="75" s="1"/>
  <c r="W57" i="75"/>
  <c r="AS96" i="74"/>
  <c r="U56" i="75" s="1"/>
  <c r="U57" i="75"/>
  <c r="AH114" i="74"/>
  <c r="AH121" i="74"/>
  <c r="AF139" i="5"/>
  <c r="AD141" i="5"/>
  <c r="AD302" i="5" s="1"/>
  <c r="AD300" i="5"/>
  <c r="AF300" i="5" s="1"/>
  <c r="AL9" i="56"/>
  <c r="AQ88" i="74"/>
  <c r="S48" i="75" s="1"/>
  <c r="S49" i="75"/>
  <c r="AR95" i="74"/>
  <c r="T55" i="75" s="1"/>
  <c r="AU95" i="74"/>
  <c r="W55" i="75" s="1"/>
  <c r="AK37" i="47"/>
  <c r="AJ79" i="47"/>
  <c r="AJ44" i="47" s="1"/>
  <c r="AJ42" i="47"/>
  <c r="AG79" i="47"/>
  <c r="AG42" i="47"/>
  <c r="AK77" i="47"/>
  <c r="AK14" i="47"/>
  <c r="AG16" i="47"/>
  <c r="W49" i="75"/>
  <c r="T49" i="75"/>
  <c r="AQ44" i="47"/>
  <c r="AL20" i="56"/>
  <c r="AL31" i="56"/>
  <c r="AJ92" i="74"/>
  <c r="AK144" i="6"/>
  <c r="AK92" i="74" s="1"/>
  <c r="M52" i="75" s="1"/>
  <c r="AG111" i="74"/>
  <c r="I71" i="75" s="1"/>
  <c r="AN111" i="74"/>
  <c r="P71" i="75" s="1"/>
  <c r="AS111" i="74"/>
  <c r="U71" i="75" s="1"/>
  <c r="AH88" i="74"/>
  <c r="J48" i="75" s="1"/>
  <c r="J54" i="75"/>
  <c r="AF258" i="5"/>
  <c r="AC106" i="74"/>
  <c r="E66" i="75" s="1"/>
  <c r="AQ93" i="102"/>
  <c r="AQ97" i="102"/>
  <c r="AM111" i="74"/>
  <c r="O71" i="75" s="1"/>
  <c r="AP108" i="74"/>
  <c r="R68" i="75" s="1"/>
  <c r="R69" i="75"/>
  <c r="AF163" i="5"/>
  <c r="AC102" i="74"/>
  <c r="AC302" i="5"/>
  <c r="R49" i="75"/>
  <c r="AL88" i="74"/>
  <c r="N48" i="75" s="1"/>
  <c r="N49" i="75"/>
  <c r="AL21" i="47"/>
  <c r="AP16" i="47"/>
  <c r="AC105" i="74"/>
  <c r="E65" i="75" s="1"/>
  <c r="AF236" i="5"/>
  <c r="AH64" i="103"/>
  <c r="AH65" i="103"/>
  <c r="AL62" i="103"/>
  <c r="AP60" i="93"/>
  <c r="AM94" i="74"/>
  <c r="AP199" i="6"/>
  <c r="AP94" i="74" s="1"/>
  <c r="R54" i="75" s="1"/>
  <c r="AP79" i="47"/>
  <c r="AL44" i="47"/>
  <c r="AP44" i="47" s="1"/>
  <c r="AL13" i="87" l="1"/>
  <c r="AL16" i="87"/>
  <c r="AW113" i="74"/>
  <c r="AW114" i="74" s="1"/>
  <c r="AO24" i="47"/>
  <c r="AO113" i="74" s="1"/>
  <c r="AO121" i="74" s="1"/>
  <c r="AS44" i="47"/>
  <c r="AF34" i="116"/>
  <c r="AF21" i="116"/>
  <c r="Q44" i="97"/>
  <c r="AZ24" i="47"/>
  <c r="P67" i="48"/>
  <c r="Q67" i="48" s="1"/>
  <c r="AQ24" i="47"/>
  <c r="AQ113" i="74" s="1"/>
  <c r="AQ114" i="74" s="1"/>
  <c r="AR23" i="47"/>
  <c r="AM114" i="74"/>
  <c r="AU42" i="47"/>
  <c r="AU79" i="47"/>
  <c r="AR88" i="74"/>
  <c r="T48" i="75" s="1"/>
  <c r="AS21" i="47"/>
  <c r="AU16" i="47"/>
  <c r="AU88" i="74"/>
  <c r="W48" i="75" s="1"/>
  <c r="AU108" i="74"/>
  <c r="W68" i="75" s="1"/>
  <c r="W69" i="75"/>
  <c r="AD101" i="74"/>
  <c r="AF141" i="5"/>
  <c r="AG44" i="47"/>
  <c r="AK44" i="47" s="1"/>
  <c r="AK79" i="47"/>
  <c r="L52" i="75"/>
  <c r="AJ88" i="74"/>
  <c r="L48" i="75" s="1"/>
  <c r="AK16" i="47"/>
  <c r="AG21" i="47"/>
  <c r="AK88" i="74"/>
  <c r="M48" i="75" s="1"/>
  <c r="AK42" i="47"/>
  <c r="AK111" i="74"/>
  <c r="M71" i="75" s="1"/>
  <c r="AR111" i="74"/>
  <c r="T71" i="75" s="1"/>
  <c r="AP21" i="47"/>
  <c r="AL24" i="47"/>
  <c r="E62" i="75"/>
  <c r="AC97" i="74"/>
  <c r="AF102" i="74"/>
  <c r="H62" i="75" s="1"/>
  <c r="O54" i="75"/>
  <c r="AM88" i="74"/>
  <c r="O48" i="75" s="1"/>
  <c r="AP88" i="74"/>
  <c r="R48" i="75" s="1"/>
  <c r="AP111" i="74"/>
  <c r="R71" i="75" s="1"/>
  <c r="AF106" i="74"/>
  <c r="H66" i="75" s="1"/>
  <c r="AN114" i="74"/>
  <c r="AN121" i="74"/>
  <c r="AF105" i="74"/>
  <c r="H65" i="75" s="1"/>
  <c r="AL64" i="103"/>
  <c r="AL65" i="103"/>
  <c r="AF302" i="5"/>
  <c r="AL23" i="87" l="1"/>
  <c r="AM8" i="87"/>
  <c r="AM13" i="87" s="1"/>
  <c r="AN8" i="87" s="1"/>
  <c r="AN13" i="87" s="1"/>
  <c r="AO8" i="87" s="1"/>
  <c r="AW121" i="74"/>
  <c r="AU44" i="47"/>
  <c r="Q68" i="48"/>
  <c r="R67" i="48"/>
  <c r="AR24" i="47"/>
  <c r="AZ113" i="74"/>
  <c r="AQ121" i="74"/>
  <c r="P68" i="48"/>
  <c r="AS23" i="47"/>
  <c r="AO114" i="74"/>
  <c r="AU21" i="47"/>
  <c r="AF101" i="74"/>
  <c r="H61" i="75" s="1"/>
  <c r="AD97" i="74"/>
  <c r="F61" i="75"/>
  <c r="AK21" i="47"/>
  <c r="AG24" i="47"/>
  <c r="AU111" i="74"/>
  <c r="W71" i="75" s="1"/>
  <c r="AC96" i="74"/>
  <c r="E56" i="75" s="1"/>
  <c r="E57" i="75"/>
  <c r="AL113" i="74"/>
  <c r="AP24" i="47"/>
  <c r="S67" i="48" l="1"/>
  <c r="S68" i="48" s="1"/>
  <c r="AM16" i="87"/>
  <c r="AM23" i="87" s="1"/>
  <c r="AN16" i="87" s="1"/>
  <c r="AN23" i="87" s="1"/>
  <c r="AO16" i="87" s="1"/>
  <c r="AO13" i="87"/>
  <c r="AR113" i="74"/>
  <c r="AR114" i="74" s="1"/>
  <c r="AS24" i="47"/>
  <c r="AF97" i="74"/>
  <c r="H57" i="75" s="1"/>
  <c r="AD96" i="74"/>
  <c r="F56" i="75" s="1"/>
  <c r="F57" i="75"/>
  <c r="AG113" i="74"/>
  <c r="AK24" i="47"/>
  <c r="AL121" i="74"/>
  <c r="AL114" i="74"/>
  <c r="AP113" i="74"/>
  <c r="T67" i="48" l="1"/>
  <c r="AO23" i="87"/>
  <c r="AP8" i="87"/>
  <c r="AP13" i="87" s="1"/>
  <c r="AQ8" i="87" s="1"/>
  <c r="AQ13" i="87" s="1"/>
  <c r="AR121" i="74"/>
  <c r="AS113" i="74"/>
  <c r="AS121" i="74" s="1"/>
  <c r="AF96" i="74"/>
  <c r="H56" i="75" s="1"/>
  <c r="AK113" i="74"/>
  <c r="AG121" i="74"/>
  <c r="AG114" i="74"/>
  <c r="AP114" i="74"/>
  <c r="AP121" i="74"/>
  <c r="T68" i="48" l="1"/>
  <c r="U67" i="48"/>
  <c r="U68" i="48" s="1"/>
  <c r="AP16" i="87"/>
  <c r="AP23" i="87" s="1"/>
  <c r="AQ16" i="87" s="1"/>
  <c r="AQ23" i="87" s="1"/>
  <c r="AS114" i="74"/>
  <c r="AK121" i="74"/>
  <c r="AK114" i="74"/>
  <c r="V67" i="48" l="1"/>
  <c r="V68" i="48" s="1"/>
  <c r="AH8" i="88"/>
  <c r="AH9" i="88"/>
  <c r="AH10" i="88"/>
  <c r="AU144" i="18" l="1"/>
  <c r="AU96" i="18"/>
  <c r="AY120" i="18"/>
  <c r="AU91" i="18"/>
  <c r="AY115" i="18"/>
  <c r="AU139" i="18"/>
  <c r="AU143" i="18"/>
  <c r="AU95" i="18"/>
  <c r="AY119" i="18"/>
  <c r="AU93" i="18"/>
  <c r="AY117" i="18"/>
  <c r="AH7" i="88"/>
  <c r="AU90" i="18" l="1"/>
  <c r="AU92" i="18" s="1"/>
  <c r="AY114" i="18"/>
  <c r="AU94" i="18"/>
  <c r="AY118" i="18"/>
  <c r="AU11" i="18"/>
  <c r="AU12" i="18"/>
  <c r="AU7" i="18"/>
  <c r="AH71" i="88"/>
  <c r="AH11" i="88" s="1"/>
  <c r="AU138" i="18"/>
  <c r="AU164" i="18"/>
  <c r="AU141" i="18"/>
  <c r="AH14" i="88"/>
  <c r="AU142" i="18"/>
  <c r="AY121" i="18"/>
  <c r="AY116" i="18"/>
  <c r="AU6" i="18" l="1"/>
  <c r="AU8" i="18" s="1"/>
  <c r="AU140" i="18"/>
  <c r="AU146" i="18" s="1"/>
  <c r="AU169" i="18"/>
  <c r="AU170" i="18"/>
  <c r="AU171" i="18"/>
  <c r="AH66" i="88"/>
  <c r="AU9" i="18"/>
  <c r="AU10" i="18"/>
  <c r="AU99" i="18"/>
  <c r="AU97" i="18"/>
  <c r="AU98" i="18"/>
  <c r="AH6" i="88" l="1"/>
  <c r="AU147" i="18"/>
  <c r="AU145" i="18"/>
  <c r="AU14" i="18"/>
  <c r="AU15" i="18"/>
  <c r="AU13" i="18"/>
  <c r="AU23" i="47" l="1"/>
  <c r="AT24" i="47"/>
  <c r="AT113" i="74" l="1"/>
  <c r="AT121" i="74" s="1"/>
  <c r="AU24" i="47"/>
  <c r="AT114" i="74" l="1"/>
  <c r="AU113" i="74"/>
  <c r="AU121" i="74" s="1"/>
  <c r="AU114" i="74" l="1"/>
  <c r="R68" i="48" l="1"/>
  <c r="AV112" i="20" l="1"/>
  <c r="AV79" i="20"/>
  <c r="AV80" i="20"/>
  <c r="AV113" i="20"/>
  <c r="AV85" i="20" l="1"/>
  <c r="AV84" i="20"/>
  <c r="AV111" i="20"/>
  <c r="AV83" i="20" l="1"/>
  <c r="AI16" i="88" l="1"/>
  <c r="AI17" i="88"/>
  <c r="AI18" i="88"/>
  <c r="AI19" i="88"/>
  <c r="AV10" i="20"/>
  <c r="AI15" i="88" l="1"/>
  <c r="AI31" i="88"/>
  <c r="AI43" i="88"/>
  <c r="S40" i="48"/>
  <c r="AV59" i="18"/>
  <c r="AV144" i="18"/>
  <c r="AV29" i="20"/>
  <c r="S42" i="48"/>
  <c r="AI42" i="88"/>
  <c r="AV143" i="18"/>
  <c r="AV142" i="18"/>
  <c r="AI41" i="88"/>
  <c r="AV54" i="18"/>
  <c r="AV198" i="18"/>
  <c r="AV197" i="18"/>
  <c r="AV24" i="18"/>
  <c r="AV80" i="18"/>
  <c r="S37" i="48"/>
  <c r="S38" i="48" s="1"/>
  <c r="AV18" i="18"/>
  <c r="AV32" i="18"/>
  <c r="AV60" i="18"/>
  <c r="AV196" i="18"/>
  <c r="AI68" i="88"/>
  <c r="AI136" i="88"/>
  <c r="AI112" i="88"/>
  <c r="AI113" i="88"/>
  <c r="AI69" i="88"/>
  <c r="AV87" i="18" l="1"/>
  <c r="AI57" i="88"/>
  <c r="AI9" i="88"/>
  <c r="S44" i="48"/>
  <c r="AI71" i="88"/>
  <c r="AV95" i="18"/>
  <c r="AV104" i="18"/>
  <c r="AV111" i="18" s="1"/>
  <c r="AV90" i="18"/>
  <c r="AI114" i="88"/>
  <c r="AV37" i="18"/>
  <c r="AV207" i="18"/>
  <c r="AV213" i="18" s="1"/>
  <c r="AV192" i="18"/>
  <c r="AV231" i="18"/>
  <c r="AV55" i="18"/>
  <c r="AI8" i="88"/>
  <c r="AV164" i="18"/>
  <c r="AV58" i="18"/>
  <c r="AI162" i="88"/>
  <c r="AV195" i="18"/>
  <c r="AI67" i="88"/>
  <c r="AV139" i="18"/>
  <c r="AV22" i="18"/>
  <c r="AV39" i="18"/>
  <c r="AV193" i="18"/>
  <c r="AV141" i="18"/>
  <c r="AV91" i="18"/>
  <c r="AV85" i="18"/>
  <c r="AV44" i="18"/>
  <c r="AV138" i="18"/>
  <c r="AV28" i="20"/>
  <c r="AV75" i="20"/>
  <c r="AV57" i="18"/>
  <c r="AV94" i="18"/>
  <c r="AV152" i="18"/>
  <c r="AV86" i="18"/>
  <c r="AI44" i="88"/>
  <c r="AV19" i="18"/>
  <c r="AV20" i="18" s="1"/>
  <c r="AV21" i="18"/>
  <c r="AV38" i="18"/>
  <c r="AV68" i="18"/>
  <c r="AI180" i="88"/>
  <c r="AV219" i="18"/>
  <c r="AV23" i="18"/>
  <c r="AV96" i="18"/>
  <c r="AV12" i="18" s="1"/>
  <c r="AI111" i="88"/>
  <c r="AI45" i="88"/>
  <c r="AI171" i="88"/>
  <c r="AV16" i="20"/>
  <c r="AI115" i="88"/>
  <c r="AI70" i="88"/>
  <c r="AV6" i="18" l="1"/>
  <c r="AI83" i="88"/>
  <c r="AI40" i="88"/>
  <c r="AV74" i="18"/>
  <c r="AI48" i="88"/>
  <c r="AI110" i="88"/>
  <c r="AI11" i="88"/>
  <c r="AI66" i="88"/>
  <c r="AV49" i="18"/>
  <c r="AV75" i="18"/>
  <c r="AV51" i="18"/>
  <c r="AV25" i="18"/>
  <c r="AV93" i="18"/>
  <c r="AV110" i="18"/>
  <c r="AV194" i="18"/>
  <c r="AV92" i="18"/>
  <c r="AV212" i="18"/>
  <c r="AV214" i="18"/>
  <c r="AV109" i="18"/>
  <c r="AI74" i="88"/>
  <c r="AV10" i="18"/>
  <c r="AV27" i="18"/>
  <c r="AV11" i="18"/>
  <c r="AV169" i="18"/>
  <c r="AV171" i="18"/>
  <c r="AV170" i="18"/>
  <c r="AV225" i="18"/>
  <c r="AV224" i="18"/>
  <c r="AV226" i="18"/>
  <c r="AI7" i="88"/>
  <c r="AI14" i="88"/>
  <c r="AI118" i="88"/>
  <c r="AV26" i="18"/>
  <c r="AV157" i="18"/>
  <c r="AV159" i="18"/>
  <c r="AV56" i="18"/>
  <c r="AI10" i="88"/>
  <c r="AV7" i="18"/>
  <c r="AV158" i="18"/>
  <c r="AI154" i="88"/>
  <c r="AI127" i="88"/>
  <c r="AV73" i="18"/>
  <c r="AV50" i="18"/>
  <c r="AV140" i="18"/>
  <c r="AV237" i="18"/>
  <c r="AV236" i="18"/>
  <c r="AV238" i="18"/>
  <c r="AV22" i="20"/>
  <c r="AV200" i="18" l="1"/>
  <c r="AV99" i="18"/>
  <c r="AV63" i="18"/>
  <c r="AV146" i="18"/>
  <c r="AI6" i="88"/>
  <c r="AV62" i="18"/>
  <c r="AV98" i="18"/>
  <c r="AV9" i="18"/>
  <c r="AV97" i="18"/>
  <c r="AV145" i="18"/>
  <c r="AV147" i="18"/>
  <c r="AV61" i="18"/>
  <c r="AV199" i="18"/>
  <c r="AV201" i="18"/>
  <c r="AV8" i="18"/>
  <c r="AV13" i="18" l="1"/>
  <c r="AV15" i="18"/>
  <c r="AV14" i="18"/>
  <c r="AY19" i="20" l="1"/>
  <c r="AV23" i="20"/>
  <c r="AV81" i="20" l="1"/>
  <c r="AS23" i="20" l="1"/>
  <c r="Q45" i="48" s="1"/>
  <c r="AT19" i="20" l="1"/>
  <c r="AR23" i="20" l="1"/>
  <c r="AQ23" i="20" l="1"/>
  <c r="AP23" i="20" l="1"/>
  <c r="AT23" i="20" s="1"/>
  <c r="AO19" i="20" l="1"/>
  <c r="AJ19" i="20" l="1"/>
  <c r="AE19" i="20"/>
  <c r="U19" i="20"/>
  <c r="Z19" i="20"/>
  <c r="AW29" i="20" l="1"/>
  <c r="AY61" i="20"/>
  <c r="AW113" i="20"/>
  <c r="AW80" i="20"/>
  <c r="AY108" i="20"/>
  <c r="AW94" i="18" l="1"/>
  <c r="AY106" i="18"/>
  <c r="AY80" i="20"/>
  <c r="AW85" i="20"/>
  <c r="AY113" i="20"/>
  <c r="AJ83" i="88"/>
  <c r="AY29" i="20"/>
  <c r="AW59" i="20"/>
  <c r="AY60" i="20"/>
  <c r="AW28" i="20"/>
  <c r="AY94" i="18" l="1"/>
  <c r="AY85" i="20"/>
  <c r="AY28" i="20"/>
  <c r="AW75" i="20"/>
  <c r="AY103" i="20"/>
  <c r="AW27" i="20"/>
  <c r="AY27" i="20" s="1"/>
  <c r="AW70" i="20"/>
  <c r="AY59" i="20"/>
  <c r="AW65" i="20"/>
  <c r="AJ74" i="88"/>
  <c r="AJ70" i="88"/>
  <c r="AJ66" i="88" s="1"/>
  <c r="AY205" i="18"/>
  <c r="AY17" i="20"/>
  <c r="AY21" i="20"/>
  <c r="AY70" i="20" l="1"/>
  <c r="AW33" i="20"/>
  <c r="AW38" i="20"/>
  <c r="AY75" i="20"/>
  <c r="AW71" i="20"/>
  <c r="AW69" i="20"/>
  <c r="AY65" i="20"/>
  <c r="AW112" i="20" l="1"/>
  <c r="AW79" i="20"/>
  <c r="AY107" i="20"/>
  <c r="AY14" i="20"/>
  <c r="AY13" i="20"/>
  <c r="AY12" i="20"/>
  <c r="AY38" i="20"/>
  <c r="AY71" i="20"/>
  <c r="AW39" i="20"/>
  <c r="AW37" i="20"/>
  <c r="AY33" i="20"/>
  <c r="AY69" i="20"/>
  <c r="AY79" i="20" l="1"/>
  <c r="AW84" i="20"/>
  <c r="AY84" i="20" s="1"/>
  <c r="AW111" i="20"/>
  <c r="AY112" i="20"/>
  <c r="AY39" i="20"/>
  <c r="AW10" i="20"/>
  <c r="AY9" i="20"/>
  <c r="AY37" i="20"/>
  <c r="AY83" i="20" l="1"/>
  <c r="AW16" i="20"/>
  <c r="AY10" i="20"/>
  <c r="AW83" i="20"/>
  <c r="AY111" i="20"/>
  <c r="AW22" i="20" l="1"/>
  <c r="AY16" i="20"/>
  <c r="AY22" i="20" l="1"/>
  <c r="AY230" i="18"/>
  <c r="AY234" i="18"/>
  <c r="AY235" i="18"/>
  <c r="AY218" i="18"/>
  <c r="AY222" i="18"/>
  <c r="AY223" i="18"/>
  <c r="AY210" i="18"/>
  <c r="AY211" i="18"/>
  <c r="AY163" i="18"/>
  <c r="AY167" i="18"/>
  <c r="AY168" i="18"/>
  <c r="AY79" i="18"/>
  <c r="AY81" i="18"/>
  <c r="AY83" i="18"/>
  <c r="AY84" i="18"/>
  <c r="AY43" i="18"/>
  <c r="AY47" i="18"/>
  <c r="AY48" i="18"/>
  <c r="AJ42" i="88" l="1"/>
  <c r="AJ44" i="88"/>
  <c r="AJ17" i="88"/>
  <c r="AJ16" i="88"/>
  <c r="AW23" i="18"/>
  <c r="AY35" i="18"/>
  <c r="AY46" i="18"/>
  <c r="AJ45" i="88"/>
  <c r="AW142" i="18"/>
  <c r="AY154" i="18"/>
  <c r="AY209" i="18"/>
  <c r="AW219" i="18"/>
  <c r="AW226" i="18" s="1"/>
  <c r="AY217" i="18"/>
  <c r="AW22" i="18"/>
  <c r="AY34" i="18"/>
  <c r="AJ19" i="88"/>
  <c r="AJ18" i="88"/>
  <c r="AJ43" i="88"/>
  <c r="AJ162" i="88"/>
  <c r="AY208" i="18"/>
  <c r="AJ57" i="88"/>
  <c r="AY233" i="18"/>
  <c r="AJ41" i="88"/>
  <c r="AJ48" i="88"/>
  <c r="AJ136" i="88"/>
  <c r="AW193" i="18"/>
  <c r="AY193" i="18" s="1"/>
  <c r="AY206" i="18"/>
  <c r="AW207" i="18"/>
  <c r="AJ180" i="88"/>
  <c r="AY232" i="18"/>
  <c r="AJ15" i="88"/>
  <c r="AJ31" i="88"/>
  <c r="AW57" i="18"/>
  <c r="AY57" i="18" s="1"/>
  <c r="AY69" i="18"/>
  <c r="AJ127" i="88"/>
  <c r="AY165" i="18"/>
  <c r="AY45" i="18"/>
  <c r="AW55" i="18"/>
  <c r="AY55" i="18" s="1"/>
  <c r="AY67" i="18"/>
  <c r="AW80" i="18"/>
  <c r="AW87" i="18" s="1"/>
  <c r="AY78" i="18"/>
  <c r="AW141" i="18"/>
  <c r="AY153" i="18"/>
  <c r="AW192" i="18"/>
  <c r="AJ22" i="88"/>
  <c r="AW21" i="18"/>
  <c r="AY33" i="18"/>
  <c r="AW96" i="18"/>
  <c r="AY108" i="18"/>
  <c r="AW139" i="18"/>
  <c r="AY139" i="18" s="1"/>
  <c r="AY151" i="18"/>
  <c r="AW164" i="18"/>
  <c r="AY162" i="18"/>
  <c r="AW152" i="18"/>
  <c r="AW138" i="18"/>
  <c r="AY150" i="18"/>
  <c r="AW68" i="18"/>
  <c r="AW54" i="18"/>
  <c r="AY54" i="18" s="1"/>
  <c r="AY66" i="18"/>
  <c r="AW19" i="18"/>
  <c r="AY31" i="18"/>
  <c r="AY221" i="18"/>
  <c r="AW44" i="18"/>
  <c r="AY42" i="18"/>
  <c r="AW95" i="18"/>
  <c r="AY107" i="18"/>
  <c r="AW60" i="18"/>
  <c r="AY60" i="18" s="1"/>
  <c r="AY72" i="18"/>
  <c r="AW59" i="18"/>
  <c r="AY59" i="18" s="1"/>
  <c r="AY71" i="18"/>
  <c r="AY82" i="18"/>
  <c r="AW93" i="18"/>
  <c r="AY105" i="18"/>
  <c r="AW144" i="18"/>
  <c r="AY144" i="18" s="1"/>
  <c r="AY156" i="18"/>
  <c r="AJ171" i="88"/>
  <c r="AY220" i="18"/>
  <c r="AW24" i="18"/>
  <c r="AY36" i="18"/>
  <c r="AW58" i="18"/>
  <c r="AY58" i="18" s="1"/>
  <c r="AY70" i="18"/>
  <c r="AW91" i="18"/>
  <c r="AY103" i="18"/>
  <c r="AW143" i="18"/>
  <c r="AY143" i="18" s="1"/>
  <c r="AY155" i="18"/>
  <c r="AY166" i="18"/>
  <c r="AJ112" i="88"/>
  <c r="AJ114" i="88"/>
  <c r="AJ113" i="88"/>
  <c r="AJ115" i="88"/>
  <c r="AJ8" i="88" l="1"/>
  <c r="AL154" i="88"/>
  <c r="AW158" i="18"/>
  <c r="AY96" i="18"/>
  <c r="AY91" i="18"/>
  <c r="AY95" i="18"/>
  <c r="AW225" i="18"/>
  <c r="AJ9" i="88"/>
  <c r="AJ10" i="88"/>
  <c r="AJ11" i="88"/>
  <c r="AW194" i="18"/>
  <c r="AY192" i="18"/>
  <c r="AW169" i="18"/>
  <c r="AY164" i="18"/>
  <c r="AY141" i="18"/>
  <c r="AW213" i="18"/>
  <c r="AY207" i="18"/>
  <c r="AY214" i="18" s="1"/>
  <c r="AW212" i="18"/>
  <c r="AY212" i="18" s="1"/>
  <c r="AW214" i="18"/>
  <c r="AW56" i="18"/>
  <c r="AY56" i="18" s="1"/>
  <c r="AY63" i="18" s="1"/>
  <c r="AW170" i="18"/>
  <c r="AJ154" i="88"/>
  <c r="AW75" i="18"/>
  <c r="AW73" i="18"/>
  <c r="AY68" i="18"/>
  <c r="AW104" i="18"/>
  <c r="AW90" i="18"/>
  <c r="AY102" i="18"/>
  <c r="AW32" i="18"/>
  <c r="AW18" i="18"/>
  <c r="AY30" i="18"/>
  <c r="AY198" i="18"/>
  <c r="AY93" i="18"/>
  <c r="AY142" i="18"/>
  <c r="AJ118" i="88"/>
  <c r="AJ111" i="88"/>
  <c r="AJ110" i="88" s="1"/>
  <c r="AJ40" i="88"/>
  <c r="AW140" i="18"/>
  <c r="AY138" i="18"/>
  <c r="AW159" i="18"/>
  <c r="AW157" i="18"/>
  <c r="AY152" i="18"/>
  <c r="AJ14" i="88"/>
  <c r="AW49" i="18"/>
  <c r="AY44" i="18"/>
  <c r="AW9" i="18"/>
  <c r="AY21" i="18"/>
  <c r="AY22" i="18"/>
  <c r="AW10" i="18"/>
  <c r="AW86" i="18"/>
  <c r="AW85" i="18"/>
  <c r="AY80" i="18"/>
  <c r="AY87" i="18" s="1"/>
  <c r="AW171" i="18"/>
  <c r="AW7" i="18"/>
  <c r="AY7" i="18" s="1"/>
  <c r="AY19" i="18"/>
  <c r="AW231" i="18"/>
  <c r="AY229" i="18"/>
  <c r="AW51" i="18"/>
  <c r="AY24" i="18"/>
  <c r="AW12" i="18"/>
  <c r="AY12" i="18" s="1"/>
  <c r="AW74" i="18"/>
  <c r="AW224" i="18"/>
  <c r="AY224" i="18" s="1"/>
  <c r="AY219" i="18"/>
  <c r="AY226" i="18" s="1"/>
  <c r="AY197" i="18"/>
  <c r="AW50" i="18"/>
  <c r="AY23" i="18"/>
  <c r="AW11" i="18"/>
  <c r="AY11" i="18" s="1"/>
  <c r="AL7" i="88" l="1"/>
  <c r="AL6" i="88"/>
  <c r="AY62" i="18"/>
  <c r="AW147" i="18"/>
  <c r="AW63" i="18"/>
  <c r="AW146" i="18"/>
  <c r="AY213" i="18"/>
  <c r="AY158" i="18"/>
  <c r="AY225" i="18"/>
  <c r="AW62" i="18"/>
  <c r="AJ6" i="88"/>
  <c r="AY170" i="18"/>
  <c r="AW6" i="18"/>
  <c r="AW20" i="18"/>
  <c r="AY18" i="18"/>
  <c r="AY159" i="18"/>
  <c r="AY169" i="18"/>
  <c r="AY157" i="18"/>
  <c r="AY10" i="18"/>
  <c r="AY73" i="18"/>
  <c r="AW201" i="18"/>
  <c r="AY196" i="18"/>
  <c r="AY9" i="18"/>
  <c r="AW38" i="18"/>
  <c r="AW37" i="18"/>
  <c r="AY32" i="18"/>
  <c r="AW39" i="18"/>
  <c r="AY51" i="18"/>
  <c r="AJ7" i="88"/>
  <c r="AW200" i="18"/>
  <c r="AY195" i="18"/>
  <c r="AW145" i="18"/>
  <c r="AY140" i="18"/>
  <c r="AW92" i="18"/>
  <c r="AY90" i="18"/>
  <c r="AY85" i="18"/>
  <c r="AW61" i="18"/>
  <c r="AY61" i="18" s="1"/>
  <c r="AY49" i="18"/>
  <c r="AY74" i="18"/>
  <c r="AW236" i="18"/>
  <c r="AY236" i="18" s="1"/>
  <c r="AY231" i="18"/>
  <c r="AW237" i="18"/>
  <c r="AW238" i="18"/>
  <c r="AY171" i="18"/>
  <c r="AY75" i="18"/>
  <c r="AY86" i="18"/>
  <c r="AY50" i="18"/>
  <c r="AW109" i="18"/>
  <c r="AY109" i="18" s="1"/>
  <c r="AY104" i="18"/>
  <c r="AW111" i="18"/>
  <c r="AW110" i="18"/>
  <c r="AY194" i="18"/>
  <c r="AW199" i="18"/>
  <c r="AY145" i="18" l="1"/>
  <c r="AY37" i="18"/>
  <c r="AY201" i="18"/>
  <c r="AY146" i="18"/>
  <c r="AY39" i="18"/>
  <c r="AY38" i="18"/>
  <c r="AY238" i="18"/>
  <c r="AY237" i="18"/>
  <c r="AY147" i="18"/>
  <c r="AW25" i="18"/>
  <c r="AY20" i="18"/>
  <c r="AW27" i="18"/>
  <c r="AW26" i="18"/>
  <c r="AW8" i="18"/>
  <c r="AY6" i="18"/>
  <c r="AY111" i="18"/>
  <c r="AY110" i="18"/>
  <c r="AY200" i="18"/>
  <c r="AY199" i="18"/>
  <c r="AW99" i="18"/>
  <c r="AW97" i="18"/>
  <c r="AY92" i="18"/>
  <c r="AW98" i="18"/>
  <c r="AY25" i="18" l="1"/>
  <c r="AY27" i="18"/>
  <c r="AY26" i="18"/>
  <c r="AY99" i="18"/>
  <c r="AY98" i="18"/>
  <c r="AY97" i="18"/>
  <c r="AY8" i="18"/>
  <c r="AW13" i="18"/>
  <c r="AW14" i="18"/>
  <c r="AW15" i="18"/>
  <c r="AY13" i="18" l="1"/>
  <c r="AY14" i="18"/>
  <c r="AY15" i="18"/>
  <c r="AW23" i="20" l="1"/>
  <c r="AY23" i="20" s="1"/>
  <c r="AW81" i="20" l="1"/>
  <c r="AY81" i="20" s="1"/>
  <c r="AY109" i="20"/>
  <c r="AY40" i="93" l="1"/>
  <c r="AZ42" i="93"/>
  <c r="AY43" i="11"/>
  <c r="AZ43" i="11" l="1"/>
  <c r="AZ59" i="74" s="1"/>
  <c r="AB45" i="75" s="1"/>
  <c r="AB19" i="75" s="1"/>
  <c r="AB9" i="75" s="1"/>
  <c r="AY40" i="11"/>
  <c r="AY45" i="11" s="1"/>
  <c r="AY59" i="74"/>
  <c r="AA45" i="75" s="1"/>
  <c r="AA19" i="75" s="1"/>
  <c r="AA9" i="75" s="1"/>
  <c r="AY114" i="74" s="1"/>
  <c r="AY45" i="93"/>
  <c r="AZ40" i="93"/>
  <c r="AZ45" i="93" s="1"/>
  <c r="AZ35" i="74" l="1"/>
  <c r="AB21" i="75" s="1"/>
  <c r="AZ120" i="74" s="1"/>
  <c r="AZ121" i="74" s="1"/>
  <c r="AZ40" i="11"/>
  <c r="AY35" i="74"/>
  <c r="AA21" i="75" s="1"/>
  <c r="AY120" i="74" s="1"/>
  <c r="AY121" i="74" s="1"/>
  <c r="AZ51" i="93"/>
  <c r="AZ58" i="93" s="1"/>
  <c r="AY51" i="93"/>
  <c r="AY58" i="93" s="1"/>
  <c r="AY51" i="11"/>
  <c r="AY59" i="11" s="1"/>
  <c r="AZ45" i="11"/>
  <c r="AZ114" i="74"/>
  <c r="AY60" i="93" l="1"/>
  <c r="AZ51" i="11"/>
  <c r="AZ60" i="93"/>
  <c r="AY71" i="11" l="1"/>
  <c r="AZ59" i="11"/>
  <c r="AY61" i="11"/>
  <c r="AY65" i="11" l="1"/>
  <c r="AY67" i="11"/>
  <c r="AZ61" i="11"/>
  <c r="AY111" i="74"/>
  <c r="AA71" i="75" s="1"/>
  <c r="AZ71" i="11"/>
  <c r="AZ65" i="11" l="1"/>
  <c r="AZ111" i="74"/>
  <c r="AB71" i="75" s="1"/>
  <c r="AZ67" i="11"/>
  <c r="V8" i="98" l="1"/>
  <c r="V10" i="98" l="1"/>
  <c r="U21" i="98"/>
  <c r="V9" i="98" l="1"/>
  <c r="U11" i="98"/>
  <c r="V21" i="98"/>
  <c r="V20" i="98"/>
  <c r="U13" i="98" l="1"/>
  <c r="V11" i="98"/>
  <c r="U16" i="98" l="1"/>
  <c r="V13" i="98"/>
  <c r="U18" i="98" l="1"/>
  <c r="V16" i="98"/>
  <c r="V18" i="98" l="1"/>
  <c r="AY20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tc={F08F6213-A2E3-4911-AFD6-53BCAF3AA14B}</author>
  </authors>
  <commentList>
    <comment ref="AN12" authorId="0" shapeId="0" xr:uid="{F08F6213-A2E3-4911-AFD6-53BCAF3AA14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Alteração significativa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<sst xmlns="http://schemas.openxmlformats.org/spreadsheetml/2006/main" count="8703" uniqueCount="1129">
  <si>
    <t>-</t>
  </si>
  <si>
    <t>Programa Time de Vendas</t>
  </si>
  <si>
    <t>CONSOLIDATED (BRL Thousand)</t>
  </si>
  <si>
    <r>
      <t xml:space="preserve">CONSOLIDADO </t>
    </r>
    <r>
      <rPr>
        <sz val="11"/>
        <color theme="0"/>
        <rFont val="Calibri"/>
        <family val="2"/>
        <scheme val="minor"/>
      </rPr>
      <t>(R$ MIL)</t>
    </r>
  </si>
  <si>
    <t>∆%</t>
  </si>
  <si>
    <t>ATIVO</t>
  </si>
  <si>
    <t>CIRCULANTE</t>
  </si>
  <si>
    <t>Caixa e equivalentes de caixa</t>
  </si>
  <si>
    <t>Instrumentos financeiros</t>
  </si>
  <si>
    <t>Dividendos a receber</t>
  </si>
  <si>
    <t>Juros sobre capital próprio a receber</t>
  </si>
  <si>
    <t>Valores a receber</t>
  </si>
  <si>
    <t>Ativos por impostos correntes</t>
  </si>
  <si>
    <t>Outros ativos</t>
  </si>
  <si>
    <t>Ativos não circulantes mantidos para venda</t>
  </si>
  <si>
    <t>NÃO CIRCULANTE</t>
  </si>
  <si>
    <t>Investimentos em participações societárias</t>
  </si>
  <si>
    <t>PASSIVO</t>
  </si>
  <si>
    <t xml:space="preserve">CIRCULANTE </t>
  </si>
  <si>
    <t>Valores a pagar</t>
  </si>
  <si>
    <t>Dividendos a pagar</t>
  </si>
  <si>
    <t>Passivos por impostos correntes</t>
  </si>
  <si>
    <t>Passivos por impostos diferidos</t>
  </si>
  <si>
    <t xml:space="preserve">NÃO CIRCULANTE </t>
  </si>
  <si>
    <t xml:space="preserve">Valores a pagar </t>
  </si>
  <si>
    <t>PATRIMÔNIO LÍQUIDO</t>
  </si>
  <si>
    <t>Capital social</t>
  </si>
  <si>
    <t>Reservas</t>
  </si>
  <si>
    <t>Ajuste de avaliação patrimonial</t>
  </si>
  <si>
    <t>Lucros acumulados</t>
  </si>
  <si>
    <t>Dividendos adicionais propostos</t>
  </si>
  <si>
    <r>
      <t>CONTROLADORA</t>
    </r>
    <r>
      <rPr>
        <sz val="11"/>
        <color theme="0"/>
        <rFont val="Calibri"/>
        <family val="2"/>
        <scheme val="minor"/>
      </rPr>
      <t>(R$ MIL)</t>
    </r>
  </si>
  <si>
    <t>CONSOLIDADO (R$ MIL)</t>
  </si>
  <si>
    <t>Outros passivos</t>
  </si>
  <si>
    <t>Ajuste de adoção inicial IFRS</t>
  </si>
  <si>
    <t>CONTROLADORA(R$ MIL)</t>
  </si>
  <si>
    <t>,</t>
  </si>
  <si>
    <r>
      <rPr>
        <sz val="18"/>
        <color theme="0"/>
        <rFont val="Calibri Light"/>
        <family val="2"/>
        <scheme val="major"/>
      </rPr>
      <t>BALANÇO PATRIMONIAL</t>
    </r>
    <r>
      <rPr>
        <b/>
        <sz val="18"/>
        <color theme="0"/>
        <rFont val="Calibri"/>
        <family val="2"/>
        <scheme val="minor"/>
      </rPr>
      <t xml:space="preserve"> 
NOVAS PARCERIAS - IFRS4</t>
    </r>
  </si>
  <si>
    <t>VIDA, PRESTAMISTA E PREVIDÊNCIA</t>
  </si>
  <si>
    <r>
      <t xml:space="preserve">HOLDING XS1 </t>
    </r>
    <r>
      <rPr>
        <sz val="11"/>
        <color theme="0"/>
        <rFont val="Calibri"/>
        <family val="2"/>
        <scheme val="minor"/>
      </rPr>
      <t>(R$ mil)</t>
    </r>
  </si>
  <si>
    <t>ATIVO CIRCULANTE</t>
  </si>
  <si>
    <t>Ativos financeiros</t>
  </si>
  <si>
    <t>Empréstimos e recebíveis</t>
  </si>
  <si>
    <t>Ativos de resseguro</t>
  </si>
  <si>
    <t>Impostos e contribuições</t>
  </si>
  <si>
    <t>Despesas de comercialização diferidas</t>
  </si>
  <si>
    <t>Propriedades imobiliárias de investimento</t>
  </si>
  <si>
    <t>ATIVO NÃO CIRCULANTE</t>
  </si>
  <si>
    <t>Depositos judiciais e fiscais</t>
  </si>
  <si>
    <t>Ativos intangíveis</t>
  </si>
  <si>
    <t>Ativo imobilizado</t>
  </si>
  <si>
    <t>PASSIVO CIRCULANTE</t>
  </si>
  <si>
    <t>Provisões técnicas</t>
  </si>
  <si>
    <t>Débitos de operações de seguro e resseguro</t>
  </si>
  <si>
    <t>Débitos de operações de previdência complementar</t>
  </si>
  <si>
    <t>Dividendos e JSCP a pagar</t>
  </si>
  <si>
    <t>PASSIVO NÃO CIRCULANTE</t>
  </si>
  <si>
    <t>Provisões para contingências</t>
  </si>
  <si>
    <t>#</t>
  </si>
  <si>
    <r>
      <t xml:space="preserve">Caixa Vida e Previdência </t>
    </r>
    <r>
      <rPr>
        <sz val="11"/>
        <color theme="0"/>
        <rFont val="Calibri"/>
        <family val="2"/>
        <scheme val="minor"/>
      </rPr>
      <t>(R$ mil)</t>
    </r>
  </si>
  <si>
    <t>Disponível</t>
  </si>
  <si>
    <t>Aplicações</t>
  </si>
  <si>
    <t>Créditos das operações com seguros e resseguros</t>
  </si>
  <si>
    <t>Créditos das operações com previdência complementar</t>
  </si>
  <si>
    <t xml:space="preserve"> Valores a receber</t>
  </si>
  <si>
    <t>Ativos de resseguro - Provisões técnicas</t>
  </si>
  <si>
    <t>Títulos e créditos a receber</t>
  </si>
  <si>
    <t>Outros valores e bens</t>
  </si>
  <si>
    <t>Despesas antecipadas</t>
  </si>
  <si>
    <t>Custos de aquisições diferidos</t>
  </si>
  <si>
    <t>REALIZÁVEL A LONGO PRAZO</t>
  </si>
  <si>
    <t xml:space="preserve">   Aplicações</t>
  </si>
  <si>
    <t xml:space="preserve">   Títulos e créditos a receber</t>
  </si>
  <si>
    <t xml:space="preserve">   Ativos de resseguro - Provisões técnicas</t>
  </si>
  <si>
    <t xml:space="preserve">   Outros valores e bens</t>
  </si>
  <si>
    <t xml:space="preserve">   Custos de aquisição diferidos</t>
  </si>
  <si>
    <t>Investimentos</t>
  </si>
  <si>
    <t>Imobilizado</t>
  </si>
  <si>
    <t>Intangível</t>
  </si>
  <si>
    <t xml:space="preserve">   Contas a pagar</t>
  </si>
  <si>
    <t xml:space="preserve">   Débitos de operações com seguros e resseguros</t>
  </si>
  <si>
    <t xml:space="preserve">   Débitos de operações com previdência complementar</t>
  </si>
  <si>
    <t xml:space="preserve">   Depósitos de terceiros</t>
  </si>
  <si>
    <t xml:space="preserve">   Provisões técnicas - seguros</t>
  </si>
  <si>
    <t xml:space="preserve">   Provisões técnicas - previdência complementar</t>
  </si>
  <si>
    <t xml:space="preserve">   Débitos diversos</t>
  </si>
  <si>
    <t xml:space="preserve">   Provisões técnicas seguros</t>
  </si>
  <si>
    <t xml:space="preserve">   Outros débitos</t>
  </si>
  <si>
    <r>
      <t>XS2 Vida e Previdência</t>
    </r>
    <r>
      <rPr>
        <sz val="11"/>
        <color theme="0"/>
        <rFont val="Calibri"/>
        <family val="2"/>
        <scheme val="minor"/>
      </rPr>
      <t xml:space="preserve"> (R$ mil)</t>
    </r>
  </si>
  <si>
    <t xml:space="preserve">   Disponível</t>
  </si>
  <si>
    <t xml:space="preserve">   Créditos das operações com seguros e resseguros</t>
  </si>
  <si>
    <t xml:space="preserve">   Custos de aquisições diferidos</t>
  </si>
  <si>
    <t xml:space="preserve">   Imobilizado</t>
  </si>
  <si>
    <t xml:space="preserve">   Intangível</t>
  </si>
  <si>
    <t>HABITACIONAL E RESIDENCIAL</t>
  </si>
  <si>
    <r>
      <t xml:space="preserve">XS3 Seguros </t>
    </r>
    <r>
      <rPr>
        <sz val="11"/>
        <color theme="0"/>
        <rFont val="Calibri"/>
        <family val="2"/>
        <scheme val="minor"/>
      </rPr>
      <t>(R$ Mil)</t>
    </r>
  </si>
  <si>
    <t xml:space="preserve">   Outros créditos operacionais</t>
  </si>
  <si>
    <t xml:space="preserve">    Despesas antecipadas</t>
  </si>
  <si>
    <t xml:space="preserve">   Outros Bens e Valores</t>
  </si>
  <si>
    <t xml:space="preserve"> Imobilizado</t>
  </si>
  <si>
    <t xml:space="preserve"> Intangível</t>
  </si>
  <si>
    <t xml:space="preserve">PASSIVO </t>
  </si>
  <si>
    <t xml:space="preserve">   Depositos de terceiros</t>
  </si>
  <si>
    <t xml:space="preserve">   Outras débitos</t>
  </si>
  <si>
    <t xml:space="preserve">   Débitos das operações</t>
  </si>
  <si>
    <t>CAPITALIZAÇÃO</t>
  </si>
  <si>
    <r>
      <t xml:space="preserve">XS4 Capitalização </t>
    </r>
    <r>
      <rPr>
        <sz val="11"/>
        <color theme="0"/>
        <rFont val="Calibri"/>
        <family val="2"/>
        <scheme val="minor"/>
      </rPr>
      <t>(R$ mil)</t>
    </r>
  </si>
  <si>
    <t xml:space="preserve">  Caixa e equivalentes de caixa</t>
  </si>
  <si>
    <t xml:space="preserve">  Aplicações</t>
  </si>
  <si>
    <t xml:space="preserve">  Crédito das operações de capitalização</t>
  </si>
  <si>
    <t xml:space="preserve">  Ativos Fiscais</t>
  </si>
  <si>
    <t xml:space="preserve">  Outros ativos</t>
  </si>
  <si>
    <t xml:space="preserve">  Despesas antecipadas</t>
  </si>
  <si>
    <t xml:space="preserve">  Títulos e créditos a receber</t>
  </si>
  <si>
    <t xml:space="preserve">  Ativos de diretiro de uso</t>
  </si>
  <si>
    <t xml:space="preserve">  Imobilizado</t>
  </si>
  <si>
    <t xml:space="preserve">  Intangível</t>
  </si>
  <si>
    <t xml:space="preserve">  Ativo diferido</t>
  </si>
  <si>
    <t xml:space="preserve">  Obrigações a pagar</t>
  </si>
  <si>
    <t xml:space="preserve">  Passivos fiscais</t>
  </si>
  <si>
    <t xml:space="preserve">  Outras obrigações a pagar</t>
  </si>
  <si>
    <t xml:space="preserve">  Débitos de Operações com Capitalização</t>
  </si>
  <si>
    <t xml:space="preserve">  Depósito de Terceiros</t>
  </si>
  <si>
    <t xml:space="preserve">  Provisões técnicas</t>
  </si>
  <si>
    <t>Outros Débitos</t>
  </si>
  <si>
    <t xml:space="preserve">  Outros Débitos</t>
  </si>
  <si>
    <t>CONSÓRCIOS</t>
  </si>
  <si>
    <r>
      <t xml:space="preserve">XS5 Consórcios </t>
    </r>
    <r>
      <rPr>
        <sz val="11"/>
        <color theme="0"/>
        <rFont val="Calibri"/>
        <family val="2"/>
        <scheme val="minor"/>
      </rPr>
      <t>(R$ mil)</t>
    </r>
  </si>
  <si>
    <t>Disponibilidade</t>
  </si>
  <si>
    <t>Títulos e valores mobiliários e instrumentos financeiros derivativos</t>
  </si>
  <si>
    <t>Outros créditos</t>
  </si>
  <si>
    <t>Provisão para Outros Créditos de Liquidação Duvidosa</t>
  </si>
  <si>
    <t>Outras obrigações</t>
  </si>
  <si>
    <t>SERVIÇOS ASSISTENCIAIS</t>
  </si>
  <si>
    <r>
      <t xml:space="preserve">XS6  - Serviços Assistenciais </t>
    </r>
    <r>
      <rPr>
        <sz val="11"/>
        <color theme="0"/>
        <rFont val="Calibri"/>
        <family val="2"/>
        <scheme val="minor"/>
      </rPr>
      <t>(R$ mil)</t>
    </r>
  </si>
  <si>
    <t xml:space="preserve">ATIVO </t>
  </si>
  <si>
    <t>Caixa e equivalente de caixa</t>
  </si>
  <si>
    <t>Contas a Receber</t>
  </si>
  <si>
    <t>Créditos tributários e previdênciários</t>
  </si>
  <si>
    <t>Outros Créditos</t>
  </si>
  <si>
    <t>Imposto de renda e contribuição social diferidos</t>
  </si>
  <si>
    <t xml:space="preserve">  Ativos de direito de uso</t>
  </si>
  <si>
    <t>Fornecedores</t>
  </si>
  <si>
    <t>Partes relacionadas</t>
  </si>
  <si>
    <t>Receitas diferidas</t>
  </si>
  <si>
    <t>Comissões a pagar</t>
  </si>
  <si>
    <t>Passivo de arrendamento mercantil</t>
  </si>
  <si>
    <t>Impostos e contribuições a pagar</t>
  </si>
  <si>
    <t>Obrigações com pessoal e encargos sociais</t>
  </si>
  <si>
    <t>Outras contas a pagar</t>
  </si>
  <si>
    <r>
      <rPr>
        <sz val="18"/>
        <color theme="0"/>
        <rFont val="Calibri Light"/>
        <family val="2"/>
        <scheme val="major"/>
      </rPr>
      <t>BALANÇO PATRIMONIAL</t>
    </r>
    <r>
      <rPr>
        <b/>
        <sz val="18"/>
        <color theme="0"/>
        <rFont val="Calibri"/>
        <family val="2"/>
        <scheme val="minor"/>
      </rPr>
      <t xml:space="preserve"> 
NOVAS PARCERIAS - IFRS17</t>
    </r>
  </si>
  <si>
    <t>Ativos de operação de seguros</t>
  </si>
  <si>
    <t>Ativos de operação de resseguros</t>
  </si>
  <si>
    <t>Ativos fiscais</t>
  </si>
  <si>
    <t>Passivos operacionais</t>
  </si>
  <si>
    <t>Passivos fiscais</t>
  </si>
  <si>
    <t>Déb com op. de seguros e resseguros/capitalização</t>
  </si>
  <si>
    <t>Provisões judiciais</t>
  </si>
  <si>
    <t>dez-23*</t>
  </si>
  <si>
    <t>Débitos com operações de seguros e resseguros / capitalização</t>
  </si>
  <si>
    <r>
      <t xml:space="preserve">BALANÇO PATRIMONIAL
</t>
    </r>
    <r>
      <rPr>
        <b/>
        <sz val="18"/>
        <color theme="0"/>
        <rFont val="Calibri"/>
        <family val="2"/>
        <scheme val="minor"/>
      </rPr>
      <t>ANTIGA PARCERIA - IFRS4</t>
    </r>
  </si>
  <si>
    <r>
      <t xml:space="preserve">Caixa Seguradora S.A. </t>
    </r>
    <r>
      <rPr>
        <sz val="11"/>
        <color theme="0"/>
        <rFont val="Calibri"/>
        <family val="2"/>
        <scheme val="minor"/>
      </rPr>
      <t>(R$ mil)</t>
    </r>
  </si>
  <si>
    <t xml:space="preserve">   Despesas antecipadas</t>
  </si>
  <si>
    <t xml:space="preserve">   Investimentos</t>
  </si>
  <si>
    <r>
      <t>Caixa Vida e Previdência</t>
    </r>
    <r>
      <rPr>
        <sz val="11"/>
        <color theme="0"/>
        <rFont val="Calibri"/>
        <family val="2"/>
        <scheme val="minor"/>
      </rPr>
      <t xml:space="preserve"> (R$ mil)</t>
    </r>
  </si>
  <si>
    <t xml:space="preserve">   Créditos das operações com previdência complementar</t>
  </si>
  <si>
    <r>
      <t>Caixa Capitalização</t>
    </r>
    <r>
      <rPr>
        <sz val="11"/>
        <color theme="0"/>
        <rFont val="Calibri"/>
        <family val="2"/>
        <scheme val="minor"/>
      </rPr>
      <t xml:space="preserve"> (R$ mil)</t>
    </r>
  </si>
  <si>
    <t xml:space="preserve">   Débitos de operações com capitalização</t>
  </si>
  <si>
    <t xml:space="preserve">   Provisões técnicas - capitalização</t>
  </si>
  <si>
    <r>
      <t xml:space="preserve">Caixa Consórcio </t>
    </r>
    <r>
      <rPr>
        <sz val="11"/>
        <color theme="0"/>
        <rFont val="Calibri"/>
        <family val="2"/>
        <scheme val="minor"/>
      </rPr>
      <t>(R$ mil)</t>
    </r>
  </si>
  <si>
    <t>Ativo realizável a longo prazo</t>
  </si>
  <si>
    <t>Permanente</t>
  </si>
  <si>
    <t>Imobilizado de uso</t>
  </si>
  <si>
    <t>Passivo circulante</t>
  </si>
  <si>
    <t>Passivo exigível a longo prazo</t>
  </si>
  <si>
    <r>
      <rPr>
        <sz val="18"/>
        <color theme="0"/>
        <rFont val="Calibri Light"/>
        <family val="2"/>
        <scheme val="major"/>
      </rPr>
      <t>BALANÇO PATRIMONIAL</t>
    </r>
    <r>
      <rPr>
        <b/>
        <sz val="18"/>
        <color theme="0"/>
        <rFont val="Calibri"/>
        <family val="2"/>
        <scheme val="minor"/>
      </rPr>
      <t xml:space="preserve">
ANTIGA PARCERIA - IFRS17</t>
    </r>
  </si>
  <si>
    <r>
      <t xml:space="preserve">CNP Holding </t>
    </r>
    <r>
      <rPr>
        <sz val="11"/>
        <color theme="0"/>
        <rFont val="Calibri"/>
        <family val="2"/>
        <scheme val="minor"/>
      </rPr>
      <t>(R$ mil) - Run-Off</t>
    </r>
  </si>
  <si>
    <r>
      <rPr>
        <sz val="18"/>
        <color theme="0"/>
        <rFont val="Calibri Light"/>
        <family val="2"/>
        <scheme val="major"/>
      </rPr>
      <t>BALANÇO PATRIMONIAL</t>
    </r>
    <r>
      <rPr>
        <b/>
        <sz val="18"/>
        <color theme="0"/>
        <rFont val="Calibri"/>
        <family val="2"/>
        <scheme val="minor"/>
      </rPr>
      <t xml:space="preserve">
TOO SEGUROS - IFRS4</t>
    </r>
  </si>
  <si>
    <r>
      <t xml:space="preserve">TOO SEGUROS </t>
    </r>
    <r>
      <rPr>
        <sz val="11"/>
        <color theme="0"/>
        <rFont val="Calibri"/>
        <family val="2"/>
        <scheme val="minor"/>
      </rPr>
      <t>(R$ mil)</t>
    </r>
  </si>
  <si>
    <t>Ativos não financeiros mantidos para venda</t>
  </si>
  <si>
    <t>Outros Valores e Bens</t>
  </si>
  <si>
    <t>Investimentos em controladas e coligadas</t>
  </si>
  <si>
    <t>Outros Investimentos</t>
  </si>
  <si>
    <t>Provisões</t>
  </si>
  <si>
    <t>RECURRING STATE OF INCOME</t>
  </si>
  <si>
    <t>DRE GERENCIAL</t>
  </si>
  <si>
    <t>Recurring (BRL Thousand)</t>
  </si>
  <si>
    <t>DRE GERENCIAL (R$ MIL)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</si>
  <si>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</si>
  <si>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</si>
  <si>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</si>
  <si>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</si>
  <si>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</si>
  <si>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</si>
  <si>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</si>
  <si>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</si>
  <si>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</si>
  <si>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</si>
  <si>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</si>
  <si>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</si>
  <si>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</si>
  <si>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</si>
  <si>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</si>
  <si>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</si>
  <si>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</si>
  <si>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</si>
  <si>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</si>
  <si>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</si>
  <si>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</si>
  <si>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</si>
  <si>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</si>
  <si>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</si>
  <si>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</si>
  <si>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</si>
  <si>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</si>
  <si>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4T22</t>
  </si>
  <si>
    <t>1Q23</t>
  </si>
  <si>
    <t>2Q23</t>
  </si>
  <si>
    <t>3Q23</t>
  </si>
  <si>
    <t>4T23</t>
  </si>
  <si>
    <t>1Q24</t>
  </si>
  <si>
    <t>2Q24</t>
  </si>
  <si>
    <t>3Q24</t>
  </si>
  <si>
    <t>1T24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</si>
  <si>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</si>
  <si>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</si>
  <si>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</si>
  <si>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</si>
  <si>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</si>
  <si>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</si>
  <si>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</si>
  <si>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</si>
  <si>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</si>
  <si>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</si>
  <si>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</si>
  <si>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</si>
  <si>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</si>
  <si>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</si>
  <si>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</si>
  <si>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</si>
  <si>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</si>
  <si>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</si>
  <si>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</si>
  <si>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</si>
  <si>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</si>
  <si>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</si>
  <si>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</si>
  <si>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</si>
  <si>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</si>
  <si>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</si>
  <si>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</si>
  <si>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4Q22</t>
  </si>
  <si>
    <t>1T23</t>
  </si>
  <si>
    <t>2T23</t>
  </si>
  <si>
    <t>3T23</t>
  </si>
  <si>
    <t>4Q23</t>
  </si>
  <si>
    <t>2T24</t>
  </si>
  <si>
    <t>4Q24</t>
  </si>
  <si>
    <t xml:space="preserve">OPERATING REVENUE </t>
  </si>
  <si>
    <t>RECEITAS OPERACIONAIS</t>
  </si>
  <si>
    <t xml:space="preserve">Equity in the result of investees </t>
  </si>
  <si>
    <t>Resultado de investimentos em participações societárias (MEP)</t>
  </si>
  <si>
    <t>CNP Seguros Holding Brasil</t>
  </si>
  <si>
    <t>Holding XS1</t>
  </si>
  <si>
    <t>XS3 Seguros</t>
  </si>
  <si>
    <t>XS4 Capitalização</t>
  </si>
  <si>
    <t>XS5 Consórcios</t>
  </si>
  <si>
    <t>XS6 Participações</t>
  </si>
  <si>
    <t>XS6 Assistência</t>
  </si>
  <si>
    <t>Too Seguros</t>
  </si>
  <si>
    <t>PAN Corretora</t>
  </si>
  <si>
    <t>CNP Consórcio</t>
  </si>
  <si>
    <t>Revenue from distribution network access and use of brand</t>
  </si>
  <si>
    <t>Receita de acesso à rede de distribuição e uso da marca (BDF)</t>
  </si>
  <si>
    <t>Premium Bonds</t>
  </si>
  <si>
    <t xml:space="preserve">Capitalização </t>
  </si>
  <si>
    <t>Credit Letters</t>
  </si>
  <si>
    <t>Consórcio</t>
  </si>
  <si>
    <t>Pension</t>
  </si>
  <si>
    <t>Previdência</t>
  </si>
  <si>
    <t>Insurance - Mortgage</t>
  </si>
  <si>
    <t>Seguros - Habitacional</t>
  </si>
  <si>
    <t>Insurance - Credit Life</t>
  </si>
  <si>
    <t>Seguros - Prestamista</t>
  </si>
  <si>
    <t>Insurance - Others</t>
  </si>
  <si>
    <t>Seguros - Outros</t>
  </si>
  <si>
    <t>Success fee</t>
  </si>
  <si>
    <t>Revenue from brokerage or intermediation of security products</t>
  </si>
  <si>
    <t>Receita Líquida de Corretagem</t>
  </si>
  <si>
    <t>Life</t>
  </si>
  <si>
    <t>Vida</t>
  </si>
  <si>
    <t>Credit Life</t>
  </si>
  <si>
    <t>Prestamista</t>
  </si>
  <si>
    <t>Mortgage</t>
  </si>
  <si>
    <t>Habitacional</t>
  </si>
  <si>
    <t>Home</t>
  </si>
  <si>
    <t>Residencial</t>
  </si>
  <si>
    <t>Assistance</t>
  </si>
  <si>
    <t>Assistência</t>
  </si>
  <si>
    <t>Corporate (co-broker)</t>
  </si>
  <si>
    <t>Auto</t>
  </si>
  <si>
    <t>Auto (Co-corretora)</t>
  </si>
  <si>
    <t>Dental</t>
  </si>
  <si>
    <t>Odonto</t>
  </si>
  <si>
    <t>COSTS OF SERVICES PROVIDED</t>
  </si>
  <si>
    <t>CUSTOS DOS SERVIÇOS PRESTADOS</t>
  </si>
  <si>
    <t>OTHER OPERATING INCOME (EXPENSES)</t>
  </si>
  <si>
    <t>OUTRAS RECEITAS/(DESPESAS) OPERACIONAIS</t>
  </si>
  <si>
    <t>Other revenues</t>
  </si>
  <si>
    <t>Outras receitas</t>
  </si>
  <si>
    <t>Administrative expenses</t>
  </si>
  <si>
    <t>Despesas administrativas</t>
  </si>
  <si>
    <t>Tax expenses</t>
  </si>
  <si>
    <t>Despesas tributárias</t>
  </si>
  <si>
    <t>Others opertaing expenses</t>
  </si>
  <si>
    <t>Outras despesas operacionais</t>
  </si>
  <si>
    <t>OPERATING RESULT</t>
  </si>
  <si>
    <t>RESULTADO OPERACIONAL</t>
  </si>
  <si>
    <t>FINANCIAL RESULT</t>
  </si>
  <si>
    <t>RESULTADO FINANCEIRO</t>
  </si>
  <si>
    <t>Financial income</t>
  </si>
  <si>
    <t>Receitas financeiras</t>
  </si>
  <si>
    <t>Financial costs</t>
  </si>
  <si>
    <t>Despesas financeiras</t>
  </si>
  <si>
    <t xml:space="preserve">PROFIT BEFORE INCOME TAX AND SOCIAL CONTRIBUTION AND PROFIT-SHARING </t>
  </si>
  <si>
    <t>RESULTADO ANTES  IMPOSTO DE RENDA E CONTRIBUIÇÃO SOCIAL</t>
  </si>
  <si>
    <t>INCOME TAX AND SOCIAL CONTRIBUTION</t>
  </si>
  <si>
    <t xml:space="preserve">IMPOSTO DE RENDA E CONTRIBUIÇÃO SOCIAL </t>
  </si>
  <si>
    <t>Current tax</t>
  </si>
  <si>
    <t>Impostos correntes</t>
  </si>
  <si>
    <t>Deferred income</t>
  </si>
  <si>
    <t>Imposto de renda</t>
  </si>
  <si>
    <t>Social contribution on net income</t>
  </si>
  <si>
    <t>Contribuição social sobre o lucro líquido</t>
  </si>
  <si>
    <t>Deferred tax</t>
  </si>
  <si>
    <t>Impostos diferidos</t>
  </si>
  <si>
    <t>NET INCOME FROM CONTINUING OPERATIONS</t>
  </si>
  <si>
    <t>LUCRO LÍQUIDO GERENCIAL DAS OPERAÇÕES CONTINUADAS</t>
  </si>
  <si>
    <t>NET INCOME FROM DISCONTINUED OPERATIONS</t>
  </si>
  <si>
    <t>LUCRO LÍQUIDO GERENCIAL DAS OPERAÇÕES DESCONTINUADAS</t>
  </si>
  <si>
    <t>NET PROFIT</t>
  </si>
  <si>
    <t>LUCRO LÍQUIDO GERENCIAL RECORRENTE</t>
  </si>
  <si>
    <t>Capital Gain on Divestments</t>
  </si>
  <si>
    <t>Ganho de capital na alienação de investimentos</t>
  </si>
  <si>
    <t>MANAGERIAL NET PROFIT</t>
  </si>
  <si>
    <t>LUCRO LÍQUIDO GERENCIAL</t>
  </si>
  <si>
    <t>Conversion Adjustment to International Standards (IFRS17)</t>
  </si>
  <si>
    <t>Ajuste de Conversão às normas Internacionais (IFRS17)</t>
  </si>
  <si>
    <t>Accouting Net Profit</t>
  </si>
  <si>
    <t>Lucro Líquido Contábil</t>
  </si>
  <si>
    <t>Net Profit Margin</t>
  </si>
  <si>
    <t>MARGEM LÍQUIDA</t>
  </si>
  <si>
    <t>ROAE</t>
  </si>
  <si>
    <t>RETORNO SOBRE PATRIMÔNIO LÍQUIDO MÉDIO</t>
  </si>
  <si>
    <r>
      <rPr>
        <sz val="18"/>
        <color theme="0"/>
        <rFont val="Calibri Light"/>
        <family val="2"/>
        <scheme val="major"/>
      </rPr>
      <t>BALANÇO PATRIMONIAL</t>
    </r>
    <r>
      <rPr>
        <b/>
        <sz val="18"/>
        <color theme="0"/>
        <rFont val="Calibri"/>
        <family val="2"/>
        <scheme val="minor"/>
      </rPr>
      <t xml:space="preserve"> 
ANTIGA PARCERIA - IFRS17</t>
    </r>
  </si>
  <si>
    <r>
      <t xml:space="preserve">Too Seguros </t>
    </r>
    <r>
      <rPr>
        <sz val="11"/>
        <color theme="0"/>
        <rFont val="Calibri"/>
        <family val="2"/>
        <scheme val="minor"/>
      </rPr>
      <t>(R$ mil)</t>
    </r>
  </si>
  <si>
    <t>ACCOUNTING STATE OF INCOME</t>
  </si>
  <si>
    <t>3T24</t>
  </si>
  <si>
    <t>4T24</t>
  </si>
  <si>
    <t>1T25</t>
  </si>
  <si>
    <t>CNP Consórcios</t>
  </si>
  <si>
    <t>Receitas de acesso à rede de distribuição e uso da marca (BDF)</t>
  </si>
  <si>
    <t>Insurance - Home</t>
  </si>
  <si>
    <t>Receitas de corretagem ou intermediação de produtos de seguridade</t>
  </si>
  <si>
    <t>Corporate</t>
  </si>
  <si>
    <t>Corporate (Co-corretora)</t>
  </si>
  <si>
    <t>RESULTADO ANTES DE PARTICIPAÇÕES, IMPOSTO DE RENDA E CONTRIBUIÇÃO SOCIAL</t>
  </si>
  <si>
    <t>LUCRO LÍQUIDO DAS OPERAÇÕES CONTINUADAS</t>
  </si>
  <si>
    <t>LUCRO LÍQUIDO DAS OPERAÇÕES DESCONTINUADAS</t>
  </si>
  <si>
    <t>LUCRO LÍQUIDO CONTÁBIL</t>
  </si>
  <si>
    <t>CONTROLLER (R$ Thousand)</t>
  </si>
  <si>
    <r>
      <t xml:space="preserve">CONTROLADORA </t>
    </r>
    <r>
      <rPr>
        <sz val="11"/>
        <color theme="0"/>
        <rFont val="Calibri"/>
        <family val="2"/>
        <scheme val="minor"/>
      </rPr>
      <t>(R$ MIL)</t>
    </r>
  </si>
  <si>
    <t>Outras receitas/despesas operacionais</t>
  </si>
  <si>
    <t>RESULTADO ANTES DE IMPOSTOS  E PARTICIPAÇÕES</t>
  </si>
  <si>
    <t>Results participation*</t>
  </si>
  <si>
    <t>Participação resultados*</t>
  </si>
  <si>
    <t>*Incorporated in Administrative expenses</t>
  </si>
  <si>
    <t>*Migrado para Despesas Administrativas</t>
  </si>
  <si>
    <r>
      <rPr>
        <sz val="18"/>
        <color theme="0"/>
        <rFont val="Calibri Light"/>
        <family val="2"/>
        <scheme val="major"/>
      </rPr>
      <t xml:space="preserve">DRE </t>
    </r>
    <r>
      <rPr>
        <b/>
        <sz val="18"/>
        <color theme="0"/>
        <rFont val="Calibri"/>
        <family val="2"/>
        <scheme val="minor"/>
      </rPr>
      <t xml:space="preserve">
GERENCIAL</t>
    </r>
  </si>
  <si>
    <r>
      <t>DRE GERENCIAL</t>
    </r>
    <r>
      <rPr>
        <sz val="11"/>
        <color theme="0"/>
        <rFont val="Calibri"/>
        <family val="2"/>
        <scheme val="minor"/>
      </rPr>
      <t xml:space="preserve"> (R$ MIL)</t>
    </r>
  </si>
  <si>
    <t>SEGUROS</t>
  </si>
  <si>
    <t>Outros</t>
  </si>
  <si>
    <t>Sinistros Ocorridos - Rio Grande do Sul</t>
  </si>
  <si>
    <t>Base de dados com acionamentos de sinistros - Prestamista</t>
  </si>
  <si>
    <t>Profit Share - Tokio Marine (referente aos anos 2022 e 2023)</t>
  </si>
  <si>
    <t>LUCRO LÍQUIDO GERENCIAL NORMALIZADO</t>
  </si>
  <si>
    <t>1Q22**</t>
  </si>
  <si>
    <t>2Q22**</t>
  </si>
  <si>
    <t>3Q22**</t>
  </si>
  <si>
    <t>4Q22**</t>
  </si>
  <si>
    <t>2022**</t>
  </si>
  <si>
    <t>1Q23**</t>
  </si>
  <si>
    <t>2Q23**</t>
  </si>
  <si>
    <t>3Q23**</t>
  </si>
  <si>
    <t>4Q23**</t>
  </si>
  <si>
    <t>2023**</t>
  </si>
  <si>
    <t>2024**</t>
  </si>
  <si>
    <t>1T22**</t>
  </si>
  <si>
    <t>2T22**</t>
  </si>
  <si>
    <t>3T22**</t>
  </si>
  <si>
    <t>4T22**</t>
  </si>
  <si>
    <t>1T23**</t>
  </si>
  <si>
    <t>2T23**</t>
  </si>
  <si>
    <t>3T23**</t>
  </si>
  <si>
    <t>4T23**</t>
  </si>
  <si>
    <t>LUCRO LÍQUIDO RECORRENTE DO PERÍODO</t>
  </si>
  <si>
    <t>CONTROLADORA (R$ MIL)</t>
  </si>
  <si>
    <t>lucro dre xs</t>
  </si>
  <si>
    <t>**Valores adequados para IFRS17 (2022 e 2023)</t>
  </si>
  <si>
    <r>
      <rPr>
        <sz val="18"/>
        <color theme="0"/>
        <rFont val="Calibri Light"/>
        <family val="2"/>
        <scheme val="major"/>
      </rPr>
      <t>DRE</t>
    </r>
    <r>
      <rPr>
        <b/>
        <sz val="18"/>
        <color theme="0"/>
        <rFont val="Calibri"/>
        <family val="2"/>
        <scheme val="minor"/>
      </rPr>
      <t xml:space="preserve"> 
AGRUPADA</t>
    </r>
  </si>
  <si>
    <t>AGRUPAMENTO CAIXA SEGURIDADE</t>
  </si>
  <si>
    <r>
      <t xml:space="preserve">TOTAL CAIXA SEGURIDADE </t>
    </r>
    <r>
      <rPr>
        <sz val="11"/>
        <color theme="0"/>
        <rFont val="Calibri"/>
        <family val="2"/>
        <scheme val="minor"/>
      </rPr>
      <t>(R$ Mil)</t>
    </r>
  </si>
  <si>
    <t>Margem operacional</t>
  </si>
  <si>
    <t xml:space="preserve">   Despesas administrativas</t>
  </si>
  <si>
    <t xml:space="preserve">   Despesas com tributos</t>
  </si>
  <si>
    <t xml:space="preserve">   Resultado financeiro</t>
  </si>
  <si>
    <t xml:space="preserve">   Resultado patrimonial</t>
  </si>
  <si>
    <t xml:space="preserve">   Outras Receitas/Despesas Operacionais</t>
  </si>
  <si>
    <t>Resultado operacional</t>
  </si>
  <si>
    <t xml:space="preserve">   Ganhos ou perdas com ativos não correntes</t>
  </si>
  <si>
    <t>Resultado antes dos impostos e participações</t>
  </si>
  <si>
    <t xml:space="preserve">     Imposto de renda</t>
  </si>
  <si>
    <t xml:space="preserve">     Contribuição social</t>
  </si>
  <si>
    <t xml:space="preserve">     Participações sobre o resultado</t>
  </si>
  <si>
    <t xml:space="preserve">     Participações dos acionistas minoritários</t>
  </si>
  <si>
    <t>Resultado líquido do exercício (operações continuadas)</t>
  </si>
  <si>
    <t>Ajuste de Consolidação, Conversão às Normas Internacionais e Lucro de Operações Descontinuadas*</t>
  </si>
  <si>
    <t xml:space="preserve">Ajuste de Launch Performance Comission (LPC) e Earn-out </t>
  </si>
  <si>
    <t>Resultado líquido ajustado</t>
  </si>
  <si>
    <t>*No 2T22, inclui o ajuste XS5 para IFRS de R$ 20,6 milhões e ajuste de consolidação da CNP Seguros Holding Brasil S.A. no valor R$ 1,6 milhões.</t>
  </si>
  <si>
    <t>CAIXA PARTNERSHIPS</t>
  </si>
  <si>
    <t>(+) Reversão Ajuste de Consolidação/ Lucro Operações Descontinuadas</t>
  </si>
  <si>
    <r>
      <t xml:space="preserve">ANTIGA PARCERIA </t>
    </r>
    <r>
      <rPr>
        <sz val="11"/>
        <color theme="0"/>
        <rFont val="Calibri"/>
        <family val="2"/>
        <scheme val="minor"/>
      </rPr>
      <t>(R$ Mil)</t>
    </r>
  </si>
  <si>
    <r>
      <t xml:space="preserve">NOVAS PARCERIAS </t>
    </r>
    <r>
      <rPr>
        <sz val="11"/>
        <color theme="0"/>
        <rFont val="Calibri"/>
        <family val="2"/>
        <scheme val="minor"/>
      </rPr>
      <t>(R$ Mil)</t>
    </r>
  </si>
  <si>
    <t xml:space="preserve">   Outras receitas/despesas operacionais</t>
  </si>
  <si>
    <t>Resultado líquido do exercício</t>
  </si>
  <si>
    <t>(+) Reversão Ajuste de Consolidação</t>
  </si>
  <si>
    <t>PARCERIAS BANCO PAN</t>
  </si>
  <si>
    <t>TOTAL PARCERIAS BANCO PAN (R$ Mil)</t>
  </si>
  <si>
    <t>NEGÓCIOS DE DISTRIBUIÇÃO</t>
  </si>
  <si>
    <r>
      <t xml:space="preserve">TOTAL NEGÓCIOS DE DISTRIBUIÇÃO </t>
    </r>
    <r>
      <rPr>
        <sz val="11"/>
        <color theme="0"/>
        <rFont val="Calibri"/>
        <family val="2"/>
        <scheme val="minor"/>
      </rPr>
      <t>(R$ Mil)</t>
    </r>
  </si>
  <si>
    <t>HOLDING SEGURIDADE</t>
  </si>
  <si>
    <r>
      <t xml:space="preserve">TOTAL HOLDING SEGURIDADE </t>
    </r>
    <r>
      <rPr>
        <sz val="11"/>
        <color theme="0"/>
        <rFont val="Calibri"/>
        <family val="2"/>
        <scheme val="minor"/>
      </rPr>
      <t>(R$ Mil)</t>
    </r>
  </si>
  <si>
    <t xml:space="preserve">   Variações das provisões técnicas de prêmios</t>
  </si>
  <si>
    <t>Despesas Administrativas</t>
  </si>
  <si>
    <t>Despesas com Tributos</t>
  </si>
  <si>
    <t>Novas Parcerias</t>
  </si>
  <si>
    <t>ok</t>
  </si>
  <si>
    <t>CONFERIDO :24/01/2024</t>
  </si>
  <si>
    <r>
      <t>Caixa Seguridade</t>
    </r>
    <r>
      <rPr>
        <sz val="11"/>
        <color theme="0"/>
        <rFont val="Calibri"/>
        <family val="2"/>
        <scheme val="minor"/>
      </rPr>
      <t xml:space="preserve"> (R$ Mil)</t>
    </r>
  </si>
  <si>
    <t>Lucro líquido do exercício</t>
  </si>
  <si>
    <t>Participação Caixa Seguridade</t>
  </si>
  <si>
    <r>
      <t xml:space="preserve">Caixa Holding Securitária </t>
    </r>
    <r>
      <rPr>
        <sz val="11"/>
        <color theme="0"/>
        <rFont val="Calibri"/>
        <family val="2"/>
        <scheme val="minor"/>
      </rPr>
      <t>(R$ Mil)</t>
    </r>
  </si>
  <si>
    <r>
      <t>Receita de acesso à rede de distribuição e uso da marca CAIXA</t>
    </r>
    <r>
      <rPr>
        <sz val="11"/>
        <color theme="0"/>
        <rFont val="Calibri"/>
        <family val="2"/>
        <scheme val="minor"/>
      </rPr>
      <t xml:space="preserve"> (R$ mil)</t>
    </r>
  </si>
  <si>
    <t>* Reprocessamento do Lucro Líquido referente a 1T23</t>
  </si>
  <si>
    <r>
      <t xml:space="preserve">Caixa Corretora </t>
    </r>
    <r>
      <rPr>
        <sz val="11"/>
        <color theme="0"/>
        <rFont val="Calibri"/>
        <family val="2"/>
        <scheme val="minor"/>
      </rPr>
      <t>(R$ mil)</t>
    </r>
  </si>
  <si>
    <t>Receitas da Operação</t>
  </si>
  <si>
    <t>Custos/Despesas da operação</t>
  </si>
  <si>
    <t>BDF</t>
  </si>
  <si>
    <t xml:space="preserve">  (+) Reversão Ajuste de Consolidação</t>
  </si>
  <si>
    <t>Atribuível à Caixa Seguridade</t>
  </si>
  <si>
    <t>OK</t>
  </si>
  <si>
    <t>Antiga Parceria</t>
  </si>
  <si>
    <t xml:space="preserve">  Participações sobre o resultado</t>
  </si>
  <si>
    <r>
      <rPr>
        <sz val="18"/>
        <color theme="0"/>
        <rFont val="Calibri Light"/>
        <family val="2"/>
        <scheme val="major"/>
      </rPr>
      <t>DRE PARCERIAS CAIXA</t>
    </r>
    <r>
      <rPr>
        <b/>
        <sz val="18"/>
        <color theme="0"/>
        <rFont val="Calibri"/>
        <family val="2"/>
        <scheme val="minor"/>
      </rPr>
      <t xml:space="preserve">
ANTIGA PARCERIA</t>
    </r>
  </si>
  <si>
    <t>RUN-OFF</t>
  </si>
  <si>
    <t>CNP Seguros Holding Brasil S.A. (Consolidado) (R$ Mil)</t>
  </si>
  <si>
    <t>Lucro líquido do exercício (Operações Continuadas)</t>
  </si>
  <si>
    <t>Atribuível a Acionistas do Grupo</t>
  </si>
  <si>
    <t>(+) Ajustes de Consolidação e Lucro de Operações descontinuadas</t>
  </si>
  <si>
    <t>(=) Atribuível a Acionistas do Grupo Ajustado</t>
  </si>
  <si>
    <t>Atribuível a Acionistas não controladores em controladas</t>
  </si>
  <si>
    <t>CAIXA Seguradora (R$ Mil)</t>
  </si>
  <si>
    <t>1T23*</t>
  </si>
  <si>
    <t xml:space="preserve">   Prêmios emitidos líquidos</t>
  </si>
  <si>
    <t xml:space="preserve"> Prêmios ganhos</t>
  </si>
  <si>
    <t xml:space="preserve">   Receita com emissão de apólices</t>
  </si>
  <si>
    <t xml:space="preserve">   Sinistros ocorridos</t>
  </si>
  <si>
    <t xml:space="preserve">   Custos de aquisição</t>
  </si>
  <si>
    <t xml:space="preserve">   Outras receitas e despesas operacionais</t>
  </si>
  <si>
    <t xml:space="preserve">  Resultado com resseguro</t>
  </si>
  <si>
    <t>CAIXA Vida &amp; Previdência (R$ Mil)</t>
  </si>
  <si>
    <t xml:space="preserve">   Rendas de contribuições e prêmios</t>
  </si>
  <si>
    <t xml:space="preserve">   Constituição da provisão de benefícios a conceder</t>
  </si>
  <si>
    <t xml:space="preserve">   Receitas de contribuições e prêmios de VGBL</t>
  </si>
  <si>
    <t xml:space="preserve">   Rendas com taxas de gestão e outras taxas</t>
  </si>
  <si>
    <t xml:space="preserve">   Variação de outras provisões técnicas</t>
  </si>
  <si>
    <t xml:space="preserve">   Benefícios retidos</t>
  </si>
  <si>
    <t xml:space="preserve">   Resultado com operações de resseguro 1</t>
  </si>
  <si>
    <t>Prêmios emitido líquido</t>
  </si>
  <si>
    <t xml:space="preserve">   Contribuições para cobertura de riscos</t>
  </si>
  <si>
    <t xml:space="preserve">   Prêmios ganhos</t>
  </si>
  <si>
    <t xml:space="preserve">   Rendas com taxas de emissão de apólices</t>
  </si>
  <si>
    <t xml:space="preserve">   Custos de aquisição Risco</t>
  </si>
  <si>
    <t xml:space="preserve">   Outras receitas e despesas operacionais Risco</t>
  </si>
  <si>
    <t xml:space="preserve">   Resultado com operações de resseguro 2</t>
  </si>
  <si>
    <t>CNP Capitalização (R$ Mil)</t>
  </si>
  <si>
    <t xml:space="preserve">   Receita líquida com títulos de capitalização</t>
  </si>
  <si>
    <t xml:space="preserve">     Arrecadação com títulos de capitalização</t>
  </si>
  <si>
    <t xml:space="preserve">     Variação da provisão para resgate</t>
  </si>
  <si>
    <t xml:space="preserve">   Variação das provisões técnicas</t>
  </si>
  <si>
    <t xml:space="preserve">   Resultado com sorteio</t>
  </si>
  <si>
    <t xml:space="preserve">   Resultado com outras desp operacionais</t>
  </si>
  <si>
    <t>CNP Consórcio (R$ Mil)</t>
  </si>
  <si>
    <t>2T22*</t>
  </si>
  <si>
    <t>Receitas de prestação de serviços</t>
  </si>
  <si>
    <t>Receitas/Despesas operacionais</t>
  </si>
  <si>
    <t>* Dados reprocessados em função da Resolução BCB n° 120/2021.</t>
  </si>
  <si>
    <t>CAIXA Seguros Saúde (R$ Mil)</t>
  </si>
  <si>
    <t>Receitas da operação</t>
  </si>
  <si>
    <t xml:space="preserve">   Custos/Despesas da operação</t>
  </si>
  <si>
    <t>OUTRAS PARTICIPAÇÕES / AJUSTES DE CONSOLIDAÇÃO</t>
  </si>
  <si>
    <t>Companhia de Seguros Previdência do Sul (R$ Mil)</t>
  </si>
  <si>
    <t>Prêmios Ganhos</t>
  </si>
  <si>
    <t>Odonto Empresas (R$ Mil)</t>
  </si>
  <si>
    <t>Youse Seguradora (R$ Mil)</t>
  </si>
  <si>
    <t>CAIXA ASSESSORIA (R$ Mil)</t>
  </si>
  <si>
    <t>CNP Seguros Holding (Individual) (R$ Mil)</t>
  </si>
  <si>
    <t>Ajustes de consolidação (R$ Mil)</t>
  </si>
  <si>
    <r>
      <rPr>
        <sz val="18"/>
        <color theme="0"/>
        <rFont val="Calibri Light"/>
        <family val="2"/>
        <scheme val="major"/>
      </rPr>
      <t xml:space="preserve">DRE PARCERIAS CAIXA
</t>
    </r>
    <r>
      <rPr>
        <b/>
        <sz val="18"/>
        <color theme="0"/>
        <rFont val="Calibri"/>
        <family val="2"/>
        <scheme val="minor"/>
      </rPr>
      <t>NOVAS PARCERIAS</t>
    </r>
  </si>
  <si>
    <r>
      <t xml:space="preserve">Holding XS1 (Consolidado) </t>
    </r>
    <r>
      <rPr>
        <sz val="11"/>
        <color theme="0"/>
        <rFont val="Calibri"/>
        <family val="2"/>
        <scheme val="minor"/>
      </rPr>
      <t>(R$ Mil)</t>
    </r>
  </si>
  <si>
    <r>
      <t xml:space="preserve"> Caixa Vida &amp; Previdência </t>
    </r>
    <r>
      <rPr>
        <sz val="11"/>
        <color theme="0"/>
        <rFont val="Calibri"/>
        <family val="2"/>
        <scheme val="minor"/>
      </rPr>
      <t>(R$ Mil)</t>
    </r>
  </si>
  <si>
    <t xml:space="preserve">   Custos de aquisição Previdência</t>
  </si>
  <si>
    <r>
      <t xml:space="preserve">XS2 Vida e Previdência </t>
    </r>
    <r>
      <rPr>
        <sz val="11"/>
        <color theme="0"/>
        <rFont val="Calibri"/>
        <family val="2"/>
        <scheme val="minor"/>
      </rPr>
      <t>(R$ Mil)</t>
    </r>
  </si>
  <si>
    <t>3T24*</t>
  </si>
  <si>
    <t>Custos de aquisição - seguros</t>
  </si>
  <si>
    <t>Custos de aquisição - previdência</t>
  </si>
  <si>
    <r>
      <t xml:space="preserve"> XS1 Ajustes de Consolidação </t>
    </r>
    <r>
      <rPr>
        <sz val="11"/>
        <color theme="0"/>
        <rFont val="Calibri"/>
        <family val="2"/>
        <scheme val="minor"/>
      </rPr>
      <t>(R$ Mil)</t>
    </r>
  </si>
  <si>
    <t>XS3 SEGUROS (R$ Mil)</t>
  </si>
  <si>
    <t xml:space="preserve">  Prêmios emitidos líquidos</t>
  </si>
  <si>
    <t xml:space="preserve">   Resultado com resseguro</t>
  </si>
  <si>
    <r>
      <t xml:space="preserve">XS4 Capitalização </t>
    </r>
    <r>
      <rPr>
        <sz val="11"/>
        <color theme="0"/>
        <rFont val="Calibri"/>
        <family val="2"/>
        <scheme val="minor"/>
      </rPr>
      <t>(R$ Mil)</t>
    </r>
  </si>
  <si>
    <t>XS5 Consórcio* (R$ Mil)</t>
  </si>
  <si>
    <t>4T22***</t>
  </si>
  <si>
    <t>Ajuste de Consolidação e Conversão às Normas Internacionais*</t>
  </si>
  <si>
    <t>*Resultado da empresa apresentado de acordo com as normas contábeis BACEN (BRGAAP)
** Dados reprocessados em função da Resolução BCB n° 120/2021.
*** A partir do 4T22 os custos com comissionamento passam a compor Custos/Despesas da Operação com reprocessamento dos dados históricos.</t>
  </si>
  <si>
    <r>
      <t xml:space="preserve">XS6 Assistência </t>
    </r>
    <r>
      <rPr>
        <sz val="11"/>
        <color theme="0"/>
        <rFont val="Calibri"/>
        <family val="2"/>
        <scheme val="minor"/>
      </rPr>
      <t>(R$ Mil)</t>
    </r>
  </si>
  <si>
    <t>BANCO PAN PARTNERSHIPS</t>
  </si>
  <si>
    <r>
      <rPr>
        <sz val="18"/>
        <color theme="0"/>
        <rFont val="Calibri Light"/>
        <family val="2"/>
        <scheme val="major"/>
      </rPr>
      <t xml:space="preserve">DRE PARCERIAS </t>
    </r>
    <r>
      <rPr>
        <b/>
        <sz val="18"/>
        <color theme="0"/>
        <rFont val="Calibri"/>
        <family val="2"/>
        <scheme val="minor"/>
      </rPr>
      <t xml:space="preserve">
BANCO PAN</t>
    </r>
  </si>
  <si>
    <t>Too Seguros e PAN Corretora</t>
  </si>
  <si>
    <r>
      <t xml:space="preserve">Too Seguros </t>
    </r>
    <r>
      <rPr>
        <sz val="11"/>
        <color theme="0"/>
        <rFont val="Calibri"/>
        <family val="2"/>
        <scheme val="minor"/>
      </rPr>
      <t>(R$ Mil)</t>
    </r>
  </si>
  <si>
    <t xml:space="preserve"> Prêmios emitidos líquidos</t>
  </si>
  <si>
    <r>
      <t xml:space="preserve">PAN Corretora </t>
    </r>
    <r>
      <rPr>
        <sz val="11"/>
        <color theme="0"/>
        <rFont val="Calibri"/>
        <family val="2"/>
        <scheme val="minor"/>
      </rPr>
      <t xml:space="preserve">(R$ Mil) </t>
    </r>
  </si>
  <si>
    <t>INDICADORES POR EMPRESA</t>
  </si>
  <si>
    <t>ADMINISTRATIVE EXPENSES INDEX</t>
  </si>
  <si>
    <t>ÍNDICE DESPESAS ADMINISTRATIVAS</t>
  </si>
  <si>
    <t>GENERAL</t>
  </si>
  <si>
    <t>GERAL</t>
  </si>
  <si>
    <t>CAIXA Network</t>
  </si>
  <si>
    <t>Bancassurance CAIXA</t>
  </si>
  <si>
    <t>Former Partnership</t>
  </si>
  <si>
    <t>New Partnership</t>
  </si>
  <si>
    <t/>
  </si>
  <si>
    <t>XS1 Holding</t>
  </si>
  <si>
    <t>CXSE Holding</t>
  </si>
  <si>
    <t>Bancassurance PAN</t>
  </si>
  <si>
    <t>COMBINED INDEX</t>
  </si>
  <si>
    <t>ÍNDICE COMBINADO</t>
  </si>
  <si>
    <t>EXPANDED COMBINED INDEX</t>
  </si>
  <si>
    <t>ÍNDICE COMBINADO AMPLIADO</t>
  </si>
  <si>
    <t>TABELA FONTE DE DADOS INDICADORES DAS EMPRESAS (VISÃO SUSEP)</t>
  </si>
  <si>
    <t>RECEITA OPERACIONAL (VISÃO SUSEP)</t>
  </si>
  <si>
    <t>Antiga Parceria CAIXA</t>
  </si>
  <si>
    <t>CNP SEGUROS HOLDING</t>
  </si>
  <si>
    <t>CNP Seguradora</t>
  </si>
  <si>
    <t>CNP Vida &amp; Previdência</t>
  </si>
  <si>
    <t>CNP Capitalização</t>
  </si>
  <si>
    <t>CNP Seguros Saúde</t>
  </si>
  <si>
    <t>Companhia de Seguros Previdência do Sul</t>
  </si>
  <si>
    <t>Odonto Empresas</t>
  </si>
  <si>
    <t>Youse Seguradora</t>
  </si>
  <si>
    <t>CAIXA Assessoria</t>
  </si>
  <si>
    <t>Novas Parcerias CAIXA</t>
  </si>
  <si>
    <t>Caixa Vida &amp; Previdência</t>
  </si>
  <si>
    <t>XS2 Vida e Previdência</t>
  </si>
  <si>
    <t>XS3 SEGUROS</t>
  </si>
  <si>
    <t>XS5 Consórcio</t>
  </si>
  <si>
    <t>Parcerias Banco PAN</t>
  </si>
  <si>
    <t>Holding + Corretora</t>
  </si>
  <si>
    <t>Caixa Seguridade Corretagem de Seguros</t>
  </si>
  <si>
    <t>CXSE HOLDING</t>
  </si>
  <si>
    <t>CNP Holding</t>
  </si>
  <si>
    <t>Outras CNP</t>
  </si>
  <si>
    <t>RECEITA FINANCEIRA (VISÃO SUSEP)</t>
  </si>
  <si>
    <t>Despesas Gerais e Administrativas</t>
  </si>
  <si>
    <r>
      <rPr>
        <sz val="18"/>
        <color theme="0"/>
        <rFont val="Calibri Light"/>
        <family val="2"/>
        <scheme val="major"/>
      </rPr>
      <t>DRE PARCERIAS CAIXA</t>
    </r>
    <r>
      <rPr>
        <b/>
        <sz val="18"/>
        <color theme="0"/>
        <rFont val="Calibri"/>
        <family val="2"/>
        <scheme val="minor"/>
      </rPr>
      <t xml:space="preserve">
NOVAS PARCERIAS IFRS17</t>
    </r>
  </si>
  <si>
    <t xml:space="preserve">  Resultado financeiro</t>
  </si>
  <si>
    <t xml:space="preserve">  Outras receitas/despesas operacionais</t>
  </si>
  <si>
    <t xml:space="preserve"> Ganhos ou perdas com ativos não correntes</t>
  </si>
  <si>
    <t xml:space="preserve">  Tributos sobre lucro</t>
  </si>
  <si>
    <t>Lucro líquido das operações continuadas</t>
  </si>
  <si>
    <t>Lucro líquido das operações descontinuadas</t>
  </si>
  <si>
    <t>Lucro líquido atribuível do período</t>
  </si>
  <si>
    <t>Ajuste Earnout</t>
  </si>
  <si>
    <t>Lucro líquido do exercício ex-Earnout</t>
  </si>
  <si>
    <t xml:space="preserve">   Atribuível a Acionistas do Grupo</t>
  </si>
  <si>
    <t xml:space="preserve">  (=) Atribuível a Acionistas do Grupo Ajustado</t>
  </si>
  <si>
    <t xml:space="preserve">  Atribuível a Acionistas não controladores em controladas</t>
  </si>
  <si>
    <r>
      <t xml:space="preserve">XS3 SEGUROS </t>
    </r>
    <r>
      <rPr>
        <sz val="11"/>
        <color theme="0"/>
        <rFont val="Calibri"/>
        <family val="2"/>
        <scheme val="minor"/>
      </rPr>
      <t>(R$ Mil)</t>
    </r>
  </si>
  <si>
    <t xml:space="preserve">  Ganhos ou perdas com ativos não correntes</t>
  </si>
  <si>
    <t xml:space="preserve">  Atribuível a Acionistas do Grupo</t>
  </si>
  <si>
    <t>DRE CONTÁBIL</t>
  </si>
  <si>
    <r>
      <rPr>
        <sz val="18"/>
        <color theme="0"/>
        <rFont val="Calibri Light"/>
        <family val="2"/>
        <scheme val="major"/>
      </rPr>
      <t xml:space="preserve">DRE PARCERIAS </t>
    </r>
    <r>
      <rPr>
        <b/>
        <sz val="18"/>
        <color theme="0"/>
        <rFont val="Calibri"/>
        <family val="2"/>
        <scheme val="minor"/>
      </rPr>
      <t xml:space="preserve">
BANCO PAN IFRS17</t>
    </r>
  </si>
  <si>
    <t xml:space="preserve">   Tributos sobre lucro</t>
  </si>
  <si>
    <t xml:space="preserve">   Participações sobre o resultado</t>
  </si>
  <si>
    <r>
      <rPr>
        <sz val="18"/>
        <color theme="0"/>
        <rFont val="Calibri"/>
        <family val="2"/>
        <scheme val="minor"/>
      </rPr>
      <t>DRE PARCERIAS CAIXA</t>
    </r>
    <r>
      <rPr>
        <b/>
        <sz val="18"/>
        <color theme="0"/>
        <rFont val="Calibri"/>
        <family val="2"/>
        <scheme val="minor"/>
      </rPr>
      <t xml:space="preserve">
ANTIGA PARCERIA IFRS17</t>
    </r>
  </si>
  <si>
    <r>
      <t xml:space="preserve">CNP Seguros Holding Brasil S.A. (Consolidado) </t>
    </r>
    <r>
      <rPr>
        <sz val="11"/>
        <color theme="0"/>
        <rFont val="Calibri"/>
        <family val="2"/>
        <scheme val="minor"/>
      </rPr>
      <t>(R$ Mil)</t>
    </r>
  </si>
  <si>
    <t>TABELA FONTE DE DADOS OPERACIONAL X FINANCEIRO</t>
  </si>
  <si>
    <t>RECEITAS OPERACIONAIS E FINANCEIRAS</t>
  </si>
  <si>
    <t>NOVAS PARCERIAS</t>
  </si>
  <si>
    <t>ANTIGAS PARCERIAS</t>
  </si>
  <si>
    <t>Caixa Seguros Holding</t>
  </si>
  <si>
    <t>Caixa Seguradora</t>
  </si>
  <si>
    <t>CAIXA Vida &amp; Previdência</t>
  </si>
  <si>
    <t>CAIXA Seguros Saúde</t>
  </si>
  <si>
    <t>CAIXA ASSESSORIA</t>
  </si>
  <si>
    <t>CNP Seguros Holding (Individual)</t>
  </si>
  <si>
    <t>PARCERIAS PAN</t>
  </si>
  <si>
    <t>Pan Corretora</t>
  </si>
  <si>
    <t>TRIBUTOS PAGOS</t>
  </si>
  <si>
    <t>LUCRO LÍQUIDO</t>
  </si>
  <si>
    <t>LUCRO CAIXA SEGURIDADE</t>
  </si>
  <si>
    <t>Participação Resultado financeiro</t>
  </si>
  <si>
    <t>Resultado financeiro DRE agrupada</t>
  </si>
  <si>
    <t>Receita tx adm XS1</t>
  </si>
  <si>
    <t>Receita tx adm CSH</t>
  </si>
  <si>
    <t>Resultado financeiro ajustado</t>
  </si>
  <si>
    <t>Liquido de tributos</t>
  </si>
  <si>
    <t>RESULTADO FINANCEIRO LÍQUIDO DE TRIBUTOS</t>
  </si>
  <si>
    <t>OPERACIONAL X FINANCEIRO</t>
  </si>
  <si>
    <t xml:space="preserve">     %</t>
  </si>
  <si>
    <t>RESULTADO FINANCEIRO LÍQUIDO PONDERADO</t>
  </si>
  <si>
    <t>ALÍQUOTA TRIBUTÁRIA EFETIVA</t>
  </si>
  <si>
    <t>PARTICIPAÇÃO DO FINANCEIRO</t>
  </si>
  <si>
    <t>2 trimestre 2023</t>
  </si>
  <si>
    <t>1 trimestre 2023</t>
  </si>
  <si>
    <t>BALANÇO PATRIMONIAL  (R$ milhões)</t>
  </si>
  <si>
    <t xml:space="preserve">∆% </t>
  </si>
  <si>
    <t>Balanço Patrimonial  (R$ milhões)</t>
  </si>
  <si>
    <t>Balanço Patrimonial  (R$ mil)</t>
  </si>
  <si>
    <t>∆% dez/22</t>
  </si>
  <si>
    <t>∆% dez/21</t>
  </si>
  <si>
    <t>∆% mar/22</t>
  </si>
  <si>
    <t>R$ mil</t>
  </si>
  <si>
    <t>Caixa e Equivalentes de Caixa</t>
  </si>
  <si>
    <t>Instrumentos Financeiros</t>
  </si>
  <si>
    <t>Dividendos a Receber</t>
  </si>
  <si>
    <t>JCP a Receber</t>
  </si>
  <si>
    <t>JPC A RECEBER</t>
  </si>
  <si>
    <t>Valores a Receber</t>
  </si>
  <si>
    <t>Ativos por Impostos Correntes</t>
  </si>
  <si>
    <t>Outros Ativos</t>
  </si>
  <si>
    <t>Ativos Não Circ Mantido Para Venda</t>
  </si>
  <si>
    <t>Ativos Não Circulantes Mantidos Para Venda</t>
  </si>
  <si>
    <t>Inv. em Part. Societárias</t>
  </si>
  <si>
    <t>Investimentos em Participações Societárias</t>
  </si>
  <si>
    <t>Valores a Pagar</t>
  </si>
  <si>
    <t>Dividendos a Pagar</t>
  </si>
  <si>
    <t>Passivos por Imp. Correntes</t>
  </si>
  <si>
    <t>Passivos por Impostos Correntes</t>
  </si>
  <si>
    <t>Passivos por Imp. Diferidos</t>
  </si>
  <si>
    <t>Passivos por Impostos Diferidos</t>
  </si>
  <si>
    <t>Capital Social</t>
  </si>
  <si>
    <t>Ajuste de Av. Patrimonial</t>
  </si>
  <si>
    <t>Ajuste de Avaliação Patrimonial</t>
  </si>
  <si>
    <t>Lucros Acumulados</t>
  </si>
  <si>
    <t>Dividendos Adicionais Propostos</t>
  </si>
  <si>
    <t>INVESTIMENTOS</t>
  </si>
  <si>
    <t>CONSOLIDADO¹</t>
  </si>
  <si>
    <t>Para Negociação</t>
  </si>
  <si>
    <t>Pré-fixado</t>
  </si>
  <si>
    <t>Pós-fixado</t>
  </si>
  <si>
    <t>Inflação</t>
  </si>
  <si>
    <t>Quotas de fundos</t>
  </si>
  <si>
    <t xml:space="preserve">         Pós-fixado</t>
  </si>
  <si>
    <t xml:space="preserve">          Inflação</t>
  </si>
  <si>
    <t xml:space="preserve">          Outros</t>
  </si>
  <si>
    <t>Compromissadas</t>
  </si>
  <si>
    <t>Disponível para venda</t>
  </si>
  <si>
    <t>Mantidos até o vencimento</t>
  </si>
  <si>
    <t>Total</t>
  </si>
  <si>
    <t>¹Aplicações financeiras totais, não ponderadas pelas participações societárias.</t>
  </si>
  <si>
    <t>CNP Seguros Holding Brasil S.A.² (Consolidado) (R$ Mil)</t>
  </si>
  <si>
    <r>
      <t xml:space="preserve">²Contempla as parcerias em </t>
    </r>
    <r>
      <rPr>
        <i/>
        <sz val="8"/>
        <rFont val="Calibri"/>
        <family val="2"/>
        <scheme val="minor"/>
      </rPr>
      <t>run-off</t>
    </r>
    <r>
      <rPr>
        <sz val="8"/>
        <rFont val="Calibri"/>
        <family val="2"/>
        <scheme val="minor"/>
      </rPr>
      <t xml:space="preserve"> da Caixa Seguridade (Caixa Seguros, Capitalização, Consórcio, Odonto e Saúde)</t>
    </r>
  </si>
  <si>
    <t>Holding XS1³ (Consolidado) (R$ Mil)</t>
  </si>
  <si>
    <t>³Consideradas as aplicações financeiras das empresas excluindo os ativos dos produtos PGBL e VGBL</t>
  </si>
  <si>
    <t>XS4 Capitalização (R$ Mil)</t>
  </si>
  <si>
    <t>XS5 Consórcio (R$ Mil)</t>
  </si>
  <si>
    <t>XS6 Assistência (R$ Mil)</t>
  </si>
  <si>
    <t>CAIXA SEGURIDADE</t>
  </si>
  <si>
    <t>PREVIDÊNCIA</t>
  </si>
  <si>
    <t>Títulos Públicos</t>
  </si>
  <si>
    <t>Crédito Bancário</t>
  </si>
  <si>
    <t>Corporativos / Securitizados</t>
  </si>
  <si>
    <t>Ações/outros</t>
  </si>
  <si>
    <t>RENTABILIDADE DA CARTEIRA DE INVESTIMENTOS</t>
  </si>
  <si>
    <t>Rentabilidade</t>
  </si>
  <si>
    <t>CDI</t>
  </si>
  <si>
    <t xml:space="preserve">Rentabilidade (%) CDI </t>
  </si>
  <si>
    <t>Rentabilidade Anualizada</t>
  </si>
  <si>
    <t>CDI Anualizado</t>
  </si>
  <si>
    <t>Rentabilidade (%) CDI Anualizada</t>
  </si>
  <si>
    <t>Yield Médio Prefixado</t>
  </si>
  <si>
    <t>Yield Médio Prefixado % CDI</t>
  </si>
  <si>
    <t>**Os investimentos das empresas TOO e Pan Corretora não foram considerados.</t>
  </si>
  <si>
    <r>
      <rPr>
        <sz val="18"/>
        <color theme="0"/>
        <rFont val="Calibri Light"/>
        <family val="2"/>
        <scheme val="major"/>
      </rPr>
      <t>DESEMPENHO COMERCIAL</t>
    </r>
    <r>
      <rPr>
        <b/>
        <sz val="18"/>
        <color theme="0"/>
        <rFont val="Calibri"/>
        <family val="2"/>
        <scheme val="minor"/>
      </rPr>
      <t xml:space="preserve">
NEGÓCIOS DE SEGUROS</t>
    </r>
  </si>
  <si>
    <t>TODOS OS RAMOS (R$ MIL)</t>
  </si>
  <si>
    <t xml:space="preserve">   Prêmios emitido</t>
  </si>
  <si>
    <t>PRÊMIOS GANHOS</t>
  </si>
  <si>
    <t xml:space="preserve">      Resseguro</t>
  </si>
  <si>
    <t>MARGEM OPERACIONAL</t>
  </si>
  <si>
    <t>Índice de Sinistralidade</t>
  </si>
  <si>
    <t>Índice de Comissionamento</t>
  </si>
  <si>
    <t>HABITACIONAL (R$ MIL)</t>
  </si>
  <si>
    <t xml:space="preserve">   Prêmios emitidos</t>
  </si>
  <si>
    <t>HABITACIONAL - XS3 (R$ MIL)*</t>
  </si>
  <si>
    <t>* Informações consolidadas do  ramo Habitacional e Residencial podem ser consultadas na DRE Novas Parcerias - XS3 SEGUROS.</t>
  </si>
  <si>
    <t>HABITACIONAL - CNP SEGURADORA (R$ MIL)*</t>
  </si>
  <si>
    <t>* Informações sobre Habitacional podem ser consultadas de forma consolidada com Auto, Empresarial, Outros, Prestamista, Residencial, Vida na DRE Antigas Parcerias CAIXA - Caixa Seguradora.</t>
  </si>
  <si>
    <t>RESIDENCIAL (R$ MIL)</t>
  </si>
  <si>
    <t>RESIDENCIAL - XS3 (R$ MIL)*</t>
  </si>
  <si>
    <t>RESIDENCIAL - CNP SEGURADORA (R$ mil)*</t>
  </si>
  <si>
    <t>* Informações sobre Residencial podem ser consultadas de forma consolidada com Auto, Empresarial, Outros, Prestamista, Habitacional, Vida na DRE Antigas Parcerias CAIXA - Caixa Seguradora.</t>
  </si>
  <si>
    <t>PRESTAMISTA (R$ MIL)</t>
  </si>
  <si>
    <t>PRESTAMISTA - Caixa Vida e Previdência  (R$ mil)*</t>
  </si>
  <si>
    <t xml:space="preserve">* Informações de Prestamista consolidadas com Outros, Previdência e Vida podem ser consultadas na DRE Novas Parcerias - Caixa Vida &amp; Previdência </t>
  </si>
  <si>
    <t>PRESTAMISTA - CNP Seguradora (R$ mil)*</t>
  </si>
  <si>
    <t>* Informações sobre Prestamista podem ser consultadas de forma consolidada com Auto, Empresarial, Habitacional, Outros, Residencial, Vida na DRE Antigas Parcerias CAIXA - Caixa Seguradora.</t>
  </si>
  <si>
    <t>PRESTAMISTA - XS2 Participações (R$ mil)*</t>
  </si>
  <si>
    <t>* Informações dos ramos de Prestamista, Vida e Outros estão consolidadas na DRE Novas Parcerias - XS2 Participações.</t>
  </si>
  <si>
    <t>VIDA (R$ MIL)*</t>
  </si>
  <si>
    <t>* No 3T22, a produção do ramo Acidentes Pessoais migrou para Vida, com os dados históricos devidamente atualizados.</t>
  </si>
  <si>
    <t>VIDA - Caixa Vida e Previdência (R$ MIL)*</t>
  </si>
  <si>
    <t>* Informações podem ser consultadas de forma consolidada com Outros, Previdência e Prestamista na DRE Novas Parcerias - Caixa Vida &amp; Previdência.</t>
  </si>
  <si>
    <t>VIDA - CNP Seguradora (R$ MIL)*</t>
  </si>
  <si>
    <t>* Informações sobre Vida podem ser consultadas de forma consolidada com Auto, Empresarial, Habitacional, Outros, Prestamista, Residencial na DRE Antigas Parcerias CAIXA - Caixa Seguradora.</t>
  </si>
  <si>
    <t>VIDA - XS2 Participações (R$ MIL)*</t>
  </si>
  <si>
    <t>ASSISTÊNCIA(R$ MIL)*</t>
  </si>
  <si>
    <t>* Informações de Assitência podem ser consultadas na DRE Novas Parcerias - XS6 Assistência.</t>
  </si>
  <si>
    <t>OUTROS NÃO ESTRATÉGICOS (MIL)</t>
  </si>
  <si>
    <t>AUTO (R$ MIL)</t>
  </si>
  <si>
    <t>* Informações sobre Auto podem ser consultadas de forma consolidada com Empresarial, Habitacional, Outros, Prestamista, Residencial na DRE Antigas Parcerias CAIXA - Caixa Seguradora.</t>
  </si>
  <si>
    <t>EMPRESARIAL (R$ MIL)</t>
  </si>
  <si>
    <t>* Informações sobre Empresarial podem ser consultadas de forma consolidada com Auto, Habitacional, Outros, Prestamista, Residencial na DRE Antigas Parcerias CAIXA - Caixa Seguradora.</t>
  </si>
  <si>
    <t>OUTROS (R$ MIL)*</t>
  </si>
  <si>
    <t>* No 2T22 a produção do ramo Rural migrou de Outros para Prestamista, com os dados históricos devidamente atualizados.</t>
  </si>
  <si>
    <t xml:space="preserve">** Reprocessamentos do dados do 1T23 </t>
  </si>
  <si>
    <t>SINISTROS OCORRIDOS</t>
  </si>
  <si>
    <r>
      <t xml:space="preserve">TODOS OS RAMOS </t>
    </r>
    <r>
      <rPr>
        <sz val="11"/>
        <color theme="0"/>
        <rFont val="Calibri"/>
        <family val="2"/>
        <scheme val="minor"/>
      </rPr>
      <t>(R$ MIL)</t>
    </r>
  </si>
  <si>
    <t xml:space="preserve">      Sinistros</t>
  </si>
  <si>
    <t xml:space="preserve">      Recuperação de Sinistros</t>
  </si>
  <si>
    <t xml:space="preserve">      Ressarcimento</t>
  </si>
  <si>
    <t xml:space="preserve">      Variação de IBNR</t>
  </si>
  <si>
    <t xml:space="preserve">      Serviços de Assistência</t>
  </si>
  <si>
    <r>
      <t xml:space="preserve">HABITACIONAL </t>
    </r>
    <r>
      <rPr>
        <sz val="11"/>
        <color theme="0"/>
        <rFont val="Calibri"/>
        <family val="2"/>
        <scheme val="minor"/>
      </rPr>
      <t>(R$ MIL)</t>
    </r>
  </si>
  <si>
    <t>HABITACIONAL XS3 (R$ MIL)</t>
  </si>
  <si>
    <t>HABITACIONAL CAIXA SEGURADORA (R$ MIL)</t>
  </si>
  <si>
    <r>
      <t xml:space="preserve">RESIDENCIAL </t>
    </r>
    <r>
      <rPr>
        <sz val="11"/>
        <color theme="0"/>
        <rFont val="Calibri"/>
        <family val="2"/>
        <scheme val="minor"/>
      </rPr>
      <t>(R$ MIL)</t>
    </r>
  </si>
  <si>
    <t>RESIDENCIAL XS3 (R$ MIL)</t>
  </si>
  <si>
    <t>RESIDENCIAL Seguradora (R$ MIL)</t>
  </si>
  <si>
    <r>
      <t xml:space="preserve">PRESTAMISTA </t>
    </r>
    <r>
      <rPr>
        <sz val="11"/>
        <color theme="0"/>
        <rFont val="Calibri"/>
        <family val="2"/>
        <scheme val="minor"/>
      </rPr>
      <t>(R$ MIL)</t>
    </r>
  </si>
  <si>
    <t>PRESTAMISTA - XS1 (R$ MIL)</t>
  </si>
  <si>
    <t>PRESTAMISTA - Caixa Vida e Previdência  (R$ mil)</t>
  </si>
  <si>
    <t>PRESTAMISTA - CNP Seguradora (R$ mil)</t>
  </si>
  <si>
    <t>PRESTAMISTA - XS2 Participações (R$ mil)</t>
  </si>
  <si>
    <r>
      <t xml:space="preserve">VIDA </t>
    </r>
    <r>
      <rPr>
        <sz val="11"/>
        <color theme="0"/>
        <rFont val="Calibri"/>
        <family val="2"/>
        <scheme val="minor"/>
      </rPr>
      <t>(R$ MIL)</t>
    </r>
  </si>
  <si>
    <t xml:space="preserve">VIDA - XS1  (R$ MIL) </t>
  </si>
  <si>
    <t xml:space="preserve">VIDA Caixa Vida e Previdência - (R$ MIL) </t>
  </si>
  <si>
    <t xml:space="preserve">VIDA - CNP Seguradora (R$ MIL) </t>
  </si>
  <si>
    <t>VIDA  - XS2 Participações (R$ MIL)</t>
  </si>
  <si>
    <r>
      <t>OUTROS NÃO ESTRATÉGICOS</t>
    </r>
    <r>
      <rPr>
        <sz val="11"/>
        <color theme="0"/>
        <rFont val="Calibri"/>
        <family val="2"/>
        <scheme val="minor"/>
      </rPr>
      <t xml:space="preserve"> (MIL)</t>
    </r>
  </si>
  <si>
    <t>OUTROS (R$ MIL)</t>
  </si>
  <si>
    <r>
      <rPr>
        <sz val="18"/>
        <color theme="0"/>
        <rFont val="Calibri Light"/>
        <family val="2"/>
        <scheme val="major"/>
      </rPr>
      <t>DESEMPENHO COMERCIAL</t>
    </r>
    <r>
      <rPr>
        <b/>
        <sz val="18"/>
        <color theme="0"/>
        <rFont val="Calibri"/>
        <family val="2"/>
        <scheme val="minor"/>
      </rPr>
      <t xml:space="preserve">
NEGÓCIOS DE ACUMULAÇÃO</t>
    </r>
  </si>
  <si>
    <r>
      <t xml:space="preserve">PREVIDÊNCIA </t>
    </r>
    <r>
      <rPr>
        <sz val="11"/>
        <color theme="0"/>
        <rFont val="Calibri"/>
        <family val="2"/>
        <scheme val="minor"/>
      </rPr>
      <t>(R$ MIL)</t>
    </r>
  </si>
  <si>
    <t>Receitas de planos de previdência</t>
  </si>
  <si>
    <t>Contribuições Recebidas - Renda</t>
  </si>
  <si>
    <t>Prêmios Emitidos - Risco</t>
  </si>
  <si>
    <t>Variações das provisões técnicas de previdência</t>
  </si>
  <si>
    <t>RECEITAS LÍQUIDAS DE PLANOS DE PREVIDÊNCIA</t>
  </si>
  <si>
    <t>Rendas com taxas de gestão e outras taxas</t>
  </si>
  <si>
    <t>Sinistros ocorridos/despesas de benefícios</t>
  </si>
  <si>
    <t>Custos de aquisição</t>
  </si>
  <si>
    <t>Outras receitas e despesas operacionais</t>
  </si>
  <si>
    <t>Resgates</t>
  </si>
  <si>
    <t>Taxa de Comissionamento</t>
  </si>
  <si>
    <t>Taxa Média de Administração</t>
  </si>
  <si>
    <t>Índice de Resgate</t>
  </si>
  <si>
    <t>MARGEM OPERACIONAL  (ex-Earn-out + LPC)**</t>
  </si>
  <si>
    <t>Taxa de Comissionamento  (ex-Earn-out + LPC)**</t>
  </si>
  <si>
    <t>* Informações de Previdência podem ser consultadas na DRE Novas Parcerias - Caixa Vida &amp; Previdência.
**Maiores informações disponíveis na planilha Earn-out e LPC</t>
  </si>
  <si>
    <r>
      <t xml:space="preserve">CAPITALIZAÇÃO </t>
    </r>
    <r>
      <rPr>
        <sz val="11"/>
        <color theme="0"/>
        <rFont val="Calibri"/>
        <family val="2"/>
        <scheme val="minor"/>
      </rPr>
      <t>(R$ MIL)</t>
    </r>
  </si>
  <si>
    <t>Arrecadação com títulos de capitalização</t>
  </si>
  <si>
    <t xml:space="preserve">   Pagamento Mensal</t>
  </si>
  <si>
    <t xml:space="preserve">   Pagamento Único</t>
  </si>
  <si>
    <t>Variação da provisão para resgate / Variação das provisões técnicas</t>
  </si>
  <si>
    <t>Variação da provisão para resgate</t>
  </si>
  <si>
    <t>Receita líquida com títulos de capitalização</t>
  </si>
  <si>
    <t>Resultado com sorteio</t>
  </si>
  <si>
    <t xml:space="preserve">   Taxa de Comissionamento</t>
  </si>
  <si>
    <t>* Informações são resultados do somatório das empresas DRE Novas Parcerias -  XS4 Capitalização, e DRE ANTIGA PARCERIA CAIXA - CNP Capitalização.
**A partir do 1T24, a Taxa de Comissionamento passa a considerar o total de Arrecadação com títulos de Capitalização.</t>
  </si>
  <si>
    <r>
      <t xml:space="preserve">CNP Capitalização </t>
    </r>
    <r>
      <rPr>
        <sz val="11"/>
        <color theme="0"/>
        <rFont val="Calibri"/>
        <family val="2"/>
        <scheme val="minor"/>
      </rPr>
      <t>(R$ MIL)</t>
    </r>
  </si>
  <si>
    <t xml:space="preserve">   Pagamento Mensal (R$)</t>
  </si>
  <si>
    <t xml:space="preserve">   Pagamento Único (R$)</t>
  </si>
  <si>
    <t xml:space="preserve">   Taxa Média</t>
  </si>
  <si>
    <t>* Informações podem ser consultadas na DRE ANTIGA PARCERIA CAIXA, CNP Capitalização.</t>
  </si>
  <si>
    <r>
      <t xml:space="preserve">XS4 Capitalização </t>
    </r>
    <r>
      <rPr>
        <sz val="11"/>
        <color theme="0"/>
        <rFont val="Calibri"/>
        <family val="2"/>
        <scheme val="minor"/>
      </rPr>
      <t>(R$ MIL)</t>
    </r>
  </si>
  <si>
    <t>* Informações podem ser consultadas na DRE Novas Parcerias - XS4 Capitalização.
**A partir do 1T24, a Taxa de Comissionamento passa a considerar o total de Arrecadação com títulos de Capitalização, com reprocessamento do histórico.</t>
  </si>
  <si>
    <r>
      <t xml:space="preserve">CONSÓRCIO </t>
    </r>
    <r>
      <rPr>
        <sz val="11"/>
        <color theme="0"/>
        <rFont val="Calibri"/>
        <family val="2"/>
        <scheme val="minor"/>
      </rPr>
      <t>(R$ MIL)</t>
    </r>
  </si>
  <si>
    <t>Recursos Coletados de Consórcios</t>
  </si>
  <si>
    <t xml:space="preserve">     Receitas da operação</t>
  </si>
  <si>
    <t xml:space="preserve">     Custos/Despesas da operação</t>
  </si>
  <si>
    <t>Cartas de Crédito Veículos</t>
  </si>
  <si>
    <t>Cartas de Crédito Imóveis</t>
  </si>
  <si>
    <t>Cartas de Crédito Veículos (R$)</t>
  </si>
  <si>
    <t>Cartas de Crédito Imóveis (R$)</t>
  </si>
  <si>
    <t>* Informações são resultados do somatório das empresas DRE Novas Parcerias - XS5 Consórcio e DRE ANTIGA PARCERIA CAIXA - CNP Consórcio.
** Dados reprocessados em função da Resolução BCB n° 120/2021.</t>
  </si>
  <si>
    <r>
      <t xml:space="preserve">CNP Consórcio </t>
    </r>
    <r>
      <rPr>
        <sz val="11"/>
        <color theme="0"/>
        <rFont val="Calibri"/>
        <family val="2"/>
        <scheme val="minor"/>
      </rPr>
      <t>(R$ MIL)</t>
    </r>
  </si>
  <si>
    <t>* Informações podem ser consultadas na DRE ANTIGA PARCERIA CAIXA - CNP Consórcio.
** Dados reprocessados em função da Resolução BCB n° 120/2021.</t>
  </si>
  <si>
    <r>
      <t xml:space="preserve">XS5 Consórcios </t>
    </r>
    <r>
      <rPr>
        <sz val="11"/>
        <color theme="0"/>
        <rFont val="Calibri"/>
        <family val="2"/>
        <scheme val="minor"/>
      </rPr>
      <t>(R$ MIL)</t>
    </r>
  </si>
  <si>
    <t xml:space="preserve">     Custos/Despesas da operação***</t>
  </si>
  <si>
    <t>Estoque</t>
  </si>
  <si>
    <t>* Informações podem ser consultadas na DRE Novas Parcerias, XS5 Consórcio.
** Dados reprocessados em função da Resolução BCB n° 120/2021.</t>
  </si>
  <si>
    <t>*** A partir do 4T22 os custos com comissionamento passam a compor Custos/Despesas da Operação com reprocessamento dos dados históricos.</t>
  </si>
  <si>
    <t>EARN-OUT E LPC</t>
  </si>
  <si>
    <t>Earn-out + LPC</t>
  </si>
  <si>
    <t>Despesa financeira</t>
  </si>
  <si>
    <t>Efeito margem operacional</t>
  </si>
  <si>
    <t>(-) Tributos</t>
  </si>
  <si>
    <t>Efeito lucro XS1</t>
  </si>
  <si>
    <t>Earn-out¹</t>
  </si>
  <si>
    <t>Efeito lucro XS2</t>
  </si>
  <si>
    <t>¹ registrado como custo de aquisição na XS2 Vida e Previdência a partir de 3T22</t>
  </si>
  <si>
    <t>LPC²</t>
  </si>
  <si>
    <t>Efeito lucro CVP</t>
  </si>
  <si>
    <t>² registrado como custo de aquisição na Caixa Vida e Previdência a partir de 3T22</t>
  </si>
  <si>
    <r>
      <t xml:space="preserve">Indicadores Operacionais Gerenciais de Previdência </t>
    </r>
    <r>
      <rPr>
        <sz val="11"/>
        <color theme="0"/>
        <rFont val="Calibri"/>
        <family val="2"/>
        <scheme val="minor"/>
      </rPr>
      <t>(R$ Mil)</t>
    </r>
  </si>
  <si>
    <t>Variações das provisões técnicas</t>
  </si>
  <si>
    <t>RECEITAS LÍQUIDAS CONTRIBUIÇÕES E PRÊMIOS</t>
  </si>
  <si>
    <t>Custos de aquisição (ex-Earn-out + LPC)</t>
  </si>
  <si>
    <t>MARGEM OPERACIONAL  (ex-Earn-out + LPC)</t>
  </si>
  <si>
    <t>Taxa de Comissionamento  (ex-Earn-out + LPC)</t>
  </si>
  <si>
    <t>Custos/Despesas da operação (ex-Earn-out + LPC)</t>
  </si>
  <si>
    <t>Margem operacional (ex-Earn-out + LPC)</t>
  </si>
  <si>
    <t xml:space="preserve">   Resultado financeiro (ex-Earn-out + LPC)</t>
  </si>
  <si>
    <t xml:space="preserve">     Imposto de renda e contribuição social (ex-Earn-out + LPC)</t>
  </si>
  <si>
    <t>Lucro líquido XS1 Ajustado (ex-Earn-out + LPC)</t>
  </si>
  <si>
    <t>Lucro gerencial atribuível à seguridade</t>
  </si>
  <si>
    <t>Lucro líquido contábil XS1</t>
  </si>
  <si>
    <t>Ajuste LPC</t>
  </si>
  <si>
    <t>Resultado de investimentos em participações societárias³</t>
  </si>
  <si>
    <t>³ Passou a contemplar ajuste do efeito da LPC e Earn-out a partir de 2T22</t>
  </si>
  <si>
    <t>INFORMAÇÕES ADICIONAIS</t>
  </si>
  <si>
    <t>Números da CAIXA</t>
  </si>
  <si>
    <t>Quantidade de Clientes (mil)</t>
  </si>
  <si>
    <t>Pessoa Física</t>
  </si>
  <si>
    <t>Pessoa Jurídica</t>
  </si>
  <si>
    <t>Pontos de atendimento</t>
  </si>
  <si>
    <t>Agências</t>
  </si>
  <si>
    <t>PA (Postos de Atendimento)</t>
  </si>
  <si>
    <t>Correspondentes CAIXA Aqui</t>
  </si>
  <si>
    <t>Lotéricos</t>
  </si>
  <si>
    <t>Máquinas de autoatendimento</t>
  </si>
  <si>
    <t>Crédito Amplo (R$ milhões)</t>
  </si>
  <si>
    <t>Comercial Pessoa Física</t>
  </si>
  <si>
    <t>Comercial Pessoa Jurídica</t>
  </si>
  <si>
    <t>Habitação</t>
  </si>
  <si>
    <t>Infraestrutura</t>
  </si>
  <si>
    <t>Agronegócio</t>
  </si>
  <si>
    <t>Empregados</t>
  </si>
  <si>
    <t>Números da Caixa Seguridade</t>
  </si>
  <si>
    <t>Capitalização</t>
  </si>
  <si>
    <t>Seguro Habitacional</t>
  </si>
  <si>
    <t>Contratos ativos</t>
  </si>
  <si>
    <t>Seguro Prestamista</t>
  </si>
  <si>
    <t>Seguro Vida</t>
  </si>
  <si>
    <t>Seguro Residencial</t>
  </si>
  <si>
    <t>Empregados habilitados</t>
  </si>
  <si>
    <t>Parceiros habilitados</t>
  </si>
  <si>
    <t>MOVIMENTAÇÃO 
DAS PROVISÕES TÉCNICAS</t>
  </si>
  <si>
    <t>CAPITALIZAÇÃO -  XS4 Capitalização (R$ Mil)</t>
  </si>
  <si>
    <t>Provisão para Capitalização</t>
  </si>
  <si>
    <t>Saldo Inicial</t>
  </si>
  <si>
    <t xml:space="preserve">  Constituições</t>
  </si>
  <si>
    <t xml:space="preserve">  Cancelamentos</t>
  </si>
  <si>
    <t xml:space="preserve">  Transferências</t>
  </si>
  <si>
    <t xml:space="preserve">  Atualização Mon + Juros</t>
  </si>
  <si>
    <t>Saldo Final</t>
  </si>
  <si>
    <t>Provisão para Resgates</t>
  </si>
  <si>
    <t xml:space="preserve">  Pagamentos</t>
  </si>
  <si>
    <t xml:space="preserve">  Penalidade </t>
  </si>
  <si>
    <t xml:space="preserve">  Prescrição</t>
  </si>
  <si>
    <t>INDICATORS</t>
  </si>
  <si>
    <t>INDICADORES</t>
  </si>
  <si>
    <t>3T23/3T22</t>
  </si>
  <si>
    <t>3T23/2T23</t>
  </si>
  <si>
    <t>OTHER HOLDINGS</t>
  </si>
  <si>
    <t>OUTRAS PARTICIPAÇÕES</t>
  </si>
  <si>
    <t>Others CNP</t>
  </si>
  <si>
    <t>CAIXA VIDA E PREVIDÊNCIA (R$ Mil)</t>
  </si>
  <si>
    <t>VGBL</t>
  </si>
  <si>
    <t>PMBAC - Provisão Matemática de Benefícios A Conceder</t>
  </si>
  <si>
    <t>PMBC - Provisão Matemática de Benefícios Concedidos</t>
  </si>
  <si>
    <t>PPNG - Provisão de Prêmios Não Ganhos</t>
  </si>
  <si>
    <t>PVR - Provisão de Resgates e Outros Valores a Regularizar</t>
  </si>
  <si>
    <t>PSL - Provisão de Sinistros A Liquidar</t>
  </si>
  <si>
    <t>PEF - Provisão De Excedente Financeiro</t>
  </si>
  <si>
    <t>IBNR - Provisão de Sinistros Ocorridos Mas Não Avisados</t>
  </si>
  <si>
    <t>PDR - Provisão de Despesas Relacionadas</t>
  </si>
  <si>
    <t>PDC - Provisão para Despesa Complementar</t>
  </si>
  <si>
    <t>PGBL</t>
  </si>
  <si>
    <t>TRADICIONAL</t>
  </si>
  <si>
    <t>RISCOS</t>
  </si>
  <si>
    <t>OUTRAS PROVISÕES</t>
  </si>
  <si>
    <t>OUTRAS PROVISÕES TÉCNICAS - PREVIDÊNCIA COMPLEMENTAR</t>
  </si>
  <si>
    <t>PROVISÃO MATEMÁTICA DE BENEFÍCIOS A CONCEDER</t>
  </si>
  <si>
    <t>PROVISÃO MATEMÁTICA DE BENEFÍCIOS CONCEDIDOS</t>
  </si>
  <si>
    <t>PPNG - PROVISÃO DE PRÊMIOS NÃO GANHOS</t>
  </si>
  <si>
    <t>PSL - PROVISÃO DE SINISTROS A LIQUIDAR</t>
  </si>
  <si>
    <t>IBNR - PROVISÃO DE SINISTROS OCORRIDOS MAS NÃO AVISADOS</t>
  </si>
  <si>
    <t>PDR - PROVISÃO DE DESPESAS RELACIONADAS</t>
  </si>
  <si>
    <t>TOTAL</t>
  </si>
  <si>
    <t>XS2 PARTICIPAÇÕES (R$ Mil)</t>
  </si>
  <si>
    <t>Outras Provisões</t>
  </si>
  <si>
    <t>Outras Provisões Técnicas - Previdência Complementar</t>
  </si>
  <si>
    <t>CNP SEGURADORA (R$ Mil)</t>
  </si>
  <si>
    <t>XS4 CAPITALIZAÇÃO (R$ Mil)</t>
  </si>
  <si>
    <t>Provisão Matemática para Capitalização</t>
  </si>
  <si>
    <t>Provisão para Resgate Antecipado de Títulos</t>
  </si>
  <si>
    <t>Provisão para Resgate de Títulos Vencidos</t>
  </si>
  <si>
    <t>Provisão para Sorteio a Pagar</t>
  </si>
  <si>
    <t>Provisão para Sorteio a Realizar</t>
  </si>
  <si>
    <t>INDICADORES DE LIQUIDEZ</t>
  </si>
  <si>
    <t>HOLDING XS1</t>
  </si>
  <si>
    <t xml:space="preserve">CAIXA VIDA E PREVIDÊNCIA </t>
  </si>
  <si>
    <t>Patrimônio Líquido Ajustado</t>
  </si>
  <si>
    <t>Capital Mínimo Requerido</t>
  </si>
  <si>
    <t>Suficiência de Capital</t>
  </si>
  <si>
    <t>Ativos Garantidores</t>
  </si>
  <si>
    <t>Total a ser Coberto</t>
  </si>
  <si>
    <t>% Cobertura Provisões Técnicas</t>
  </si>
  <si>
    <t>XS4 CAPITALIZAÇÃO</t>
  </si>
  <si>
    <t>CAIXA SEGURADORA</t>
  </si>
  <si>
    <t>SEGMENTOS - CÓDIGO SUSEP</t>
  </si>
  <si>
    <t>Credit Life Insurance</t>
  </si>
  <si>
    <t>Life Insurance</t>
  </si>
  <si>
    <t>Residential / Homeowner</t>
  </si>
  <si>
    <t>Business</t>
  </si>
  <si>
    <t>Others</t>
  </si>
  <si>
    <t>Empresarial</t>
  </si>
  <si>
    <t>1061 - Seg.Habit.Apól. Merc. - Prestamista</t>
  </si>
  <si>
    <t>0977 - Prestamista (exceto Habit e Rural)</t>
  </si>
  <si>
    <t>0929  -  Funeral</t>
  </si>
  <si>
    <t>0114 - Compreensivo Residencial</t>
  </si>
  <si>
    <t>0520 - Acidentes Pessoais Passageiros-APP</t>
  </si>
  <si>
    <t>0118 - Compreensivo Empresarial</t>
  </si>
  <si>
    <t>0111 - Incêndio Tradicional</t>
  </si>
  <si>
    <t>1065 - Seg.Habit.Apól.Merc.-Demais Cobert.</t>
  </si>
  <si>
    <t>1377 - Prestamista (exceto Habit. E Rural)</t>
  </si>
  <si>
    <t>0936 - Perda Certif. Habilit. de Vôo-PCHV</t>
  </si>
  <si>
    <t>0524 - Garantia Est./ Exten. Garantia–Auto</t>
  </si>
  <si>
    <t>0112 - Assistência - Bens em Geral</t>
  </si>
  <si>
    <t>1068 - Habitacional - Fora do SFH</t>
  </si>
  <si>
    <t>1198 - Seguro de Vida do Produtor Rural</t>
  </si>
  <si>
    <t>0969 -  Viagem</t>
  </si>
  <si>
    <t>0525 - Carta Verde</t>
  </si>
  <si>
    <t>0113 - VIDROS</t>
  </si>
  <si>
    <t>0980 -  Educacional</t>
  </si>
  <si>
    <t>0526 - Seguro Popular de Automóvel Usado</t>
  </si>
  <si>
    <t>0115 - Roubo</t>
  </si>
  <si>
    <t>0983  - Dotal Misto</t>
  </si>
  <si>
    <t>0531 - Automóvel - Casco</t>
  </si>
  <si>
    <t>0116 - Compreensivo Condomínio</t>
  </si>
  <si>
    <t>0984  - Doenças Graves ou Doença Terminal</t>
  </si>
  <si>
    <t>0542 - Assistência e Outras Cobert. - Auto</t>
  </si>
  <si>
    <t>0117 - TUMULTOS</t>
  </si>
  <si>
    <t>0986  - Dotal Puro</t>
  </si>
  <si>
    <t>0553 - R. C. Facultativa Veículos - RCFV</t>
  </si>
  <si>
    <t>0141 - LUCROS CESSANTES</t>
  </si>
  <si>
    <t>0987  - Desemprego/Perda de Renda</t>
  </si>
  <si>
    <t>0544 - TCT Viagens Internacionais</t>
  </si>
  <si>
    <t>0142 - LUCROS CESSANTES COBERTURA SIMPLES</t>
  </si>
  <si>
    <t>0990 -  Eventos Aleatórios</t>
  </si>
  <si>
    <t>0143 - FIDELIDADE</t>
  </si>
  <si>
    <t>0991 - Vida</t>
  </si>
  <si>
    <t>0167 - RISCOS DE ENGENHARIA</t>
  </si>
  <si>
    <t>0993 - VIDA EM GRUPO</t>
  </si>
  <si>
    <t>0171 - RISCOS DIVERSOS</t>
  </si>
  <si>
    <t>0997 - VG/APC</t>
  </si>
  <si>
    <t>0173 - GLOBAL DE BANCOS</t>
  </si>
  <si>
    <t>1329 - Funeral</t>
  </si>
  <si>
    <t>0176 - RISCOS DIVERSOS - PLANOS CONJUGADOS</t>
  </si>
  <si>
    <t>1336 - Perda Certif. Habilit. de Vôo-PCHV</t>
  </si>
  <si>
    <t>0195 - Garantia Est./Ext.Gar-Bens em Geral</t>
  </si>
  <si>
    <t>1369 - Viagem</t>
  </si>
  <si>
    <t>0196 - Riscos Nomeados e Operacionais</t>
  </si>
  <si>
    <t>1383 - Dotal Misto</t>
  </si>
  <si>
    <t>0234 - Riscos de Petróleo</t>
  </si>
  <si>
    <t>1384 - Doenças Graves ou Doença Terminal</t>
  </si>
  <si>
    <t>0272 - Riscos Nucleares</t>
  </si>
  <si>
    <t>1386 - Dotal Puro</t>
  </si>
  <si>
    <t>0274 - Satélites</t>
  </si>
  <si>
    <t>1390 - Eventos Aleatórios</t>
  </si>
  <si>
    <t>0310 - R.C.Administradores e Diretores-D&amp;O</t>
  </si>
  <si>
    <t>1391 - Vida</t>
  </si>
  <si>
    <t>0313 - R. C. Riscos Ambientais</t>
  </si>
  <si>
    <t>2201 - Sobrevivência de Assistido</t>
  </si>
  <si>
    <t>0327 - Compreensivo Riscos Cibernéticos</t>
  </si>
  <si>
    <t>2202 - Fluxo Biométrico</t>
  </si>
  <si>
    <t>0351 - R. C. Geral</t>
  </si>
  <si>
    <t>2203 - Índice Biométrico</t>
  </si>
  <si>
    <t>0378 - R. C.  Profissional</t>
  </si>
  <si>
    <t>2293 - VIDA EFPC</t>
  </si>
  <si>
    <t>0433 - Marítimos</t>
  </si>
  <si>
    <t>0981 - Acidentes Pessoais - Individual</t>
  </si>
  <si>
    <t>0435 - Aeronáuticos</t>
  </si>
  <si>
    <t>0982 - Acidentes Pessoais</t>
  </si>
  <si>
    <t>0437 - Responsabilidade Civil Hangar</t>
  </si>
  <si>
    <t>1381 - Acidentes Pessoais</t>
  </si>
  <si>
    <t>0457 - DPEM</t>
  </si>
  <si>
    <t>0484 - AERONÁUTICOS - BILHETES</t>
  </si>
  <si>
    <t>0523 - RC T. Rod. Interest. e Internac.</t>
  </si>
  <si>
    <t>0583 - DPVAT EXTINTO</t>
  </si>
  <si>
    <t>0588 - DPVAT</t>
  </si>
  <si>
    <t>0589 - DPVAT Runoff</t>
  </si>
  <si>
    <t>0621 - TRANSPORTE NACIONAL</t>
  </si>
  <si>
    <t>0622 - TRANSPORTE INTERNACIONAL</t>
  </si>
  <si>
    <t>0623 - RCTR-P Interestadual/Internacional</t>
  </si>
  <si>
    <t>0628 - RCTR-P Municipal/Intermunicipal</t>
  </si>
  <si>
    <t>0632 - R.C.Trans.Carga Viag.Int.-RCTR-VI-C</t>
  </si>
  <si>
    <t>0638 - R.C.Trans. Ferroviário Carga–RCTF-C</t>
  </si>
  <si>
    <t>0644 - R.C. Viag.Int. Pessoas - Carta Azul</t>
  </si>
  <si>
    <t>0652 - R. C. Trans. Aéreo Carga - RCTA-C</t>
  </si>
  <si>
    <t>0654 - R.C. Trans. Rodoviário Carga–RCTR-C</t>
  </si>
  <si>
    <t>0655 - R.C. Trans. Desvio de Carga–RCF-DC</t>
  </si>
  <si>
    <t>0656 - R.C. Trans. Aquaviário Carga–RCA-C</t>
  </si>
  <si>
    <t>0658 - R.C.Operador Transp. Multi.-RCOTM-C</t>
  </si>
  <si>
    <t>0711 - RISCOS DIVERSOS FINANCEIROS</t>
  </si>
  <si>
    <t>0739 - Garantia Financeira</t>
  </si>
  <si>
    <t>0740 - Garantia de Obrigações Privadas</t>
  </si>
  <si>
    <t>0743 - Stop Loss</t>
  </si>
  <si>
    <t>0745 - Garantia de Obrigações Públicas</t>
  </si>
  <si>
    <t>0746 - FIANÇA LOCATÍCIA</t>
  </si>
  <si>
    <t>0747 - Garantia de concessões públicas</t>
  </si>
  <si>
    <t>0748 - CRÉDITO INTERNO</t>
  </si>
  <si>
    <t>0749 - CRÉDITO A EXPORTAÇÃO</t>
  </si>
  <si>
    <t>0750 - Garantia Judicial</t>
  </si>
  <si>
    <t>0775 - Garantia Segurado - Setor Público</t>
  </si>
  <si>
    <t>0776 - Garantia Segurado - Setor Privado</t>
  </si>
  <si>
    <t>0819 - Crédito a Exp Risco Comercial</t>
  </si>
  <si>
    <t>0848 - CRÉDITO INTERNO</t>
  </si>
  <si>
    <t>0849 - CRÉDITO À EXPORTAÇÃO</t>
  </si>
  <si>
    <t>0859 - Crédito a Exp Risco Político</t>
  </si>
  <si>
    <t>0860 - Crédito Doméstico  - Risco Comercial</t>
  </si>
  <si>
    <t>0870 -  Crédito Doméstico  - Risco PF</t>
  </si>
  <si>
    <t>0949 - CRÉDITO À EXPORTAÇÃO</t>
  </si>
  <si>
    <t>0996 - SEGURO DE VIDA UNIVERSAL</t>
  </si>
  <si>
    <t>1066 - Seg.Habit.Sist.Financ. da Habitação</t>
  </si>
  <si>
    <t>1101 - Seguro Agrícola sem cob. do FESR</t>
  </si>
  <si>
    <t>1102 - Seguro Agrícola com cob. do FESR</t>
  </si>
  <si>
    <t>1103 - Seguro Pecuário sem cob. do FESR</t>
  </si>
  <si>
    <t>1104 - Seguro Pecuário com cob. do FESR</t>
  </si>
  <si>
    <t>1105 - Seguro Aquícola sem cob. do FESR</t>
  </si>
  <si>
    <t>1106 - Seguro Aquícola com cob. do FESR</t>
  </si>
  <si>
    <t>1107 - Seguro Florestas sem cob. do FESR</t>
  </si>
  <si>
    <t>1108 - Seguro Florestas com cob. do FESR</t>
  </si>
  <si>
    <t>1109 - Seguro da Cédula do Produto Rural</t>
  </si>
  <si>
    <t>1128 - PECUÁRIO</t>
  </si>
  <si>
    <t>1129 - EQUÍCOLA</t>
  </si>
  <si>
    <t>1130 - Seguro Benf. e Prod. Agropecuários</t>
  </si>
  <si>
    <t>1161 - AGRÍCOLA</t>
  </si>
  <si>
    <t>1162 - Penhor Rural</t>
  </si>
  <si>
    <t>1163 - Penhor Rural Instit. Fin. Pub.</t>
  </si>
  <si>
    <t>1164 - Seguros Animais</t>
  </si>
  <si>
    <t>1165 - COMPREENSIVO DE FLORESTAS</t>
  </si>
  <si>
    <t>1279 - Seguros no Exterior</t>
  </si>
  <si>
    <t>1285 - Saúde Ressegurador Local</t>
  </si>
  <si>
    <t>1286 - SAÚDE INDIVIDUAL</t>
  </si>
  <si>
    <t>1287 - SAÚDE GRUPAL</t>
  </si>
  <si>
    <t>1299 - Sucursais no exterior</t>
  </si>
  <si>
    <t>1380 - Educacional</t>
  </si>
  <si>
    <t>1387 - Desemprego/Perda de Renda</t>
  </si>
  <si>
    <t>1396 - SEGURO DE VIDA UNIVERSAL</t>
  </si>
  <si>
    <t>1417 - Seg. Compreensivo Oper. Portuários</t>
  </si>
  <si>
    <t>1428 - R. C. Facult. para Embarcações-RCF</t>
  </si>
  <si>
    <t>1433 - Marítimos (Cascos)</t>
  </si>
  <si>
    <t>1457 - DPEM</t>
  </si>
  <si>
    <t>1528 - R. C. Facult. para Aeronaves - RCF</t>
  </si>
  <si>
    <t>1535 - Aeronáuticos (cascos)</t>
  </si>
  <si>
    <t>1537 - RESPONSABILIDADE CIVIL HANGAR</t>
  </si>
  <si>
    <t>1574 - SATÉLITES</t>
  </si>
  <si>
    <t>1597 - Resp. Explor. ou Transp. Aéreo-RETA</t>
  </si>
  <si>
    <t>1601 - Microsseguros de Pessoas</t>
  </si>
  <si>
    <t>1602 - Microsseguros de Danos</t>
  </si>
  <si>
    <t>1603 - Microsseguros - Previdência</t>
  </si>
  <si>
    <t>1734 - Riscos de Petróleo</t>
  </si>
  <si>
    <t>1872 - Riscos Nucleares</t>
  </si>
  <si>
    <t>1985 - SAÚDE</t>
  </si>
  <si>
    <t>2079 - ACEITAÇÃO NO EXTERIOR</t>
  </si>
  <si>
    <t>2199 - SUCURSAL NO EXTERIOR</t>
  </si>
  <si>
    <t>PARCERIAS CAIXA</t>
  </si>
  <si>
    <t>05631 - CAIXA SEGURADORA S.A.</t>
  </si>
  <si>
    <t>06653 - TOO SEGUROS S.A.</t>
  </si>
  <si>
    <t>08141 - CAIXA VIDA E PREVIDÊNCIA S.A.</t>
  </si>
  <si>
    <t>04421 - XS2 VIDA E PREVIDÊNCIA S.A.</t>
  </si>
  <si>
    <t>03476 - XS3 SEGUROS S.A.</t>
  </si>
  <si>
    <t>24872 - XS4 CAPITALIZAÇÃO S.A.</t>
  </si>
  <si>
    <r>
      <rPr>
        <sz val="18"/>
        <color theme="0"/>
        <rFont val="Calibri Light"/>
        <family val="2"/>
        <scheme val="major"/>
      </rPr>
      <t>DESEMPENHO COMERCIAL</t>
    </r>
    <r>
      <rPr>
        <b/>
        <sz val="18"/>
        <color theme="0"/>
        <rFont val="Calibri"/>
        <family val="2"/>
        <scheme val="minor"/>
      </rPr>
      <t xml:space="preserve">
NEGÓCIOS DE DISTRIBUIÇÃO</t>
    </r>
  </si>
  <si>
    <t>Receitas de Corretagem (R$ mil)</t>
  </si>
  <si>
    <t>Acumulação</t>
  </si>
  <si>
    <t>Seguros</t>
  </si>
  <si>
    <t>CORRETAGEM</t>
  </si>
  <si>
    <t>Assistência + Outros</t>
  </si>
  <si>
    <t>TOTAL (BDF + CORRETAGEM)</t>
  </si>
  <si>
    <t>Margem Operacional (R$ mil)</t>
  </si>
  <si>
    <t>MARGEM OPERACIONAL (Acumulação + Seguros)</t>
  </si>
  <si>
    <t>2T25</t>
  </si>
  <si>
    <t>3T25</t>
  </si>
  <si>
    <t>4T25</t>
  </si>
  <si>
    <t>2025</t>
  </si>
  <si>
    <r>
      <rPr>
        <sz val="18"/>
        <color theme="0"/>
        <rFont val="Calibri Light"/>
        <family val="2"/>
        <scheme val="major"/>
      </rPr>
      <t xml:space="preserve">DRE </t>
    </r>
    <r>
      <rPr>
        <b/>
        <sz val="18"/>
        <color theme="0"/>
        <rFont val="Calibri"/>
        <family val="2"/>
        <scheme val="minor"/>
      </rPr>
      <t>HOLDING SEGURIDADE</t>
    </r>
  </si>
  <si>
    <t xml:space="preserve">                                               </t>
  </si>
  <si>
    <r>
      <t xml:space="preserve">BALANÇO PATRIMONIAL - </t>
    </r>
    <r>
      <rPr>
        <b/>
        <sz val="18"/>
        <color theme="0"/>
        <rFont val="Calibri"/>
        <family val="2"/>
        <scheme val="minor"/>
      </rPr>
      <t>IFRS4</t>
    </r>
  </si>
  <si>
    <r>
      <t xml:space="preserve">BALANÇO PATRIMONIAL - </t>
    </r>
    <r>
      <rPr>
        <b/>
        <sz val="18"/>
        <color theme="0"/>
        <rFont val="Calibri"/>
        <family val="2"/>
        <scheme val="minor"/>
      </rPr>
      <t>IFRS17</t>
    </r>
  </si>
  <si>
    <r>
      <rPr>
        <sz val="18"/>
        <color theme="0"/>
        <rFont val="Calibri Light"/>
        <family val="2"/>
        <scheme val="major"/>
      </rPr>
      <t xml:space="preserve">DRE </t>
    </r>
    <r>
      <rPr>
        <b/>
        <sz val="18"/>
        <color theme="0"/>
        <rFont val="Calibri"/>
        <family val="2"/>
        <scheme val="minor"/>
      </rPr>
      <t>NEGÓCIOS DE DISTRIBUIÇÃO</t>
    </r>
  </si>
  <si>
    <t>1T26</t>
  </si>
  <si>
    <r>
      <rPr>
        <sz val="18"/>
        <color theme="0"/>
        <rFont val="Calibri Light"/>
        <family val="2"/>
        <scheme val="major"/>
      </rPr>
      <t>DRE CONTÁBIL</t>
    </r>
    <r>
      <rPr>
        <b/>
        <sz val="18"/>
        <color theme="0"/>
        <rFont val="Calibri"/>
        <family val="2"/>
        <scheme val="minor"/>
      </rPr>
      <t xml:space="preserve"> 
IFRS4</t>
    </r>
  </si>
  <si>
    <r>
      <rPr>
        <sz val="18"/>
        <color theme="0"/>
        <rFont val="Calibri Light"/>
        <family val="2"/>
        <scheme val="major"/>
      </rPr>
      <t xml:space="preserve">DRE CONTÁBIL 
</t>
    </r>
    <r>
      <rPr>
        <b/>
        <sz val="18"/>
        <color theme="0"/>
        <rFont val="Calibri"/>
        <family val="2"/>
        <scheme val="minor"/>
      </rPr>
      <t>IFRS17</t>
    </r>
  </si>
  <si>
    <r>
      <t>TOTAL PARCERIAS CAIXA</t>
    </r>
    <r>
      <rPr>
        <sz val="11"/>
        <color theme="0"/>
        <rFont val="Calibri"/>
        <family val="2"/>
        <scheme val="minor"/>
      </rPr>
      <t xml:space="preserve"> (R$ Mil)</t>
    </r>
  </si>
  <si>
    <t>SALDO DAS
PROVISÕES TÉCNICAS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</si>
</sst>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\ #,##0_-;\-\ #,##0_-;_-* &quot;-&quot;??_-;_-@_-"/>
    <numFmt numFmtId="166" formatCode="#,##0;\(#,##0\);\-"/>
    <numFmt numFmtId="167" formatCode="[$-416]mmm\-yy;@"/>
    <numFmt numFmtId="168" formatCode="0.0%"/>
    <numFmt numFmtId="169" formatCode="_(* #,##0_);_(* \(#,##0\);_(* &quot;-&quot;??_);_(@_)"/>
    <numFmt numFmtId="170" formatCode="_-* #,##0.000_-;\-* #,##0.000_-;_-* &quot;-&quot;??_-;_-@_-"/>
    <numFmt numFmtId="171" formatCode="\+0.0;\-0.0"/>
    <numFmt numFmtId="172" formatCode="0.0"/>
    <numFmt numFmtId="173" formatCode="_-* #,##0.0_-;\-* #,##0.0_-;_-* &quot;-&quot;??_-;_-@_-"/>
    <numFmt numFmtId="174" formatCode="#,##0.0"/>
    <numFmt numFmtId="175" formatCode="#,##0;\(#,##0\);&quot;-&quot;"/>
    <numFmt numFmtId="176" formatCode="_(* #,##0.0_);_(* \(#,##0.0\);_(* &quot;-&quot;??_);_(@_)"/>
    <numFmt numFmtId="177" formatCode="_-* #,##0.000_-;\-* #,##0.000_-;_-* &quot;-&quot;???_-;_-@_-"/>
    <numFmt numFmtId="178" formatCode="mmm\-yy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203764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Arial"/>
      <family val="2"/>
    </font>
    <font>
      <sz val="6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4081"/>
      <name val="Calibri"/>
      <family val="2"/>
      <scheme val="minor"/>
    </font>
    <font>
      <i/>
      <sz val="8"/>
      <name val="Calibri"/>
      <family val="2"/>
      <scheme val="minor"/>
    </font>
    <font>
      <sz val="7"/>
      <name val="Arial"/>
      <family val="2"/>
    </font>
    <font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2"/>
      <color rgb="FF014175"/>
      <name val="Tw Cen MT"/>
      <family val="2"/>
    </font>
    <font>
      <sz val="22"/>
      <color theme="2" tint="-0.749992370372631"/>
      <name val="Tw Cen MT"/>
      <family val="2"/>
    </font>
    <font>
      <b/>
      <sz val="22"/>
      <color theme="2" tint="-0.749992370372631"/>
      <name val="Tw Cen MT"/>
      <family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imes New Roman"/>
      <family val="2"/>
    </font>
    <font>
      <sz val="10"/>
      <name val="Times New Roman CE"/>
    </font>
    <font>
      <sz val="10"/>
      <color rgb="FF000000"/>
      <name val="Arial"/>
      <family val="2"/>
    </font>
    <font>
      <sz val="11"/>
      <color rgb="FF2F75B5"/>
      <name val="Calibri"/>
      <family val="2"/>
      <scheme val="minor"/>
    </font>
    <font>
      <b/>
      <sz val="12"/>
      <color rgb="FF2F75B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2"/>
      <color theme="5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2F75B5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 tint="4.9989318521683403E-2"/>
      <name val="Calibri"/>
      <family val="2"/>
      <scheme val="minor"/>
    </font>
    <font>
      <sz val="10"/>
      <color theme="1" tint="4.9989318521683403E-2"/>
      <name val="Arial"/>
      <family val="2"/>
    </font>
    <font>
      <sz val="18"/>
      <color theme="0"/>
      <name val="Calibri Light"/>
      <family val="2"/>
      <scheme val="major"/>
    </font>
    <font>
      <sz val="18"/>
      <color theme="0"/>
      <name val="Calibri"/>
      <family val="2"/>
      <scheme val="minor"/>
    </font>
    <font>
      <sz val="10"/>
      <name val="Arial"/>
      <family val="2"/>
    </font>
    <font>
      <b/>
      <sz val="11"/>
      <color theme="2" tint="-0.499984740745262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sz val="18"/>
      <color theme="0"/>
      <name val="Calibri Light"/>
      <family val="2"/>
      <scheme val="major"/>
    </font>
    <font>
      <sz val="9"/>
      <name val="Arial"/>
      <family val="2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1417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rgb="FFF1F5F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5CA9"/>
        <bgColor indexed="64"/>
      </patternFill>
    </fill>
    <fill>
      <patternFill patternType="solid">
        <fgColor rgb="FFD0E0E3"/>
        <bgColor indexed="64"/>
      </patternFill>
    </fill>
    <fill>
      <gradientFill>
        <stop position="0">
          <color rgb="FF005CA9"/>
        </stop>
        <stop position="1">
          <color rgb="FF49A193"/>
        </stop>
      </gradientFill>
    </fill>
    <fill>
      <patternFill patternType="solid">
        <fgColor rgb="FF49A193"/>
        <bgColor indexed="64"/>
      </patternFill>
    </fill>
    <fill>
      <patternFill patternType="solid">
        <fgColor rgb="FF005CA9"/>
        <bgColor auto="1"/>
      </patternFill>
    </fill>
    <fill>
      <patternFill patternType="solid">
        <fgColor theme="0" tint="-0.499984740745262"/>
        <bgColor auto="1"/>
      </patternFill>
    </fill>
    <fill>
      <patternFill patternType="solid">
        <fgColor rgb="FF49A193"/>
        <bgColor auto="1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/>
      </top>
      <bottom style="thin">
        <color theme="0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thin">
        <color theme="0" tint="-0.249977111117893"/>
      </bottom>
      <diagonal/>
    </border>
    <border>
      <left style="thin">
        <color rgb="FF006699"/>
      </left>
      <right style="thin">
        <color rgb="FF006699"/>
      </right>
      <top style="thin">
        <color rgb="FF006699"/>
      </top>
      <bottom style="thin">
        <color rgb="FF006699"/>
      </bottom>
      <diagonal/>
    </border>
    <border>
      <left style="thin">
        <color rgb="FF006699"/>
      </left>
      <right/>
      <top style="thin">
        <color rgb="FF006699"/>
      </top>
      <bottom style="thin">
        <color rgb="FF006699"/>
      </bottom>
      <diagonal/>
    </border>
    <border>
      <left/>
      <right style="thin">
        <color rgb="FF006699"/>
      </right>
      <top style="thin">
        <color rgb="FF006699"/>
      </top>
      <bottom style="thin">
        <color rgb="FF006699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/>
      <bottom style="dotted">
        <color rgb="FFECF4FA"/>
      </bottom>
      <diagonal/>
    </border>
    <border>
      <left/>
      <right/>
      <top style="dotted">
        <color rgb="FFECF4FA"/>
      </top>
      <bottom style="dotted">
        <color rgb="FFECF4FA"/>
      </bottom>
      <diagonal/>
    </border>
    <border>
      <left/>
      <right/>
      <top/>
      <bottom style="medium">
        <color theme="8" tint="0.59999389629810485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 applyNumberFormat="0" applyFill="0" applyBorder="0" applyAlignment="0" applyProtection="0"/>
    <xf numFmtId="0" fontId="45" fillId="0" borderId="0"/>
    <xf numFmtId="0" fontId="1" fillId="0" borderId="0"/>
    <xf numFmtId="0" fontId="44" fillId="0" borderId="0"/>
    <xf numFmtId="0" fontId="15" fillId="0" borderId="0"/>
    <xf numFmtId="0" fontId="1" fillId="0" borderId="0"/>
    <xf numFmtId="0" fontId="46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46" fillId="0" borderId="0"/>
    <xf numFmtId="9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27">
    <xf numFmtId="0" fontId="0" fillId="0" borderId="0" xfId="0"/>
    <xf numFmtId="164" fontId="0" fillId="0" borderId="0" xfId="1" applyNumberFormat="1" applyFont="1"/>
    <xf numFmtId="0" fontId="2" fillId="0" borderId="0" xfId="0" applyFont="1"/>
    <xf numFmtId="164" fontId="2" fillId="0" borderId="0" xfId="1" applyNumberFormat="1" applyFont="1"/>
    <xf numFmtId="0" fontId="4" fillId="0" borderId="0" xfId="0" applyFont="1"/>
    <xf numFmtId="0" fontId="2" fillId="0" borderId="1" xfId="0" applyFont="1" applyBorder="1"/>
    <xf numFmtId="0" fontId="0" fillId="2" borderId="0" xfId="0" applyFill="1"/>
    <xf numFmtId="43" fontId="0" fillId="2" borderId="0" xfId="1" applyFont="1" applyFill="1"/>
    <xf numFmtId="164" fontId="0" fillId="0" borderId="0" xfId="0" applyNumberFormat="1"/>
    <xf numFmtId="0" fontId="2" fillId="4" borderId="0" xfId="0" applyFont="1" applyFill="1"/>
    <xf numFmtId="164" fontId="2" fillId="4" borderId="0" xfId="1" applyNumberFormat="1" applyFont="1" applyFill="1" applyBorder="1"/>
    <xf numFmtId="0" fontId="0" fillId="0" borderId="0" xfId="0" applyAlignment="1">
      <alignment horizontal="left" indent="2"/>
    </xf>
    <xf numFmtId="164" fontId="1" fillId="0" borderId="0" xfId="1" applyNumberFormat="1" applyFont="1" applyFill="1" applyBorder="1"/>
    <xf numFmtId="164" fontId="0" fillId="0" borderId="0" xfId="1" applyNumberFormat="1" applyFont="1" applyFill="1" applyBorder="1"/>
    <xf numFmtId="165" fontId="0" fillId="0" borderId="0" xfId="1" applyNumberFormat="1" applyFont="1" applyFill="1" applyBorder="1"/>
    <xf numFmtId="0" fontId="2" fillId="5" borderId="0" xfId="0" applyFont="1" applyFill="1"/>
    <xf numFmtId="164" fontId="2" fillId="5" borderId="0" xfId="1" applyNumberFormat="1" applyFont="1" applyFill="1"/>
    <xf numFmtId="0" fontId="6" fillId="3" borderId="0" xfId="0" applyFont="1" applyFill="1"/>
    <xf numFmtId="10" fontId="6" fillId="3" borderId="0" xfId="2" applyNumberFormat="1" applyFont="1" applyFill="1" applyBorder="1"/>
    <xf numFmtId="0" fontId="6" fillId="0" borderId="0" xfId="0" applyFont="1"/>
    <xf numFmtId="0" fontId="0" fillId="6" borderId="0" xfId="0" applyFill="1"/>
    <xf numFmtId="0" fontId="2" fillId="7" borderId="0" xfId="0" applyFont="1" applyFill="1"/>
    <xf numFmtId="164" fontId="2" fillId="7" borderId="0" xfId="3" applyNumberFormat="1" applyFont="1" applyFill="1" applyBorder="1"/>
    <xf numFmtId="164" fontId="0" fillId="0" borderId="0" xfId="3" applyNumberFormat="1" applyFont="1" applyFill="1" applyBorder="1"/>
    <xf numFmtId="164" fontId="1" fillId="0" borderId="0" xfId="3" applyNumberFormat="1" applyFont="1" applyFill="1" applyBorder="1"/>
    <xf numFmtId="165" fontId="0" fillId="0" borderId="0" xfId="3" applyNumberFormat="1" applyFont="1" applyFill="1" applyBorder="1"/>
    <xf numFmtId="164" fontId="0" fillId="0" borderId="0" xfId="3" applyNumberFormat="1" applyFont="1" applyFill="1" applyBorder="1" applyAlignment="1">
      <alignment horizontal="center"/>
    </xf>
    <xf numFmtId="0" fontId="0" fillId="9" borderId="0" xfId="0" applyFill="1"/>
    <xf numFmtId="0" fontId="3" fillId="8" borderId="0" xfId="0" applyFont="1" applyFill="1" applyAlignment="1">
      <alignment horizontal="left" vertical="center"/>
    </xf>
    <xf numFmtId="0" fontId="3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5" fontId="2" fillId="4" borderId="0" xfId="0" applyNumberFormat="1" applyFont="1" applyFill="1"/>
    <xf numFmtId="164" fontId="2" fillId="4" borderId="0" xfId="0" applyNumberFormat="1" applyFont="1" applyFill="1"/>
    <xf numFmtId="164" fontId="2" fillId="5" borderId="0" xfId="0" applyNumberFormat="1" applyFont="1" applyFill="1"/>
    <xf numFmtId="164" fontId="2" fillId="0" borderId="1" xfId="0" applyNumberFormat="1" applyFont="1" applyBorder="1"/>
    <xf numFmtId="17" fontId="3" fillId="8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164" fontId="2" fillId="5" borderId="3" xfId="0" applyNumberFormat="1" applyFont="1" applyFill="1" applyBorder="1"/>
    <xf numFmtId="0" fontId="3" fillId="8" borderId="4" xfId="0" applyFont="1" applyFill="1" applyBorder="1" applyAlignment="1">
      <alignment horizontal="center" vertical="center"/>
    </xf>
    <xf numFmtId="164" fontId="2" fillId="4" borderId="5" xfId="1" applyNumberFormat="1" applyFont="1" applyFill="1" applyBorder="1"/>
    <xf numFmtId="164" fontId="0" fillId="0" borderId="5" xfId="0" applyNumberFormat="1" applyBorder="1"/>
    <xf numFmtId="164" fontId="0" fillId="0" borderId="5" xfId="1" applyNumberFormat="1" applyFont="1" applyFill="1" applyBorder="1"/>
    <xf numFmtId="165" fontId="2" fillId="4" borderId="5" xfId="0" applyNumberFormat="1" applyFont="1" applyFill="1" applyBorder="1"/>
    <xf numFmtId="164" fontId="2" fillId="4" borderId="5" xfId="0" applyNumberFormat="1" applyFont="1" applyFill="1" applyBorder="1"/>
    <xf numFmtId="164" fontId="2" fillId="5" borderId="5" xfId="0" applyNumberFormat="1" applyFont="1" applyFill="1" applyBorder="1"/>
    <xf numFmtId="164" fontId="2" fillId="5" borderId="5" xfId="1" applyNumberFormat="1" applyFont="1" applyFill="1" applyBorder="1"/>
    <xf numFmtId="10" fontId="6" fillId="3" borderId="5" xfId="2" applyNumberFormat="1" applyFont="1" applyFill="1" applyBorder="1"/>
    <xf numFmtId="0" fontId="6" fillId="0" borderId="5" xfId="0" applyFont="1" applyBorder="1" applyAlignment="1">
      <alignment horizontal="right"/>
    </xf>
    <xf numFmtId="10" fontId="6" fillId="3" borderId="7" xfId="2" applyNumberFormat="1" applyFont="1" applyFill="1" applyBorder="1"/>
    <xf numFmtId="43" fontId="0" fillId="0" borderId="0" xfId="0" applyNumberFormat="1"/>
    <xf numFmtId="0" fontId="4" fillId="6" borderId="0" xfId="0" applyFont="1" applyFill="1" applyAlignment="1">
      <alignment wrapText="1"/>
    </xf>
    <xf numFmtId="0" fontId="0" fillId="0" borderId="2" xfId="0" applyBorder="1"/>
    <xf numFmtId="166" fontId="0" fillId="0" borderId="0" xfId="0" applyNumberFormat="1"/>
    <xf numFmtId="0" fontId="7" fillId="9" borderId="0" xfId="0" applyFont="1" applyFill="1"/>
    <xf numFmtId="0" fontId="6" fillId="4" borderId="0" xfId="0" applyFont="1" applyFill="1"/>
    <xf numFmtId="0" fontId="6" fillId="0" borderId="1" xfId="0" applyFont="1" applyBorder="1"/>
    <xf numFmtId="0" fontId="8" fillId="0" borderId="0" xfId="0" applyFont="1" applyAlignment="1">
      <alignment horizontal="left" indent="2"/>
    </xf>
    <xf numFmtId="0" fontId="6" fillId="0" borderId="2" xfId="0" applyFont="1" applyBorder="1"/>
    <xf numFmtId="0" fontId="9" fillId="10" borderId="9" xfId="0" applyFont="1" applyFill="1" applyBorder="1" applyAlignment="1">
      <alignment horizontal="left" vertical="center" wrapText="1" indent="1"/>
    </xf>
    <xf numFmtId="0" fontId="9" fillId="6" borderId="8" xfId="0" applyFont="1" applyFill="1" applyBorder="1" applyAlignment="1">
      <alignment horizontal="left" vertical="center" wrapText="1" indent="1"/>
    </xf>
    <xf numFmtId="0" fontId="9" fillId="6" borderId="0" xfId="0" applyFont="1" applyFill="1" applyAlignment="1">
      <alignment horizontal="left" vertical="center" wrapText="1" indent="1"/>
    </xf>
    <xf numFmtId="0" fontId="7" fillId="9" borderId="0" xfId="0" applyFont="1" applyFill="1" applyAlignment="1">
      <alignment wrapText="1"/>
    </xf>
    <xf numFmtId="43" fontId="2" fillId="4" borderId="0" xfId="1" applyFont="1" applyFill="1"/>
    <xf numFmtId="43" fontId="2" fillId="4" borderId="0" xfId="1" applyFont="1" applyFill="1" applyBorder="1"/>
    <xf numFmtId="43" fontId="2" fillId="7" borderId="0" xfId="1" applyFont="1" applyFill="1" applyBorder="1"/>
    <xf numFmtId="43" fontId="0" fillId="0" borderId="0" xfId="1" applyFont="1"/>
    <xf numFmtId="43" fontId="0" fillId="0" borderId="0" xfId="1" applyFont="1" applyFill="1" applyBorder="1"/>
    <xf numFmtId="43" fontId="0" fillId="0" borderId="2" xfId="1" applyFont="1" applyBorder="1"/>
    <xf numFmtId="43" fontId="2" fillId="7" borderId="0" xfId="1" applyFont="1" applyFill="1"/>
    <xf numFmtId="0" fontId="0" fillId="0" borderId="12" xfId="0" applyBorder="1"/>
    <xf numFmtId="0" fontId="2" fillId="7" borderId="2" xfId="0" applyFont="1" applyFill="1" applyBorder="1"/>
    <xf numFmtId="0" fontId="2" fillId="3" borderId="1" xfId="0" applyFont="1" applyFill="1" applyBorder="1"/>
    <xf numFmtId="0" fontId="5" fillId="9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5" fillId="12" borderId="0" xfId="0" applyFont="1" applyFill="1"/>
    <xf numFmtId="0" fontId="3" fillId="12" borderId="0" xfId="0" applyFont="1" applyFill="1"/>
    <xf numFmtId="164" fontId="2" fillId="4" borderId="0" xfId="1" applyNumberFormat="1" applyFont="1" applyFill="1"/>
    <xf numFmtId="164" fontId="2" fillId="0" borderId="0" xfId="1" applyNumberFormat="1" applyFont="1" applyFill="1"/>
    <xf numFmtId="164" fontId="12" fillId="12" borderId="0" xfId="1" applyNumberFormat="1" applyFont="1" applyFill="1"/>
    <xf numFmtId="166" fontId="2" fillId="4" borderId="0" xfId="1" applyNumberFormat="1" applyFont="1" applyFill="1"/>
    <xf numFmtId="166" fontId="2" fillId="7" borderId="0" xfId="1" applyNumberFormat="1" applyFont="1" applyFill="1"/>
    <xf numFmtId="166" fontId="0" fillId="0" borderId="0" xfId="0" applyNumberFormat="1" applyAlignment="1">
      <alignment horizontal="right"/>
    </xf>
    <xf numFmtId="166" fontId="0" fillId="0" borderId="0" xfId="1" applyNumberFormat="1" applyFont="1" applyFill="1" applyBorder="1"/>
    <xf numFmtId="166" fontId="0" fillId="0" borderId="0" xfId="1" applyNumberFormat="1" applyFont="1" applyFill="1" applyBorder="1" applyAlignment="1">
      <alignment horizontal="right"/>
    </xf>
    <xf numFmtId="166" fontId="0" fillId="6" borderId="0" xfId="0" applyNumberFormat="1" applyFill="1"/>
    <xf numFmtId="166" fontId="2" fillId="7" borderId="0" xfId="1" applyNumberFormat="1" applyFont="1" applyFill="1" applyBorder="1"/>
    <xf numFmtId="166" fontId="0" fillId="11" borderId="0" xfId="0" applyNumberFormat="1" applyFill="1" applyAlignment="1">
      <alignment horizontal="right"/>
    </xf>
    <xf numFmtId="166" fontId="8" fillId="0" borderId="0" xfId="4" applyNumberFormat="1" applyFont="1"/>
    <xf numFmtId="0" fontId="8" fillId="0" borderId="0" xfId="4" applyFont="1"/>
    <xf numFmtId="0" fontId="8" fillId="0" borderId="0" xfId="4" applyFont="1" applyAlignment="1">
      <alignment horizontal="left"/>
    </xf>
    <xf numFmtId="0" fontId="8" fillId="0" borderId="2" xfId="4" applyFont="1" applyBorder="1"/>
    <xf numFmtId="166" fontId="8" fillId="0" borderId="2" xfId="4" applyNumberFormat="1" applyFont="1" applyBorder="1"/>
    <xf numFmtId="0" fontId="13" fillId="10" borderId="11" xfId="0" applyFont="1" applyFill="1" applyBorder="1" applyAlignment="1">
      <alignment vertical="center" wrapText="1"/>
    </xf>
    <xf numFmtId="0" fontId="8" fillId="11" borderId="0" xfId="4" applyFont="1" applyFill="1"/>
    <xf numFmtId="166" fontId="8" fillId="0" borderId="0" xfId="5" applyNumberFormat="1" applyFont="1"/>
    <xf numFmtId="166" fontId="0" fillId="0" borderId="0" xfId="0" applyNumberFormat="1" applyAlignment="1">
      <alignment vertical="center"/>
    </xf>
    <xf numFmtId="0" fontId="14" fillId="10" borderId="0" xfId="0" applyFont="1" applyFill="1" applyAlignment="1">
      <alignment horizontal="left" vertical="center" indent="1"/>
    </xf>
    <xf numFmtId="166" fontId="1" fillId="0" borderId="0" xfId="1" applyNumberFormat="1" applyFont="1"/>
    <xf numFmtId="166" fontId="0" fillId="0" borderId="0" xfId="1" applyNumberFormat="1" applyFont="1"/>
    <xf numFmtId="0" fontId="5" fillId="9" borderId="0" xfId="0" applyFont="1" applyFill="1" applyAlignment="1">
      <alignment horizontal="right" wrapText="1"/>
    </xf>
    <xf numFmtId="0" fontId="2" fillId="6" borderId="0" xfId="0" applyFont="1" applyFill="1"/>
    <xf numFmtId="0" fontId="16" fillId="6" borderId="0" xfId="6" applyFont="1" applyFill="1" applyAlignment="1">
      <alignment wrapText="1"/>
    </xf>
    <xf numFmtId="164" fontId="2" fillId="0" borderId="0" xfId="0" applyNumberFormat="1" applyFont="1"/>
    <xf numFmtId="0" fontId="3" fillId="0" borderId="0" xfId="0" applyFont="1"/>
    <xf numFmtId="0" fontId="7" fillId="0" borderId="0" xfId="0" applyFont="1" applyAlignment="1">
      <alignment horizontal="center"/>
    </xf>
    <xf numFmtId="0" fontId="5" fillId="0" borderId="0" xfId="0" applyFont="1"/>
    <xf numFmtId="0" fontId="1" fillId="0" borderId="0" xfId="0" applyFont="1"/>
    <xf numFmtId="166" fontId="13" fillId="10" borderId="10" xfId="0" applyNumberFormat="1" applyFont="1" applyFill="1" applyBorder="1" applyAlignment="1">
      <alignment vertical="center" wrapText="1"/>
    </xf>
    <xf numFmtId="0" fontId="17" fillId="0" borderId="0" xfId="0" applyFont="1" applyAlignment="1">
      <alignment horizontal="center"/>
    </xf>
    <xf numFmtId="14" fontId="17" fillId="0" borderId="0" xfId="0" quotePrefix="1" applyNumberFormat="1" applyFont="1" applyAlignment="1">
      <alignment horizontal="center"/>
    </xf>
    <xf numFmtId="164" fontId="0" fillId="0" borderId="0" xfId="1" applyNumberFormat="1" applyFont="1" applyFill="1"/>
    <xf numFmtId="164" fontId="2" fillId="0" borderId="0" xfId="1" applyNumberFormat="1" applyFont="1" applyFill="1" applyBorder="1"/>
    <xf numFmtId="14" fontId="0" fillId="0" borderId="0" xfId="0" applyNumberFormat="1"/>
    <xf numFmtId="164" fontId="2" fillId="0" borderId="6" xfId="0" applyNumberFormat="1" applyFont="1" applyBorder="1"/>
    <xf numFmtId="168" fontId="0" fillId="0" borderId="0" xfId="2" applyNumberFormat="1" applyFont="1"/>
    <xf numFmtId="168" fontId="0" fillId="0" borderId="0" xfId="2" applyNumberFormat="1" applyFont="1" applyFill="1" applyBorder="1"/>
    <xf numFmtId="10" fontId="0" fillId="0" borderId="0" xfId="2" applyNumberFormat="1" applyFont="1"/>
    <xf numFmtId="169" fontId="2" fillId="4" borderId="0" xfId="1" applyNumberFormat="1" applyFont="1" applyFill="1" applyBorder="1"/>
    <xf numFmtId="169" fontId="2" fillId="4" borderId="5" xfId="1" applyNumberFormat="1" applyFont="1" applyFill="1" applyBorder="1"/>
    <xf numFmtId="169" fontId="2" fillId="0" borderId="1" xfId="0" applyNumberFormat="1" applyFont="1" applyBorder="1"/>
    <xf numFmtId="169" fontId="0" fillId="0" borderId="0" xfId="1" applyNumberFormat="1" applyFont="1" applyFill="1" applyBorder="1"/>
    <xf numFmtId="169" fontId="0" fillId="0" borderId="0" xfId="1" applyNumberFormat="1" applyFont="1"/>
    <xf numFmtId="169" fontId="2" fillId="4" borderId="0" xfId="0" applyNumberFormat="1" applyFont="1" applyFill="1"/>
    <xf numFmtId="169" fontId="0" fillId="0" borderId="0" xfId="0" applyNumberFormat="1"/>
    <xf numFmtId="169" fontId="2" fillId="5" borderId="0" xfId="0" applyNumberFormat="1" applyFont="1" applyFill="1"/>
    <xf numFmtId="169" fontId="6" fillId="4" borderId="0" xfId="1" applyNumberFormat="1" applyFont="1" applyFill="1" applyBorder="1"/>
    <xf numFmtId="169" fontId="6" fillId="0" borderId="1" xfId="0" applyNumberFormat="1" applyFont="1" applyBorder="1"/>
    <xf numFmtId="169" fontId="6" fillId="0" borderId="1" xfId="1" applyNumberFormat="1" applyFont="1" applyFill="1" applyBorder="1"/>
    <xf numFmtId="169" fontId="6" fillId="0" borderId="2" xfId="0" applyNumberFormat="1" applyFont="1" applyBorder="1"/>
    <xf numFmtId="169" fontId="6" fillId="0" borderId="2" xfId="1" applyNumberFormat="1" applyFont="1" applyFill="1" applyBorder="1"/>
    <xf numFmtId="169" fontId="6" fillId="4" borderId="0" xfId="0" applyNumberFormat="1" applyFont="1" applyFill="1"/>
    <xf numFmtId="169" fontId="9" fillId="6" borderId="8" xfId="0" applyNumberFormat="1" applyFont="1" applyFill="1" applyBorder="1" applyAlignment="1">
      <alignment vertical="center" wrapText="1"/>
    </xf>
    <xf numFmtId="169" fontId="9" fillId="6" borderId="10" xfId="0" applyNumberFormat="1" applyFont="1" applyFill="1" applyBorder="1" applyAlignment="1">
      <alignment vertical="center" wrapText="1"/>
    </xf>
    <xf numFmtId="169" fontId="9" fillId="6" borderId="11" xfId="0" applyNumberFormat="1" applyFont="1" applyFill="1" applyBorder="1" applyAlignment="1">
      <alignment vertical="center" wrapText="1"/>
    </xf>
    <xf numFmtId="169" fontId="9" fillId="6" borderId="8" xfId="0" applyNumberFormat="1" applyFont="1" applyFill="1" applyBorder="1" applyAlignment="1">
      <alignment horizontal="right" vertical="center" wrapText="1"/>
    </xf>
    <xf numFmtId="169" fontId="9" fillId="6" borderId="11" xfId="0" applyNumberFormat="1" applyFont="1" applyFill="1" applyBorder="1" applyAlignment="1">
      <alignment horizontal="right" vertical="center" wrapText="1"/>
    </xf>
    <xf numFmtId="169" fontId="8" fillId="0" borderId="0" xfId="1" applyNumberFormat="1" applyFont="1" applyFill="1" applyBorder="1"/>
    <xf numFmtId="169" fontId="9" fillId="6" borderId="0" xfId="0" applyNumberFormat="1" applyFont="1" applyFill="1" applyAlignment="1">
      <alignment horizontal="right" vertical="center" wrapText="1"/>
    </xf>
    <xf numFmtId="169" fontId="9" fillId="6" borderId="0" xfId="0" applyNumberFormat="1" applyFont="1" applyFill="1" applyAlignment="1">
      <alignment vertical="center" wrapText="1"/>
    </xf>
    <xf numFmtId="169" fontId="19" fillId="4" borderId="0" xfId="0" applyNumberFormat="1" applyFont="1" applyFill="1" applyAlignment="1">
      <alignment vertical="center" wrapText="1"/>
    </xf>
    <xf numFmtId="169" fontId="6" fillId="5" borderId="0" xfId="0" applyNumberFormat="1" applyFont="1" applyFill="1"/>
    <xf numFmtId="169" fontId="2" fillId="0" borderId="6" xfId="0" applyNumberFormat="1" applyFont="1" applyBorder="1"/>
    <xf numFmtId="169" fontId="0" fillId="0" borderId="5" xfId="1" applyNumberFormat="1" applyFont="1" applyBorder="1"/>
    <xf numFmtId="169" fontId="2" fillId="4" borderId="5" xfId="0" applyNumberFormat="1" applyFont="1" applyFill="1" applyBorder="1"/>
    <xf numFmtId="169" fontId="0" fillId="0" borderId="5" xfId="0" applyNumberFormat="1" applyBorder="1"/>
    <xf numFmtId="169" fontId="2" fillId="5" borderId="7" xfId="0" applyNumberFormat="1" applyFont="1" applyFill="1" applyBorder="1"/>
    <xf numFmtId="169" fontId="6" fillId="0" borderId="6" xfId="1" applyNumberFormat="1" applyFont="1" applyBorder="1"/>
    <xf numFmtId="169" fontId="6" fillId="0" borderId="13" xfId="1" applyNumberFormat="1" applyFont="1" applyBorder="1"/>
    <xf numFmtId="169" fontId="6" fillId="4" borderId="5" xfId="1" applyNumberFormat="1" applyFont="1" applyFill="1" applyBorder="1"/>
    <xf numFmtId="169" fontId="9" fillId="6" borderId="14" xfId="0" applyNumberFormat="1" applyFont="1" applyFill="1" applyBorder="1" applyAlignment="1">
      <alignment vertical="center" wrapText="1"/>
    </xf>
    <xf numFmtId="169" fontId="8" fillId="0" borderId="5" xfId="1" applyNumberFormat="1" applyFont="1" applyBorder="1"/>
    <xf numFmtId="169" fontId="9" fillId="6" borderId="5" xfId="0" applyNumberFormat="1" applyFont="1" applyFill="1" applyBorder="1" applyAlignment="1">
      <alignment horizontal="right" vertical="center" wrapText="1"/>
    </xf>
    <xf numFmtId="169" fontId="19" fillId="4" borderId="5" xfId="0" applyNumberFormat="1" applyFont="1" applyFill="1" applyBorder="1" applyAlignment="1">
      <alignment vertical="center" wrapText="1"/>
    </xf>
    <xf numFmtId="169" fontId="1" fillId="0" borderId="0" xfId="1" applyNumberFormat="1" applyFont="1" applyFill="1" applyBorder="1"/>
    <xf numFmtId="169" fontId="0" fillId="0" borderId="5" xfId="1" applyNumberFormat="1" applyFont="1" applyFill="1" applyBorder="1"/>
    <xf numFmtId="169" fontId="2" fillId="5" borderId="0" xfId="1" applyNumberFormat="1" applyFont="1" applyFill="1"/>
    <xf numFmtId="169" fontId="2" fillId="5" borderId="5" xfId="1" applyNumberFormat="1" applyFont="1" applyFill="1" applyBorder="1"/>
    <xf numFmtId="169" fontId="0" fillId="0" borderId="0" xfId="1" applyNumberFormat="1" applyFont="1" applyFill="1"/>
    <xf numFmtId="169" fontId="0" fillId="0" borderId="0" xfId="1" applyNumberFormat="1" applyFont="1" applyAlignment="1">
      <alignment horizontal="center"/>
    </xf>
    <xf numFmtId="168" fontId="12" fillId="12" borderId="0" xfId="2" applyNumberFormat="1" applyFont="1" applyFill="1"/>
    <xf numFmtId="169" fontId="2" fillId="4" borderId="0" xfId="1" applyNumberFormat="1" applyFont="1" applyFill="1"/>
    <xf numFmtId="0" fontId="3" fillId="12" borderId="0" xfId="0" applyFont="1" applyFill="1" applyAlignment="1">
      <alignment horizontal="center" vertical="center"/>
    </xf>
    <xf numFmtId="164" fontId="0" fillId="0" borderId="0" xfId="1" applyNumberFormat="1" applyFont="1" applyBorder="1"/>
    <xf numFmtId="17" fontId="3" fillId="12" borderId="0" xfId="0" applyNumberFormat="1" applyFont="1" applyFill="1" applyAlignment="1">
      <alignment horizontal="center" vertical="center"/>
    </xf>
    <xf numFmtId="0" fontId="3" fillId="13" borderId="0" xfId="0" applyFont="1" applyFill="1" applyAlignment="1">
      <alignment horizontal="left" vertical="center"/>
    </xf>
    <xf numFmtId="17" fontId="3" fillId="13" borderId="0" xfId="0" applyNumberFormat="1" applyFont="1" applyFill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68" fontId="2" fillId="4" borderId="0" xfId="2" applyNumberFormat="1" applyFont="1" applyFill="1"/>
    <xf numFmtId="168" fontId="2" fillId="0" borderId="0" xfId="2" applyNumberFormat="1" applyFont="1"/>
    <xf numFmtId="10" fontId="6" fillId="3" borderId="0" xfId="2" applyNumberFormat="1" applyFont="1" applyFill="1"/>
    <xf numFmtId="164" fontId="0" fillId="0" borderId="5" xfId="1" applyNumberFormat="1" applyFont="1" applyBorder="1"/>
    <xf numFmtId="164" fontId="0" fillId="6" borderId="0" xfId="0" applyNumberFormat="1" applyFill="1"/>
    <xf numFmtId="170" fontId="1" fillId="0" borderId="0" xfId="1" applyNumberFormat="1" applyFont="1" applyFill="1" applyBorder="1"/>
    <xf numFmtId="164" fontId="20" fillId="0" borderId="0" xfId="0" applyNumberFormat="1" applyFont="1"/>
    <xf numFmtId="9" fontId="2" fillId="0" borderId="0" xfId="2" applyFont="1"/>
    <xf numFmtId="164" fontId="2" fillId="7" borderId="0" xfId="3" applyNumberFormat="1" applyFont="1" applyFill="1"/>
    <xf numFmtId="164" fontId="0" fillId="0" borderId="0" xfId="3" applyNumberFormat="1" applyFont="1"/>
    <xf numFmtId="164" fontId="0" fillId="0" borderId="0" xfId="3" applyNumberFormat="1" applyFont="1" applyAlignment="1">
      <alignment horizontal="center"/>
    </xf>
    <xf numFmtId="164" fontId="2" fillId="4" borderId="7" xfId="1" applyNumberFormat="1" applyFont="1" applyFill="1" applyBorder="1"/>
    <xf numFmtId="0" fontId="3" fillId="15" borderId="0" xfId="0" applyFont="1" applyFill="1" applyAlignment="1">
      <alignment horizontal="left" vertical="center"/>
    </xf>
    <xf numFmtId="17" fontId="3" fillId="15" borderId="0" xfId="0" applyNumberFormat="1" applyFont="1" applyFill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6" fillId="6" borderId="0" xfId="0" applyFont="1" applyFill="1"/>
    <xf numFmtId="0" fontId="0" fillId="9" borderId="0" xfId="0" applyFill="1" applyAlignment="1">
      <alignment horizontal="center"/>
    </xf>
    <xf numFmtId="0" fontId="0" fillId="0" borderId="0" xfId="0" applyAlignment="1">
      <alignment horizontal="center" vertical="center"/>
    </xf>
    <xf numFmtId="168" fontId="0" fillId="0" borderId="5" xfId="2" applyNumberFormat="1" applyFont="1" applyBorder="1"/>
    <xf numFmtId="164" fontId="0" fillId="6" borderId="0" xfId="3" applyNumberFormat="1" applyFont="1" applyFill="1"/>
    <xf numFmtId="9" fontId="0" fillId="0" borderId="0" xfId="2" applyFont="1"/>
    <xf numFmtId="43" fontId="6" fillId="12" borderId="0" xfId="1" applyFont="1" applyFill="1"/>
    <xf numFmtId="168" fontId="0" fillId="6" borderId="0" xfId="2" applyNumberFormat="1" applyFont="1" applyFill="1"/>
    <xf numFmtId="172" fontId="0" fillId="0" borderId="0" xfId="0" applyNumberFormat="1"/>
    <xf numFmtId="164" fontId="6" fillId="4" borderId="0" xfId="1" applyNumberFormat="1" applyFont="1" applyFill="1"/>
    <xf numFmtId="0" fontId="10" fillId="0" borderId="0" xfId="7"/>
    <xf numFmtId="0" fontId="10" fillId="0" borderId="0" xfId="7" applyFill="1"/>
    <xf numFmtId="0" fontId="21" fillId="0" borderId="0" xfId="7" applyFont="1"/>
    <xf numFmtId="0" fontId="3" fillId="0" borderId="0" xfId="7" applyFont="1" applyFill="1" applyAlignment="1">
      <alignment horizontal="left" vertical="center"/>
    </xf>
    <xf numFmtId="175" fontId="22" fillId="4" borderId="15" xfId="8" applyNumberFormat="1" applyFont="1" applyFill="1" applyBorder="1" applyAlignment="1">
      <alignment horizontal="right" vertical="center" wrapText="1"/>
    </xf>
    <xf numFmtId="164" fontId="22" fillId="4" borderId="15" xfId="8" applyNumberFormat="1" applyFont="1" applyFill="1" applyBorder="1" applyAlignment="1">
      <alignment horizontal="left" vertical="center" wrapText="1"/>
    </xf>
    <xf numFmtId="175" fontId="8" fillId="6" borderId="16" xfId="8" applyNumberFormat="1" applyFont="1" applyFill="1" applyBorder="1" applyAlignment="1">
      <alignment horizontal="right" vertical="center"/>
    </xf>
    <xf numFmtId="164" fontId="8" fillId="6" borderId="16" xfId="8" applyNumberFormat="1" applyFont="1" applyFill="1" applyBorder="1" applyAlignment="1">
      <alignment horizontal="left" vertical="center" indent="1"/>
    </xf>
    <xf numFmtId="175" fontId="8" fillId="6" borderId="15" xfId="8" applyNumberFormat="1" applyFont="1" applyFill="1" applyBorder="1" applyAlignment="1">
      <alignment horizontal="right" vertical="center"/>
    </xf>
    <xf numFmtId="164" fontId="8" fillId="6" borderId="15" xfId="8" applyNumberFormat="1" applyFont="1" applyFill="1" applyBorder="1" applyAlignment="1">
      <alignment horizontal="left" vertical="center" indent="1"/>
    </xf>
    <xf numFmtId="164" fontId="2" fillId="7" borderId="0" xfId="8" applyNumberFormat="1" applyFont="1" applyFill="1" applyBorder="1"/>
    <xf numFmtId="43" fontId="2" fillId="7" borderId="0" xfId="8" applyFont="1" applyFill="1" applyBorder="1"/>
    <xf numFmtId="167" fontId="2" fillId="4" borderId="0" xfId="8" applyNumberFormat="1" applyFont="1" applyFill="1"/>
    <xf numFmtId="164" fontId="2" fillId="7" borderId="0" xfId="8" applyNumberFormat="1" applyFont="1" applyFill="1" applyBorder="1" applyAlignment="1">
      <alignment horizontal="right"/>
    </xf>
    <xf numFmtId="175" fontId="22" fillId="0" borderId="0" xfId="8" applyNumberFormat="1" applyFont="1" applyFill="1" applyBorder="1" applyAlignment="1">
      <alignment horizontal="right" vertical="center" wrapText="1"/>
    </xf>
    <xf numFmtId="164" fontId="22" fillId="0" borderId="0" xfId="8" applyNumberFormat="1" applyFont="1" applyFill="1" applyBorder="1" applyAlignment="1">
      <alignment horizontal="left" vertical="center" wrapText="1"/>
    </xf>
    <xf numFmtId="0" fontId="18" fillId="0" borderId="0" xfId="7" applyFont="1"/>
    <xf numFmtId="164" fontId="18" fillId="6" borderId="0" xfId="8" applyNumberFormat="1" applyFont="1" applyFill="1" applyBorder="1" applyAlignment="1">
      <alignment horizontal="left" vertical="center" indent="1"/>
    </xf>
    <xf numFmtId="0" fontId="10" fillId="0" borderId="0" xfId="7" applyFill="1" applyAlignment="1">
      <alignment vertical="center"/>
    </xf>
    <xf numFmtId="169" fontId="2" fillId="0" borderId="0" xfId="0" applyNumberFormat="1" applyFont="1"/>
    <xf numFmtId="169" fontId="8" fillId="0" borderId="0" xfId="1" applyNumberFormat="1" applyFont="1" applyFill="1"/>
    <xf numFmtId="169" fontId="6" fillId="5" borderId="0" xfId="1" applyNumberFormat="1" applyFont="1" applyFill="1"/>
    <xf numFmtId="169" fontId="8" fillId="0" borderId="0" xfId="1" applyNumberFormat="1" applyFont="1"/>
    <xf numFmtId="164" fontId="0" fillId="0" borderId="0" xfId="0" applyNumberFormat="1" applyAlignment="1">
      <alignment vertical="center"/>
    </xf>
    <xf numFmtId="164" fontId="0" fillId="0" borderId="0" xfId="3" applyNumberFormat="1" applyFont="1" applyFill="1"/>
    <xf numFmtId="0" fontId="24" fillId="0" borderId="0" xfId="7" applyFont="1"/>
    <xf numFmtId="164" fontId="2" fillId="7" borderId="0" xfId="1" applyNumberFormat="1" applyFont="1" applyFill="1" applyBorder="1"/>
    <xf numFmtId="164" fontId="2" fillId="7" borderId="0" xfId="1" applyNumberFormat="1" applyFont="1" applyFill="1"/>
    <xf numFmtId="164" fontId="8" fillId="0" borderId="0" xfId="5" applyNumberFormat="1" applyFont="1"/>
    <xf numFmtId="164" fontId="8" fillId="0" borderId="2" xfId="5" applyNumberFormat="1" applyFont="1" applyBorder="1"/>
    <xf numFmtId="164" fontId="1" fillId="0" borderId="0" xfId="0" applyNumberFormat="1" applyFont="1"/>
    <xf numFmtId="164" fontId="8" fillId="0" borderId="0" xfId="5" applyNumberFormat="1" applyFont="1" applyAlignment="1">
      <alignment horizontal="center"/>
    </xf>
    <xf numFmtId="164" fontId="0" fillId="0" borderId="2" xfId="1" applyNumberFormat="1" applyFont="1" applyBorder="1"/>
    <xf numFmtId="0" fontId="2" fillId="4" borderId="0" xfId="0" applyFont="1" applyFill="1" applyAlignment="1">
      <alignment vertical="center"/>
    </xf>
    <xf numFmtId="164" fontId="0" fillId="0" borderId="7" xfId="0" applyNumberFormat="1" applyBorder="1"/>
    <xf numFmtId="0" fontId="26" fillId="0" borderId="0" xfId="0" applyFont="1"/>
    <xf numFmtId="17" fontId="3" fillId="17" borderId="0" xfId="0" applyNumberFormat="1" applyFont="1" applyFill="1" applyAlignment="1">
      <alignment horizontal="center" vertical="center"/>
    </xf>
    <xf numFmtId="10" fontId="0" fillId="0" borderId="0" xfId="0" applyNumberFormat="1"/>
    <xf numFmtId="167" fontId="2" fillId="4" borderId="0" xfId="8" applyNumberFormat="1" applyFont="1" applyFill="1" applyAlignment="1">
      <alignment horizontal="center" vertical="center"/>
    </xf>
    <xf numFmtId="0" fontId="0" fillId="0" borderId="0" xfId="0" applyAlignment="1">
      <alignment horizontal="left" indent="3"/>
    </xf>
    <xf numFmtId="0" fontId="0" fillId="7" borderId="0" xfId="0" applyFill="1"/>
    <xf numFmtId="0" fontId="17" fillId="0" borderId="0" xfId="0" applyFont="1" applyAlignment="1">
      <alignment horizontal="left"/>
    </xf>
    <xf numFmtId="43" fontId="10" fillId="0" borderId="0" xfId="1" applyFont="1"/>
    <xf numFmtId="164" fontId="2" fillId="4" borderId="0" xfId="1" applyNumberFormat="1" applyFont="1" applyFill="1" applyAlignment="1">
      <alignment vertical="center"/>
    </xf>
    <xf numFmtId="0" fontId="6" fillId="3" borderId="0" xfId="0" applyFont="1" applyFill="1" applyAlignment="1">
      <alignment vertical="center"/>
    </xf>
    <xf numFmtId="169" fontId="6" fillId="3" borderId="0" xfId="2" applyNumberFormat="1" applyFont="1" applyFill="1" applyBorder="1"/>
    <xf numFmtId="168" fontId="6" fillId="3" borderId="0" xfId="2" applyNumberFormat="1" applyFont="1" applyFill="1" applyBorder="1"/>
    <xf numFmtId="43" fontId="0" fillId="6" borderId="0" xfId="1" applyFont="1" applyFill="1"/>
    <xf numFmtId="43" fontId="6" fillId="3" borderId="5" xfId="1" applyFont="1" applyFill="1" applyBorder="1"/>
    <xf numFmtId="43" fontId="6" fillId="3" borderId="7" xfId="1" applyFont="1" applyFill="1" applyBorder="1"/>
    <xf numFmtId="164" fontId="0" fillId="6" borderId="0" xfId="1" applyNumberFormat="1" applyFont="1" applyFill="1"/>
    <xf numFmtId="0" fontId="0" fillId="0" borderId="0" xfId="0" applyAlignment="1">
      <alignment horizontal="left" indent="1"/>
    </xf>
    <xf numFmtId="0" fontId="8" fillId="0" borderId="0" xfId="4" applyFont="1" applyAlignment="1">
      <alignment horizontal="left" indent="1"/>
    </xf>
    <xf numFmtId="0" fontId="0" fillId="11" borderId="0" xfId="0" applyFill="1" applyAlignment="1">
      <alignment horizontal="left" indent="2"/>
    </xf>
    <xf numFmtId="0" fontId="8" fillId="11" borderId="0" xfId="0" applyFont="1" applyFill="1" applyAlignment="1">
      <alignment horizontal="left" indent="2"/>
    </xf>
    <xf numFmtId="0" fontId="8" fillId="0" borderId="0" xfId="0" quotePrefix="1" applyFont="1" applyAlignment="1">
      <alignment horizontal="left" indent="2"/>
    </xf>
    <xf numFmtId="0" fontId="8" fillId="0" borderId="0" xfId="5" applyFont="1" applyAlignment="1">
      <alignment horizontal="left" indent="1"/>
    </xf>
    <xf numFmtId="0" fontId="8" fillId="0" borderId="2" xfId="5" applyFont="1" applyBorder="1" applyAlignment="1">
      <alignment horizontal="left" indent="1"/>
    </xf>
    <xf numFmtId="0" fontId="8" fillId="0" borderId="0" xfId="4" applyFont="1" applyAlignment="1">
      <alignment horizontal="left" indent="2"/>
    </xf>
    <xf numFmtId="166" fontId="2" fillId="19" borderId="0" xfId="1" applyNumberFormat="1" applyFont="1" applyFill="1"/>
    <xf numFmtId="166" fontId="2" fillId="19" borderId="0" xfId="0" applyNumberFormat="1" applyFont="1" applyFill="1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43" fontId="0" fillId="0" borderId="0" xfId="0" applyNumberFormat="1" applyAlignment="1">
      <alignment vertical="top"/>
    </xf>
    <xf numFmtId="0" fontId="24" fillId="0" borderId="0" xfId="7" applyFont="1" applyAlignment="1">
      <alignment wrapText="1"/>
    </xf>
    <xf numFmtId="164" fontId="0" fillId="0" borderId="12" xfId="1" applyNumberFormat="1" applyFont="1" applyBorder="1"/>
    <xf numFmtId="164" fontId="2" fillId="7" borderId="2" xfId="1" applyNumberFormat="1" applyFont="1" applyFill="1" applyBorder="1"/>
    <xf numFmtId="164" fontId="2" fillId="3" borderId="1" xfId="1" applyNumberFormat="1" applyFont="1" applyFill="1" applyBorder="1"/>
    <xf numFmtId="0" fontId="0" fillId="16" borderId="0" xfId="0" applyFill="1"/>
    <xf numFmtId="164" fontId="2" fillId="0" borderId="0" xfId="1" applyNumberFormat="1" applyFont="1" applyAlignment="1">
      <alignment vertical="center"/>
    </xf>
    <xf numFmtId="164" fontId="0" fillId="0" borderId="0" xfId="0" applyNumberFormat="1" applyAlignment="1">
      <alignment vertical="top"/>
    </xf>
    <xf numFmtId="168" fontId="28" fillId="0" borderId="0" xfId="0" applyNumberFormat="1" applyFont="1" applyAlignment="1">
      <alignment horizontal="center" vertical="center"/>
    </xf>
    <xf numFmtId="171" fontId="28" fillId="0" borderId="0" xfId="1" applyNumberFormat="1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171" fontId="29" fillId="0" borderId="0" xfId="1" applyNumberFormat="1" applyFont="1" applyAlignment="1">
      <alignment horizontal="center" vertical="center"/>
    </xf>
    <xf numFmtId="168" fontId="30" fillId="18" borderId="0" xfId="0" applyNumberFormat="1" applyFont="1" applyFill="1" applyAlignment="1">
      <alignment horizontal="center" vertical="center"/>
    </xf>
    <xf numFmtId="171" fontId="30" fillId="18" borderId="0" xfId="1" applyNumberFormat="1" applyFont="1" applyFill="1" applyAlignment="1">
      <alignment horizontal="center" vertical="center"/>
    </xf>
    <xf numFmtId="169" fontId="0" fillId="10" borderId="5" xfId="1" applyNumberFormat="1" applyFont="1" applyFill="1" applyBorder="1"/>
    <xf numFmtId="0" fontId="18" fillId="0" borderId="0" xfId="7" applyFont="1" applyAlignment="1">
      <alignment vertical="top"/>
    </xf>
    <xf numFmtId="164" fontId="2" fillId="0" borderId="0" xfId="0" applyNumberFormat="1" applyFont="1" applyAlignment="1">
      <alignment horizontal="left" vertical="center"/>
    </xf>
    <xf numFmtId="169" fontId="2" fillId="5" borderId="5" xfId="0" applyNumberFormat="1" applyFont="1" applyFill="1" applyBorder="1"/>
    <xf numFmtId="169" fontId="6" fillId="5" borderId="5" xfId="0" applyNumberFormat="1" applyFont="1" applyFill="1" applyBorder="1"/>
    <xf numFmtId="164" fontId="0" fillId="4" borderId="0" xfId="1" applyNumberFormat="1" applyFont="1" applyFill="1" applyBorder="1"/>
    <xf numFmtId="169" fontId="0" fillId="4" borderId="5" xfId="1" applyNumberFormat="1" applyFont="1" applyFill="1" applyBorder="1"/>
    <xf numFmtId="164" fontId="0" fillId="4" borderId="5" xfId="1" applyNumberFormat="1" applyFont="1" applyFill="1" applyBorder="1"/>
    <xf numFmtId="164" fontId="0" fillId="4" borderId="5" xfId="0" applyNumberFormat="1" applyFill="1" applyBorder="1"/>
    <xf numFmtId="167" fontId="2" fillId="4" borderId="0" xfId="12" applyNumberFormat="1" applyFont="1" applyFill="1"/>
    <xf numFmtId="164" fontId="8" fillId="6" borderId="15" xfId="12" applyNumberFormat="1" applyFont="1" applyFill="1" applyBorder="1" applyAlignment="1">
      <alignment horizontal="left" vertical="center" indent="1"/>
    </xf>
    <xf numFmtId="164" fontId="22" fillId="4" borderId="15" xfId="12" applyNumberFormat="1" applyFont="1" applyFill="1" applyBorder="1" applyAlignment="1">
      <alignment horizontal="left" vertical="center" wrapText="1"/>
    </xf>
    <xf numFmtId="9" fontId="22" fillId="4" borderId="15" xfId="13" applyFont="1" applyFill="1" applyBorder="1" applyAlignment="1">
      <alignment horizontal="right" vertical="center" wrapText="1"/>
    </xf>
    <xf numFmtId="168" fontId="8" fillId="6" borderId="15" xfId="13" applyNumberFormat="1" applyFont="1" applyFill="1" applyBorder="1" applyAlignment="1">
      <alignment horizontal="right" vertical="center"/>
    </xf>
    <xf numFmtId="166" fontId="0" fillId="17" borderId="0" xfId="0" applyNumberFormat="1" applyFill="1"/>
    <xf numFmtId="0" fontId="11" fillId="0" borderId="0" xfId="0" applyFont="1" applyAlignment="1">
      <alignment horizontal="left"/>
    </xf>
    <xf numFmtId="168" fontId="0" fillId="0" borderId="0" xfId="2" applyNumberFormat="1" applyFont="1" applyFill="1"/>
    <xf numFmtId="0" fontId="0" fillId="0" borderId="0" xfId="0" applyAlignment="1">
      <alignment horizontal="center"/>
    </xf>
    <xf numFmtId="12" fontId="0" fillId="0" borderId="0" xfId="0" applyNumberFormat="1"/>
    <xf numFmtId="0" fontId="0" fillId="22" borderId="0" xfId="0" applyFill="1"/>
    <xf numFmtId="43" fontId="2" fillId="0" borderId="0" xfId="1" applyFont="1" applyFill="1" applyBorder="1"/>
    <xf numFmtId="166" fontId="2" fillId="0" borderId="0" xfId="1" applyNumberFormat="1" applyFont="1" applyFill="1" applyBorder="1"/>
    <xf numFmtId="166" fontId="2" fillId="0" borderId="0" xfId="1" applyNumberFormat="1" applyFont="1" applyFill="1"/>
    <xf numFmtId="169" fontId="6" fillId="5" borderId="7" xfId="0" applyNumberFormat="1" applyFont="1" applyFill="1" applyBorder="1"/>
    <xf numFmtId="0" fontId="33" fillId="21" borderId="19" xfId="0" applyFont="1" applyFill="1" applyBorder="1" applyAlignment="1">
      <alignment horizontal="right" vertical="center"/>
    </xf>
    <xf numFmtId="174" fontId="33" fillId="21" borderId="17" xfId="0" applyNumberFormat="1" applyFont="1" applyFill="1" applyBorder="1" applyAlignment="1">
      <alignment horizontal="center" vertical="center"/>
    </xf>
    <xf numFmtId="0" fontId="31" fillId="0" borderId="19" xfId="0" applyFont="1" applyBorder="1" applyAlignment="1">
      <alignment horizontal="right" vertical="center" wrapText="1"/>
    </xf>
    <xf numFmtId="174" fontId="31" fillId="0" borderId="17" xfId="1" applyNumberFormat="1" applyFont="1" applyBorder="1" applyAlignment="1">
      <alignment horizontal="right" vertical="center"/>
    </xf>
    <xf numFmtId="168" fontId="31" fillId="14" borderId="17" xfId="2" applyNumberFormat="1" applyFont="1" applyFill="1" applyBorder="1" applyAlignment="1">
      <alignment horizontal="right" vertical="center"/>
    </xf>
    <xf numFmtId="174" fontId="0" fillId="0" borderId="0" xfId="0" applyNumberFormat="1"/>
    <xf numFmtId="0" fontId="32" fillId="14" borderId="19" xfId="0" applyFont="1" applyFill="1" applyBorder="1" applyAlignment="1">
      <alignment horizontal="right" vertical="center" wrapText="1"/>
    </xf>
    <xf numFmtId="174" fontId="32" fillId="3" borderId="17" xfId="1" applyNumberFormat="1" applyFont="1" applyFill="1" applyBorder="1" applyAlignment="1">
      <alignment horizontal="right" vertical="center"/>
    </xf>
    <xf numFmtId="168" fontId="32" fillId="3" borderId="17" xfId="2" applyNumberFormat="1" applyFont="1" applyFill="1" applyBorder="1" applyAlignment="1">
      <alignment horizontal="right" vertical="center"/>
    </xf>
    <xf numFmtId="17" fontId="33" fillId="21" borderId="17" xfId="0" applyNumberFormat="1" applyFont="1" applyFill="1" applyBorder="1" applyAlignment="1">
      <alignment horizontal="center" vertical="center"/>
    </xf>
    <xf numFmtId="0" fontId="32" fillId="4" borderId="19" xfId="0" applyFont="1" applyFill="1" applyBorder="1" applyAlignment="1">
      <alignment horizontal="right" vertical="center" wrapText="1"/>
    </xf>
    <xf numFmtId="174" fontId="32" fillId="4" borderId="17" xfId="1" applyNumberFormat="1" applyFont="1" applyFill="1" applyBorder="1" applyAlignment="1">
      <alignment horizontal="right" vertical="center"/>
    </xf>
    <xf numFmtId="168" fontId="32" fillId="4" borderId="17" xfId="2" applyNumberFormat="1" applyFont="1" applyFill="1" applyBorder="1" applyAlignment="1">
      <alignment horizontal="right" vertical="center"/>
    </xf>
    <xf numFmtId="168" fontId="32" fillId="4" borderId="18" xfId="2" applyNumberFormat="1" applyFont="1" applyFill="1" applyBorder="1" applyAlignment="1">
      <alignment horizontal="right" vertical="center"/>
    </xf>
    <xf numFmtId="168" fontId="32" fillId="3" borderId="18" xfId="2" applyNumberFormat="1" applyFont="1" applyFill="1" applyBorder="1" applyAlignment="1">
      <alignment horizontal="right" vertical="center"/>
    </xf>
    <xf numFmtId="168" fontId="31" fillId="14" borderId="18" xfId="2" applyNumberFormat="1" applyFont="1" applyFill="1" applyBorder="1" applyAlignment="1">
      <alignment horizontal="right" vertical="center"/>
    </xf>
    <xf numFmtId="168" fontId="2" fillId="4" borderId="0" xfId="2" applyNumberFormat="1" applyFont="1" applyFill="1" applyAlignment="1">
      <alignment horizontal="center"/>
    </xf>
    <xf numFmtId="168" fontId="2" fillId="0" borderId="0" xfId="2" applyNumberFormat="1" applyFont="1" applyAlignment="1">
      <alignment horizontal="center"/>
    </xf>
    <xf numFmtId="168" fontId="0" fillId="0" borderId="0" xfId="2" applyNumberFormat="1" applyFont="1" applyAlignment="1">
      <alignment horizontal="center"/>
    </xf>
    <xf numFmtId="164" fontId="2" fillId="4" borderId="0" xfId="1" applyNumberFormat="1" applyFont="1" applyFill="1" applyAlignment="1"/>
    <xf numFmtId="164" fontId="2" fillId="7" borderId="0" xfId="1" applyNumberFormat="1" applyFont="1" applyFill="1" applyAlignment="1"/>
    <xf numFmtId="164" fontId="0" fillId="0" borderId="0" xfId="1" applyNumberFormat="1" applyFont="1" applyAlignment="1"/>
    <xf numFmtId="43" fontId="0" fillId="0" borderId="0" xfId="1" applyFont="1" applyAlignment="1"/>
    <xf numFmtId="169" fontId="2" fillId="4" borderId="0" xfId="1" applyNumberFormat="1" applyFont="1" applyFill="1" applyBorder="1" applyAlignment="1"/>
    <xf numFmtId="169" fontId="2" fillId="4" borderId="0" xfId="1" applyNumberFormat="1" applyFont="1" applyFill="1" applyAlignment="1"/>
    <xf numFmtId="0" fontId="0" fillId="0" borderId="0" xfId="0" applyAlignment="1">
      <alignment horizontal="left" indent="4"/>
    </xf>
    <xf numFmtId="17" fontId="33" fillId="21" borderId="19" xfId="0" applyNumberFormat="1" applyFont="1" applyFill="1" applyBorder="1" applyAlignment="1">
      <alignment horizontal="right" vertical="center"/>
    </xf>
    <xf numFmtId="173" fontId="32" fillId="4" borderId="19" xfId="1" applyNumberFormat="1" applyFont="1" applyFill="1" applyBorder="1" applyAlignment="1">
      <alignment horizontal="right" vertical="center" wrapText="1"/>
    </xf>
    <xf numFmtId="173" fontId="32" fillId="14" borderId="19" xfId="1" applyNumberFormat="1" applyFont="1" applyFill="1" applyBorder="1" applyAlignment="1">
      <alignment horizontal="right" vertical="center" wrapText="1"/>
    </xf>
    <xf numFmtId="173" fontId="31" fillId="0" borderId="19" xfId="1" applyNumberFormat="1" applyFont="1" applyBorder="1" applyAlignment="1">
      <alignment horizontal="right" vertical="center" wrapText="1"/>
    </xf>
    <xf numFmtId="164" fontId="2" fillId="4" borderId="20" xfId="1" applyNumberFormat="1" applyFont="1" applyFill="1" applyBorder="1"/>
    <xf numFmtId="9" fontId="32" fillId="4" borderId="17" xfId="2" applyFont="1" applyFill="1" applyBorder="1" applyAlignment="1">
      <alignment horizontal="right" vertical="center"/>
    </xf>
    <xf numFmtId="9" fontId="32" fillId="3" borderId="17" xfId="2" applyFont="1" applyFill="1" applyBorder="1" applyAlignment="1">
      <alignment horizontal="right" vertical="center"/>
    </xf>
    <xf numFmtId="9" fontId="31" fillId="0" borderId="17" xfId="2" applyFont="1" applyBorder="1" applyAlignment="1">
      <alignment horizontal="right" vertical="center"/>
    </xf>
    <xf numFmtId="168" fontId="31" fillId="0" borderId="17" xfId="2" applyNumberFormat="1" applyFont="1" applyBorder="1" applyAlignment="1">
      <alignment horizontal="right" vertical="center"/>
    </xf>
    <xf numFmtId="17" fontId="33" fillId="21" borderId="18" xfId="0" applyNumberFormat="1" applyFont="1" applyFill="1" applyBorder="1" applyAlignment="1">
      <alignment horizontal="center" vertical="center"/>
    </xf>
    <xf numFmtId="174" fontId="32" fillId="4" borderId="18" xfId="1" applyNumberFormat="1" applyFont="1" applyFill="1" applyBorder="1" applyAlignment="1">
      <alignment horizontal="right" vertical="center"/>
    </xf>
    <xf numFmtId="174" fontId="32" fillId="3" borderId="18" xfId="1" applyNumberFormat="1" applyFont="1" applyFill="1" applyBorder="1" applyAlignment="1">
      <alignment horizontal="right" vertical="center"/>
    </xf>
    <xf numFmtId="174" fontId="31" fillId="0" borderId="18" xfId="1" applyNumberFormat="1" applyFont="1" applyBorder="1" applyAlignment="1">
      <alignment horizontal="right" vertical="center"/>
    </xf>
    <xf numFmtId="166" fontId="1" fillId="0" borderId="0" xfId="1" applyNumberFormat="1" applyFont="1" applyFill="1"/>
    <xf numFmtId="169" fontId="6" fillId="0" borderId="6" xfId="1" applyNumberFormat="1" applyFont="1" applyFill="1" applyBorder="1"/>
    <xf numFmtId="164" fontId="2" fillId="4" borderId="21" xfId="1" applyNumberFormat="1" applyFont="1" applyFill="1" applyBorder="1"/>
    <xf numFmtId="0" fontId="0" fillId="0" borderId="0" xfId="0" applyAlignment="1">
      <alignment horizontal="left" indent="5"/>
    </xf>
    <xf numFmtId="168" fontId="2" fillId="0" borderId="0" xfId="2" applyNumberFormat="1" applyFont="1" applyFill="1"/>
    <xf numFmtId="169" fontId="6" fillId="4" borderId="0" xfId="1" applyNumberFormat="1" applyFont="1" applyFill="1"/>
    <xf numFmtId="169" fontId="6" fillId="0" borderId="1" xfId="1" applyNumberFormat="1" applyFont="1" applyBorder="1"/>
    <xf numFmtId="168" fontId="0" fillId="0" borderId="0" xfId="2" applyNumberFormat="1" applyFont="1" applyAlignment="1">
      <alignment horizontal="right"/>
    </xf>
    <xf numFmtId="168" fontId="2" fillId="4" borderId="0" xfId="2" applyNumberFormat="1" applyFont="1" applyFill="1" applyAlignment="1">
      <alignment horizontal="right"/>
    </xf>
    <xf numFmtId="168" fontId="2" fillId="0" borderId="0" xfId="2" applyNumberFormat="1" applyFont="1" applyAlignment="1">
      <alignment horizontal="right"/>
    </xf>
    <xf numFmtId="164" fontId="0" fillId="4" borderId="0" xfId="1" applyNumberFormat="1" applyFont="1" applyFill="1"/>
    <xf numFmtId="169" fontId="6" fillId="0" borderId="2" xfId="1" applyNumberFormat="1" applyFont="1" applyBorder="1"/>
    <xf numFmtId="0" fontId="17" fillId="10" borderId="0" xfId="0" applyFont="1" applyFill="1" applyAlignment="1">
      <alignment horizontal="center"/>
    </xf>
    <xf numFmtId="164" fontId="0" fillId="20" borderId="0" xfId="1" applyNumberFormat="1" applyFont="1" applyFill="1"/>
    <xf numFmtId="164" fontId="0" fillId="24" borderId="0" xfId="1" applyNumberFormat="1" applyFont="1" applyFill="1"/>
    <xf numFmtId="0" fontId="36" fillId="6" borderId="0" xfId="0" applyFont="1" applyFill="1" applyAlignment="1">
      <alignment wrapText="1"/>
    </xf>
    <xf numFmtId="0" fontId="8" fillId="6" borderId="0" xfId="0" applyFont="1" applyFill="1"/>
    <xf numFmtId="0" fontId="6" fillId="6" borderId="0" xfId="0" applyFont="1" applyFill="1" applyAlignment="1">
      <alignment wrapText="1"/>
    </xf>
    <xf numFmtId="0" fontId="6" fillId="0" borderId="0" xfId="0" applyFont="1" applyAlignment="1">
      <alignment vertical="top" wrapText="1"/>
    </xf>
    <xf numFmtId="9" fontId="3" fillId="12" borderId="0" xfId="2" applyFont="1" applyFill="1"/>
    <xf numFmtId="168" fontId="2" fillId="0" borderId="0" xfId="2" applyNumberFormat="1" applyFont="1" applyFill="1" applyAlignment="1">
      <alignment horizontal="right"/>
    </xf>
    <xf numFmtId="168" fontId="0" fillId="0" borderId="0" xfId="2" applyNumberFormat="1" applyFont="1" applyFill="1" applyAlignment="1">
      <alignment horizontal="right"/>
    </xf>
    <xf numFmtId="9" fontId="17" fillId="0" borderId="0" xfId="2" applyFont="1" applyAlignment="1">
      <alignment horizontal="center"/>
    </xf>
    <xf numFmtId="9" fontId="5" fillId="12" borderId="0" xfId="2" applyFont="1" applyFill="1"/>
    <xf numFmtId="9" fontId="2" fillId="4" borderId="0" xfId="2" applyFont="1" applyFill="1"/>
    <xf numFmtId="9" fontId="0" fillId="0" borderId="0" xfId="2" applyFont="1" applyAlignment="1">
      <alignment horizontal="left" indent="2"/>
    </xf>
    <xf numFmtId="9" fontId="2" fillId="5" borderId="0" xfId="2" applyFont="1" applyFill="1"/>
    <xf numFmtId="9" fontId="6" fillId="3" borderId="0" xfId="2" applyFont="1" applyFill="1"/>
    <xf numFmtId="9" fontId="0" fillId="0" borderId="0" xfId="2" applyFont="1" applyAlignment="1">
      <alignment horizontal="left"/>
    </xf>
    <xf numFmtId="9" fontId="0" fillId="0" borderId="0" xfId="2" applyFont="1" applyAlignment="1">
      <alignment horizontal="left" vertical="top" wrapText="1"/>
    </xf>
    <xf numFmtId="168" fontId="1" fillId="0" borderId="0" xfId="2" applyNumberFormat="1" applyFont="1" applyFill="1" applyBorder="1"/>
    <xf numFmtId="9" fontId="2" fillId="7" borderId="0" xfId="2" applyFont="1" applyFill="1"/>
    <xf numFmtId="164" fontId="2" fillId="7" borderId="5" xfId="1" applyNumberFormat="1" applyFont="1" applyFill="1" applyBorder="1"/>
    <xf numFmtId="169" fontId="2" fillId="7" borderId="0" xfId="1" applyNumberFormat="1" applyFont="1" applyFill="1" applyBorder="1"/>
    <xf numFmtId="169" fontId="2" fillId="7" borderId="5" xfId="1" applyNumberFormat="1" applyFont="1" applyFill="1" applyBorder="1"/>
    <xf numFmtId="169" fontId="2" fillId="7" borderId="0" xfId="1" applyNumberFormat="1" applyFont="1" applyFill="1"/>
    <xf numFmtId="168" fontId="2" fillId="7" borderId="5" xfId="2" applyNumberFormat="1" applyFont="1" applyFill="1" applyBorder="1"/>
    <xf numFmtId="168" fontId="2" fillId="7" borderId="0" xfId="2" applyNumberFormat="1" applyFont="1" applyFill="1"/>
    <xf numFmtId="169" fontId="0" fillId="0" borderId="5" xfId="0" quotePrefix="1" applyNumberFormat="1" applyBorder="1"/>
    <xf numFmtId="0" fontId="37" fillId="0" borderId="0" xfId="0" applyFont="1"/>
    <xf numFmtId="0" fontId="37" fillId="0" borderId="0" xfId="0" applyFont="1" applyAlignment="1">
      <alignment horizontal="left" indent="2"/>
    </xf>
    <xf numFmtId="164" fontId="37" fillId="0" borderId="0" xfId="1" applyNumberFormat="1" applyFont="1" applyFill="1" applyBorder="1"/>
    <xf numFmtId="164" fontId="37" fillId="0" borderId="5" xfId="1" applyNumberFormat="1" applyFont="1" applyFill="1" applyBorder="1"/>
    <xf numFmtId="0" fontId="12" fillId="3" borderId="0" xfId="0" applyFont="1" applyFill="1"/>
    <xf numFmtId="10" fontId="12" fillId="3" borderId="0" xfId="2" applyNumberFormat="1" applyFont="1" applyFill="1" applyBorder="1"/>
    <xf numFmtId="10" fontId="12" fillId="3" borderId="7" xfId="2" applyNumberFormat="1" applyFont="1" applyFill="1" applyBorder="1"/>
    <xf numFmtId="164" fontId="37" fillId="0" borderId="0" xfId="1" applyNumberFormat="1" applyFont="1"/>
    <xf numFmtId="169" fontId="1" fillId="0" borderId="5" xfId="0" applyNumberFormat="1" applyFont="1" applyBorder="1"/>
    <xf numFmtId="164" fontId="8" fillId="0" borderId="15" xfId="8" applyNumberFormat="1" applyFont="1" applyFill="1" applyBorder="1" applyAlignment="1">
      <alignment horizontal="left" vertical="center" indent="1"/>
    </xf>
    <xf numFmtId="9" fontId="2" fillId="4" borderId="0" xfId="2" applyFont="1" applyFill="1" applyAlignment="1">
      <alignment vertical="center"/>
    </xf>
    <xf numFmtId="164" fontId="2" fillId="4" borderId="0" xfId="1" applyNumberFormat="1" applyFont="1" applyFill="1" applyBorder="1" applyAlignment="1">
      <alignment vertical="center"/>
    </xf>
    <xf numFmtId="164" fontId="2" fillId="4" borderId="5" xfId="1" applyNumberFormat="1" applyFont="1" applyFill="1" applyBorder="1" applyAlignment="1">
      <alignment vertical="center"/>
    </xf>
    <xf numFmtId="169" fontId="2" fillId="4" borderId="0" xfId="1" applyNumberFormat="1" applyFont="1" applyFill="1" applyBorder="1" applyAlignment="1">
      <alignment vertical="center"/>
    </xf>
    <xf numFmtId="169" fontId="2" fillId="4" borderId="5" xfId="1" applyNumberFormat="1" applyFont="1" applyFill="1" applyBorder="1" applyAlignment="1">
      <alignment vertical="center"/>
    </xf>
    <xf numFmtId="169" fontId="2" fillId="4" borderId="0" xfId="1" applyNumberFormat="1" applyFont="1" applyFill="1" applyAlignment="1">
      <alignment vertical="center"/>
    </xf>
    <xf numFmtId="0" fontId="2" fillId="0" borderId="0" xfId="0" applyFont="1" applyAlignment="1">
      <alignment vertical="center"/>
    </xf>
    <xf numFmtId="168" fontId="2" fillId="4" borderId="0" xfId="2" applyNumberFormat="1" applyFont="1" applyFill="1" applyAlignment="1">
      <alignment vertical="center"/>
    </xf>
    <xf numFmtId="168" fontId="2" fillId="4" borderId="5" xfId="2" applyNumberFormat="1" applyFont="1" applyFill="1" applyBorder="1" applyAlignment="1">
      <alignment vertical="center"/>
    </xf>
    <xf numFmtId="43" fontId="8" fillId="6" borderId="15" xfId="1" applyFont="1" applyFill="1" applyBorder="1" applyAlignment="1">
      <alignment horizontal="left" vertical="center" indent="1"/>
    </xf>
    <xf numFmtId="167" fontId="2" fillId="4" borderId="0" xfId="12" applyNumberFormat="1" applyFont="1" applyFill="1" applyAlignment="1">
      <alignment horizontal="center" vertical="center"/>
    </xf>
    <xf numFmtId="168" fontId="8" fillId="6" borderId="15" xfId="13" applyNumberFormat="1" applyFont="1" applyFill="1" applyBorder="1" applyAlignment="1">
      <alignment horizontal="center" vertical="center"/>
    </xf>
    <xf numFmtId="43" fontId="8" fillId="6" borderId="15" xfId="1" applyFont="1" applyFill="1" applyBorder="1" applyAlignment="1">
      <alignment horizontal="center" vertical="center"/>
    </xf>
    <xf numFmtId="9" fontId="22" fillId="4" borderId="15" xfId="13" applyFont="1" applyFill="1" applyBorder="1" applyAlignment="1">
      <alignment horizontal="center" vertical="center" wrapText="1"/>
    </xf>
    <xf numFmtId="164" fontId="2" fillId="4" borderId="0" xfId="42" applyNumberFormat="1" applyFont="1" applyFill="1"/>
    <xf numFmtId="164" fontId="2" fillId="7" borderId="0" xfId="42" applyNumberFormat="1" applyFont="1" applyFill="1"/>
    <xf numFmtId="164" fontId="0" fillId="0" borderId="0" xfId="42" applyNumberFormat="1" applyFont="1"/>
    <xf numFmtId="168" fontId="2" fillId="3" borderId="5" xfId="2" applyNumberFormat="1" applyFont="1" applyFill="1" applyBorder="1"/>
    <xf numFmtId="168" fontId="2" fillId="4" borderId="0" xfId="2" applyNumberFormat="1" applyFont="1" applyFill="1" applyBorder="1" applyAlignment="1">
      <alignment vertical="center"/>
    </xf>
    <xf numFmtId="168" fontId="2" fillId="7" borderId="0" xfId="2" applyNumberFormat="1" applyFont="1" applyFill="1" applyBorder="1"/>
    <xf numFmtId="168" fontId="0" fillId="0" borderId="5" xfId="2" quotePrefix="1" applyNumberFormat="1" applyFont="1" applyBorder="1"/>
    <xf numFmtId="168" fontId="0" fillId="0" borderId="5" xfId="2" applyNumberFormat="1" applyFont="1" applyBorder="1" applyAlignment="1">
      <alignment horizontal="center"/>
    </xf>
    <xf numFmtId="168" fontId="0" fillId="0" borderId="20" xfId="2" applyNumberFormat="1" applyFont="1" applyBorder="1" applyAlignment="1">
      <alignment horizontal="center" vertical="center"/>
    </xf>
    <xf numFmtId="168" fontId="1" fillId="0" borderId="0" xfId="2" applyNumberFormat="1" applyFont="1" applyFill="1" applyBorder="1" applyAlignment="1">
      <alignment horizontal="center" vertical="center"/>
    </xf>
    <xf numFmtId="168" fontId="0" fillId="0" borderId="5" xfId="2" applyNumberFormat="1" applyFont="1" applyBorder="1" applyAlignment="1">
      <alignment horizontal="center" vertical="center"/>
    </xf>
    <xf numFmtId="168" fontId="0" fillId="0" borderId="5" xfId="2" applyNumberFormat="1" applyFont="1" applyBorder="1" applyAlignment="1">
      <alignment horizontal="right" vertical="center"/>
    </xf>
    <xf numFmtId="168" fontId="1" fillId="0" borderId="0" xfId="2" applyNumberFormat="1" applyFont="1" applyFill="1" applyBorder="1" applyAlignment="1">
      <alignment horizontal="center"/>
    </xf>
    <xf numFmtId="169" fontId="2" fillId="7" borderId="7" xfId="1" applyNumberFormat="1" applyFont="1" applyFill="1" applyBorder="1"/>
    <xf numFmtId="9" fontId="2" fillId="7" borderId="0" xfId="2" applyFont="1" applyFill="1" applyAlignment="1">
      <alignment horizontal="center"/>
    </xf>
    <xf numFmtId="168" fontId="0" fillId="0" borderId="0" xfId="2" applyNumberFormat="1" applyFont="1" applyAlignment="1">
      <alignment horizontal="center" vertical="center"/>
    </xf>
    <xf numFmtId="169" fontId="0" fillId="0" borderId="5" xfId="0" applyNumberFormat="1" applyBorder="1" applyAlignment="1">
      <alignment horizontal="center" vertical="center"/>
    </xf>
    <xf numFmtId="169" fontId="1" fillId="0" borderId="0" xfId="1" applyNumberFormat="1" applyFont="1" applyFill="1" applyBorder="1" applyAlignment="1">
      <alignment horizontal="center" vertical="center"/>
    </xf>
    <xf numFmtId="168" fontId="6" fillId="3" borderId="0" xfId="2" applyNumberFormat="1" applyFont="1" applyFill="1"/>
    <xf numFmtId="0" fontId="6" fillId="6" borderId="0" xfId="0" applyFont="1" applyFill="1" applyAlignment="1">
      <alignment vertical="top" wrapText="1"/>
    </xf>
    <xf numFmtId="0" fontId="9" fillId="0" borderId="0" xfId="7" applyFont="1" applyAlignment="1">
      <alignment wrapText="1"/>
    </xf>
    <xf numFmtId="0" fontId="9" fillId="0" borderId="0" xfId="7" applyFont="1"/>
    <xf numFmtId="168" fontId="0" fillId="0" borderId="0" xfId="0" applyNumberFormat="1"/>
    <xf numFmtId="0" fontId="0" fillId="26" borderId="0" xfId="0" applyFill="1"/>
    <xf numFmtId="173" fontId="0" fillId="6" borderId="0" xfId="0" applyNumberFormat="1" applyFill="1"/>
    <xf numFmtId="176" fontId="0" fillId="0" borderId="0" xfId="0" applyNumberFormat="1"/>
    <xf numFmtId="0" fontId="41" fillId="0" borderId="0" xfId="0" applyFont="1"/>
    <xf numFmtId="0" fontId="40" fillId="0" borderId="23" xfId="0" applyFont="1" applyBorder="1" applyAlignment="1">
      <alignment horizontal="left" indent="2"/>
    </xf>
    <xf numFmtId="0" fontId="34" fillId="6" borderId="0" xfId="0" applyFont="1" applyFill="1"/>
    <xf numFmtId="0" fontId="39" fillId="0" borderId="24" xfId="0" applyFont="1" applyBorder="1" applyAlignment="1">
      <alignment horizontal="left"/>
    </xf>
    <xf numFmtId="17" fontId="39" fillId="0" borderId="24" xfId="0" applyNumberFormat="1" applyFont="1" applyBorder="1" applyAlignment="1">
      <alignment horizontal="right"/>
    </xf>
    <xf numFmtId="0" fontId="39" fillId="0" borderId="24" xfId="0" applyFont="1" applyBorder="1" applyAlignment="1">
      <alignment horizontal="right"/>
    </xf>
    <xf numFmtId="0" fontId="39" fillId="27" borderId="0" xfId="0" applyFont="1" applyFill="1"/>
    <xf numFmtId="168" fontId="39" fillId="27" borderId="0" xfId="2" applyNumberFormat="1" applyFont="1" applyFill="1" applyBorder="1" applyAlignment="1">
      <alignment horizontal="right"/>
    </xf>
    <xf numFmtId="0" fontId="39" fillId="0" borderId="23" xfId="0" applyFont="1" applyBorder="1" applyAlignment="1">
      <alignment horizontal="left" vertical="center"/>
    </xf>
    <xf numFmtId="168" fontId="39" fillId="0" borderId="23" xfId="2" applyNumberFormat="1" applyFont="1" applyBorder="1" applyAlignment="1">
      <alignment horizontal="right"/>
    </xf>
    <xf numFmtId="168" fontId="40" fillId="0" borderId="23" xfId="2" applyNumberFormat="1" applyFont="1" applyBorder="1" applyAlignment="1">
      <alignment horizontal="right"/>
    </xf>
    <xf numFmtId="0" fontId="39" fillId="0" borderId="23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/>
    </xf>
    <xf numFmtId="173" fontId="34" fillId="0" borderId="0" xfId="1" applyNumberFormat="1" applyFont="1" applyAlignment="1">
      <alignment horizontal="center"/>
    </xf>
    <xf numFmtId="0" fontId="34" fillId="0" borderId="22" xfId="0" applyFont="1" applyBorder="1" applyAlignment="1">
      <alignment horizontal="left" vertical="center"/>
    </xf>
    <xf numFmtId="10" fontId="6" fillId="28" borderId="0" xfId="2" applyNumberFormat="1" applyFont="1" applyFill="1" applyBorder="1"/>
    <xf numFmtId="43" fontId="6" fillId="3" borderId="0" xfId="1" applyFont="1" applyFill="1"/>
    <xf numFmtId="164" fontId="37" fillId="0" borderId="5" xfId="1" applyNumberFormat="1" applyFont="1" applyBorder="1"/>
    <xf numFmtId="168" fontId="0" fillId="6" borderId="0" xfId="2" applyNumberFormat="1" applyFont="1" applyFill="1" applyAlignment="1">
      <alignment horizontal="right"/>
    </xf>
    <xf numFmtId="172" fontId="34" fillId="20" borderId="0" xfId="0" applyNumberFormat="1" applyFont="1" applyFill="1"/>
    <xf numFmtId="164" fontId="2" fillId="25" borderId="0" xfId="1" applyNumberFormat="1" applyFont="1" applyFill="1" applyBorder="1"/>
    <xf numFmtId="173" fontId="34" fillId="0" borderId="0" xfId="1" applyNumberFormat="1" applyFont="1" applyAlignment="1">
      <alignment horizontal="right"/>
    </xf>
    <xf numFmtId="174" fontId="40" fillId="0" borderId="23" xfId="1" applyNumberFormat="1" applyFont="1" applyBorder="1" applyAlignment="1">
      <alignment horizontal="right"/>
    </xf>
    <xf numFmtId="174" fontId="39" fillId="27" borderId="0" xfId="1" applyNumberFormat="1" applyFont="1" applyFill="1" applyAlignment="1">
      <alignment horizontal="right"/>
    </xf>
    <xf numFmtId="174" fontId="39" fillId="0" borderId="23" xfId="1" applyNumberFormat="1" applyFont="1" applyBorder="1" applyAlignment="1">
      <alignment horizontal="right"/>
    </xf>
    <xf numFmtId="43" fontId="2" fillId="25" borderId="0" xfId="1" applyFont="1" applyFill="1" applyBorder="1"/>
    <xf numFmtId="164" fontId="2" fillId="4" borderId="0" xfId="160" applyNumberFormat="1" applyFont="1" applyFill="1"/>
    <xf numFmtId="164" fontId="0" fillId="0" borderId="0" xfId="160" applyNumberFormat="1" applyFont="1"/>
    <xf numFmtId="164" fontId="6" fillId="3" borderId="0" xfId="160" applyNumberFormat="1" applyFont="1" applyFill="1"/>
    <xf numFmtId="9" fontId="0" fillId="0" borderId="0" xfId="2" applyFont="1" applyFill="1"/>
    <xf numFmtId="164" fontId="2" fillId="0" borderId="0" xfId="160" applyNumberFormat="1" applyFont="1" applyFill="1"/>
    <xf numFmtId="164" fontId="0" fillId="0" borderId="0" xfId="160" applyNumberFormat="1" applyFont="1" applyFill="1"/>
    <xf numFmtId="0" fontId="0" fillId="6" borderId="0" xfId="0" applyFill="1" applyAlignment="1">
      <alignment vertical="center"/>
    </xf>
    <xf numFmtId="43" fontId="0" fillId="0" borderId="0" xfId="1" applyFont="1" applyFill="1"/>
    <xf numFmtId="168" fontId="0" fillId="0" borderId="0" xfId="0" applyNumberFormat="1" applyAlignment="1">
      <alignment vertical="center"/>
    </xf>
    <xf numFmtId="168" fontId="0" fillId="0" borderId="0" xfId="2" applyNumberFormat="1" applyFont="1" applyAlignment="1">
      <alignment vertical="center"/>
    </xf>
    <xf numFmtId="164" fontId="8" fillId="0" borderId="0" xfId="1" applyNumberFormat="1" applyFont="1"/>
    <xf numFmtId="164" fontId="8" fillId="0" borderId="0" xfId="1" applyNumberFormat="1" applyFont="1" applyFill="1"/>
    <xf numFmtId="0" fontId="2" fillId="0" borderId="0" xfId="0" applyFont="1" applyAlignment="1">
      <alignment horizontal="left" vertical="center"/>
    </xf>
    <xf numFmtId="164" fontId="6" fillId="0" borderId="0" xfId="1" applyNumberFormat="1" applyFont="1"/>
    <xf numFmtId="10" fontId="0" fillId="0" borderId="0" xfId="2" applyNumberFormat="1" applyFont="1" applyFill="1"/>
    <xf numFmtId="164" fontId="2" fillId="4" borderId="0" xfId="160" applyNumberFormat="1" applyFont="1" applyFill="1" applyBorder="1"/>
    <xf numFmtId="164" fontId="0" fillId="0" borderId="0" xfId="160" applyNumberFormat="1" applyFont="1" applyFill="1" applyBorder="1"/>
    <xf numFmtId="164" fontId="2" fillId="0" borderId="0" xfId="160" applyNumberFormat="1" applyFont="1" applyFill="1" applyBorder="1"/>
    <xf numFmtId="164" fontId="0" fillId="0" borderId="0" xfId="2" applyNumberFormat="1" applyFont="1" applyFill="1"/>
    <xf numFmtId="164" fontId="0" fillId="0" borderId="0" xfId="160" applyNumberFormat="1" applyFont="1" applyBorder="1"/>
    <xf numFmtId="164" fontId="6" fillId="0" borderId="0" xfId="1" applyNumberFormat="1" applyFont="1" applyFill="1"/>
    <xf numFmtId="164" fontId="2" fillId="0" borderId="0" xfId="0" applyNumberFormat="1" applyFont="1" applyAlignment="1">
      <alignment vertical="center"/>
    </xf>
    <xf numFmtId="170" fontId="0" fillId="0" borderId="0" xfId="0" applyNumberFormat="1"/>
    <xf numFmtId="4" fontId="0" fillId="0" borderId="0" xfId="0" applyNumberFormat="1"/>
    <xf numFmtId="164" fontId="2" fillId="4" borderId="0" xfId="1" applyNumberFormat="1" applyFont="1" applyFill="1" applyAlignment="1">
      <alignment horizontal="center" vertical="center"/>
    </xf>
    <xf numFmtId="0" fontId="9" fillId="0" borderId="0" xfId="7" applyFont="1" applyFill="1"/>
    <xf numFmtId="169" fontId="1" fillId="16" borderId="0" xfId="1" applyNumberFormat="1" applyFont="1" applyFill="1" applyBorder="1"/>
    <xf numFmtId="164" fontId="26" fillId="0" borderId="0" xfId="0" applyNumberFormat="1" applyFont="1"/>
    <xf numFmtId="0" fontId="18" fillId="0" borderId="0" xfId="7" applyFont="1" applyFill="1"/>
    <xf numFmtId="9" fontId="3" fillId="0" borderId="0" xfId="2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0" fontId="0" fillId="15" borderId="0" xfId="0" applyFill="1"/>
    <xf numFmtId="17" fontId="39" fillId="0" borderId="24" xfId="0" applyNumberFormat="1" applyFont="1" applyBorder="1" applyAlignment="1">
      <alignment horizontal="center" vertical="center"/>
    </xf>
    <xf numFmtId="164" fontId="0" fillId="16" borderId="0" xfId="0" applyNumberFormat="1" applyFill="1"/>
    <xf numFmtId="169" fontId="2" fillId="0" borderId="0" xfId="1" applyNumberFormat="1" applyFont="1" applyFill="1"/>
    <xf numFmtId="14" fontId="17" fillId="25" borderId="0" xfId="0" applyNumberFormat="1" applyFont="1" applyFill="1" applyAlignment="1">
      <alignment horizontal="center" vertical="top" wrapText="1"/>
    </xf>
    <xf numFmtId="169" fontId="8" fillId="0" borderId="5" xfId="0" applyNumberFormat="1" applyFont="1" applyBorder="1"/>
    <xf numFmtId="164" fontId="26" fillId="0" borderId="0" xfId="0" applyNumberFormat="1" applyFont="1" applyAlignment="1">
      <alignment vertical="top"/>
    </xf>
    <xf numFmtId="164" fontId="1" fillId="0" borderId="0" xfId="1" applyNumberFormat="1" applyFont="1"/>
    <xf numFmtId="166" fontId="0" fillId="0" borderId="0" xfId="1" applyNumberFormat="1" applyFont="1" applyFill="1"/>
    <xf numFmtId="169" fontId="8" fillId="0" borderId="0" xfId="0" applyNumberFormat="1" applyFont="1"/>
    <xf numFmtId="168" fontId="6" fillId="3" borderId="7" xfId="2" applyNumberFormat="1" applyFont="1" applyFill="1" applyBorder="1"/>
    <xf numFmtId="168" fontId="6" fillId="3" borderId="5" xfId="2" applyNumberFormat="1" applyFont="1" applyFill="1" applyBorder="1"/>
    <xf numFmtId="168" fontId="10" fillId="0" borderId="0" xfId="2" applyNumberFormat="1" applyFont="1" applyFill="1"/>
    <xf numFmtId="0" fontId="49" fillId="23" borderId="0" xfId="0" applyFont="1" applyFill="1"/>
    <xf numFmtId="0" fontId="50" fillId="23" borderId="0" xfId="0" applyFont="1" applyFill="1"/>
    <xf numFmtId="164" fontId="49" fillId="23" borderId="0" xfId="0" applyNumberFormat="1" applyFont="1" applyFill="1"/>
    <xf numFmtId="164" fontId="49" fillId="23" borderId="5" xfId="0" applyNumberFormat="1" applyFont="1" applyFill="1" applyBorder="1"/>
    <xf numFmtId="9" fontId="0" fillId="0" borderId="0" xfId="2" applyFont="1" applyFill="1" applyAlignment="1">
      <alignment horizontal="left" indent="2"/>
    </xf>
    <xf numFmtId="9" fontId="2" fillId="0" borderId="0" xfId="2" applyFont="1" applyFill="1"/>
    <xf numFmtId="169" fontId="2" fillId="0" borderId="0" xfId="1" applyNumberFormat="1" applyFont="1" applyFill="1" applyBorder="1"/>
    <xf numFmtId="0" fontId="12" fillId="0" borderId="0" xfId="0" applyFont="1"/>
    <xf numFmtId="166" fontId="0" fillId="16" borderId="0" xfId="0" applyNumberFormat="1" applyFill="1"/>
    <xf numFmtId="166" fontId="26" fillId="6" borderId="0" xfId="0" applyNumberFormat="1" applyFont="1" applyFill="1"/>
    <xf numFmtId="0" fontId="8" fillId="0" borderId="0" xfId="0" applyFont="1"/>
    <xf numFmtId="168" fontId="10" fillId="0" borderId="0" xfId="7" applyNumberFormat="1" applyFill="1"/>
    <xf numFmtId="164" fontId="0" fillId="0" borderId="0" xfId="42" applyNumberFormat="1" applyFont="1" applyFill="1"/>
    <xf numFmtId="0" fontId="7" fillId="9" borderId="0" xfId="0" applyFont="1" applyFill="1" applyAlignment="1">
      <alignment horizontal="center"/>
    </xf>
    <xf numFmtId="169" fontId="6" fillId="4" borderId="5" xfId="0" applyNumberFormat="1" applyFont="1" applyFill="1" applyBorder="1"/>
    <xf numFmtId="168" fontId="8" fillId="0" borderId="5" xfId="2" applyNumberFormat="1" applyFont="1" applyBorder="1"/>
    <xf numFmtId="10" fontId="6" fillId="3" borderId="25" xfId="2" applyNumberFormat="1" applyFont="1" applyFill="1" applyBorder="1"/>
    <xf numFmtId="164" fontId="2" fillId="0" borderId="0" xfId="42" applyNumberFormat="1" applyFont="1" applyFill="1"/>
    <xf numFmtId="0" fontId="38" fillId="0" borderId="0" xfId="0" applyFont="1" applyAlignment="1">
      <alignment horizontal="left" vertical="top" indent="2"/>
    </xf>
    <xf numFmtId="9" fontId="1" fillId="0" borderId="0" xfId="2" applyFont="1" applyAlignment="1">
      <alignment horizontal="left" indent="2"/>
    </xf>
    <xf numFmtId="0" fontId="1" fillId="0" borderId="0" xfId="0" applyFont="1" applyAlignment="1">
      <alignment horizontal="left" indent="2"/>
    </xf>
    <xf numFmtId="164" fontId="1" fillId="0" borderId="5" xfId="0" applyNumberFormat="1" applyFont="1" applyBorder="1"/>
    <xf numFmtId="164" fontId="1" fillId="0" borderId="5" xfId="1" applyNumberFormat="1" applyFont="1" applyFill="1" applyBorder="1"/>
    <xf numFmtId="169" fontId="1" fillId="0" borderId="5" xfId="1" applyNumberFormat="1" applyFont="1" applyFill="1" applyBorder="1"/>
    <xf numFmtId="9" fontId="2" fillId="3" borderId="0" xfId="2" applyFont="1" applyFill="1"/>
    <xf numFmtId="0" fontId="2" fillId="3" borderId="0" xfId="0" applyFont="1" applyFill="1"/>
    <xf numFmtId="10" fontId="2" fillId="3" borderId="0" xfId="2" applyNumberFormat="1" applyFont="1" applyFill="1" applyBorder="1"/>
    <xf numFmtId="10" fontId="2" fillId="3" borderId="7" xfId="2" applyNumberFormat="1" applyFont="1" applyFill="1" applyBorder="1"/>
    <xf numFmtId="9" fontId="1" fillId="0" borderId="0" xfId="2" applyFont="1" applyFill="1"/>
    <xf numFmtId="168" fontId="1" fillId="0" borderId="0" xfId="2" applyNumberFormat="1" applyFont="1" applyFill="1"/>
    <xf numFmtId="173" fontId="0" fillId="0" borderId="0" xfId="0" applyNumberFormat="1"/>
    <xf numFmtId="169" fontId="8" fillId="0" borderId="5" xfId="1" applyNumberFormat="1" applyFont="1" applyFill="1" applyBorder="1"/>
    <xf numFmtId="164" fontId="43" fillId="0" borderId="0" xfId="1" applyNumberFormat="1" applyFont="1"/>
    <xf numFmtId="43" fontId="43" fillId="0" borderId="0" xfId="1" applyFont="1"/>
    <xf numFmtId="164" fontId="43" fillId="6" borderId="0" xfId="1" applyNumberFormat="1" applyFont="1" applyFill="1"/>
    <xf numFmtId="164" fontId="43" fillId="0" borderId="0" xfId="1" applyNumberFormat="1" applyFont="1" applyFill="1"/>
    <xf numFmtId="164" fontId="43" fillId="0" borderId="0" xfId="7" applyNumberFormat="1" applyFont="1"/>
    <xf numFmtId="0" fontId="43" fillId="0" borderId="0" xfId="7" applyFont="1"/>
    <xf numFmtId="168" fontId="43" fillId="0" borderId="0" xfId="2" applyNumberFormat="1" applyFont="1"/>
    <xf numFmtId="0" fontId="2" fillId="0" borderId="0" xfId="0" applyFont="1" applyAlignment="1">
      <alignment horizontal="center"/>
    </xf>
    <xf numFmtId="10" fontId="2" fillId="3" borderId="0" xfId="0" applyNumberFormat="1" applyFont="1" applyFill="1" applyAlignment="1">
      <alignment horizontal="left" indent="2"/>
    </xf>
    <xf numFmtId="10" fontId="2" fillId="3" borderId="13" xfId="2" applyNumberFormat="1" applyFont="1" applyFill="1" applyBorder="1"/>
    <xf numFmtId="10" fontId="2" fillId="3" borderId="0" xfId="2" applyNumberFormat="1" applyFont="1" applyFill="1"/>
    <xf numFmtId="0" fontId="0" fillId="6" borderId="0" xfId="0" applyFill="1" applyAlignment="1">
      <alignment horizontal="left" indent="2"/>
    </xf>
    <xf numFmtId="0" fontId="8" fillId="10" borderId="9" xfId="0" applyFont="1" applyFill="1" applyBorder="1" applyAlignment="1">
      <alignment horizontal="left" vertical="center" wrapText="1" indent="1"/>
    </xf>
    <xf numFmtId="169" fontId="8" fillId="6" borderId="8" xfId="0" applyNumberFormat="1" applyFont="1" applyFill="1" applyBorder="1" applyAlignment="1">
      <alignment vertical="center" wrapText="1"/>
    </xf>
    <xf numFmtId="169" fontId="8" fillId="6" borderId="10" xfId="0" applyNumberFormat="1" applyFont="1" applyFill="1" applyBorder="1" applyAlignment="1">
      <alignment vertical="center" wrapText="1"/>
    </xf>
    <xf numFmtId="169" fontId="8" fillId="6" borderId="14" xfId="0" applyNumberFormat="1" applyFont="1" applyFill="1" applyBorder="1" applyAlignment="1">
      <alignment vertical="center" wrapText="1"/>
    </xf>
    <xf numFmtId="169" fontId="8" fillId="6" borderId="11" xfId="0" applyNumberFormat="1" applyFont="1" applyFill="1" applyBorder="1" applyAlignment="1">
      <alignment vertical="center" wrapText="1"/>
    </xf>
    <xf numFmtId="169" fontId="8" fillId="6" borderId="8" xfId="0" applyNumberFormat="1" applyFont="1" applyFill="1" applyBorder="1" applyAlignment="1">
      <alignment horizontal="right" vertical="center" wrapText="1"/>
    </xf>
    <xf numFmtId="169" fontId="8" fillId="6" borderId="11" xfId="0" applyNumberFormat="1" applyFont="1" applyFill="1" applyBorder="1" applyAlignment="1">
      <alignment horizontal="right" vertical="center" wrapText="1"/>
    </xf>
    <xf numFmtId="0" fontId="8" fillId="6" borderId="8" xfId="0" applyFont="1" applyFill="1" applyBorder="1" applyAlignment="1">
      <alignment horizontal="left" vertical="center" wrapText="1" indent="1"/>
    </xf>
    <xf numFmtId="169" fontId="8" fillId="0" borderId="8" xfId="0" applyNumberFormat="1" applyFont="1" applyBorder="1" applyAlignment="1">
      <alignment vertical="center" wrapText="1"/>
    </xf>
    <xf numFmtId="0" fontId="8" fillId="6" borderId="0" xfId="0" applyFont="1" applyFill="1" applyAlignment="1">
      <alignment horizontal="left" vertical="center" wrapText="1" indent="1"/>
    </xf>
    <xf numFmtId="169" fontId="8" fillId="6" borderId="0" xfId="0" applyNumberFormat="1" applyFont="1" applyFill="1" applyAlignment="1">
      <alignment horizontal="right" vertical="center" wrapText="1"/>
    </xf>
    <xf numFmtId="169" fontId="8" fillId="6" borderId="0" xfId="0" applyNumberFormat="1" applyFont="1" applyFill="1" applyAlignment="1">
      <alignment vertical="center" wrapText="1"/>
    </xf>
    <xf numFmtId="169" fontId="8" fillId="6" borderId="5" xfId="0" applyNumberFormat="1" applyFont="1" applyFill="1" applyBorder="1" applyAlignment="1">
      <alignment horizontal="right" vertical="center" wrapText="1"/>
    </xf>
    <xf numFmtId="169" fontId="6" fillId="4" borderId="0" xfId="0" applyNumberFormat="1" applyFont="1" applyFill="1" applyAlignment="1">
      <alignment vertical="center" wrapText="1"/>
    </xf>
    <xf numFmtId="169" fontId="6" fillId="4" borderId="5" xfId="0" applyNumberFormat="1" applyFont="1" applyFill="1" applyBorder="1" applyAlignment="1">
      <alignment vertical="center" wrapText="1"/>
    </xf>
    <xf numFmtId="169" fontId="0" fillId="6" borderId="0" xfId="1" applyNumberFormat="1" applyFont="1" applyFill="1" applyBorder="1"/>
    <xf numFmtId="169" fontId="0" fillId="6" borderId="5" xfId="1" applyNumberFormat="1" applyFont="1" applyFill="1" applyBorder="1"/>
    <xf numFmtId="10" fontId="0" fillId="0" borderId="0" xfId="2" applyNumberFormat="1" applyFont="1" applyAlignment="1">
      <alignment horizontal="center"/>
    </xf>
    <xf numFmtId="10" fontId="2" fillId="7" borderId="0" xfId="2" applyNumberFormat="1" applyFont="1" applyFill="1" applyAlignment="1">
      <alignment horizontal="center"/>
    </xf>
    <xf numFmtId="169" fontId="0" fillId="26" borderId="0" xfId="1" applyNumberFormat="1" applyFont="1" applyFill="1" applyBorder="1"/>
    <xf numFmtId="164" fontId="0" fillId="6" borderId="0" xfId="1" applyNumberFormat="1" applyFont="1" applyFill="1" applyBorder="1"/>
    <xf numFmtId="169" fontId="8" fillId="0" borderId="11" xfId="0" applyNumberFormat="1" applyFont="1" applyBorder="1" applyAlignment="1">
      <alignment vertical="center" wrapText="1"/>
    </xf>
    <xf numFmtId="169" fontId="8" fillId="0" borderId="0" xfId="0" applyNumberFormat="1" applyFont="1" applyAlignment="1">
      <alignment vertical="center" wrapText="1"/>
    </xf>
    <xf numFmtId="169" fontId="8" fillId="0" borderId="5" xfId="0" applyNumberFormat="1" applyFont="1" applyBorder="1" applyAlignment="1">
      <alignment horizontal="right" vertical="center" wrapText="1"/>
    </xf>
    <xf numFmtId="169" fontId="8" fillId="0" borderId="0" xfId="0" applyNumberFormat="1" applyFont="1" applyAlignment="1">
      <alignment horizontal="right" vertical="center" wrapText="1"/>
    </xf>
    <xf numFmtId="164" fontId="0" fillId="0" borderId="0" xfId="1" applyNumberFormat="1" applyFont="1" applyFill="1" applyAlignment="1">
      <alignment vertical="center"/>
    </xf>
    <xf numFmtId="172" fontId="10" fillId="0" borderId="0" xfId="7" applyNumberFormat="1"/>
    <xf numFmtId="0" fontId="53" fillId="0" borderId="0" xfId="0" applyFont="1" applyAlignment="1">
      <alignment horizontal="left"/>
    </xf>
    <xf numFmtId="164" fontId="53" fillId="0" borderId="0" xfId="1" applyNumberFormat="1" applyFont="1" applyFill="1" applyBorder="1"/>
    <xf numFmtId="164" fontId="53" fillId="0" borderId="0" xfId="1" applyNumberFormat="1" applyFont="1" applyFill="1"/>
    <xf numFmtId="0" fontId="53" fillId="0" borderId="0" xfId="0" applyFont="1"/>
    <xf numFmtId="164" fontId="10" fillId="0" borderId="0" xfId="7" applyNumberFormat="1"/>
    <xf numFmtId="164" fontId="37" fillId="0" borderId="0" xfId="1" applyNumberFormat="1" applyFont="1" applyFill="1"/>
    <xf numFmtId="164" fontId="0" fillId="0" borderId="0" xfId="1" applyNumberFormat="1" applyFont="1" applyFill="1" applyAlignment="1"/>
    <xf numFmtId="0" fontId="6" fillId="0" borderId="0" xfId="0" applyFont="1" applyAlignment="1">
      <alignment horizontal="center" vertical="top" wrapText="1"/>
    </xf>
    <xf numFmtId="164" fontId="8" fillId="0" borderId="0" xfId="1" applyNumberFormat="1" applyFont="1" applyFill="1" applyBorder="1"/>
    <xf numFmtId="164" fontId="6" fillId="0" borderId="0" xfId="1" applyNumberFormat="1" applyFont="1" applyAlignment="1">
      <alignment horizontal="center" vertical="center"/>
    </xf>
    <xf numFmtId="164" fontId="1" fillId="0" borderId="0" xfId="3" applyNumberFormat="1" applyFont="1"/>
    <xf numFmtId="164" fontId="1" fillId="7" borderId="0" xfId="3" applyNumberFormat="1" applyFont="1" applyFill="1"/>
    <xf numFmtId="43" fontId="2" fillId="7" borderId="0" xfId="8" applyFont="1" applyFill="1"/>
    <xf numFmtId="164" fontId="2" fillId="7" borderId="0" xfId="8" applyNumberFormat="1" applyFont="1" applyFill="1"/>
    <xf numFmtId="164" fontId="8" fillId="0" borderId="15" xfId="8" applyNumberFormat="1" applyFont="1" applyBorder="1" applyAlignment="1">
      <alignment horizontal="left" vertical="center" indent="1"/>
    </xf>
    <xf numFmtId="0" fontId="2" fillId="0" borderId="0" xfId="0" applyFont="1" applyAlignment="1">
      <alignment horizontal="left" indent="3"/>
    </xf>
    <xf numFmtId="164" fontId="2" fillId="0" borderId="0" xfId="42" applyNumberFormat="1" applyFont="1"/>
    <xf numFmtId="169" fontId="6" fillId="3" borderId="0" xfId="2" applyNumberFormat="1" applyFont="1" applyFill="1"/>
    <xf numFmtId="0" fontId="51" fillId="0" borderId="0" xfId="7" applyFont="1" applyFill="1"/>
    <xf numFmtId="0" fontId="25" fillId="0" borderId="0" xfId="0" applyFont="1" applyAlignment="1">
      <alignment horizontal="left" vertical="center" wrapText="1"/>
    </xf>
    <xf numFmtId="0" fontId="2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9" fontId="10" fillId="0" borderId="0" xfId="7" applyNumberFormat="1" applyFill="1"/>
    <xf numFmtId="177" fontId="0" fillId="0" borderId="0" xfId="0" applyNumberFormat="1"/>
    <xf numFmtId="0" fontId="0" fillId="4" borderId="0" xfId="0" applyFill="1" applyAlignment="1">
      <alignment vertical="center"/>
    </xf>
    <xf numFmtId="164" fontId="0" fillId="4" borderId="0" xfId="1" applyNumberFormat="1" applyFont="1" applyFill="1" applyAlignment="1">
      <alignment vertical="center"/>
    </xf>
    <xf numFmtId="43" fontId="0" fillId="0" borderId="0" xfId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3" fontId="2" fillId="4" borderId="0" xfId="1" applyFont="1" applyFill="1" applyAlignment="1">
      <alignment vertical="center"/>
    </xf>
    <xf numFmtId="0" fontId="2" fillId="4" borderId="0" xfId="0" applyFont="1" applyFill="1" applyAlignment="1">
      <alignment horizontal="left" vertical="center" indent="4"/>
    </xf>
    <xf numFmtId="0" fontId="2" fillId="4" borderId="0" xfId="0" applyFont="1" applyFill="1" applyAlignment="1">
      <alignment horizontal="left" vertical="center"/>
    </xf>
    <xf numFmtId="0" fontId="3" fillId="30" borderId="0" xfId="0" applyFont="1" applyFill="1" applyAlignment="1">
      <alignment horizontal="left" vertical="center"/>
    </xf>
    <xf numFmtId="17" fontId="3" fillId="30" borderId="0" xfId="0" applyNumberFormat="1" applyFont="1" applyFill="1" applyAlignment="1">
      <alignment horizontal="center" vertical="center"/>
    </xf>
    <xf numFmtId="164" fontId="10" fillId="0" borderId="0" xfId="7" applyNumberFormat="1" applyFill="1"/>
    <xf numFmtId="175" fontId="10" fillId="0" borderId="0" xfId="7" applyNumberFormat="1" applyFill="1"/>
    <xf numFmtId="43" fontId="0" fillId="0" borderId="0" xfId="1" applyFont="1" applyFill="1" applyAlignment="1">
      <alignment vertical="center"/>
    </xf>
    <xf numFmtId="0" fontId="2" fillId="4" borderId="0" xfId="0" applyFont="1" applyFill="1" applyAlignment="1">
      <alignment horizontal="left" indent="3"/>
    </xf>
    <xf numFmtId="164" fontId="0" fillId="7" borderId="0" xfId="3" applyNumberFormat="1" applyFont="1" applyFill="1"/>
    <xf numFmtId="169" fontId="6" fillId="6" borderId="1" xfId="1" applyNumberFormat="1" applyFont="1" applyFill="1" applyBorder="1"/>
    <xf numFmtId="43" fontId="2" fillId="0" borderId="0" xfId="1" applyFont="1" applyFill="1"/>
    <xf numFmtId="164" fontId="8" fillId="0" borderId="5" xfId="1" applyNumberFormat="1" applyFont="1" applyFill="1" applyBorder="1"/>
    <xf numFmtId="169" fontId="6" fillId="6" borderId="6" xfId="1" applyNumberFormat="1" applyFont="1" applyFill="1" applyBorder="1"/>
    <xf numFmtId="169" fontId="0" fillId="0" borderId="5" xfId="1" applyNumberFormat="1" applyFont="1" applyBorder="1" applyAlignment="1">
      <alignment horizontal="right" vertical="center"/>
    </xf>
    <xf numFmtId="164" fontId="56" fillId="0" borderId="0" xfId="1" applyNumberFormat="1" applyFont="1"/>
    <xf numFmtId="164" fontId="57" fillId="6" borderId="15" xfId="8" applyNumberFormat="1" applyFont="1" applyFill="1" applyBorder="1" applyAlignment="1">
      <alignment horizontal="left" vertical="center" indent="1"/>
    </xf>
    <xf numFmtId="0" fontId="58" fillId="0" borderId="0" xfId="7" applyFont="1"/>
    <xf numFmtId="164" fontId="0" fillId="17" borderId="0" xfId="0" applyNumberFormat="1" applyFill="1"/>
    <xf numFmtId="43" fontId="18" fillId="0" borderId="0" xfId="7" applyNumberFormat="1" applyFont="1" applyFill="1"/>
    <xf numFmtId="0" fontId="18" fillId="0" borderId="0" xfId="0" applyFont="1" applyAlignment="1">
      <alignment vertical="center"/>
    </xf>
    <xf numFmtId="43" fontId="18" fillId="0" borderId="0" xfId="0" applyNumberFormat="1" applyFont="1" applyAlignment="1">
      <alignment vertical="center"/>
    </xf>
    <xf numFmtId="164" fontId="1" fillId="0" borderId="0" xfId="42" applyNumberFormat="1" applyFont="1" applyFill="1"/>
    <xf numFmtId="164" fontId="1" fillId="0" borderId="0" xfId="42" applyNumberFormat="1" applyFont="1"/>
    <xf numFmtId="0" fontId="0" fillId="31" borderId="0" xfId="0" applyFill="1"/>
    <xf numFmtId="166" fontId="0" fillId="31" borderId="0" xfId="0" applyNumberFormat="1" applyFill="1"/>
    <xf numFmtId="0" fontId="7" fillId="31" borderId="0" xfId="0" applyFont="1" applyFill="1"/>
    <xf numFmtId="0" fontId="7" fillId="31" borderId="0" xfId="0" applyFont="1" applyFill="1" applyAlignment="1">
      <alignment horizontal="center"/>
    </xf>
    <xf numFmtId="0" fontId="5" fillId="31" borderId="0" xfId="0" applyFont="1" applyFill="1" applyAlignment="1">
      <alignment horizontal="right"/>
    </xf>
    <xf numFmtId="0" fontId="3" fillId="31" borderId="0" xfId="0" applyFont="1" applyFill="1" applyAlignment="1">
      <alignment horizontal="center"/>
    </xf>
    <xf numFmtId="0" fontId="3" fillId="31" borderId="0" xfId="0" applyFont="1" applyFill="1" applyAlignment="1">
      <alignment horizontal="left" vertical="center"/>
    </xf>
    <xf numFmtId="17" fontId="3" fillId="31" borderId="0" xfId="0" applyNumberFormat="1" applyFont="1" applyFill="1" applyAlignment="1">
      <alignment horizontal="center" vertical="center"/>
    </xf>
    <xf numFmtId="0" fontId="2" fillId="32" borderId="0" xfId="0" applyFont="1" applyFill="1"/>
    <xf numFmtId="164" fontId="2" fillId="32" borderId="0" xfId="3" applyNumberFormat="1" applyFont="1" applyFill="1" applyBorder="1"/>
    <xf numFmtId="164" fontId="2" fillId="32" borderId="0" xfId="3" applyNumberFormat="1" applyFont="1" applyFill="1"/>
    <xf numFmtId="166" fontId="0" fillId="34" borderId="0" xfId="0" applyNumberFormat="1" applyFill="1"/>
    <xf numFmtId="166" fontId="0" fillId="33" borderId="0" xfId="0" applyNumberFormat="1" applyFill="1"/>
    <xf numFmtId="0" fontId="7" fillId="33" borderId="0" xfId="0" applyFont="1" applyFill="1" applyAlignment="1">
      <alignment horizontal="center"/>
    </xf>
    <xf numFmtId="43" fontId="2" fillId="32" borderId="0" xfId="1" applyFont="1" applyFill="1"/>
    <xf numFmtId="164" fontId="2" fillId="32" borderId="0" xfId="1" applyNumberFormat="1" applyFont="1" applyFill="1"/>
    <xf numFmtId="0" fontId="5" fillId="31" borderId="0" xfId="0" applyFont="1" applyFill="1" applyAlignment="1">
      <alignment horizontal="right" wrapText="1"/>
    </xf>
    <xf numFmtId="17" fontId="3" fillId="33" borderId="0" xfId="0" applyNumberFormat="1" applyFont="1" applyFill="1" applyAlignment="1">
      <alignment horizontal="center" vertical="center"/>
    </xf>
    <xf numFmtId="17" fontId="3" fillId="31" borderId="0" xfId="0" applyNumberFormat="1" applyFont="1" applyFill="1" applyAlignment="1">
      <alignment horizontal="left" vertical="center"/>
    </xf>
    <xf numFmtId="166" fontId="2" fillId="32" borderId="0" xfId="1" applyNumberFormat="1" applyFont="1" applyFill="1" applyBorder="1"/>
    <xf numFmtId="166" fontId="2" fillId="32" borderId="0" xfId="1" applyNumberFormat="1" applyFont="1" applyFill="1"/>
    <xf numFmtId="0" fontId="14" fillId="0" borderId="0" xfId="0" applyFont="1" applyAlignment="1">
      <alignment horizontal="left" vertical="center" indent="1"/>
    </xf>
    <xf numFmtId="0" fontId="7" fillId="31" borderId="0" xfId="0" applyFont="1" applyFill="1" applyAlignment="1">
      <alignment wrapText="1"/>
    </xf>
    <xf numFmtId="0" fontId="3" fillId="31" borderId="0" xfId="0" applyFont="1" applyFill="1" applyAlignment="1">
      <alignment horizontal="center" vertical="center"/>
    </xf>
    <xf numFmtId="167" fontId="3" fillId="31" borderId="0" xfId="0" applyNumberFormat="1" applyFont="1" applyFill="1" applyAlignment="1">
      <alignment horizontal="center" vertical="center"/>
    </xf>
    <xf numFmtId="178" fontId="3" fillId="33" borderId="0" xfId="0" applyNumberFormat="1" applyFont="1" applyFill="1" applyAlignment="1">
      <alignment horizontal="center" vertical="center"/>
    </xf>
    <xf numFmtId="178" fontId="3" fillId="34" borderId="0" xfId="0" applyNumberFormat="1" applyFont="1" applyFill="1" applyAlignment="1">
      <alignment horizontal="center" vertical="center"/>
    </xf>
    <xf numFmtId="167" fontId="3" fillId="31" borderId="0" xfId="0" applyNumberFormat="1" applyFont="1" applyFill="1" applyAlignment="1">
      <alignment horizontal="left" vertical="center"/>
    </xf>
    <xf numFmtId="43" fontId="2" fillId="32" borderId="0" xfId="1" applyFont="1" applyFill="1" applyBorder="1"/>
    <xf numFmtId="164" fontId="2" fillId="32" borderId="0" xfId="1" applyNumberFormat="1" applyFont="1" applyFill="1" applyBorder="1"/>
    <xf numFmtId="0" fontId="3" fillId="31" borderId="0" xfId="0" applyFont="1" applyFill="1"/>
    <xf numFmtId="0" fontId="3" fillId="31" borderId="0" xfId="0" quotePrefix="1" applyFont="1" applyFill="1" applyAlignment="1">
      <alignment horizontal="left" vertical="center"/>
    </xf>
    <xf numFmtId="169" fontId="0" fillId="0" borderId="0" xfId="1" applyNumberFormat="1" applyFont="1" applyBorder="1"/>
    <xf numFmtId="0" fontId="3" fillId="31" borderId="4" xfId="0" applyFont="1" applyFill="1" applyBorder="1" applyAlignment="1">
      <alignment horizontal="center" vertical="center"/>
    </xf>
    <xf numFmtId="49" fontId="3" fillId="33" borderId="4" xfId="1" applyNumberFormat="1" applyFont="1" applyFill="1" applyBorder="1" applyAlignment="1">
      <alignment horizontal="center" vertical="center"/>
    </xf>
    <xf numFmtId="166" fontId="8" fillId="29" borderId="0" xfId="4" applyNumberFormat="1" applyFont="1" applyFill="1"/>
    <xf numFmtId="166" fontId="2" fillId="29" borderId="0" xfId="1" applyNumberFormat="1" applyFont="1" applyFill="1"/>
    <xf numFmtId="166" fontId="6" fillId="29" borderId="10" xfId="0" applyNumberFormat="1" applyFont="1" applyFill="1" applyBorder="1" applyAlignment="1">
      <alignment horizontal="center" vertical="center" wrapText="1"/>
    </xf>
    <xf numFmtId="43" fontId="1" fillId="0" borderId="0" xfId="1" applyFont="1" applyFill="1" applyBorder="1"/>
    <xf numFmtId="166" fontId="1" fillId="0" borderId="0" xfId="1" applyNumberFormat="1" applyFont="1" applyFill="1" applyBorder="1"/>
    <xf numFmtId="166" fontId="1" fillId="29" borderId="0" xfId="1" applyNumberFormat="1" applyFont="1" applyFill="1"/>
    <xf numFmtId="0" fontId="2" fillId="29" borderId="0" xfId="0" applyFont="1" applyFill="1" applyAlignment="1">
      <alignment horizontal="center" vertical="center"/>
    </xf>
    <xf numFmtId="167" fontId="3" fillId="29" borderId="0" xfId="0" applyNumberFormat="1" applyFont="1" applyFill="1" applyAlignment="1">
      <alignment horizontal="center" vertical="center"/>
    </xf>
    <xf numFmtId="164" fontId="0" fillId="29" borderId="0" xfId="1" applyNumberFormat="1" applyFont="1" applyFill="1"/>
    <xf numFmtId="0" fontId="0" fillId="31" borderId="0" xfId="0" applyFill="1" applyAlignment="1">
      <alignment horizontal="center"/>
    </xf>
    <xf numFmtId="0" fontId="6" fillId="0" borderId="0" xfId="0" applyFont="1" applyAlignment="1">
      <alignment horizontal="right"/>
    </xf>
    <xf numFmtId="164" fontId="0" fillId="31" borderId="0" xfId="0" applyNumberFormat="1" applyFill="1"/>
    <xf numFmtId="164" fontId="2" fillId="5" borderId="0" xfId="1" applyNumberFormat="1" applyFont="1" applyFill="1" applyBorder="1"/>
    <xf numFmtId="169" fontId="2" fillId="5" borderId="0" xfId="1" applyNumberFormat="1" applyFont="1" applyFill="1" applyBorder="1"/>
    <xf numFmtId="9" fontId="0" fillId="31" borderId="0" xfId="2" applyFont="1" applyFill="1"/>
    <xf numFmtId="9" fontId="5" fillId="31" borderId="0" xfId="2" applyFont="1" applyFill="1" applyAlignment="1">
      <alignment horizontal="right"/>
    </xf>
    <xf numFmtId="9" fontId="3" fillId="31" borderId="0" xfId="2" applyFont="1" applyFill="1" applyAlignment="1">
      <alignment horizontal="left" vertical="center"/>
    </xf>
    <xf numFmtId="164" fontId="37" fillId="0" borderId="0" xfId="1" applyNumberFormat="1" applyFont="1" applyBorder="1"/>
    <xf numFmtId="169" fontId="0" fillId="10" borderId="0" xfId="1" applyNumberFormat="1" applyFont="1" applyFill="1" applyBorder="1"/>
    <xf numFmtId="166" fontId="0" fillId="35" borderId="0" xfId="0" applyNumberFormat="1" applyFill="1"/>
    <xf numFmtId="0" fontId="7" fillId="35" borderId="0" xfId="0" applyFont="1" applyFill="1" applyAlignment="1">
      <alignment horizontal="center"/>
    </xf>
    <xf numFmtId="49" fontId="3" fillId="33" borderId="0" xfId="1" applyNumberFormat="1" applyFont="1" applyFill="1" applyBorder="1" applyAlignment="1">
      <alignment horizontal="center" vertical="center"/>
    </xf>
    <xf numFmtId="0" fontId="5" fillId="31" borderId="0" xfId="0" applyFont="1" applyFill="1" applyAlignment="1">
      <alignment horizontal="right" vertical="center" wrapText="1"/>
    </xf>
    <xf numFmtId="0" fontId="3" fillId="31" borderId="0" xfId="7" applyFont="1" applyFill="1" applyAlignment="1">
      <alignment horizontal="left" vertical="center"/>
    </xf>
    <xf numFmtId="167" fontId="3" fillId="31" borderId="0" xfId="8" applyNumberFormat="1" applyFont="1" applyFill="1" applyAlignment="1">
      <alignment horizontal="center" vertical="center"/>
    </xf>
    <xf numFmtId="167" fontId="3" fillId="31" borderId="0" xfId="8" applyNumberFormat="1" applyFont="1" applyFill="1"/>
    <xf numFmtId="178" fontId="3" fillId="33" borderId="0" xfId="0" applyNumberFormat="1" applyFont="1" applyFill="1" applyAlignment="1">
      <alignment horizontal="right" vertical="center"/>
    </xf>
    <xf numFmtId="178" fontId="3" fillId="34" borderId="0" xfId="0" applyNumberFormat="1" applyFont="1" applyFill="1" applyAlignment="1">
      <alignment horizontal="right" vertical="center"/>
    </xf>
    <xf numFmtId="0" fontId="8" fillId="31" borderId="0" xfId="0" applyFont="1" applyFill="1"/>
    <xf numFmtId="0" fontId="35" fillId="31" borderId="0" xfId="0" applyFont="1" applyFill="1"/>
    <xf numFmtId="0" fontId="3" fillId="31" borderId="0" xfId="0" applyFont="1" applyFill="1" applyAlignment="1">
      <alignment horizontal="left" vertical="center" indent="4"/>
    </xf>
    <xf numFmtId="17" fontId="3" fillId="31" borderId="0" xfId="0" applyNumberFormat="1" applyFont="1" applyFill="1" applyAlignment="1">
      <alignment horizontal="left" vertical="center" indent="4"/>
    </xf>
    <xf numFmtId="49" fontId="3" fillId="33" borderId="0" xfId="1" applyNumberFormat="1" applyFont="1" applyFill="1" applyBorder="1" applyAlignment="1">
      <alignment horizontal="right" vertical="center"/>
    </xf>
    <xf numFmtId="0" fontId="47" fillId="0" borderId="0" xfId="0" applyFont="1"/>
    <xf numFmtId="0" fontId="48" fillId="0" borderId="0" xfId="0" applyFont="1"/>
    <xf numFmtId="0" fontId="47" fillId="31" borderId="0" xfId="0" applyFont="1" applyFill="1"/>
    <xf numFmtId="0" fontId="48" fillId="31" borderId="0" xfId="0" applyFont="1" applyFill="1"/>
    <xf numFmtId="0" fontId="54" fillId="31" borderId="0" xfId="0" applyFont="1" applyFill="1"/>
    <xf numFmtId="0" fontId="3" fillId="31" borderId="0" xfId="0" applyFont="1" applyFill="1" applyAlignment="1">
      <alignment horizontal="right" wrapText="1"/>
    </xf>
    <xf numFmtId="0" fontId="7" fillId="0" borderId="0" xfId="0" applyFont="1"/>
    <xf numFmtId="0" fontId="59" fillId="31" borderId="0" xfId="0" applyFont="1" applyFill="1" applyAlignment="1">
      <alignment horizontal="right" wrapText="1"/>
    </xf>
    <xf numFmtId="0" fontId="26" fillId="31" borderId="0" xfId="0" applyFont="1" applyFill="1" applyAlignment="1">
      <alignment horizontal="left" vertical="center"/>
    </xf>
    <xf numFmtId="164" fontId="17" fillId="0" borderId="0" xfId="1" applyNumberFormat="1" applyFont="1" applyAlignment="1">
      <alignment horizontal="center"/>
    </xf>
    <xf numFmtId="164" fontId="17" fillId="0" borderId="0" xfId="1" quotePrefix="1" applyNumberFormat="1" applyFont="1" applyAlignment="1">
      <alignment horizontal="center"/>
    </xf>
    <xf numFmtId="165" fontId="0" fillId="0" borderId="0" xfId="1" applyNumberFormat="1" applyFont="1"/>
    <xf numFmtId="49" fontId="3" fillId="36" borderId="4" xfId="1" applyNumberFormat="1" applyFont="1" applyFill="1" applyBorder="1" applyAlignment="1">
      <alignment horizontal="center" vertical="center"/>
    </xf>
    <xf numFmtId="178" fontId="3" fillId="15" borderId="0" xfId="0" applyNumberFormat="1" applyFont="1" applyFill="1" applyAlignment="1">
      <alignment horizontal="center" vertical="center"/>
    </xf>
    <xf numFmtId="166" fontId="8" fillId="6" borderId="0" xfId="4" applyNumberFormat="1" applyFont="1" applyFill="1"/>
    <xf numFmtId="164" fontId="2" fillId="7" borderId="0" xfId="8" applyNumberFormat="1" applyFont="1" applyFill="1" applyAlignment="1">
      <alignment horizontal="right"/>
    </xf>
    <xf numFmtId="43" fontId="18" fillId="0" borderId="0" xfId="7" applyNumberFormat="1" applyFont="1"/>
    <xf numFmtId="0" fontId="3" fillId="0" borderId="0" xfId="7" applyFont="1" applyAlignment="1">
      <alignment horizontal="left" vertical="center"/>
    </xf>
    <xf numFmtId="164" fontId="61" fillId="0" borderId="0" xfId="7" applyNumberFormat="1" applyFont="1"/>
    <xf numFmtId="164" fontId="61" fillId="0" borderId="0" xfId="1" applyNumberFormat="1" applyFont="1"/>
    <xf numFmtId="0" fontId="53" fillId="0" borderId="0" xfId="0" applyFont="1" applyAlignment="1">
      <alignment horizontal="left" indent="3"/>
    </xf>
    <xf numFmtId="164" fontId="53" fillId="0" borderId="0" xfId="1" applyNumberFormat="1" applyFont="1" applyFill="1" applyAlignment="1"/>
    <xf numFmtId="164" fontId="53" fillId="0" borderId="0" xfId="42" applyNumberFormat="1" applyFont="1" applyFill="1"/>
    <xf numFmtId="164" fontId="53" fillId="0" borderId="0" xfId="42" applyNumberFormat="1" applyFont="1"/>
    <xf numFmtId="164" fontId="62" fillId="0" borderId="0" xfId="42" applyNumberFormat="1" applyFont="1" applyFill="1"/>
    <xf numFmtId="0" fontId="62" fillId="0" borderId="0" xfId="0" applyFont="1"/>
    <xf numFmtId="0" fontId="62" fillId="0" borderId="0" xfId="0" applyFont="1" applyAlignment="1">
      <alignment horizontal="left" indent="3"/>
    </xf>
    <xf numFmtId="9" fontId="62" fillId="0" borderId="0" xfId="2" applyFont="1" applyFill="1"/>
    <xf numFmtId="0" fontId="63" fillId="0" borderId="0" xfId="0" applyFont="1"/>
    <xf numFmtId="164" fontId="2" fillId="18" borderId="7" xfId="0" applyNumberFormat="1" applyFont="1" applyFill="1" applyBorder="1"/>
    <xf numFmtId="0" fontId="8" fillId="0" borderId="0" xfId="0" applyFont="1" applyAlignment="1">
      <alignment horizontal="left" indent="3"/>
    </xf>
    <xf numFmtId="164" fontId="1" fillId="0" borderId="0" xfId="1" applyNumberFormat="1" applyFont="1" applyFill="1"/>
    <xf numFmtId="164" fontId="1" fillId="4" borderId="0" xfId="1" applyNumberFormat="1" applyFont="1" applyFill="1"/>
    <xf numFmtId="0" fontId="10" fillId="0" borderId="0" xfId="7" applyAlignment="1">
      <alignment vertical="center"/>
    </xf>
    <xf numFmtId="169" fontId="10" fillId="0" borderId="0" xfId="7" applyNumberFormat="1"/>
    <xf numFmtId="43" fontId="2" fillId="32" borderId="0" xfId="1" applyFont="1" applyFill="1" applyAlignment="1">
      <alignment horizontal="right"/>
    </xf>
    <xf numFmtId="0" fontId="0" fillId="0" borderId="0" xfId="0" applyAlignment="1">
      <alignment horizontal="left" vertical="center" wrapText="1"/>
    </xf>
    <xf numFmtId="164" fontId="1" fillId="0" borderId="0" xfId="1" applyNumberFormat="1" applyFont="1" applyFill="1" applyBorder="1" applyAlignment="1">
      <alignment vertical="center"/>
    </xf>
    <xf numFmtId="164" fontId="0" fillId="0" borderId="5" xfId="1" applyNumberFormat="1" applyFont="1" applyFill="1" applyBorder="1" applyAlignment="1">
      <alignment vertical="center"/>
    </xf>
    <xf numFmtId="14" fontId="17" fillId="0" borderId="0" xfId="0" applyNumberFormat="1" applyFont="1" applyAlignment="1">
      <alignment horizontal="center"/>
    </xf>
    <xf numFmtId="166" fontId="2" fillId="32" borderId="0" xfId="1" applyNumberFormat="1" applyFont="1" applyFill="1" applyAlignment="1">
      <alignment horizontal="right"/>
    </xf>
    <xf numFmtId="175" fontId="8" fillId="0" borderId="15" xfId="8" applyNumberFormat="1" applyFont="1" applyBorder="1" applyAlignment="1">
      <alignment horizontal="right" vertical="center"/>
    </xf>
    <xf numFmtId="9" fontId="2" fillId="0" borderId="0" xfId="2" applyFont="1" applyFill="1" applyAlignment="1">
      <alignment vertical="top"/>
    </xf>
    <xf numFmtId="0" fontId="0" fillId="0" borderId="2" xfId="0" applyBorder="1" applyAlignment="1">
      <alignment horizontal="left" indent="2"/>
    </xf>
    <xf numFmtId="43" fontId="0" fillId="0" borderId="2" xfId="1" applyFont="1" applyFill="1" applyBorder="1"/>
    <xf numFmtId="164" fontId="0" fillId="0" borderId="2" xfId="1" applyNumberFormat="1" applyFont="1" applyFill="1" applyBorder="1"/>
    <xf numFmtId="49" fontId="3" fillId="33" borderId="0" xfId="1" applyNumberFormat="1" applyFont="1" applyFill="1" applyAlignment="1">
      <alignment horizontal="center" vertical="center"/>
    </xf>
    <xf numFmtId="0" fontId="5" fillId="31" borderId="0" xfId="0" applyFont="1" applyFill="1" applyAlignment="1">
      <alignment horizontal="left" vertical="center" wrapText="1"/>
    </xf>
    <xf numFmtId="0" fontId="59" fillId="31" borderId="0" xfId="0" applyFont="1" applyFill="1" applyAlignment="1">
      <alignment horizontal="left" vertical="center" wrapText="1" indent="2"/>
    </xf>
    <xf numFmtId="43" fontId="8" fillId="0" borderId="0" xfId="1" applyFont="1"/>
    <xf numFmtId="169" fontId="55" fillId="0" borderId="0" xfId="1" applyNumberFormat="1" applyFont="1" applyAlignment="1">
      <alignment wrapText="1"/>
    </xf>
    <xf numFmtId="174" fontId="0" fillId="6" borderId="0" xfId="0" applyNumberFormat="1" applyFill="1"/>
    <xf numFmtId="164" fontId="42" fillId="6" borderId="0" xfId="1" applyNumberFormat="1" applyFont="1" applyFill="1" applyAlignment="1">
      <alignment vertical="center"/>
    </xf>
    <xf numFmtId="9" fontId="8" fillId="0" borderId="0" xfId="2" applyFont="1"/>
    <xf numFmtId="9" fontId="0" fillId="6" borderId="0" xfId="2" applyFont="1" applyFill="1"/>
    <xf numFmtId="44" fontId="8" fillId="0" borderId="0" xfId="0" applyNumberFormat="1" applyFont="1"/>
    <xf numFmtId="44" fontId="8" fillId="0" borderId="0" xfId="0" applyNumberFormat="1" applyFont="1" applyAlignment="1">
      <alignment horizontal="left" vertical="center"/>
    </xf>
    <xf numFmtId="43" fontId="8" fillId="0" borderId="0" xfId="0" applyNumberFormat="1" applyFont="1"/>
    <xf numFmtId="9" fontId="0" fillId="0" borderId="0" xfId="2" applyFont="1" applyAlignment="1">
      <alignment vertical="top"/>
    </xf>
    <xf numFmtId="168" fontId="6" fillId="0" borderId="0" xfId="2" applyNumberFormat="1" applyFont="1" applyAlignment="1">
      <alignment horizontal="center" vertical="center"/>
    </xf>
    <xf numFmtId="0" fontId="64" fillId="31" borderId="0" xfId="0" applyFont="1" applyFill="1" applyAlignment="1">
      <alignment horizontal="left" vertical="center" wrapText="1" indent="2"/>
    </xf>
    <xf numFmtId="167" fontId="3" fillId="33" borderId="0" xfId="0" applyNumberFormat="1" applyFont="1" applyFill="1" applyAlignment="1">
      <alignment horizontal="center" vertical="center"/>
    </xf>
    <xf numFmtId="167" fontId="3" fillId="34" borderId="0" xfId="0" applyNumberFormat="1" applyFont="1" applyFill="1" applyAlignment="1">
      <alignment horizontal="center" vertical="center"/>
    </xf>
    <xf numFmtId="164" fontId="62" fillId="0" borderId="0" xfId="42" applyNumberFormat="1" applyFont="1"/>
    <xf numFmtId="178" fontId="3" fillId="37" borderId="0" xfId="0" applyNumberFormat="1" applyFont="1" applyFill="1" applyAlignment="1">
      <alignment horizontal="center" vertical="center"/>
    </xf>
    <xf numFmtId="168" fontId="2" fillId="0" borderId="5" xfId="2" applyNumberFormat="1" applyFont="1" applyFill="1" applyBorder="1"/>
    <xf numFmtId="168" fontId="2" fillId="0" borderId="0" xfId="2" applyNumberFormat="1" applyFont="1" applyAlignment="1">
      <alignment vertical="center"/>
    </xf>
    <xf numFmtId="168" fontId="10" fillId="0" borderId="0" xfId="2" applyNumberFormat="1" applyFont="1"/>
    <xf numFmtId="168" fontId="10" fillId="0" borderId="0" xfId="7" applyNumberFormat="1"/>
    <xf numFmtId="164" fontId="9" fillId="0" borderId="0" xfId="7" applyNumberFormat="1" applyFont="1"/>
    <xf numFmtId="164" fontId="65" fillId="0" borderId="0" xfId="7" applyNumberFormat="1" applyFont="1"/>
    <xf numFmtId="9" fontId="2" fillId="0" borderId="0" xfId="2" applyFont="1" applyAlignment="1">
      <alignment vertical="center"/>
    </xf>
    <xf numFmtId="0" fontId="66" fillId="0" borderId="0" xfId="7" applyFont="1" applyAlignment="1">
      <alignment vertical="center"/>
    </xf>
    <xf numFmtId="169" fontId="66" fillId="0" borderId="0" xfId="7" applyNumberFormat="1" applyFont="1"/>
    <xf numFmtId="172" fontId="66" fillId="0" borderId="0" xfId="7" applyNumberFormat="1" applyFont="1"/>
    <xf numFmtId="0" fontId="66" fillId="0" borderId="0" xfId="7" applyFont="1"/>
    <xf numFmtId="9" fontId="10" fillId="0" borderId="0" xfId="2" applyFont="1"/>
    <xf numFmtId="44" fontId="8" fillId="6" borderId="0" xfId="0" applyNumberFormat="1" applyFont="1" applyFill="1"/>
    <xf numFmtId="0" fontId="59" fillId="31" borderId="0" xfId="0" applyFont="1" applyFill="1" applyAlignment="1">
      <alignment horizontal="left" vertical="center" wrapText="1"/>
    </xf>
    <xf numFmtId="0" fontId="5" fillId="31" borderId="0" xfId="0" applyFont="1" applyFill="1" applyAlignment="1">
      <alignment horizontal="left" wrapText="1"/>
    </xf>
    <xf numFmtId="0" fontId="59" fillId="31" borderId="0" xfId="0" applyFont="1" applyFill="1" applyAlignment="1">
      <alignment horizontal="left" wrapText="1"/>
    </xf>
    <xf numFmtId="178" fontId="3" fillId="6" borderId="0" xfId="0" applyNumberFormat="1" applyFont="1" applyFill="1" applyAlignment="1">
      <alignment horizontal="left" vertical="center"/>
    </xf>
    <xf numFmtId="0" fontId="27" fillId="6" borderId="0" xfId="0" applyFont="1" applyFill="1" applyAlignment="1">
      <alignment wrapText="1"/>
    </xf>
    <xf numFmtId="0" fontId="5" fillId="31" borderId="0" xfId="0" applyFont="1" applyFill="1" applyAlignment="1">
      <alignment horizontal="left"/>
    </xf>
    <xf numFmtId="164" fontId="2" fillId="6" borderId="0" xfId="0" applyNumberFormat="1" applyFont="1" applyFill="1"/>
    <xf numFmtId="0" fontId="2" fillId="6" borderId="0" xfId="0" applyFont="1" applyFill="1" applyAlignment="1">
      <alignment horizontal="left" indent="2"/>
    </xf>
    <xf numFmtId="168" fontId="2" fillId="6" borderId="0" xfId="2" applyNumberFormat="1" applyFont="1" applyFill="1"/>
    <xf numFmtId="3" fontId="0" fillId="6" borderId="0" xfId="0" applyNumberFormat="1" applyFill="1"/>
    <xf numFmtId="164" fontId="0" fillId="6" borderId="0" xfId="0" applyNumberFormat="1" applyFill="1" applyAlignment="1">
      <alignment horizontal="center"/>
    </xf>
    <xf numFmtId="173" fontId="0" fillId="6" borderId="0" xfId="1" applyNumberFormat="1" applyFont="1" applyFill="1"/>
    <xf numFmtId="43" fontId="2" fillId="6" borderId="0" xfId="0" applyNumberFormat="1" applyFont="1" applyFill="1"/>
    <xf numFmtId="164" fontId="2" fillId="6" borderId="0" xfId="1" applyNumberFormat="1" applyFont="1" applyFill="1"/>
    <xf numFmtId="0" fontId="52" fillId="6" borderId="0" xfId="0" applyFont="1" applyFill="1"/>
    <xf numFmtId="169" fontId="2" fillId="6" borderId="0" xfId="0" applyNumberFormat="1" applyFont="1" applyFill="1"/>
    <xf numFmtId="0" fontId="67" fillId="31" borderId="0" xfId="0" applyFont="1" applyFill="1" applyAlignment="1">
      <alignment wrapText="1"/>
    </xf>
    <xf numFmtId="166" fontId="3" fillId="33" borderId="0" xfId="0" applyNumberFormat="1" applyFont="1" applyFill="1" applyAlignment="1">
      <alignment horizontal="center"/>
    </xf>
    <xf numFmtId="166" fontId="3" fillId="34" borderId="0" xfId="0" applyNumberFormat="1" applyFont="1" applyFill="1" applyAlignment="1">
      <alignment horizontal="center"/>
    </xf>
    <xf numFmtId="166" fontId="68" fillId="35" borderId="0" xfId="0" applyNumberFormat="1" applyFont="1" applyFill="1" applyAlignment="1">
      <alignment wrapText="1"/>
    </xf>
    <xf numFmtId="0" fontId="3" fillId="35" borderId="0" xfId="0" applyFont="1" applyFill="1"/>
    <xf numFmtId="0" fontId="3" fillId="34" borderId="0" xfId="0" applyFont="1" applyFill="1" applyAlignment="1">
      <alignment horizontal="center" vertical="center"/>
    </xf>
    <xf numFmtId="0" fontId="27" fillId="6" borderId="0" xfId="0" applyFont="1" applyFill="1" applyAlignment="1">
      <alignment vertical="top" wrapText="1"/>
    </xf>
    <xf numFmtId="169" fontId="2" fillId="6" borderId="0" xfId="1" applyNumberFormat="1" applyFont="1" applyFill="1"/>
    <xf numFmtId="0" fontId="10" fillId="6" borderId="0" xfId="7" applyFill="1"/>
    <xf numFmtId="9" fontId="2" fillId="6" borderId="0" xfId="2" applyFont="1" applyFill="1"/>
    <xf numFmtId="169" fontId="2" fillId="6" borderId="5" xfId="1" applyNumberFormat="1" applyFont="1" applyFill="1" applyBorder="1"/>
    <xf numFmtId="164" fontId="2" fillId="6" borderId="5" xfId="1" applyNumberFormat="1" applyFont="1" applyFill="1" applyBorder="1"/>
    <xf numFmtId="0" fontId="16" fillId="6" borderId="0" xfId="6" applyFont="1" applyFill="1"/>
    <xf numFmtId="0" fontId="5" fillId="31" borderId="0" xfId="0" applyFont="1" applyFill="1" applyAlignment="1">
      <alignment vertical="center" wrapText="1"/>
    </xf>
    <xf numFmtId="0" fontId="5" fillId="31" borderId="0" xfId="0" applyFont="1" applyFill="1" applyAlignment="1">
      <alignment horizontal="left" wrapText="1" indent="1"/>
    </xf>
    <xf numFmtId="49" fontId="3" fillId="33" borderId="0" xfId="0" applyNumberFormat="1" applyFont="1" applyFill="1" applyAlignment="1">
      <alignment horizontal="center" vertical="center"/>
    </xf>
    <xf numFmtId="166" fontId="3" fillId="34" borderId="0" xfId="0" applyNumberFormat="1" applyFont="1" applyFill="1" applyAlignment="1">
      <alignment horizontal="center" vertical="center"/>
    </xf>
    <xf numFmtId="0" fontId="3" fillId="35" borderId="0" xfId="0" applyFont="1" applyFill="1" applyAlignment="1">
      <alignment horizontal="center"/>
    </xf>
    <xf numFmtId="10" fontId="6" fillId="0" borderId="0" xfId="2" applyNumberFormat="1" applyFont="1" applyFill="1" applyBorder="1"/>
    <xf numFmtId="0" fontId="0" fillId="31" borderId="0" xfId="0" applyFill="1" applyAlignment="1">
      <alignment horizontal="left" indent="1"/>
    </xf>
    <xf numFmtId="0" fontId="7" fillId="31" borderId="0" xfId="0" applyFont="1" applyFill="1" applyAlignment="1">
      <alignment horizontal="left" indent="1"/>
    </xf>
    <xf numFmtId="0" fontId="5" fillId="12" borderId="0" xfId="0" applyFont="1" applyFill="1" applyAlignment="1">
      <alignment horizontal="left" indent="1"/>
    </xf>
    <xf numFmtId="17" fontId="3" fillId="31" borderId="0" xfId="0" applyNumberFormat="1" applyFont="1" applyFill="1" applyAlignment="1">
      <alignment horizontal="left" vertical="center" indent="1"/>
    </xf>
    <xf numFmtId="43" fontId="2" fillId="32" borderId="0" xfId="1" applyFont="1" applyFill="1" applyAlignment="1">
      <alignment horizontal="left" indent="1"/>
    </xf>
    <xf numFmtId="43" fontId="2" fillId="7" borderId="0" xfId="1" applyFont="1" applyFill="1" applyBorder="1" applyAlignment="1">
      <alignment horizontal="left" indent="1"/>
    </xf>
    <xf numFmtId="0" fontId="0" fillId="11" borderId="0" xfId="0" applyFill="1" applyAlignment="1">
      <alignment horizontal="left" indent="3"/>
    </xf>
    <xf numFmtId="0" fontId="8" fillId="11" borderId="0" xfId="0" applyFont="1" applyFill="1" applyAlignment="1">
      <alignment horizontal="left" indent="3"/>
    </xf>
    <xf numFmtId="0" fontId="8" fillId="0" borderId="0" xfId="0" quotePrefix="1" applyFont="1" applyAlignment="1">
      <alignment horizontal="left" indent="3"/>
    </xf>
    <xf numFmtId="0" fontId="0" fillId="11" borderId="0" xfId="0" applyFill="1" applyAlignment="1">
      <alignment horizontal="left" indent="1"/>
    </xf>
    <xf numFmtId="43" fontId="0" fillId="0" borderId="0" xfId="1" applyFont="1" applyAlignment="1">
      <alignment horizontal="left" indent="3"/>
    </xf>
    <xf numFmtId="43" fontId="0" fillId="0" borderId="0" xfId="1" applyFont="1" applyFill="1" applyAlignment="1">
      <alignment horizontal="left" indent="3"/>
    </xf>
    <xf numFmtId="0" fontId="0" fillId="0" borderId="2" xfId="0" applyBorder="1" applyAlignment="1">
      <alignment horizontal="left" indent="1"/>
    </xf>
    <xf numFmtId="43" fontId="0" fillId="0" borderId="0" xfId="1" applyFont="1" applyAlignment="1">
      <alignment horizontal="left" indent="1"/>
    </xf>
    <xf numFmtId="0" fontId="8" fillId="0" borderId="0" xfId="5" applyFont="1" applyAlignment="1">
      <alignment horizontal="left" indent="2"/>
    </xf>
    <xf numFmtId="0" fontId="8" fillId="0" borderId="2" xfId="5" applyFont="1" applyBorder="1" applyAlignment="1">
      <alignment horizontal="left" indent="2"/>
    </xf>
    <xf numFmtId="0" fontId="1" fillId="0" borderId="0" xfId="0" applyFont="1" applyAlignment="1">
      <alignment horizontal="left" indent="1"/>
    </xf>
    <xf numFmtId="0" fontId="8" fillId="0" borderId="0" xfId="4" applyFont="1" applyAlignment="1">
      <alignment horizontal="left" indent="3"/>
    </xf>
    <xf numFmtId="0" fontId="8" fillId="0" borderId="2" xfId="4" applyFont="1" applyBorder="1" applyAlignment="1">
      <alignment horizontal="left" indent="1"/>
    </xf>
    <xf numFmtId="0" fontId="8" fillId="0" borderId="2" xfId="4" applyFont="1" applyBorder="1" applyAlignment="1">
      <alignment horizontal="left" indent="3"/>
    </xf>
    <xf numFmtId="0" fontId="13" fillId="10" borderId="11" xfId="0" applyFont="1" applyFill="1" applyBorder="1" applyAlignment="1">
      <alignment horizontal="left" vertical="center" wrapText="1" indent="1"/>
    </xf>
    <xf numFmtId="0" fontId="8" fillId="11" borderId="0" xfId="4" applyFont="1" applyFill="1" applyAlignment="1">
      <alignment horizontal="left" indent="1"/>
    </xf>
    <xf numFmtId="0" fontId="14" fillId="10" borderId="0" xfId="0" applyFont="1" applyFill="1" applyAlignment="1">
      <alignment horizontal="left" vertical="center" indent="3"/>
    </xf>
    <xf numFmtId="0" fontId="14" fillId="0" borderId="0" xfId="0" applyFont="1" applyAlignment="1">
      <alignment horizontal="left" vertical="center" indent="3"/>
    </xf>
    <xf numFmtId="43" fontId="2" fillId="0" borderId="0" xfId="1" applyFont="1" applyFill="1" applyBorder="1" applyAlignment="1">
      <alignment horizontal="left" indent="1"/>
    </xf>
    <xf numFmtId="43" fontId="2" fillId="0" borderId="0" xfId="1" applyFont="1" applyFill="1" applyAlignment="1">
      <alignment horizontal="left" indent="1"/>
    </xf>
    <xf numFmtId="0" fontId="7" fillId="31" borderId="0" xfId="0" applyFont="1" applyFill="1" applyAlignment="1">
      <alignment horizontal="center"/>
    </xf>
  </cellXfs>
  <cellStyles count="192">
    <cellStyle name="Comma 2" xfId="75" xr:uid="{E50AA663-C48F-4626-84F5-A6D8D5C86311}"/>
    <cellStyle name="Comma 2 2" xfId="76" xr:uid="{2AF7A5B1-4985-46E0-A6E5-59F265246940}"/>
    <cellStyle name="Comma 2 3" xfId="77" xr:uid="{DF28544F-60CF-4AC5-B28D-D95C6D5BDC3D}"/>
    <cellStyle name="Normal" xfId="0" builtinId="0"/>
    <cellStyle name="Normal 10 13" xfId="78" xr:uid="{C870E6F2-0B77-4F6B-B754-024D1AEAB4CC}"/>
    <cellStyle name="Normal 12" xfId="79" xr:uid="{6D0B8A19-075C-4E26-85D5-5B67A949508D}"/>
    <cellStyle name="Normal 17" xfId="80" xr:uid="{3ADD1CAB-E479-4F54-9110-DFB471395124}"/>
    <cellStyle name="Normal 17 2" xfId="81" xr:uid="{FC372752-9CF7-49C1-865D-36782B645F81}"/>
    <cellStyle name="Normal 2" xfId="7" xr:uid="{6B7A249B-18B2-44AF-8C29-F714E5B28663}"/>
    <cellStyle name="Normal 2 10" xfId="5" xr:uid="{5D1F42E2-9F92-406D-AFD0-AAABA9F4C69C}"/>
    <cellStyle name="Normal 2 2" xfId="15" xr:uid="{A5D2E1F6-B3FF-4058-AC11-8CD6D3B9868C}"/>
    <cellStyle name="Normal 2 2 2" xfId="4" xr:uid="{23CF10FF-F559-45E2-B439-ADC0266018E5}"/>
    <cellStyle name="Normal 2 2 3" xfId="82" xr:uid="{2ADE2C5B-CB3F-466D-ACBF-5913E500A8F8}"/>
    <cellStyle name="Normal 2 3" xfId="83" xr:uid="{1F80515B-419D-4B3F-9C32-8DB0ADBC237F}"/>
    <cellStyle name="Normal 20" xfId="84" xr:uid="{519D09ED-B3C1-4104-9829-07A7AF75CF3C}"/>
    <cellStyle name="Normal 28" xfId="85" xr:uid="{FDA6983E-2E04-4AEB-9E0F-BCD666A70A60}"/>
    <cellStyle name="Normal 3" xfId="86" xr:uid="{7675AE7D-2707-4E69-9F1B-0142197115EB}"/>
    <cellStyle name="Normal 3 2" xfId="87" xr:uid="{B9794136-B32B-459A-8BF4-6D2DE6E83DF0}"/>
    <cellStyle name="Normal 36" xfId="88" xr:uid="{10ED07F2-21DB-4134-99FB-A4BC5630CEB2}"/>
    <cellStyle name="Normal 4" xfId="89" xr:uid="{AB0EAD10-FDB5-47CA-AB7E-8CC8509FAE33}"/>
    <cellStyle name="Normal 5" xfId="90" xr:uid="{88DCD8FC-A986-4C3A-A676-79983EFD9D6F}"/>
    <cellStyle name="Normal 6" xfId="91" xr:uid="{B27F6324-5E36-42EB-8B63-1A38E49CD099}"/>
    <cellStyle name="Normal 6 10 8" xfId="92" xr:uid="{1E26C3A6-DECE-4128-A8F9-E5B3C616AF7C}"/>
    <cellStyle name="Normal 7" xfId="93" xr:uid="{74C340F1-FC03-4C6F-961F-1E7317A10AFD}"/>
    <cellStyle name="Normal 8" xfId="94" xr:uid="{E86A1D1C-3A39-4F34-8FA9-1F64EE920B9D}"/>
    <cellStyle name="Normal_Planilha3" xfId="6" xr:uid="{0CEA98D8-06BF-4CC1-AB1C-D6587B6FB894}"/>
    <cellStyle name="Porcentagem" xfId="2" builtinId="5"/>
    <cellStyle name="Porcentagem 2" xfId="13" xr:uid="{D07FC53D-EF06-4D8F-8BEA-F2EE8A9FEFB4}"/>
    <cellStyle name="Porcentagem 2 2" xfId="95" xr:uid="{4D14CB46-9C73-4640-B6D0-08004AF823DE}"/>
    <cellStyle name="Separador de milhares 14" xfId="96" xr:uid="{78406347-D01C-4CF2-9E04-8C6B3A6BB08B}"/>
    <cellStyle name="Separador de milhares 16" xfId="97" xr:uid="{90CBEC82-515C-42CE-B7DB-CF9A2E9B514A}"/>
    <cellStyle name="Separador de milhares 16 2" xfId="98" xr:uid="{92E47C0D-8839-41E4-B0F3-74E37E4CD804}"/>
    <cellStyle name="Separador de milhares 16 2 2" xfId="99" xr:uid="{0591428A-0BB3-4CF6-A854-27B9A8FB690F}"/>
    <cellStyle name="Separador de milhares 2" xfId="100" xr:uid="{6BC073AE-5754-4903-9103-C7131F5991B9}"/>
    <cellStyle name="Separador de milhares 2 10" xfId="101" xr:uid="{8E0C5FC0-F846-42AC-8E3A-D7548D12513B}"/>
    <cellStyle name="Separador de milhares 2 10 2" xfId="102" xr:uid="{C8A0EBC1-56C9-40EF-8358-1414BF983DF6}"/>
    <cellStyle name="Separador de milhares 2 10 2 2" xfId="103" xr:uid="{D90AAECC-B2F7-43D1-B8A1-1E40B4C32F0B}"/>
    <cellStyle name="Separador de milhares 2 10 2 3" xfId="104" xr:uid="{04B5E1D2-9141-495C-8BD6-13703F36775C}"/>
    <cellStyle name="Separador de milhares 2 10 3" xfId="105" xr:uid="{FAE3C863-8603-4D0A-9D6E-380B4A6F0267}"/>
    <cellStyle name="Separador de milhares 2 2" xfId="106" xr:uid="{0035E132-AB2F-429C-9507-B6C571B24E13}"/>
    <cellStyle name="Separador de milhares 2 2 2" xfId="107" xr:uid="{0846B526-1E2B-444D-AA3B-4FA8DDDD6C9D}"/>
    <cellStyle name="Separador de milhares 2 2 2 2" xfId="108" xr:uid="{1709AA43-6FE0-4596-BE6B-2E0EC5566300}"/>
    <cellStyle name="Separador de milhares 2 2 2 2 2" xfId="109" xr:uid="{4746B8AE-ED61-4141-BA63-9906AB4CB2B1}"/>
    <cellStyle name="Separador de milhares 2 2 2 3" xfId="110" xr:uid="{B54187CC-BA4E-49CF-8DC6-3A5DD0A2620F}"/>
    <cellStyle name="Separador de milhares 2 2 2 4" xfId="111" xr:uid="{9C5EBBDB-10C6-41E6-9D9C-BE885DAFE432}"/>
    <cellStyle name="Separador de milhares 2 2 3" xfId="112" xr:uid="{75AAF90B-B294-49F7-BB59-1CA14CA2DB12}"/>
    <cellStyle name="Separador de milhares 2 2 4" xfId="113" xr:uid="{EEDF847A-7302-43FE-A970-0705DB57DFE5}"/>
    <cellStyle name="Separador de milhares 3" xfId="114" xr:uid="{444CB9AF-41BD-41C3-99B2-588CE36B869D}"/>
    <cellStyle name="Separador de milhares 3 2" xfId="115" xr:uid="{666CBBE0-DA2C-4BBC-9349-D360C75E6A30}"/>
    <cellStyle name="Separador de milhares 3 2 2" xfId="116" xr:uid="{FAED8B50-7D3C-44A5-9D70-D0124DCDAA9C}"/>
    <cellStyle name="Separador de milhares 3 2 3" xfId="117" xr:uid="{CB87BB18-3FFA-4E93-8484-6804BD58E9B0}"/>
    <cellStyle name="Separador de milhares 3 3" xfId="118" xr:uid="{A5395910-3D72-427B-AB0E-69B0974398D3}"/>
    <cellStyle name="Vírgula" xfId="1" builtinId="3"/>
    <cellStyle name="Vírgula 10" xfId="16" xr:uid="{86C9D185-58FC-454F-952E-8B54229C88E4}"/>
    <cellStyle name="Vírgula 10 2" xfId="41" xr:uid="{3B47A759-8873-4159-A0BA-FE6B850D1294}"/>
    <cellStyle name="Vírgula 10 2 2" xfId="119" xr:uid="{D9B8B238-1357-488F-8810-F33395E3564E}"/>
    <cellStyle name="Vírgula 10 3" xfId="120" xr:uid="{A74D511C-DAD6-4CC2-ABF4-00CCDC5AFE07}"/>
    <cellStyle name="Vírgula 11" xfId="42" xr:uid="{4CA06E51-8613-41C7-A1F4-364CA4B08D7A}"/>
    <cellStyle name="Vírgula 11 2" xfId="121" xr:uid="{A6EA0755-2BCA-4E68-957F-9CB4C445C699}"/>
    <cellStyle name="Vírgula 11 3" xfId="122" xr:uid="{858C78FC-3CEB-4541-AE49-BF19BD298E65}"/>
    <cellStyle name="Vírgula 12" xfId="74" xr:uid="{8977194F-7459-438A-BAE9-E258AD863091}"/>
    <cellStyle name="Vírgula 12 2" xfId="123" xr:uid="{F7586B20-F99F-409D-A495-F84D8F8C2F38}"/>
    <cellStyle name="Vírgula 12 3" xfId="124" xr:uid="{F3A7A41A-AA3B-47FA-B66C-4CDD11379DFB}"/>
    <cellStyle name="Vírgula 13" xfId="125" xr:uid="{8C17620C-778A-46B5-970D-293AED798437}"/>
    <cellStyle name="Vírgula 13 2" xfId="126" xr:uid="{C764DBDD-EDD5-4BF3-BFC7-8D7D4ED4EE4A}"/>
    <cellStyle name="Vírgula 14" xfId="127" xr:uid="{CBE72C64-7F7D-40A5-9DA1-F480837D0D93}"/>
    <cellStyle name="Vírgula 14 2" xfId="128" xr:uid="{F1D31884-813E-43D9-B5EF-C0178CBB9B90}"/>
    <cellStyle name="Vírgula 15" xfId="129" xr:uid="{E4845221-7A4D-4A1A-8B4C-7C70982B2503}"/>
    <cellStyle name="Vírgula 15 2" xfId="130" xr:uid="{C09417D0-EFF8-48B7-9417-83EB41491941}"/>
    <cellStyle name="Vírgula 16" xfId="131" xr:uid="{14DF3CE9-5128-4002-8871-FB922D32E1A2}"/>
    <cellStyle name="Vírgula 17" xfId="132" xr:uid="{86DA7B3B-40BB-4DF4-90A4-2CDCCC6C4593}"/>
    <cellStyle name="Vírgula 18" xfId="133" xr:uid="{117DC745-28AE-4C6E-A4BD-E7E3849F4FAE}"/>
    <cellStyle name="Vírgula 19" xfId="134" xr:uid="{F5E3FF20-87DB-4440-AAA4-0CA35BD297DD}"/>
    <cellStyle name="Vírgula 2" xfId="3" xr:uid="{20F7B98F-B586-4BAE-9831-68BE1A89900D}"/>
    <cellStyle name="Vírgula 2 2" xfId="10" xr:uid="{8A209991-CC61-4A71-9C35-F19FC298D273}"/>
    <cellStyle name="Vírgula 2 2 2" xfId="17" xr:uid="{8F757FB4-D74A-41AD-9A23-1EEDF111E728}"/>
    <cellStyle name="Vírgula 2 2 2 2" xfId="43" xr:uid="{FD02E0EF-76B2-460E-816F-9A9485613D2B}"/>
    <cellStyle name="Vírgula 2 2 2 2 2" xfId="135" xr:uid="{D52B4E99-593D-4D4B-8F3B-E4C29300C14F}"/>
    <cellStyle name="Vírgula 2 2 2 3" xfId="136" xr:uid="{CE4F45C8-B2FF-4404-9D7D-F089B8B68D54}"/>
    <cellStyle name="Vírgula 2 2 2 4" xfId="137" xr:uid="{66A3EF1D-39BC-42FE-ABF9-E05B8E1429D2}"/>
    <cellStyle name="Vírgula 2 2 2 5" xfId="138" xr:uid="{7C23A6A6-5DA2-4CF4-BBFA-669A70A63E71}"/>
    <cellStyle name="Vírgula 2 2 3" xfId="18" xr:uid="{D95B8221-CCB9-4A4C-99B7-800F72CABB3F}"/>
    <cellStyle name="Vírgula 2 2 3 2" xfId="44" xr:uid="{25861216-FC35-4200-8A35-81D26735E0EB}"/>
    <cellStyle name="Vírgula 2 2 3 3" xfId="139" xr:uid="{0235D2B6-0E69-4DF0-9B21-44787B60FDBF}"/>
    <cellStyle name="Vírgula 2 2 4" xfId="19" xr:uid="{303FD8E8-89CB-4B04-9570-10F7F19B2A9F}"/>
    <cellStyle name="Vírgula 2 2 4 2" xfId="45" xr:uid="{730990B4-B6D3-4223-8E5C-627E8A4D617A}"/>
    <cellStyle name="Vírgula 2 2 4 3" xfId="140" xr:uid="{7BFDB574-922F-4615-A553-137EC2432E5B}"/>
    <cellStyle name="Vírgula 2 2 5" xfId="46" xr:uid="{5736A2FA-FDAD-41E5-9648-2BC66447C192}"/>
    <cellStyle name="Vírgula 2 2 5 2" xfId="141" xr:uid="{CD65258D-DEA5-4DC6-A844-3FD59F6285C1}"/>
    <cellStyle name="Vírgula 2 2 6" xfId="142" xr:uid="{A60B38B2-6E75-41C9-BB1E-5912222955B9}"/>
    <cellStyle name="Vírgula 2 3" xfId="20" xr:uid="{1FAE949B-3367-451D-81DE-F4B7ABFAD334}"/>
    <cellStyle name="Vírgula 2 3 2" xfId="47" xr:uid="{824B91D7-DA19-41AA-9F15-659F73777D4C}"/>
    <cellStyle name="Vírgula 2 3 2 2" xfId="143" xr:uid="{B5500BA6-1BF8-4789-B0CD-79AB54FC4497}"/>
    <cellStyle name="Vírgula 2 3 3" xfId="144" xr:uid="{BDC81D5F-150B-4383-BE19-6E5668B6BBAD}"/>
    <cellStyle name="Vírgula 2 3 4" xfId="145" xr:uid="{5F792049-628A-40AC-848D-D56CA4B58B19}"/>
    <cellStyle name="Vírgula 2 3 5" xfId="146" xr:uid="{5CDB8368-F20D-45EF-8073-8080CBCBB6B9}"/>
    <cellStyle name="Vírgula 2 4" xfId="21" xr:uid="{5804C121-316B-4BD6-BFF4-414E6B26B59A}"/>
    <cellStyle name="Vírgula 2 4 2" xfId="48" xr:uid="{F9295CBF-5047-4E68-8983-AF052EF80B89}"/>
    <cellStyle name="Vírgula 2 4 2 2" xfId="147" xr:uid="{4B1C5A5E-9E29-47D4-A0ED-36D4A1222C73}"/>
    <cellStyle name="Vírgula 2 4 3" xfId="148" xr:uid="{E459B65B-39C4-4CB6-B2DA-2CED5A2FC55E}"/>
    <cellStyle name="Vírgula 2 5" xfId="22" xr:uid="{746A1FB9-F551-4E1F-A424-06227AA33189}"/>
    <cellStyle name="Vírgula 2 5 2" xfId="49" xr:uid="{5C873AEA-1B45-4FFF-AA67-215D8712EF37}"/>
    <cellStyle name="Vírgula 2 5 3" xfId="149" xr:uid="{BA79E7D9-B7E8-4E4B-9024-177CF4801669}"/>
    <cellStyle name="Vírgula 2 6" xfId="50" xr:uid="{EE3A52FF-476D-4849-89DF-A8288AA2D8F6}"/>
    <cellStyle name="Vírgula 2 6 2" xfId="150" xr:uid="{41A13477-6909-498C-81A4-9A1213F338E4}"/>
    <cellStyle name="Vírgula 2 7" xfId="151" xr:uid="{1A6A5BC5-8A16-46FC-840E-88A6A80C902E}"/>
    <cellStyle name="Vírgula 2 8" xfId="152" xr:uid="{A84391E3-3BAA-46DF-B873-1CCA1852ED69}"/>
    <cellStyle name="Vírgula 2 9" xfId="153" xr:uid="{66FA3D9C-85CB-4E40-9061-61377F3685A7}"/>
    <cellStyle name="Vírgula 20" xfId="154" xr:uid="{EB943509-9510-4D54-B4D7-F0BFD99C5F72}"/>
    <cellStyle name="Vírgula 21" xfId="155" xr:uid="{E9CAF7F7-13B9-4516-A815-755E825EDDFA}"/>
    <cellStyle name="Vírgula 22" xfId="156" xr:uid="{CB5E26F7-5EE9-472C-AAC2-DE496F30F27E}"/>
    <cellStyle name="Vírgula 23" xfId="157" xr:uid="{8A69D98C-9C15-40EB-9F2D-766B7E1E9108}"/>
    <cellStyle name="Vírgula 24" xfId="158" xr:uid="{207BF7FD-FF31-41AB-B42F-F569135B0A29}"/>
    <cellStyle name="Vírgula 25" xfId="159" xr:uid="{CBC4FEBD-6235-4C58-9FA7-65AEF8623096}"/>
    <cellStyle name="Vírgula 26" xfId="160" xr:uid="{C899C18A-165D-4E55-B74A-D048CFAEE656}"/>
    <cellStyle name="Vírgula 3" xfId="8" xr:uid="{82E599DF-D263-4E3B-987D-080250443358}"/>
    <cellStyle name="Vírgula 3 2" xfId="11" xr:uid="{11C6D9A1-C54F-4AC6-BFEC-F3B6FAED4950}"/>
    <cellStyle name="Vírgula 3 2 2" xfId="23" xr:uid="{1528E4CA-7234-4B48-8581-D850DDB8C0C2}"/>
    <cellStyle name="Vírgula 3 2 2 2" xfId="51" xr:uid="{7367D0AB-048C-4B86-B1F5-7DD41AD74FEC}"/>
    <cellStyle name="Vírgula 3 2 2 2 2" xfId="161" xr:uid="{35FBE913-059D-4051-9224-1A0B8F612168}"/>
    <cellStyle name="Vírgula 3 2 2 3" xfId="162" xr:uid="{74F8380E-9C57-4DE2-AA0A-FDE99F025A30}"/>
    <cellStyle name="Vírgula 3 2 2 4" xfId="163" xr:uid="{5178614C-80D1-47E4-8F54-0123DEF49612}"/>
    <cellStyle name="Vírgula 3 2 3" xfId="24" xr:uid="{C2A1DAE3-43EE-48FD-BCCB-21BEA4BE7DBF}"/>
    <cellStyle name="Vírgula 3 2 3 2" xfId="52" xr:uid="{35A72BFB-EE01-48A3-B526-E700DBCD77DF}"/>
    <cellStyle name="Vírgula 3 2 3 3" xfId="164" xr:uid="{C7CBF170-B7A4-4ACB-96A6-9EC25933376C}"/>
    <cellStyle name="Vírgula 3 2 4" xfId="25" xr:uid="{800AD4A5-64B4-416C-BE41-8291CD22CC4A}"/>
    <cellStyle name="Vírgula 3 2 4 2" xfId="53" xr:uid="{3A73D403-AEB1-4E60-9CB9-8473982B2378}"/>
    <cellStyle name="Vírgula 3 2 5" xfId="54" xr:uid="{A560D186-6191-4316-81F0-43DFF156D605}"/>
    <cellStyle name="Vírgula 3 2 6" xfId="165" xr:uid="{3BBE04AE-FAFA-4A54-92A8-12E0776C5BC6}"/>
    <cellStyle name="Vírgula 3 3" xfId="26" xr:uid="{45D9946E-00D3-4456-9D50-F344692B6B48}"/>
    <cellStyle name="Vírgula 3 3 2" xfId="55" xr:uid="{05C068C6-327B-42D1-9A52-FA66F92F051F}"/>
    <cellStyle name="Vírgula 3 3 2 2" xfId="166" xr:uid="{782132EA-5384-4F8C-8337-A933FEDBB67F}"/>
    <cellStyle name="Vírgula 3 3 3" xfId="167" xr:uid="{EBEF196B-F36A-4061-8421-D6BFDF22C8CE}"/>
    <cellStyle name="Vírgula 3 3 4" xfId="168" xr:uid="{2FD98476-F0D7-47C5-8CB8-40B8ABB0B606}"/>
    <cellStyle name="Vírgula 3 3 5" xfId="169" xr:uid="{05272E09-BD8D-4DCF-8450-0D672740E8A7}"/>
    <cellStyle name="Vírgula 3 4" xfId="27" xr:uid="{9A99E1A6-9C8B-44FF-91F7-9231DD0A8B75}"/>
    <cellStyle name="Vírgula 3 4 2" xfId="56" xr:uid="{6296803E-8221-4E02-AEAE-29C8FF41FED3}"/>
    <cellStyle name="Vírgula 3 4 3" xfId="170" xr:uid="{51D459D9-BDCE-4BF8-8EAB-1FCE3DBF4345}"/>
    <cellStyle name="Vírgula 3 5" xfId="28" xr:uid="{782F0531-E710-43FD-A9AE-62809BD58944}"/>
    <cellStyle name="Vírgula 3 5 2" xfId="57" xr:uid="{3319FCDA-DFE0-4339-B485-D5925940C80B}"/>
    <cellStyle name="Vírgula 3 5 3" xfId="171" xr:uid="{15C8B501-41B2-4D62-841B-1DE1DBC16A91}"/>
    <cellStyle name="Vírgula 3 6" xfId="58" xr:uid="{32BB9E71-04F6-4F8F-B893-3218A27A2EDA}"/>
    <cellStyle name="Vírgula 3 6 2" xfId="172" xr:uid="{FE753E64-D46F-4638-AD42-B740B40D7E71}"/>
    <cellStyle name="Vírgula 3 7" xfId="173" xr:uid="{71C3056E-9EC5-4E27-9D72-726D4015A2C8}"/>
    <cellStyle name="Vírgula 4" xfId="9" xr:uid="{A7D7FB7F-EDC3-48C2-8A77-CCF72AE33FB8}"/>
    <cellStyle name="Vírgula 4 2" xfId="29" xr:uid="{04FBC86F-C921-4BAD-ACA5-D0D441CB5AEB}"/>
    <cellStyle name="Vírgula 4 2 2" xfId="59" xr:uid="{A469B9D4-7A40-48BA-A680-C8F248673F12}"/>
    <cellStyle name="Vírgula 4 2 3" xfId="174" xr:uid="{47154EB7-3422-4465-8BB1-9A46D80BED3D}"/>
    <cellStyle name="Vírgula 4 3" xfId="30" xr:uid="{BF36FF9A-418D-438A-A0AF-6518F3640B53}"/>
    <cellStyle name="Vírgula 4 3 2" xfId="60" xr:uid="{BDC6AD4A-BEC3-43AC-B923-B3ED77C38C73}"/>
    <cellStyle name="Vírgula 4 3 3" xfId="175" xr:uid="{A46A41B2-EE46-445F-8D8C-CF6A45FE0FD7}"/>
    <cellStyle name="Vírgula 4 4" xfId="31" xr:uid="{C559DFA5-A41F-418A-8666-E01716B05F7E}"/>
    <cellStyle name="Vírgula 4 4 2" xfId="61" xr:uid="{A3C01698-1598-48AD-90FA-7B25AC905B74}"/>
    <cellStyle name="Vírgula 4 4 3" xfId="176" xr:uid="{0B12F291-5D6E-48B1-882F-31064CD245CB}"/>
    <cellStyle name="Vírgula 4 5" xfId="62" xr:uid="{FBE880F6-3806-4BEB-9C96-D5D791B649F0}"/>
    <cellStyle name="Vírgula 4 6" xfId="177" xr:uid="{C713B747-989C-4F8F-B31D-421625B28EB7}"/>
    <cellStyle name="Vírgula 5" xfId="12" xr:uid="{8FB2185A-7E71-4236-AF12-9CB8C1962D8D}"/>
    <cellStyle name="Vírgula 5 2" xfId="32" xr:uid="{1371F123-A4E0-49D2-9D29-B00B43C22BEA}"/>
    <cellStyle name="Vírgula 5 2 2" xfId="63" xr:uid="{A2FBB636-CD55-4551-B491-92CC7573CE57}"/>
    <cellStyle name="Vírgula 5 2 3" xfId="178" xr:uid="{03BC7136-892A-46CE-8A37-23BBC68D8784}"/>
    <cellStyle name="Vírgula 5 3" xfId="33" xr:uid="{2C8F3DF7-1F50-4CEE-9E32-276096AC82BC}"/>
    <cellStyle name="Vírgula 5 3 2" xfId="64" xr:uid="{4A017594-A9C7-4CEF-AD73-DD77F6746079}"/>
    <cellStyle name="Vírgula 5 3 3" xfId="179" xr:uid="{E635DAC3-2BCB-492C-8BDD-6428F804FCF4}"/>
    <cellStyle name="Vírgula 5 4" xfId="34" xr:uid="{575E474E-1B1C-47A3-8F57-14DAA687BABD}"/>
    <cellStyle name="Vírgula 5 4 2" xfId="65" xr:uid="{E947126A-D8CB-4490-BAA2-1469285C9C36}"/>
    <cellStyle name="Vírgula 5 4 3" xfId="180" xr:uid="{AC627BCF-AD3F-4E22-9EDC-9E8F1D42335E}"/>
    <cellStyle name="Vírgula 5 5" xfId="66" xr:uid="{7FD422AA-4F09-48E8-AF0A-F95754B050CC}"/>
    <cellStyle name="Vírgula 5 6" xfId="181" xr:uid="{77338F2F-4859-4690-BF89-E51877AAF77A}"/>
    <cellStyle name="Vírgula 6" xfId="14" xr:uid="{30FD0D75-4B7E-40F4-B503-F2B09008A68D}"/>
    <cellStyle name="Vírgula 6 2" xfId="35" xr:uid="{58C6EABC-C885-4770-BD82-72EF59E7F3BB}"/>
    <cellStyle name="Vírgula 6 2 2" xfId="67" xr:uid="{549855DA-64F7-4811-8998-CB248ACA06CE}"/>
    <cellStyle name="Vírgula 6 2 3" xfId="182" xr:uid="{2FF88EDE-6DB9-44E0-A24B-49C012F8E3D6}"/>
    <cellStyle name="Vírgula 6 3" xfId="36" xr:uid="{3AE93ED1-5F24-4B30-8BBD-EF155D18F800}"/>
    <cellStyle name="Vírgula 6 3 2" xfId="68" xr:uid="{F6CC5533-D921-423F-A7DB-F03F70D574AA}"/>
    <cellStyle name="Vírgula 6 3 3" xfId="183" xr:uid="{02025E57-07ED-479E-9E36-135E874BDEE9}"/>
    <cellStyle name="Vírgula 6 4" xfId="37" xr:uid="{0B75C9FA-678F-48C2-8C52-7AA4CFECA978}"/>
    <cellStyle name="Vírgula 6 4 2" xfId="69" xr:uid="{750AC7BB-111E-4CD2-A031-441F2F4DE1B6}"/>
    <cellStyle name="Vírgula 6 4 3" xfId="184" xr:uid="{80872EF7-7D98-4D97-BFCF-AA81A8CA9414}"/>
    <cellStyle name="Vírgula 6 5" xfId="70" xr:uid="{5180F0E3-D615-41A4-9D3A-C9862B861F1B}"/>
    <cellStyle name="Vírgula 6 6" xfId="185" xr:uid="{50DC7FA8-F5C9-4039-A6E7-E03186F850B4}"/>
    <cellStyle name="Vírgula 7" xfId="38" xr:uid="{04932F21-95CF-4FD4-9BBF-D89A05263061}"/>
    <cellStyle name="Vírgula 7 2" xfId="71" xr:uid="{89D87622-D6CF-4054-8DE1-ABB64FE69ACA}"/>
    <cellStyle name="Vírgula 7 2 2" xfId="186" xr:uid="{F2B13E84-26C3-43C9-B835-BB39569B6DF7}"/>
    <cellStyle name="Vírgula 7 3" xfId="187" xr:uid="{A6FD8A7C-1E41-4CAF-8BB1-174019810D5D}"/>
    <cellStyle name="Vírgula 8" xfId="39" xr:uid="{412DF7D1-0407-4A80-A1C1-04551B7E42A0}"/>
    <cellStyle name="Vírgula 8 2" xfId="72" xr:uid="{0E9B3053-30A0-4B2E-A67B-4A89CF2EF97C}"/>
    <cellStyle name="Vírgula 8 2 2" xfId="188" xr:uid="{5C82DBA0-B6F4-43A3-8FF0-E46B97A06845}"/>
    <cellStyle name="Vírgula 8 3" xfId="189" xr:uid="{82A64566-AE53-4B66-A4DE-BD3F23CA2524}"/>
    <cellStyle name="Vírgula 9" xfId="40" xr:uid="{CF9B9A38-D2A6-4BC5-BDCF-B957F955E449}"/>
    <cellStyle name="Vírgula 9 2" xfId="73" xr:uid="{7C6006AE-F78A-4C7D-9EC3-09BE66C5CD3F}"/>
    <cellStyle name="Vírgula 9 2 2" xfId="190" xr:uid="{AC28DF2E-627F-47CA-8C18-137C455AFC42}"/>
    <cellStyle name="Vírgula 9 3" xfId="191" xr:uid="{BFD09F60-35F6-4101-B78F-68B9D4C8B637}"/>
  </cellStyles>
  <dxfs count="172">
    <dxf>
      <font>
        <color theme="9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rgb="FF92D050"/>
      </font>
    </dxf>
    <dxf>
      <font>
        <color theme="5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theme="5" tint="0.39994506668294322"/>
      </font>
    </dxf>
    <dxf>
      <font>
        <color theme="9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theme="9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color theme="9" tint="0.39994506668294322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theme="5" tint="0.39994506668294322"/>
      </font>
    </dxf>
    <dxf>
      <font>
        <color theme="9" tint="0.39994506668294322"/>
      </font>
    </dxf>
    <dxf>
      <font>
        <color rgb="FFFF0000"/>
      </font>
    </dxf>
    <dxf>
      <font>
        <color rgb="FF70AD47"/>
      </font>
    </dxf>
    <dxf>
      <font>
        <color theme="9" tint="0.39994506668294322"/>
      </font>
    </dxf>
    <dxf>
      <font>
        <color theme="5" tint="0.39994506668294322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rgb="FF70AD47"/>
      </font>
    </dxf>
    <dxf>
      <font>
        <color rgb="FFFF0000"/>
      </font>
    </dxf>
    <dxf>
      <font>
        <color theme="5" tint="0.39994506668294322"/>
      </font>
    </dxf>
    <dxf>
      <font>
        <color theme="9" tint="0.39994506668294322"/>
      </font>
    </dxf>
    <dxf>
      <font>
        <color rgb="FF70AD47"/>
      </font>
    </dxf>
    <dxf>
      <font>
        <color rgb="FFFF0000"/>
      </font>
    </dxf>
    <dxf>
      <font>
        <color rgb="FFFF0000"/>
      </font>
    </dxf>
    <dxf>
      <font>
        <color rgb="FF70AD47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49A193"/>
      <color rgb="FFFFC1C1"/>
      <color rgb="FFD0E0E3"/>
      <color rgb="FFFDF0E7"/>
      <color rgb="FFECF3F4"/>
      <color rgb="FF005CA9"/>
      <color rgb="FF0660A4"/>
      <color rgb="FFAFCA0B"/>
      <color rgb="FFCCCCFF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hyperlink" Target="#'DRE CAIXA SEG_CONTAB_IFRS4'!A4"/><Relationship Id="rId26" Type="http://schemas.openxmlformats.org/officeDocument/2006/relationships/hyperlink" Target="#'N&#250;meros Adicionais'!A1"/><Relationship Id="rId39" Type="http://schemas.openxmlformats.org/officeDocument/2006/relationships/hyperlink" Target="#'DRE HOLDING SEGURIDADE'!C23"/><Relationship Id="rId21" Type="http://schemas.openxmlformats.org/officeDocument/2006/relationships/image" Target="../media/image8.png"/><Relationship Id="rId34" Type="http://schemas.openxmlformats.org/officeDocument/2006/relationships/hyperlink" Target="#'DRE NOVAS PARC CAIXA_IFRS17'!A1"/><Relationship Id="rId42" Type="http://schemas.openxmlformats.org/officeDocument/2006/relationships/image" Target="../media/image11.png"/><Relationship Id="rId47" Type="http://schemas.openxmlformats.org/officeDocument/2006/relationships/image" Target="../media/image16.png"/><Relationship Id="rId7" Type="http://schemas.openxmlformats.org/officeDocument/2006/relationships/hyperlink" Target="#'BP Novas Parcerias'!A1"/><Relationship Id="rId2" Type="http://schemas.openxmlformats.org/officeDocument/2006/relationships/hyperlink" Target="#'Desempenho Risco'!A1"/><Relationship Id="rId16" Type="http://schemas.openxmlformats.org/officeDocument/2006/relationships/hyperlink" Target="#'DRE CAIXA SEGURIDADE'!A4"/><Relationship Id="rId29" Type="http://schemas.openxmlformats.org/officeDocument/2006/relationships/hyperlink" Target="#'INDICADORES EMPRESAS (4)'!A1"/><Relationship Id="rId1" Type="http://schemas.openxmlformats.org/officeDocument/2006/relationships/image" Target="../media/image1.png"/><Relationship Id="rId6" Type="http://schemas.openxmlformats.org/officeDocument/2006/relationships/hyperlink" Target="#'DRE NOVAS PARCERIAS CAIXA'!A1"/><Relationship Id="rId11" Type="http://schemas.openxmlformats.org/officeDocument/2006/relationships/image" Target="../media/image3.png"/><Relationship Id="rId24" Type="http://schemas.openxmlformats.org/officeDocument/2006/relationships/hyperlink" Target="#'Earn-out e LPC'!A1"/><Relationship Id="rId32" Type="http://schemas.openxmlformats.org/officeDocument/2006/relationships/hyperlink" Target="#'DRE ANTIGA PARC CAIXA_IFRS17'!A1"/><Relationship Id="rId37" Type="http://schemas.openxmlformats.org/officeDocument/2006/relationships/hyperlink" Target="#'BP - Too Seg _IFRS17'!A1"/><Relationship Id="rId40" Type="http://schemas.openxmlformats.org/officeDocument/2006/relationships/hyperlink" Target="#'Desempenho Distribui&#231;&#227;o'!A1"/><Relationship Id="rId45" Type="http://schemas.openxmlformats.org/officeDocument/2006/relationships/image" Target="../media/image14.png"/><Relationship Id="rId5" Type="http://schemas.openxmlformats.org/officeDocument/2006/relationships/hyperlink" Target="#'BP Antiga Parceria'!A1"/><Relationship Id="rId15" Type="http://schemas.openxmlformats.org/officeDocument/2006/relationships/image" Target="../media/image7.png"/><Relationship Id="rId23" Type="http://schemas.openxmlformats.org/officeDocument/2006/relationships/hyperlink" Target="#'Operacional X Financeiro'!A1"/><Relationship Id="rId28" Type="http://schemas.openxmlformats.org/officeDocument/2006/relationships/hyperlink" Target="#Movimenta&#231;&#227;o_Provis&#245;es!A3"/><Relationship Id="rId36" Type="http://schemas.openxmlformats.org/officeDocument/2006/relationships/hyperlink" Target="#'DRE PARC BANCO PAN_IFRS17'!A1"/><Relationship Id="rId10" Type="http://schemas.openxmlformats.org/officeDocument/2006/relationships/image" Target="../media/image2.png"/><Relationship Id="rId19" Type="http://schemas.openxmlformats.org/officeDocument/2006/relationships/hyperlink" Target="#'Desempenho Acumula&#231;&#227;o'!A1"/><Relationship Id="rId31" Type="http://schemas.openxmlformats.org/officeDocument/2006/relationships/hyperlink" Target="#BP_IFRS17!A1"/><Relationship Id="rId44" Type="http://schemas.openxmlformats.org/officeDocument/2006/relationships/image" Target="../media/image13.png"/><Relationship Id="rId4" Type="http://schemas.openxmlformats.org/officeDocument/2006/relationships/hyperlink" Target="#'DRE ANTIGA PARCERIA CAIXA'!A1"/><Relationship Id="rId9" Type="http://schemas.openxmlformats.org/officeDocument/2006/relationships/hyperlink" Target="#'BP - TOO SEG'!A1"/><Relationship Id="rId14" Type="http://schemas.openxmlformats.org/officeDocument/2006/relationships/image" Target="../media/image6.png"/><Relationship Id="rId22" Type="http://schemas.openxmlformats.org/officeDocument/2006/relationships/hyperlink" Target="#'Carteira de Investimentos'!C23"/><Relationship Id="rId27" Type="http://schemas.openxmlformats.org/officeDocument/2006/relationships/hyperlink" Target="#Sinistros!B1"/><Relationship Id="rId30" Type="http://schemas.openxmlformats.org/officeDocument/2006/relationships/hyperlink" Target="#'DRE CAIXA SEGURIDADE CONTABIL'!A1"/><Relationship Id="rId35" Type="http://schemas.openxmlformats.org/officeDocument/2006/relationships/hyperlink" Target="#'BP Novas Parcerias_IFRS17'!A1"/><Relationship Id="rId43" Type="http://schemas.openxmlformats.org/officeDocument/2006/relationships/image" Target="../media/image12.png"/><Relationship Id="rId48" Type="http://schemas.openxmlformats.org/officeDocument/2006/relationships/image" Target="../media/image17.png"/><Relationship Id="rId8" Type="http://schemas.openxmlformats.org/officeDocument/2006/relationships/hyperlink" Target="#'DRE PARCERIAS BANCO PAN'!A1"/><Relationship Id="rId3" Type="http://schemas.openxmlformats.org/officeDocument/2006/relationships/hyperlink" Target="#'DRE AGRUPADA'!A1"/><Relationship Id="rId12" Type="http://schemas.openxmlformats.org/officeDocument/2006/relationships/image" Target="../media/image4.png"/><Relationship Id="rId17" Type="http://schemas.openxmlformats.org/officeDocument/2006/relationships/hyperlink" Target="#BP!A1"/><Relationship Id="rId25" Type="http://schemas.openxmlformats.org/officeDocument/2006/relationships/image" Target="../media/image9.png"/><Relationship Id="rId33" Type="http://schemas.openxmlformats.org/officeDocument/2006/relationships/hyperlink" Target="#'BP Antiga Parceria _IFRS17'!A1"/><Relationship Id="rId38" Type="http://schemas.openxmlformats.org/officeDocument/2006/relationships/hyperlink" Target="#'Saldo_Provis&#245;es (2)'!A1"/><Relationship Id="rId46" Type="http://schemas.openxmlformats.org/officeDocument/2006/relationships/image" Target="../media/image15.png"/><Relationship Id="rId20" Type="http://schemas.openxmlformats.org/officeDocument/2006/relationships/hyperlink" Target="#'DRE NEG&#211;CIOS DE DISTRIBUI&#199;&#195;O'!C23"/><Relationship Id="rId41" Type="http://schemas.openxmlformats.org/officeDocument/2006/relationships/image" Target="../media/image10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XS!A1"/><Relationship Id="rId2" Type="http://schemas.openxmlformats.org/officeDocument/2006/relationships/image" Target="../media/image20.png"/><Relationship Id="rId1" Type="http://schemas.openxmlformats.org/officeDocument/2006/relationships/hyperlink" Target="#COMPANIES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svg"/><Relationship Id="rId2" Type="http://schemas.openxmlformats.org/officeDocument/2006/relationships/image" Target="../media/image21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XS!A1"/><Relationship Id="rId2" Type="http://schemas.openxmlformats.org/officeDocument/2006/relationships/image" Target="../media/image20.png"/><Relationship Id="rId1" Type="http://schemas.openxmlformats.org/officeDocument/2006/relationships/hyperlink" Target="#SEGMENTS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XS!A1"/><Relationship Id="rId1" Type="http://schemas.openxmlformats.org/officeDocument/2006/relationships/image" Target="../media/image20.png"/><Relationship Id="rId4" Type="http://schemas.openxmlformats.org/officeDocument/2006/relationships/image" Target="../media/image19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svg"/><Relationship Id="rId2" Type="http://schemas.openxmlformats.org/officeDocument/2006/relationships/image" Target="../media/image21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svg"/><Relationship Id="rId2" Type="http://schemas.openxmlformats.org/officeDocument/2006/relationships/image" Target="../media/image24.png"/><Relationship Id="rId1" Type="http://schemas.openxmlformats.org/officeDocument/2006/relationships/hyperlink" Target="#'Desempenho Risco'!A1"/><Relationship Id="rId4" Type="http://schemas.openxmlformats.org/officeDocument/2006/relationships/image" Target="../media/image20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svg"/><Relationship Id="rId2" Type="http://schemas.openxmlformats.org/officeDocument/2006/relationships/image" Target="../media/image24.png"/><Relationship Id="rId1" Type="http://schemas.openxmlformats.org/officeDocument/2006/relationships/hyperlink" Target="#'DRE AGRUPADA'!A1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svg"/><Relationship Id="rId2" Type="http://schemas.openxmlformats.org/officeDocument/2006/relationships/image" Target="../media/image21.png"/><Relationship Id="rId1" Type="http://schemas.openxmlformats.org/officeDocument/2006/relationships/hyperlink" Target="#XS!A1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135714</xdr:colOff>
      <xdr:row>45</xdr:row>
      <xdr:rowOff>69195</xdr:rowOff>
    </xdr:from>
    <xdr:to>
      <xdr:col>1</xdr:col>
      <xdr:colOff>348595</xdr:colOff>
      <xdr:row>46</xdr:row>
      <xdr:rowOff>139270</xdr:rowOff>
    </xdr:to>
    <xdr:sp macro="" textlink="">
      <xdr:nvSpPr>
        <xdr:cNvPr id="3" name="CaixaDeTexto 118">
          <a:extLst>
            <a:ext uri="{FF2B5EF4-FFF2-40B4-BE49-F238E27FC236}">
              <a16:creationId xmlns:a16="http://schemas.microsoft.com/office/drawing/2014/main" id="{C3D78D9F-EAA1-44B9-8ED3-642B0BC0E8F8}"/>
            </a:ext>
          </a:extLst>
        </xdr:cNvPr>
        <xdr:cNvSpPr txBox="1"/>
      </xdr:nvSpPr>
      <xdr:spPr>
        <a:xfrm>
          <a:off x="135714" y="8603595"/>
          <a:ext cx="822481" cy="260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200" b="1">
              <a:solidFill>
                <a:schemeClr val="bg2">
                  <a:lumMod val="25000"/>
                </a:schemeClr>
              </a:solidFill>
            </a:rPr>
            <a:t>Parceiros</a:t>
          </a:r>
          <a:endParaRPr lang="en-US" sz="105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5</xdr:col>
      <xdr:colOff>76200</xdr:colOff>
      <xdr:row>15</xdr:row>
      <xdr:rowOff>7286</xdr:rowOff>
    </xdr:from>
    <xdr:to>
      <xdr:col>5</xdr:col>
      <xdr:colOff>79038</xdr:colOff>
      <xdr:row>15</xdr:row>
      <xdr:rowOff>181036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4BE3C108-9EA7-436A-909A-CE28B7AE5711}"/>
            </a:ext>
          </a:extLst>
        </xdr:cNvPr>
        <xdr:cNvCxnSpPr>
          <a:cxnSpLocks/>
          <a:stCxn id="6" idx="2"/>
        </xdr:cNvCxnSpPr>
      </xdr:nvCxnSpPr>
      <xdr:spPr>
        <a:xfrm>
          <a:off x="3124200" y="2979086"/>
          <a:ext cx="2838" cy="173750"/>
        </a:xfrm>
        <a:prstGeom prst="line">
          <a:avLst/>
        </a:prstGeom>
        <a:ln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14</xdr:row>
      <xdr:rowOff>9525</xdr:rowOff>
    </xdr:from>
    <xdr:to>
      <xdr:col>5</xdr:col>
      <xdr:colOff>400049</xdr:colOff>
      <xdr:row>15</xdr:row>
      <xdr:rowOff>7286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44811F50-7E1C-4019-BCBE-F71D5F603715}"/>
            </a:ext>
          </a:extLst>
        </xdr:cNvPr>
        <xdr:cNvSpPr>
          <a:spLocks/>
        </xdr:cNvSpPr>
      </xdr:nvSpPr>
      <xdr:spPr>
        <a:xfrm>
          <a:off x="2800350" y="2790825"/>
          <a:ext cx="647699" cy="188261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48,25%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3</xdr:col>
      <xdr:colOff>285750</xdr:colOff>
      <xdr:row>13</xdr:row>
      <xdr:rowOff>66675</xdr:rowOff>
    </xdr:from>
    <xdr:to>
      <xdr:col>6</xdr:col>
      <xdr:colOff>457199</xdr:colOff>
      <xdr:row>46</xdr:row>
      <xdr:rowOff>171451</xdr:rowOff>
    </xdr:to>
    <xdr:sp macro="" textlink="">
      <xdr:nvSpPr>
        <xdr:cNvPr id="2" name="Retângulo 3">
          <a:extLst>
            <a:ext uri="{FF2B5EF4-FFF2-40B4-BE49-F238E27FC236}">
              <a16:creationId xmlns:a16="http://schemas.microsoft.com/office/drawing/2014/main" id="{5019285F-A689-4A61-9C28-A6FD14815F4C}"/>
            </a:ext>
          </a:extLst>
        </xdr:cNvPr>
        <xdr:cNvSpPr/>
      </xdr:nvSpPr>
      <xdr:spPr>
        <a:xfrm>
          <a:off x="2114550" y="2657475"/>
          <a:ext cx="2000249" cy="6238876"/>
        </a:xfrm>
        <a:prstGeom prst="roundRect">
          <a:avLst>
            <a:gd name="adj" fmla="val 4309"/>
          </a:avLst>
        </a:prstGeom>
        <a:noFill/>
        <a:ln w="19050">
          <a:solidFill>
            <a:schemeClr val="bg2">
              <a:lumMod val="9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552450</xdr:colOff>
      <xdr:row>13</xdr:row>
      <xdr:rowOff>85725</xdr:rowOff>
    </xdr:from>
    <xdr:to>
      <xdr:col>15</xdr:col>
      <xdr:colOff>390526</xdr:colOff>
      <xdr:row>46</xdr:row>
      <xdr:rowOff>161925</xdr:rowOff>
    </xdr:to>
    <xdr:sp macro="" textlink="">
      <xdr:nvSpPr>
        <xdr:cNvPr id="8" name="Retângulo 3">
          <a:extLst>
            <a:ext uri="{FF2B5EF4-FFF2-40B4-BE49-F238E27FC236}">
              <a16:creationId xmlns:a16="http://schemas.microsoft.com/office/drawing/2014/main" id="{2AD50AD8-27DA-4683-98DE-CC812600E4BA}"/>
            </a:ext>
          </a:extLst>
        </xdr:cNvPr>
        <xdr:cNvSpPr/>
      </xdr:nvSpPr>
      <xdr:spPr>
        <a:xfrm>
          <a:off x="4210050" y="2676525"/>
          <a:ext cx="5324476" cy="6210300"/>
        </a:xfrm>
        <a:prstGeom prst="roundRect">
          <a:avLst>
            <a:gd name="adj" fmla="val 1640"/>
          </a:avLst>
        </a:prstGeom>
        <a:noFill/>
        <a:ln w="19050">
          <a:solidFill>
            <a:srgbClr val="0660A4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602339</xdr:colOff>
      <xdr:row>14</xdr:row>
      <xdr:rowOff>3795</xdr:rowOff>
    </xdr:from>
    <xdr:to>
      <xdr:col>11</xdr:col>
      <xdr:colOff>341219</xdr:colOff>
      <xdr:row>15</xdr:row>
      <xdr:rowOff>11295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8EF37133-E119-4B8C-8D30-4817A31729E2}"/>
            </a:ext>
          </a:extLst>
        </xdr:cNvPr>
        <xdr:cNvSpPr>
          <a:spLocks/>
        </xdr:cNvSpPr>
      </xdr:nvSpPr>
      <xdr:spPr>
        <a:xfrm>
          <a:off x="6698339" y="2785095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7</xdr:col>
      <xdr:colOff>145495</xdr:colOff>
      <xdr:row>7</xdr:row>
      <xdr:rowOff>165673</xdr:rowOff>
    </xdr:from>
    <xdr:to>
      <xdr:col>8</xdr:col>
      <xdr:colOff>442456</xdr:colOff>
      <xdr:row>10</xdr:row>
      <xdr:rowOff>30573</xdr:rowOff>
    </xdr:to>
    <xdr:sp macro="" textlink="">
      <xdr:nvSpPr>
        <xdr:cNvPr id="132" name="Rectangle 255">
          <a:extLst>
            <a:ext uri="{FF2B5EF4-FFF2-40B4-BE49-F238E27FC236}">
              <a16:creationId xmlns:a16="http://schemas.microsoft.com/office/drawing/2014/main" id="{24899DAF-C6EC-416C-8076-3FAAA60CB916}"/>
            </a:ext>
          </a:extLst>
        </xdr:cNvPr>
        <xdr:cNvSpPr/>
      </xdr:nvSpPr>
      <xdr:spPr bwMode="gray">
        <a:xfrm>
          <a:off x="4412695" y="1499173"/>
          <a:ext cx="906561" cy="436400"/>
        </a:xfrm>
        <a:prstGeom prst="roundRect">
          <a:avLst>
            <a:gd name="adj" fmla="val 10342"/>
          </a:avLst>
        </a:prstGeom>
        <a:ln>
          <a:noFill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Parcerias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CAIXA</a:t>
          </a:r>
        </a:p>
      </xdr:txBody>
    </xdr:sp>
    <xdr:clientData/>
  </xdr:twoCellAnchor>
  <xdr:twoCellAnchor>
    <xdr:from>
      <xdr:col>5</xdr:col>
      <xdr:colOff>76200</xdr:colOff>
      <xdr:row>12</xdr:row>
      <xdr:rowOff>53276</xdr:rowOff>
    </xdr:from>
    <xdr:to>
      <xdr:col>5</xdr:col>
      <xdr:colOff>79038</xdr:colOff>
      <xdr:row>14</xdr:row>
      <xdr:rowOff>9525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787338B0-DAF4-43C9-AE96-0EB97832CE52}"/>
            </a:ext>
          </a:extLst>
        </xdr:cNvPr>
        <xdr:cNvCxnSpPr>
          <a:stCxn id="134" idx="2"/>
          <a:endCxn id="6" idx="0"/>
        </xdr:cNvCxnSpPr>
      </xdr:nvCxnSpPr>
      <xdr:spPr>
        <a:xfrm flipH="1">
          <a:off x="3124200" y="2466276"/>
          <a:ext cx="2838" cy="337249"/>
        </a:xfrm>
        <a:prstGeom prst="line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532319</xdr:colOff>
      <xdr:row>10</xdr:row>
      <xdr:rowOff>30572</xdr:rowOff>
    </xdr:from>
    <xdr:to>
      <xdr:col>7</xdr:col>
      <xdr:colOff>598777</xdr:colOff>
      <xdr:row>10</xdr:row>
      <xdr:rowOff>223487</xdr:rowOff>
    </xdr:to>
    <xdr:cxnSp macro="">
      <xdr:nvCxnSpPr>
        <xdr:cNvPr id="18" name="Conector: Angulado 17">
          <a:extLst>
            <a:ext uri="{FF2B5EF4-FFF2-40B4-BE49-F238E27FC236}">
              <a16:creationId xmlns:a16="http://schemas.microsoft.com/office/drawing/2014/main" id="{52D9CCDF-327A-495D-A048-506AA792CEA1}"/>
            </a:ext>
          </a:extLst>
        </xdr:cNvPr>
        <xdr:cNvCxnSpPr>
          <a:cxnSpLocks/>
          <a:stCxn id="132" idx="2"/>
          <a:endCxn id="134" idx="3"/>
        </xdr:cNvCxnSpPr>
      </xdr:nvCxnSpPr>
      <xdr:spPr>
        <a:xfrm rot="5400000">
          <a:off x="4126690" y="1389201"/>
          <a:ext cx="192915" cy="1285658"/>
        </a:xfrm>
        <a:prstGeom prst="bentConnector2">
          <a:avLst/>
        </a:prstGeom>
        <a:ln w="952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598777</xdr:colOff>
      <xdr:row>10</xdr:row>
      <xdr:rowOff>30572</xdr:rowOff>
    </xdr:from>
    <xdr:to>
      <xdr:col>10</xdr:col>
      <xdr:colOff>331251</xdr:colOff>
      <xdr:row>10</xdr:row>
      <xdr:rowOff>224077</xdr:rowOff>
    </xdr:to>
    <xdr:cxnSp macro="">
      <xdr:nvCxnSpPr>
        <xdr:cNvPr id="19" name="Conector: Angulado 18">
          <a:extLst>
            <a:ext uri="{FF2B5EF4-FFF2-40B4-BE49-F238E27FC236}">
              <a16:creationId xmlns:a16="http://schemas.microsoft.com/office/drawing/2014/main" id="{0C5FE86B-680D-470F-9DF7-A0C8E09FE0AE}"/>
            </a:ext>
          </a:extLst>
        </xdr:cNvPr>
        <xdr:cNvCxnSpPr>
          <a:stCxn id="132" idx="2"/>
          <a:endCxn id="133" idx="1"/>
        </xdr:cNvCxnSpPr>
      </xdr:nvCxnSpPr>
      <xdr:spPr>
        <a:xfrm rot="16200000" flipH="1">
          <a:off x="5549861" y="1251688"/>
          <a:ext cx="193505" cy="1561274"/>
        </a:xfrm>
        <a:prstGeom prst="bentConnector2">
          <a:avLst/>
        </a:prstGeom>
        <a:ln w="952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166979</xdr:colOff>
      <xdr:row>12</xdr:row>
      <xdr:rowOff>54456</xdr:rowOff>
    </xdr:from>
    <xdr:to>
      <xdr:col>11</xdr:col>
      <xdr:colOff>174931</xdr:colOff>
      <xdr:row>14</xdr:row>
      <xdr:rowOff>3795</xdr:rowOff>
    </xdr:to>
    <xdr:cxnSp macro="">
      <xdr:nvCxnSpPr>
        <xdr:cNvPr id="20" name="Conector reto 19">
          <a:extLst>
            <a:ext uri="{FF2B5EF4-FFF2-40B4-BE49-F238E27FC236}">
              <a16:creationId xmlns:a16="http://schemas.microsoft.com/office/drawing/2014/main" id="{EBDFD706-58FB-44E4-B1B7-367A67A20BDE}"/>
            </a:ext>
          </a:extLst>
        </xdr:cNvPr>
        <xdr:cNvCxnSpPr>
          <a:cxnSpLocks/>
          <a:stCxn id="133" idx="2"/>
          <a:endCxn id="11" idx="0"/>
        </xdr:cNvCxnSpPr>
      </xdr:nvCxnSpPr>
      <xdr:spPr>
        <a:xfrm flipH="1">
          <a:off x="6872579" y="2467456"/>
          <a:ext cx="7952" cy="330339"/>
        </a:xfrm>
        <a:prstGeom prst="line">
          <a:avLst/>
        </a:prstGeom>
        <a:ln w="3175"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229543</xdr:colOff>
      <xdr:row>14</xdr:row>
      <xdr:rowOff>15621</xdr:rowOff>
    </xdr:from>
    <xdr:to>
      <xdr:col>18</xdr:col>
      <xdr:colOff>95740</xdr:colOff>
      <xdr:row>15</xdr:row>
      <xdr:rowOff>23121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C540B2C5-5205-45DC-8687-23F38C4074EC}"/>
            </a:ext>
          </a:extLst>
        </xdr:cNvPr>
        <xdr:cNvSpPr>
          <a:spLocks/>
        </xdr:cNvSpPr>
      </xdr:nvSpPr>
      <xdr:spPr>
        <a:xfrm>
          <a:off x="10592743" y="2796921"/>
          <a:ext cx="475797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49%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15</xdr:col>
      <xdr:colOff>495301</xdr:colOff>
      <xdr:row>13</xdr:row>
      <xdr:rowOff>76200</xdr:rowOff>
    </xdr:from>
    <xdr:to>
      <xdr:col>19</xdr:col>
      <xdr:colOff>419101</xdr:colOff>
      <xdr:row>46</xdr:row>
      <xdr:rowOff>180975</xdr:rowOff>
    </xdr:to>
    <xdr:sp macro="" textlink="">
      <xdr:nvSpPr>
        <xdr:cNvPr id="23" name="Retângulo 3">
          <a:extLst>
            <a:ext uri="{FF2B5EF4-FFF2-40B4-BE49-F238E27FC236}">
              <a16:creationId xmlns:a16="http://schemas.microsoft.com/office/drawing/2014/main" id="{93508D27-132E-4B72-B896-9E1C1AD9A4D3}"/>
            </a:ext>
          </a:extLst>
        </xdr:cNvPr>
        <xdr:cNvSpPr/>
      </xdr:nvSpPr>
      <xdr:spPr>
        <a:xfrm>
          <a:off x="9639301" y="2667000"/>
          <a:ext cx="2362200" cy="6238875"/>
        </a:xfrm>
        <a:prstGeom prst="roundRect">
          <a:avLst>
            <a:gd name="adj" fmla="val 3226"/>
          </a:avLst>
        </a:prstGeom>
        <a:noFill/>
        <a:ln w="19050">
          <a:solidFill>
            <a:schemeClr val="accent2">
              <a:lumMod val="60000"/>
              <a:lumOff val="4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14165</xdr:colOff>
      <xdr:row>7</xdr:row>
      <xdr:rowOff>165673</xdr:rowOff>
    </xdr:from>
    <xdr:to>
      <xdr:col>18</xdr:col>
      <xdr:colOff>311126</xdr:colOff>
      <xdr:row>10</xdr:row>
      <xdr:rowOff>30573</xdr:rowOff>
    </xdr:to>
    <xdr:sp macro="" textlink="">
      <xdr:nvSpPr>
        <xdr:cNvPr id="130" name="Rectangle 255">
          <a:extLst>
            <a:ext uri="{FF2B5EF4-FFF2-40B4-BE49-F238E27FC236}">
              <a16:creationId xmlns:a16="http://schemas.microsoft.com/office/drawing/2014/main" id="{43A6DF69-7E5A-42D8-AA5E-D2C58A53CC18}"/>
            </a:ext>
          </a:extLst>
        </xdr:cNvPr>
        <xdr:cNvSpPr/>
      </xdr:nvSpPr>
      <xdr:spPr bwMode="gray">
        <a:xfrm>
          <a:off x="10377365" y="1499173"/>
          <a:ext cx="906561" cy="436400"/>
        </a:xfrm>
        <a:prstGeom prst="roundRect">
          <a:avLst>
            <a:gd name="adj" fmla="val 10342"/>
          </a:avLst>
        </a:prstGeom>
        <a:ln>
          <a:noFill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Parcerias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Banco PAN</a:t>
          </a:r>
        </a:p>
      </xdr:txBody>
    </xdr:sp>
    <xdr:clientData/>
  </xdr:twoCellAnchor>
  <xdr:twoCellAnchor>
    <xdr:from>
      <xdr:col>17</xdr:col>
      <xdr:colOff>467442</xdr:colOff>
      <xdr:row>10</xdr:row>
      <xdr:rowOff>30573</xdr:rowOff>
    </xdr:from>
    <xdr:to>
      <xdr:col>17</xdr:col>
      <xdr:colOff>467446</xdr:colOff>
      <xdr:row>14</xdr:row>
      <xdr:rowOff>15621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35601525-D226-4F12-A229-6B945CA424EC}"/>
            </a:ext>
          </a:extLst>
        </xdr:cNvPr>
        <xdr:cNvCxnSpPr>
          <a:stCxn id="130" idx="2"/>
          <a:endCxn id="22" idx="0"/>
        </xdr:cNvCxnSpPr>
      </xdr:nvCxnSpPr>
      <xdr:spPr>
        <a:xfrm flipH="1">
          <a:off x="10830642" y="1935573"/>
          <a:ext cx="4" cy="874048"/>
        </a:xfrm>
        <a:prstGeom prst="line">
          <a:avLst/>
        </a:prstGeom>
        <a:ln w="9525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403715</xdr:colOff>
      <xdr:row>14</xdr:row>
      <xdr:rowOff>114620</xdr:rowOff>
    </xdr:from>
    <xdr:to>
      <xdr:col>17</xdr:col>
      <xdr:colOff>229544</xdr:colOff>
      <xdr:row>16</xdr:row>
      <xdr:rowOff>6369</xdr:rowOff>
    </xdr:to>
    <xdr:cxnSp macro="">
      <xdr:nvCxnSpPr>
        <xdr:cNvPr id="27" name="Conector: Angulado 26">
          <a:extLst>
            <a:ext uri="{FF2B5EF4-FFF2-40B4-BE49-F238E27FC236}">
              <a16:creationId xmlns:a16="http://schemas.microsoft.com/office/drawing/2014/main" id="{2BE1DA12-E1B3-427B-A4DC-F2169CB50AB6}"/>
            </a:ext>
          </a:extLst>
        </xdr:cNvPr>
        <xdr:cNvCxnSpPr>
          <a:cxnSpLocks/>
          <a:stCxn id="22" idx="1"/>
        </xdr:cNvCxnSpPr>
      </xdr:nvCxnSpPr>
      <xdr:spPr>
        <a:xfrm rot="10800000" flipV="1">
          <a:off x="10157315" y="2895920"/>
          <a:ext cx="435429" cy="272749"/>
        </a:xfrm>
        <a:prstGeom prst="bentConnector2">
          <a:avLst/>
        </a:prstGeom>
        <a:ln w="9525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95740</xdr:colOff>
      <xdr:row>14</xdr:row>
      <xdr:rowOff>114621</xdr:rowOff>
    </xdr:from>
    <xdr:to>
      <xdr:col>18</xdr:col>
      <xdr:colOff>545651</xdr:colOff>
      <xdr:row>16</xdr:row>
      <xdr:rowOff>6370</xdr:rowOff>
    </xdr:to>
    <xdr:cxnSp macro="">
      <xdr:nvCxnSpPr>
        <xdr:cNvPr id="9" name="Conector: Angulado 27">
          <a:extLst>
            <a:ext uri="{FF2B5EF4-FFF2-40B4-BE49-F238E27FC236}">
              <a16:creationId xmlns:a16="http://schemas.microsoft.com/office/drawing/2014/main" id="{2F811A59-F9CC-4D89-A19B-1AF45ED0594A}"/>
            </a:ext>
          </a:extLst>
        </xdr:cNvPr>
        <xdr:cNvCxnSpPr>
          <a:cxnSpLocks/>
          <a:stCxn id="22" idx="3"/>
        </xdr:cNvCxnSpPr>
      </xdr:nvCxnSpPr>
      <xdr:spPr>
        <a:xfrm>
          <a:off x="11068540" y="2895921"/>
          <a:ext cx="449911" cy="272749"/>
        </a:xfrm>
        <a:prstGeom prst="bentConnector2">
          <a:avLst/>
        </a:prstGeom>
        <a:ln w="9525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53783</xdr:colOff>
      <xdr:row>44</xdr:row>
      <xdr:rowOff>68167</xdr:rowOff>
    </xdr:from>
    <xdr:to>
      <xdr:col>18</xdr:col>
      <xdr:colOff>284333</xdr:colOff>
      <xdr:row>46</xdr:row>
      <xdr:rowOff>83671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934108FA-56F3-4E38-AF3B-0E1F49E3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6983" y="8412067"/>
          <a:ext cx="840150" cy="396504"/>
        </a:xfrm>
        <a:prstGeom prst="rect">
          <a:avLst/>
        </a:prstGeom>
      </xdr:spPr>
    </xdr:pic>
    <xdr:clientData/>
  </xdr:twoCellAnchor>
  <xdr:twoCellAnchor>
    <xdr:from>
      <xdr:col>7</xdr:col>
      <xdr:colOff>598777</xdr:colOff>
      <xdr:row>7</xdr:row>
      <xdr:rowOff>15272</xdr:rowOff>
    </xdr:from>
    <xdr:to>
      <xdr:col>13</xdr:col>
      <xdr:colOff>410886</xdr:colOff>
      <xdr:row>7</xdr:row>
      <xdr:rowOff>165673</xdr:rowOff>
    </xdr:to>
    <xdr:cxnSp macro="">
      <xdr:nvCxnSpPr>
        <xdr:cNvPr id="4" name="Conector: Angulado 29">
          <a:extLst>
            <a:ext uri="{FF2B5EF4-FFF2-40B4-BE49-F238E27FC236}">
              <a16:creationId xmlns:a16="http://schemas.microsoft.com/office/drawing/2014/main" id="{F0D44780-DA56-48C2-835D-F02D910570F9}"/>
            </a:ext>
          </a:extLst>
        </xdr:cNvPr>
        <xdr:cNvCxnSpPr>
          <a:cxnSpLocks/>
          <a:stCxn id="131" idx="2"/>
          <a:endCxn id="132" idx="0"/>
        </xdr:cNvCxnSpPr>
      </xdr:nvCxnSpPr>
      <xdr:spPr>
        <a:xfrm rot="5400000">
          <a:off x="6525631" y="-310882"/>
          <a:ext cx="150401" cy="3469709"/>
        </a:xfrm>
        <a:prstGeom prst="bentConnector3">
          <a:avLst>
            <a:gd name="adj1" fmla="val 50000"/>
          </a:avLst>
        </a:prstGeom>
        <a:ln w="635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410884</xdr:colOff>
      <xdr:row>7</xdr:row>
      <xdr:rowOff>15272</xdr:rowOff>
    </xdr:from>
    <xdr:to>
      <xdr:col>23</xdr:col>
      <xdr:colOff>466999</xdr:colOff>
      <xdr:row>7</xdr:row>
      <xdr:rowOff>165674</xdr:rowOff>
    </xdr:to>
    <xdr:cxnSp macro="">
      <xdr:nvCxnSpPr>
        <xdr:cNvPr id="31" name="Conector: Angulado 30">
          <a:extLst>
            <a:ext uri="{FF2B5EF4-FFF2-40B4-BE49-F238E27FC236}">
              <a16:creationId xmlns:a16="http://schemas.microsoft.com/office/drawing/2014/main" id="{67FE7559-90A8-4A28-88B8-EC17E8706004}"/>
            </a:ext>
          </a:extLst>
        </xdr:cNvPr>
        <xdr:cNvCxnSpPr>
          <a:cxnSpLocks/>
          <a:stCxn id="131" idx="2"/>
          <a:endCxn id="128" idx="0"/>
        </xdr:cNvCxnSpPr>
      </xdr:nvCxnSpPr>
      <xdr:spPr>
        <a:xfrm rot="16200000" flipH="1">
          <a:off x="11336541" y="-1652085"/>
          <a:ext cx="150402" cy="6152115"/>
        </a:xfrm>
        <a:prstGeom prst="bentConnector3">
          <a:avLst>
            <a:gd name="adj1" fmla="val 50000"/>
          </a:avLst>
        </a:prstGeom>
        <a:ln w="952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429949</xdr:colOff>
      <xdr:row>13</xdr:row>
      <xdr:rowOff>173870</xdr:rowOff>
    </xdr:from>
    <xdr:to>
      <xdr:col>21</xdr:col>
      <xdr:colOff>296146</xdr:colOff>
      <xdr:row>14</xdr:row>
      <xdr:rowOff>181370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B4BC9D10-6015-475D-AD07-388C90FD3A0E}"/>
            </a:ext>
          </a:extLst>
        </xdr:cNvPr>
        <xdr:cNvSpPr>
          <a:spLocks/>
        </xdr:cNvSpPr>
      </xdr:nvSpPr>
      <xdr:spPr>
        <a:xfrm>
          <a:off x="12621949" y="2688470"/>
          <a:ext cx="475797" cy="192557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100%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21</xdr:col>
      <xdr:colOff>58247</xdr:colOff>
      <xdr:row>10</xdr:row>
      <xdr:rowOff>30573</xdr:rowOff>
    </xdr:from>
    <xdr:to>
      <xdr:col>21</xdr:col>
      <xdr:colOff>58248</xdr:colOff>
      <xdr:row>13</xdr:row>
      <xdr:rowOff>173870</xdr:rowOff>
    </xdr:to>
    <xdr:cxnSp macro="">
      <xdr:nvCxnSpPr>
        <xdr:cNvPr id="35" name="Conector reto 34">
          <a:extLst>
            <a:ext uri="{FF2B5EF4-FFF2-40B4-BE49-F238E27FC236}">
              <a16:creationId xmlns:a16="http://schemas.microsoft.com/office/drawing/2014/main" id="{2FF51965-F537-45B3-8D09-B1052F1E9EC0}"/>
            </a:ext>
          </a:extLst>
        </xdr:cNvPr>
        <xdr:cNvCxnSpPr>
          <a:stCxn id="129" idx="2"/>
          <a:endCxn id="34" idx="0"/>
        </xdr:cNvCxnSpPr>
      </xdr:nvCxnSpPr>
      <xdr:spPr>
        <a:xfrm>
          <a:off x="12859847" y="1935573"/>
          <a:ext cx="1" cy="841797"/>
        </a:xfrm>
        <a:prstGeom prst="line">
          <a:avLst/>
        </a:prstGeom>
        <a:ln w="31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58248</xdr:colOff>
      <xdr:row>14</xdr:row>
      <xdr:rowOff>181370</xdr:rowOff>
    </xdr:from>
    <xdr:to>
      <xdr:col>21</xdr:col>
      <xdr:colOff>58248</xdr:colOff>
      <xdr:row>16</xdr:row>
      <xdr:rowOff>85302</xdr:rowOff>
    </xdr:to>
    <xdr:cxnSp macro="">
      <xdr:nvCxnSpPr>
        <xdr:cNvPr id="36" name="Conector reto 100">
          <a:extLst>
            <a:ext uri="{FF2B5EF4-FFF2-40B4-BE49-F238E27FC236}">
              <a16:creationId xmlns:a16="http://schemas.microsoft.com/office/drawing/2014/main" id="{F13A0171-246D-4574-8260-9D546A776572}"/>
            </a:ext>
          </a:extLst>
        </xdr:cNvPr>
        <xdr:cNvCxnSpPr>
          <a:cxnSpLocks/>
          <a:stCxn id="34" idx="2"/>
        </xdr:cNvCxnSpPr>
      </xdr:nvCxnSpPr>
      <xdr:spPr>
        <a:xfrm>
          <a:off x="12859848" y="2881027"/>
          <a:ext cx="0" cy="27404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62325</xdr:colOff>
      <xdr:row>27</xdr:row>
      <xdr:rowOff>139700</xdr:rowOff>
    </xdr:from>
    <xdr:to>
      <xdr:col>8</xdr:col>
      <xdr:colOff>356111</xdr:colOff>
      <xdr:row>31</xdr:row>
      <xdr:rowOff>65300</xdr:rowOff>
    </xdr:to>
    <xdr:sp macro="" textlink="">
      <xdr:nvSpPr>
        <xdr:cNvPr id="37" name="Rectangle 255">
          <a:extLst>
            <a:ext uri="{FF2B5EF4-FFF2-40B4-BE49-F238E27FC236}">
              <a16:creationId xmlns:a16="http://schemas.microsoft.com/office/drawing/2014/main" id="{DD44725A-F446-4886-830F-2BCA82001989}"/>
            </a:ext>
          </a:extLst>
        </xdr:cNvPr>
        <xdr:cNvSpPr>
          <a:spLocks/>
        </xdr:cNvSpPr>
      </xdr:nvSpPr>
      <xdr:spPr bwMode="gray">
        <a:xfrm>
          <a:off x="4329525" y="5397500"/>
          <a:ext cx="903386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Vida e Prestamista</a:t>
          </a:r>
        </a:p>
      </xdr:txBody>
    </xdr:sp>
    <xdr:clientData/>
  </xdr:twoCellAnchor>
  <xdr:twoCellAnchor>
    <xdr:from>
      <xdr:col>0</xdr:col>
      <xdr:colOff>142875</xdr:colOff>
      <xdr:row>28</xdr:row>
      <xdr:rowOff>64150</xdr:rowOff>
    </xdr:from>
    <xdr:to>
      <xdr:col>1</xdr:col>
      <xdr:colOff>523875</xdr:colOff>
      <xdr:row>30</xdr:row>
      <xdr:rowOff>110061</xdr:rowOff>
    </xdr:to>
    <xdr:sp macro="" textlink="">
      <xdr:nvSpPr>
        <xdr:cNvPr id="38" name="CaixaDeTexto 4">
          <a:extLst>
            <a:ext uri="{FF2B5EF4-FFF2-40B4-BE49-F238E27FC236}">
              <a16:creationId xmlns:a16="http://schemas.microsoft.com/office/drawing/2014/main" id="{327CE0FD-96F7-482D-8739-A2FAABEA28D6}"/>
            </a:ext>
          </a:extLst>
        </xdr:cNvPr>
        <xdr:cNvSpPr txBox="1"/>
      </xdr:nvSpPr>
      <xdr:spPr>
        <a:xfrm>
          <a:off x="142875" y="5512450"/>
          <a:ext cx="990600" cy="4269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NEGÓCIOS DE SEGUROS</a:t>
          </a:r>
        </a:p>
      </xdr:txBody>
    </xdr:sp>
    <xdr:clientData/>
  </xdr:twoCellAnchor>
  <xdr:twoCellAnchor>
    <xdr:from>
      <xdr:col>0</xdr:col>
      <xdr:colOff>104775</xdr:colOff>
      <xdr:row>34</xdr:row>
      <xdr:rowOff>83200</xdr:rowOff>
    </xdr:from>
    <xdr:to>
      <xdr:col>2</xdr:col>
      <xdr:colOff>66675</xdr:colOff>
      <xdr:row>36</xdr:row>
      <xdr:rowOff>95250</xdr:rowOff>
    </xdr:to>
    <xdr:sp macro="" textlink="">
      <xdr:nvSpPr>
        <xdr:cNvPr id="39" name="CaixaDeTexto 4">
          <a:extLst>
            <a:ext uri="{FF2B5EF4-FFF2-40B4-BE49-F238E27FC236}">
              <a16:creationId xmlns:a16="http://schemas.microsoft.com/office/drawing/2014/main" id="{0170EDE1-DC06-484C-A541-45FE403AAFA5}"/>
            </a:ext>
          </a:extLst>
        </xdr:cNvPr>
        <xdr:cNvSpPr txBox="1"/>
      </xdr:nvSpPr>
      <xdr:spPr>
        <a:xfrm>
          <a:off x="104775" y="6598300"/>
          <a:ext cx="1181100" cy="393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NEGÓCIOS DE ACUMULAÇÃO</a:t>
          </a:r>
        </a:p>
      </xdr:txBody>
    </xdr:sp>
    <xdr:clientData/>
  </xdr:twoCellAnchor>
  <xdr:twoCellAnchor>
    <xdr:from>
      <xdr:col>7</xdr:col>
      <xdr:colOff>31750</xdr:colOff>
      <xdr:row>33</xdr:row>
      <xdr:rowOff>144462</xdr:rowOff>
    </xdr:from>
    <xdr:to>
      <xdr:col>8</xdr:col>
      <xdr:colOff>355600</xdr:colOff>
      <xdr:row>37</xdr:row>
      <xdr:rowOff>73237</xdr:rowOff>
    </xdr:to>
    <xdr:sp macro="" textlink="">
      <xdr:nvSpPr>
        <xdr:cNvPr id="40" name="Rectangle 255">
          <a:extLst>
            <a:ext uri="{FF2B5EF4-FFF2-40B4-BE49-F238E27FC236}">
              <a16:creationId xmlns:a16="http://schemas.microsoft.com/office/drawing/2014/main" id="{4498E314-E473-4971-9CE8-FC03F7581AA4}"/>
            </a:ext>
          </a:extLst>
        </xdr:cNvPr>
        <xdr:cNvSpPr>
          <a:spLocks/>
        </xdr:cNvSpPr>
      </xdr:nvSpPr>
      <xdr:spPr bwMode="gray">
        <a:xfrm>
          <a:off x="4298950" y="6469062"/>
          <a:ext cx="933450" cy="690775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Planos de Previdência</a:t>
          </a:r>
        </a:p>
      </xdr:txBody>
    </xdr:sp>
    <xdr:clientData/>
  </xdr:twoCellAnchor>
  <xdr:twoCellAnchor>
    <xdr:from>
      <xdr:col>8</xdr:col>
      <xdr:colOff>508000</xdr:colOff>
      <xdr:row>27</xdr:row>
      <xdr:rowOff>144463</xdr:rowOff>
    </xdr:from>
    <xdr:to>
      <xdr:col>10</xdr:col>
      <xdr:colOff>192825</xdr:colOff>
      <xdr:row>31</xdr:row>
      <xdr:rowOff>73238</xdr:rowOff>
    </xdr:to>
    <xdr:sp macro="" textlink="">
      <xdr:nvSpPr>
        <xdr:cNvPr id="41" name="Rectangle 255">
          <a:extLst>
            <a:ext uri="{FF2B5EF4-FFF2-40B4-BE49-F238E27FC236}">
              <a16:creationId xmlns:a16="http://schemas.microsoft.com/office/drawing/2014/main" id="{14047DFA-0E64-4E2C-9169-06189D3BD08B}"/>
            </a:ext>
          </a:extLst>
        </xdr:cNvPr>
        <xdr:cNvSpPr>
          <a:spLocks/>
        </xdr:cNvSpPr>
      </xdr:nvSpPr>
      <xdr:spPr bwMode="gray">
        <a:xfrm>
          <a:off x="5384800" y="5402263"/>
          <a:ext cx="904025" cy="690775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 Habitacional e Residencial</a:t>
          </a:r>
        </a:p>
      </xdr:txBody>
    </xdr:sp>
    <xdr:clientData/>
  </xdr:twoCellAnchor>
  <xdr:twoCellAnchor>
    <xdr:from>
      <xdr:col>10</xdr:col>
      <xdr:colOff>285751</xdr:colOff>
      <xdr:row>33</xdr:row>
      <xdr:rowOff>144462</xdr:rowOff>
    </xdr:from>
    <xdr:to>
      <xdr:col>12</xdr:col>
      <xdr:colOff>70362</xdr:colOff>
      <xdr:row>37</xdr:row>
      <xdr:rowOff>73237</xdr:rowOff>
    </xdr:to>
    <xdr:sp macro="" textlink="">
      <xdr:nvSpPr>
        <xdr:cNvPr id="42" name="Rectangle 255">
          <a:extLst>
            <a:ext uri="{FF2B5EF4-FFF2-40B4-BE49-F238E27FC236}">
              <a16:creationId xmlns:a16="http://schemas.microsoft.com/office/drawing/2014/main" id="{C3F354FF-07B9-46DA-930D-C4FEE7E280B7}"/>
            </a:ext>
          </a:extLst>
        </xdr:cNvPr>
        <xdr:cNvSpPr>
          <a:spLocks/>
        </xdr:cNvSpPr>
      </xdr:nvSpPr>
      <xdr:spPr bwMode="gray">
        <a:xfrm>
          <a:off x="6381751" y="6469062"/>
          <a:ext cx="1003811" cy="690775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Títulos de Capitalização</a:t>
          </a:r>
        </a:p>
      </xdr:txBody>
    </xdr:sp>
    <xdr:clientData/>
  </xdr:twoCellAnchor>
  <xdr:twoCellAnchor>
    <xdr:from>
      <xdr:col>4</xdr:col>
      <xdr:colOff>260349</xdr:colOff>
      <xdr:row>27</xdr:row>
      <xdr:rowOff>145150</xdr:rowOff>
    </xdr:from>
    <xdr:to>
      <xdr:col>5</xdr:col>
      <xdr:colOff>554774</xdr:colOff>
      <xdr:row>31</xdr:row>
      <xdr:rowOff>64400</xdr:rowOff>
    </xdr:to>
    <xdr:sp macro="" textlink="">
      <xdr:nvSpPr>
        <xdr:cNvPr id="43" name="Rectangle 255">
          <a:extLst>
            <a:ext uri="{FF2B5EF4-FFF2-40B4-BE49-F238E27FC236}">
              <a16:creationId xmlns:a16="http://schemas.microsoft.com/office/drawing/2014/main" id="{A9AC15B0-0644-4105-AEA8-97D033FA3268}"/>
            </a:ext>
          </a:extLst>
        </xdr:cNvPr>
        <xdr:cNvSpPr>
          <a:spLocks/>
        </xdr:cNvSpPr>
      </xdr:nvSpPr>
      <xdr:spPr bwMode="gray">
        <a:xfrm>
          <a:off x="2698749" y="5402950"/>
          <a:ext cx="904025" cy="68125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 em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RUN-OFF</a:t>
          </a:r>
        </a:p>
      </xdr:txBody>
    </xdr:sp>
    <xdr:clientData/>
  </xdr:twoCellAnchor>
  <xdr:twoCellAnchor>
    <xdr:from>
      <xdr:col>12</xdr:col>
      <xdr:colOff>209551</xdr:colOff>
      <xdr:row>33</xdr:row>
      <xdr:rowOff>144462</xdr:rowOff>
    </xdr:from>
    <xdr:to>
      <xdr:col>13</xdr:col>
      <xdr:colOff>603762</xdr:colOff>
      <xdr:row>37</xdr:row>
      <xdr:rowOff>73237</xdr:rowOff>
    </xdr:to>
    <xdr:sp macro="" textlink="">
      <xdr:nvSpPr>
        <xdr:cNvPr id="44" name="Rectangle 255">
          <a:extLst>
            <a:ext uri="{FF2B5EF4-FFF2-40B4-BE49-F238E27FC236}">
              <a16:creationId xmlns:a16="http://schemas.microsoft.com/office/drawing/2014/main" id="{536946B1-1C44-4AC5-9AC6-B5AF5BEAE7CC}"/>
            </a:ext>
          </a:extLst>
        </xdr:cNvPr>
        <xdr:cNvSpPr>
          <a:spLocks/>
        </xdr:cNvSpPr>
      </xdr:nvSpPr>
      <xdr:spPr bwMode="gray">
        <a:xfrm>
          <a:off x="7524751" y="6469062"/>
          <a:ext cx="1003811" cy="690775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Consórcio</a:t>
          </a:r>
        </a:p>
      </xdr:txBody>
    </xdr:sp>
    <xdr:clientData/>
  </xdr:twoCellAnchor>
  <xdr:twoCellAnchor>
    <xdr:from>
      <xdr:col>13</xdr:col>
      <xdr:colOff>598524</xdr:colOff>
      <xdr:row>27</xdr:row>
      <xdr:rowOff>147638</xdr:rowOff>
    </xdr:from>
    <xdr:to>
      <xdr:col>15</xdr:col>
      <xdr:colOff>286524</xdr:colOff>
      <xdr:row>31</xdr:row>
      <xdr:rowOff>73238</xdr:rowOff>
    </xdr:to>
    <xdr:sp macro="" textlink="">
      <xdr:nvSpPr>
        <xdr:cNvPr id="45" name="Rectangle 255">
          <a:extLst>
            <a:ext uri="{FF2B5EF4-FFF2-40B4-BE49-F238E27FC236}">
              <a16:creationId xmlns:a16="http://schemas.microsoft.com/office/drawing/2014/main" id="{254C5C32-4A91-4442-8EB6-E9BFB33EE791}"/>
            </a:ext>
          </a:extLst>
        </xdr:cNvPr>
        <xdr:cNvSpPr>
          <a:spLocks/>
        </xdr:cNvSpPr>
      </xdr:nvSpPr>
      <xdr:spPr bwMode="gray">
        <a:xfrm>
          <a:off x="8523324" y="5418138"/>
          <a:ext cx="90720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Serviços de Assistência</a:t>
          </a:r>
        </a:p>
      </xdr:txBody>
    </xdr:sp>
    <xdr:clientData/>
  </xdr:twoCellAnchor>
  <xdr:twoCellAnchor>
    <xdr:from>
      <xdr:col>2</xdr:col>
      <xdr:colOff>12700</xdr:colOff>
      <xdr:row>27</xdr:row>
      <xdr:rowOff>174625</xdr:rowOff>
    </xdr:from>
    <xdr:to>
      <xdr:col>3</xdr:col>
      <xdr:colOff>307975</xdr:colOff>
      <xdr:row>31</xdr:row>
      <xdr:rowOff>17825</xdr:rowOff>
    </xdr:to>
    <xdr:sp macro="" textlink="">
      <xdr:nvSpPr>
        <xdr:cNvPr id="46" name="Rectangle 25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24BDE9-E747-456D-B9AD-DFCF9BFF4059}"/>
            </a:ext>
          </a:extLst>
        </xdr:cNvPr>
        <xdr:cNvSpPr/>
      </xdr:nvSpPr>
      <xdr:spPr bwMode="gray">
        <a:xfrm>
          <a:off x="1231900" y="5432425"/>
          <a:ext cx="904875" cy="6052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Desempenho Comercial</a:t>
          </a:r>
        </a:p>
      </xdr:txBody>
    </xdr:sp>
    <xdr:clientData/>
  </xdr:twoCellAnchor>
  <xdr:twoCellAnchor>
    <xdr:from>
      <xdr:col>0</xdr:col>
      <xdr:colOff>295275</xdr:colOff>
      <xdr:row>5</xdr:row>
      <xdr:rowOff>95250</xdr:rowOff>
    </xdr:from>
    <xdr:to>
      <xdr:col>2</xdr:col>
      <xdr:colOff>409575</xdr:colOff>
      <xdr:row>10</xdr:row>
      <xdr:rowOff>161925</xdr:rowOff>
    </xdr:to>
    <xdr:grpSp>
      <xdr:nvGrpSpPr>
        <xdr:cNvPr id="48" name="Agrupar 47">
          <a:extLst>
            <a:ext uri="{FF2B5EF4-FFF2-40B4-BE49-F238E27FC236}">
              <a16:creationId xmlns:a16="http://schemas.microsoft.com/office/drawing/2014/main" id="{86AFED8A-A43B-44EF-93FC-D329AAFBB338}"/>
            </a:ext>
          </a:extLst>
        </xdr:cNvPr>
        <xdr:cNvGrpSpPr/>
      </xdr:nvGrpSpPr>
      <xdr:grpSpPr>
        <a:xfrm>
          <a:off x="295275" y="1047750"/>
          <a:ext cx="1338943" cy="1019175"/>
          <a:chOff x="323850" y="876300"/>
          <a:chExt cx="1333500" cy="1019175"/>
        </a:xfrm>
      </xdr:grpSpPr>
      <xdr:sp macro="" textlink="">
        <xdr:nvSpPr>
          <xdr:cNvPr id="49" name="Rectangle 25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885B02-98A3-891B-89F4-020BED2C804E}"/>
              </a:ext>
            </a:extLst>
          </xdr:cNvPr>
          <xdr:cNvSpPr/>
        </xdr:nvSpPr>
        <xdr:spPr bwMode="gray">
          <a:xfrm>
            <a:off x="438150" y="1171575"/>
            <a:ext cx="1085850" cy="421577"/>
          </a:xfrm>
          <a:prstGeom prst="roundRect">
            <a:avLst>
              <a:gd name="adj" fmla="val 10342"/>
            </a:avLst>
          </a:prstGeom>
          <a:solidFill>
            <a:srgbClr val="005CA9"/>
          </a:solidFill>
          <a:ln w="6350" cap="flat" cmpd="sng" algn="ctr">
            <a:solidFill>
              <a:srgbClr val="49A193"/>
            </a:solidFill>
            <a:prstDash val="solid"/>
            <a:round/>
            <a:headEnd type="none" w="med" len="med"/>
            <a:tailEnd type="none" w="med" len="med"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txBody>
          <a:bodyPr wrap="square" lIns="18288" tIns="46800" rIns="18288" rtlCol="0" anchor="ctr" anchorCtr="1">
            <a:noAutofit/>
          </a:bodyPr>
          <a:lstStyle>
            <a:defPPr>
              <a:defRPr lang="en-US"/>
            </a:defPPr>
            <a:lvl1pPr marL="0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45224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90447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635672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180896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726119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271343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816568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361791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95000"/>
              </a:lnSpc>
              <a:spcBef>
                <a:spcPct val="0"/>
              </a:spcBef>
              <a:spcAft>
                <a:spcPct val="0"/>
              </a:spcAft>
              <a:buClr>
                <a:srgbClr val="FFFFFF"/>
              </a:buClr>
              <a:buSzTx/>
              <a:buFontTx/>
              <a:buNone/>
              <a:tabLst/>
              <a:defRPr/>
            </a:pPr>
            <a:r>
              <a:rPr lang="en-US" sz="2400" b="1" kern="0">
                <a:solidFill>
                  <a:srgbClr val="FFFFFF"/>
                </a:solidFill>
                <a:latin typeface="Tw Cen MT Condensed" panose="020B0606020104020203" pitchFamily="34" charset="0"/>
                <a:ea typeface="MS PGothic"/>
                <a:cs typeface="Arial" panose="020B0604020202020204" pitchFamily="34" charset="0"/>
              </a:rPr>
              <a:t>DRE</a:t>
            </a:r>
            <a:endParaRPr kumimoji="0" lang="en-US" sz="2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endParaRPr>
          </a:p>
        </xdr:txBody>
      </xdr:sp>
      <xdr:sp macro="" textlink="">
        <xdr:nvSpPr>
          <xdr:cNvPr id="50" name="CaixaDeTexto 49">
            <a:extLst>
              <a:ext uri="{FF2B5EF4-FFF2-40B4-BE49-F238E27FC236}">
                <a16:creationId xmlns:a16="http://schemas.microsoft.com/office/drawing/2014/main" id="{7CD0F775-8DC4-D815-8EC0-E41FE5F1E16E}"/>
              </a:ext>
            </a:extLst>
          </xdr:cNvPr>
          <xdr:cNvSpPr txBox="1"/>
        </xdr:nvSpPr>
        <xdr:spPr>
          <a:xfrm>
            <a:off x="476250" y="876300"/>
            <a:ext cx="1009650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2">
                    <a:lumMod val="25000"/>
                  </a:schemeClr>
                </a:solidFill>
              </a:rPr>
              <a:t>CONSULTA</a:t>
            </a:r>
          </a:p>
        </xdr:txBody>
      </xdr:sp>
      <xdr:sp macro="" textlink="">
        <xdr:nvSpPr>
          <xdr:cNvPr id="51" name="CaixaDeTexto 50">
            <a:extLst>
              <a:ext uri="{FF2B5EF4-FFF2-40B4-BE49-F238E27FC236}">
                <a16:creationId xmlns:a16="http://schemas.microsoft.com/office/drawing/2014/main" id="{70C70C87-10C3-1276-2025-0195AE996292}"/>
              </a:ext>
            </a:extLst>
          </xdr:cNvPr>
          <xdr:cNvSpPr txBox="1"/>
        </xdr:nvSpPr>
        <xdr:spPr>
          <a:xfrm>
            <a:off x="361950" y="1609725"/>
            <a:ext cx="1276350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2">
                    <a:lumMod val="25000"/>
                  </a:schemeClr>
                </a:solidFill>
              </a:rPr>
              <a:t>AGRUPAMENTO</a:t>
            </a:r>
          </a:p>
        </xdr:txBody>
      </xdr:sp>
      <xdr:sp macro="" textlink="">
        <xdr:nvSpPr>
          <xdr:cNvPr id="52" name="Retângulo 51">
            <a:extLst>
              <a:ext uri="{FF2B5EF4-FFF2-40B4-BE49-F238E27FC236}">
                <a16:creationId xmlns:a16="http://schemas.microsoft.com/office/drawing/2014/main" id="{361F7890-5C16-A0A9-E32F-AC427D8BD791}"/>
              </a:ext>
            </a:extLst>
          </xdr:cNvPr>
          <xdr:cNvSpPr/>
        </xdr:nvSpPr>
        <xdr:spPr>
          <a:xfrm>
            <a:off x="323850" y="885825"/>
            <a:ext cx="1333500" cy="1009650"/>
          </a:xfrm>
          <a:prstGeom prst="rect">
            <a:avLst/>
          </a:prstGeom>
          <a:noFill/>
          <a:ln w="190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12</xdr:col>
      <xdr:colOff>297895</xdr:colOff>
      <xdr:row>4</xdr:row>
      <xdr:rowOff>50800</xdr:rowOff>
    </xdr:from>
    <xdr:to>
      <xdr:col>14</xdr:col>
      <xdr:colOff>523875</xdr:colOff>
      <xdr:row>7</xdr:row>
      <xdr:rowOff>15272</xdr:rowOff>
    </xdr:to>
    <xdr:sp macro="" textlink="">
      <xdr:nvSpPr>
        <xdr:cNvPr id="131" name="Rectangle 255">
          <a:extLst>
            <a:ext uri="{FF2B5EF4-FFF2-40B4-BE49-F238E27FC236}">
              <a16:creationId xmlns:a16="http://schemas.microsoft.com/office/drawing/2014/main" id="{A4ABEB03-8C87-4BB8-94C6-3E3E3A1F9C4F}"/>
            </a:ext>
          </a:extLst>
        </xdr:cNvPr>
        <xdr:cNvSpPr/>
      </xdr:nvSpPr>
      <xdr:spPr bwMode="gray">
        <a:xfrm>
          <a:off x="7613095" y="812800"/>
          <a:ext cx="1445180" cy="535972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chemeClr val="bg2">
              <a:lumMod val="90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AGRUPAMENTO CAIXA SEGURIDADE</a:t>
          </a:r>
          <a:endParaRPr kumimoji="0" lang="en-US" sz="10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354984</xdr:colOff>
      <xdr:row>19</xdr:row>
      <xdr:rowOff>75008</xdr:rowOff>
    </xdr:from>
    <xdr:to>
      <xdr:col>5</xdr:col>
      <xdr:colOff>25834</xdr:colOff>
      <xdr:row>22</xdr:row>
      <xdr:rowOff>96008</xdr:rowOff>
    </xdr:to>
    <xdr:sp macro="" textlink="">
      <xdr:nvSpPr>
        <xdr:cNvPr id="55" name="Rectangle 25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D136AD-5823-4A2D-B37E-87F9850DC430}"/>
            </a:ext>
          </a:extLst>
        </xdr:cNvPr>
        <xdr:cNvSpPr/>
      </xdr:nvSpPr>
      <xdr:spPr bwMode="gray">
        <a:xfrm>
          <a:off x="2183784" y="3808808"/>
          <a:ext cx="890050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</a:t>
          </a:r>
          <a:endParaRPr kumimoji="0" lang="en-US" sz="18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98088</xdr:colOff>
      <xdr:row>19</xdr:row>
      <xdr:rowOff>75008</xdr:rowOff>
    </xdr:from>
    <xdr:to>
      <xdr:col>6</xdr:col>
      <xdr:colOff>383837</xdr:colOff>
      <xdr:row>22</xdr:row>
      <xdr:rowOff>96008</xdr:rowOff>
    </xdr:to>
    <xdr:sp macro="" textlink="">
      <xdr:nvSpPr>
        <xdr:cNvPr id="56" name="Rectangle 2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C90DAC-EF77-4213-B8DB-DC15CC4315FA}"/>
            </a:ext>
          </a:extLst>
        </xdr:cNvPr>
        <xdr:cNvSpPr/>
      </xdr:nvSpPr>
      <xdr:spPr bwMode="gray">
        <a:xfrm>
          <a:off x="3146088" y="3808808"/>
          <a:ext cx="895349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</a:t>
          </a: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</a:t>
          </a: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Patrimonial</a:t>
          </a:r>
          <a:endParaRPr lang="en-US" sz="1200" b="1" kern="0">
            <a:solidFill>
              <a:schemeClr val="bg1"/>
            </a:solidFill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</a:t>
          </a:r>
        </a:p>
      </xdr:txBody>
    </xdr:sp>
    <xdr:clientData/>
  </xdr:twoCellAnchor>
  <xdr:twoCellAnchor>
    <xdr:from>
      <xdr:col>7</xdr:col>
      <xdr:colOff>490207</xdr:colOff>
      <xdr:row>14</xdr:row>
      <xdr:rowOff>102794</xdr:rowOff>
    </xdr:from>
    <xdr:to>
      <xdr:col>10</xdr:col>
      <xdr:colOff>602340</xdr:colOff>
      <xdr:row>16</xdr:row>
      <xdr:rowOff>3003</xdr:rowOff>
    </xdr:to>
    <xdr:cxnSp macro="">
      <xdr:nvCxnSpPr>
        <xdr:cNvPr id="57" name="Conector: Angulado 56">
          <a:extLst>
            <a:ext uri="{FF2B5EF4-FFF2-40B4-BE49-F238E27FC236}">
              <a16:creationId xmlns:a16="http://schemas.microsoft.com/office/drawing/2014/main" id="{5FB2665F-7CB0-4C63-903B-8CFE34457769}"/>
            </a:ext>
          </a:extLst>
        </xdr:cNvPr>
        <xdr:cNvCxnSpPr>
          <a:cxnSpLocks/>
          <a:stCxn id="11" idx="1"/>
        </xdr:cNvCxnSpPr>
      </xdr:nvCxnSpPr>
      <xdr:spPr>
        <a:xfrm rot="10800000" flipV="1">
          <a:off x="4757407" y="2884094"/>
          <a:ext cx="1940933" cy="281209"/>
        </a:xfrm>
        <a:prstGeom prst="bentConnector2">
          <a:avLst/>
        </a:prstGeom>
        <a:ln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315965</xdr:colOff>
      <xdr:row>14</xdr:row>
      <xdr:rowOff>13536</xdr:rowOff>
    </xdr:from>
    <xdr:to>
      <xdr:col>8</xdr:col>
      <xdr:colOff>54845</xdr:colOff>
      <xdr:row>15</xdr:row>
      <xdr:rowOff>21036</xdr:rowOff>
    </xdr:to>
    <xdr:sp macro="" textlink="">
      <xdr:nvSpPr>
        <xdr:cNvPr id="58" name="Retângulo 57">
          <a:extLst>
            <a:ext uri="{FF2B5EF4-FFF2-40B4-BE49-F238E27FC236}">
              <a16:creationId xmlns:a16="http://schemas.microsoft.com/office/drawing/2014/main" id="{82B290E5-120A-404E-89EA-FAF1C6B128E6}"/>
            </a:ext>
          </a:extLst>
        </xdr:cNvPr>
        <xdr:cNvSpPr>
          <a:spLocks/>
        </xdr:cNvSpPr>
      </xdr:nvSpPr>
      <xdr:spPr>
        <a:xfrm>
          <a:off x="4583165" y="2794836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50" b="1" i="0" u="none" strike="noStrike" kern="1200" cap="none" spc="0" normalizeH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60%</a:t>
          </a:r>
          <a:endParaRPr kumimoji="0" lang="en-US" sz="1050" b="1" i="0" u="none" strike="noStrike" kern="1200" cap="none" spc="0" normalizeH="0" baseline="0">
            <a:ln>
              <a:noFill/>
            </a:ln>
            <a:solidFill>
              <a:schemeClr val="tx1">
                <a:lumMod val="65000"/>
                <a:lumOff val="35000"/>
              </a:schemeClr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154352</xdr:colOff>
      <xdr:row>14</xdr:row>
      <xdr:rowOff>11947</xdr:rowOff>
    </xdr:from>
    <xdr:to>
      <xdr:col>9</xdr:col>
      <xdr:colOff>502832</xdr:colOff>
      <xdr:row>15</xdr:row>
      <xdr:rowOff>19447</xdr:rowOff>
    </xdr:to>
    <xdr:sp macro="" textlink="">
      <xdr:nvSpPr>
        <xdr:cNvPr id="59" name="Retângulo 58">
          <a:extLst>
            <a:ext uri="{FF2B5EF4-FFF2-40B4-BE49-F238E27FC236}">
              <a16:creationId xmlns:a16="http://schemas.microsoft.com/office/drawing/2014/main" id="{EF32B01F-714E-4A20-9862-E9DF23BCD8F5}"/>
            </a:ext>
          </a:extLst>
        </xdr:cNvPr>
        <xdr:cNvSpPr>
          <a:spLocks/>
        </xdr:cNvSpPr>
      </xdr:nvSpPr>
      <xdr:spPr>
        <a:xfrm>
          <a:off x="5640752" y="2793247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11</xdr:col>
      <xdr:colOff>341219</xdr:colOff>
      <xdr:row>14</xdr:row>
      <xdr:rowOff>102795</xdr:rowOff>
    </xdr:from>
    <xdr:to>
      <xdr:col>14</xdr:col>
      <xdr:colOff>467925</xdr:colOff>
      <xdr:row>16</xdr:row>
      <xdr:rowOff>5662</xdr:rowOff>
    </xdr:to>
    <xdr:cxnSp macro="">
      <xdr:nvCxnSpPr>
        <xdr:cNvPr id="60" name="Conector: Angulado 59">
          <a:extLst>
            <a:ext uri="{FF2B5EF4-FFF2-40B4-BE49-F238E27FC236}">
              <a16:creationId xmlns:a16="http://schemas.microsoft.com/office/drawing/2014/main" id="{94402BCF-16C5-445C-92B3-4F9C41CF6A60}"/>
            </a:ext>
          </a:extLst>
        </xdr:cNvPr>
        <xdr:cNvCxnSpPr>
          <a:cxnSpLocks/>
          <a:stCxn id="11" idx="3"/>
        </xdr:cNvCxnSpPr>
      </xdr:nvCxnSpPr>
      <xdr:spPr>
        <a:xfrm>
          <a:off x="7046819" y="2884095"/>
          <a:ext cx="1955506" cy="283867"/>
        </a:xfrm>
        <a:prstGeom prst="bentConnector2">
          <a:avLst/>
        </a:prstGeom>
        <a:ln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440726</xdr:colOff>
      <xdr:row>14</xdr:row>
      <xdr:rowOff>8894</xdr:rowOff>
    </xdr:from>
    <xdr:to>
      <xdr:col>13</xdr:col>
      <xdr:colOff>179606</xdr:colOff>
      <xdr:row>15</xdr:row>
      <xdr:rowOff>16394</xdr:rowOff>
    </xdr:to>
    <xdr:sp macro="" textlink="">
      <xdr:nvSpPr>
        <xdr:cNvPr id="61" name="Retângulo 60">
          <a:extLst>
            <a:ext uri="{FF2B5EF4-FFF2-40B4-BE49-F238E27FC236}">
              <a16:creationId xmlns:a16="http://schemas.microsoft.com/office/drawing/2014/main" id="{920292CE-3EFA-499F-87A1-B3FA997AC75C}"/>
            </a:ext>
          </a:extLst>
        </xdr:cNvPr>
        <xdr:cNvSpPr>
          <a:spLocks/>
        </xdr:cNvSpPr>
      </xdr:nvSpPr>
      <xdr:spPr>
        <a:xfrm>
          <a:off x="7755926" y="2790194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14</xdr:col>
      <xdr:colOff>279113</xdr:colOff>
      <xdr:row>14</xdr:row>
      <xdr:rowOff>5223</xdr:rowOff>
    </xdr:from>
    <xdr:to>
      <xdr:col>15</xdr:col>
      <xdr:colOff>17993</xdr:colOff>
      <xdr:row>15</xdr:row>
      <xdr:rowOff>12723</xdr:rowOff>
    </xdr:to>
    <xdr:sp macro="" textlink="">
      <xdr:nvSpPr>
        <xdr:cNvPr id="62" name="Retângulo 61">
          <a:extLst>
            <a:ext uri="{FF2B5EF4-FFF2-40B4-BE49-F238E27FC236}">
              <a16:creationId xmlns:a16="http://schemas.microsoft.com/office/drawing/2014/main" id="{9E30AE9E-61FF-49FB-8793-119F80B008D1}"/>
            </a:ext>
          </a:extLst>
        </xdr:cNvPr>
        <xdr:cNvSpPr>
          <a:spLocks/>
        </xdr:cNvSpPr>
      </xdr:nvSpPr>
      <xdr:spPr>
        <a:xfrm>
          <a:off x="8813513" y="2786523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9</xdr:col>
      <xdr:colOff>328592</xdr:colOff>
      <xdr:row>15</xdr:row>
      <xdr:rowOff>19447</xdr:rowOff>
    </xdr:from>
    <xdr:to>
      <xdr:col>9</xdr:col>
      <xdr:colOff>328593</xdr:colOff>
      <xdr:row>16</xdr:row>
      <xdr:rowOff>1228</xdr:rowOff>
    </xdr:to>
    <xdr:cxnSp macro="">
      <xdr:nvCxnSpPr>
        <xdr:cNvPr id="63" name="Conector reto 62">
          <a:extLst>
            <a:ext uri="{FF2B5EF4-FFF2-40B4-BE49-F238E27FC236}">
              <a16:creationId xmlns:a16="http://schemas.microsoft.com/office/drawing/2014/main" id="{4CEA85A9-CA41-42FC-8445-7FE30D5828C1}"/>
            </a:ext>
          </a:extLst>
        </xdr:cNvPr>
        <xdr:cNvCxnSpPr>
          <a:cxnSpLocks/>
          <a:stCxn id="59" idx="2"/>
        </xdr:cNvCxnSpPr>
      </xdr:nvCxnSpPr>
      <xdr:spPr>
        <a:xfrm>
          <a:off x="5814992" y="2991247"/>
          <a:ext cx="1" cy="172281"/>
        </a:xfrm>
        <a:prstGeom prst="line">
          <a:avLst/>
        </a:prstGeom>
        <a:ln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166979</xdr:colOff>
      <xdr:row>15</xdr:row>
      <xdr:rowOff>11295</xdr:rowOff>
    </xdr:from>
    <xdr:to>
      <xdr:col>11</xdr:col>
      <xdr:colOff>166980</xdr:colOff>
      <xdr:row>16</xdr:row>
      <xdr:rowOff>6002</xdr:rowOff>
    </xdr:to>
    <xdr:cxnSp macro="">
      <xdr:nvCxnSpPr>
        <xdr:cNvPr id="64" name="Conector reto 63">
          <a:extLst>
            <a:ext uri="{FF2B5EF4-FFF2-40B4-BE49-F238E27FC236}">
              <a16:creationId xmlns:a16="http://schemas.microsoft.com/office/drawing/2014/main" id="{DEFFFD90-E262-4B88-86EA-9016556A8935}"/>
            </a:ext>
          </a:extLst>
        </xdr:cNvPr>
        <xdr:cNvCxnSpPr>
          <a:cxnSpLocks/>
          <a:stCxn id="11" idx="2"/>
        </xdr:cNvCxnSpPr>
      </xdr:nvCxnSpPr>
      <xdr:spPr>
        <a:xfrm>
          <a:off x="6872579" y="2983095"/>
          <a:ext cx="1" cy="185207"/>
        </a:xfrm>
        <a:prstGeom prst="line">
          <a:avLst/>
        </a:prstGeom>
        <a:ln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5366</xdr:colOff>
      <xdr:row>15</xdr:row>
      <xdr:rowOff>16394</xdr:rowOff>
    </xdr:from>
    <xdr:to>
      <xdr:col>13</xdr:col>
      <xdr:colOff>5367</xdr:colOff>
      <xdr:row>16</xdr:row>
      <xdr:rowOff>4733</xdr:rowOff>
    </xdr:to>
    <xdr:cxnSp macro="">
      <xdr:nvCxnSpPr>
        <xdr:cNvPr id="65" name="Conector reto 64">
          <a:extLst>
            <a:ext uri="{FF2B5EF4-FFF2-40B4-BE49-F238E27FC236}">
              <a16:creationId xmlns:a16="http://schemas.microsoft.com/office/drawing/2014/main" id="{F0DB3299-8011-4877-8F2B-12C90C0E1EE9}"/>
            </a:ext>
          </a:extLst>
        </xdr:cNvPr>
        <xdr:cNvCxnSpPr>
          <a:cxnSpLocks/>
          <a:stCxn id="61" idx="2"/>
        </xdr:cNvCxnSpPr>
      </xdr:nvCxnSpPr>
      <xdr:spPr>
        <a:xfrm>
          <a:off x="7930166" y="2988194"/>
          <a:ext cx="1" cy="178839"/>
        </a:xfrm>
        <a:prstGeom prst="line">
          <a:avLst/>
        </a:prstGeom>
        <a:ln>
          <a:solidFill>
            <a:srgbClr val="0660A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437534</xdr:colOff>
      <xdr:row>19</xdr:row>
      <xdr:rowOff>75008</xdr:rowOff>
    </xdr:from>
    <xdr:to>
      <xdr:col>11</xdr:col>
      <xdr:colOff>114734</xdr:colOff>
      <xdr:row>22</xdr:row>
      <xdr:rowOff>96008</xdr:rowOff>
    </xdr:to>
    <xdr:sp macro="" textlink="">
      <xdr:nvSpPr>
        <xdr:cNvPr id="66" name="Rectangle 2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A01423B-0267-4827-8E43-62474533AEC6}"/>
            </a:ext>
          </a:extLst>
        </xdr:cNvPr>
        <xdr:cNvSpPr/>
      </xdr:nvSpPr>
      <xdr:spPr bwMode="gray">
        <a:xfrm>
          <a:off x="5923934" y="3808808"/>
          <a:ext cx="896400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 4</a:t>
          </a:r>
          <a:endParaRPr kumimoji="0" lang="en-US" sz="18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180638</xdr:colOff>
      <xdr:row>19</xdr:row>
      <xdr:rowOff>75008</xdr:rowOff>
    </xdr:from>
    <xdr:to>
      <xdr:col>12</xdr:col>
      <xdr:colOff>466387</xdr:colOff>
      <xdr:row>22</xdr:row>
      <xdr:rowOff>96008</xdr:rowOff>
    </xdr:to>
    <xdr:sp macro="" textlink="">
      <xdr:nvSpPr>
        <xdr:cNvPr id="67" name="Rectangle 25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C14A486-4377-4EB6-B24D-5760B27F397F}"/>
            </a:ext>
          </a:extLst>
        </xdr:cNvPr>
        <xdr:cNvSpPr/>
      </xdr:nvSpPr>
      <xdr:spPr bwMode="gray">
        <a:xfrm>
          <a:off x="6886238" y="3808808"/>
          <a:ext cx="895349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 Patrimonial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 </a:t>
          </a:r>
        </a:p>
      </xdr:txBody>
    </xdr:sp>
    <xdr:clientData/>
  </xdr:twoCellAnchor>
  <xdr:twoCellAnchor>
    <xdr:from>
      <xdr:col>16</xdr:col>
      <xdr:colOff>40659</xdr:colOff>
      <xdr:row>19</xdr:row>
      <xdr:rowOff>36908</xdr:rowOff>
    </xdr:from>
    <xdr:to>
      <xdr:col>17</xdr:col>
      <xdr:colOff>331059</xdr:colOff>
      <xdr:row>22</xdr:row>
      <xdr:rowOff>57908</xdr:rowOff>
    </xdr:to>
    <xdr:sp macro="" textlink="">
      <xdr:nvSpPr>
        <xdr:cNvPr id="68" name="Rectangle 25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EDB63C1-8F46-4322-8126-DF1D69A46CE7}"/>
            </a:ext>
          </a:extLst>
        </xdr:cNvPr>
        <xdr:cNvSpPr/>
      </xdr:nvSpPr>
      <xdr:spPr bwMode="gray">
        <a:xfrm>
          <a:off x="9794259" y="3770708"/>
          <a:ext cx="900000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 4</a:t>
          </a:r>
          <a:endParaRPr kumimoji="0" lang="en-US" sz="18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59987</xdr:colOff>
      <xdr:row>19</xdr:row>
      <xdr:rowOff>27383</xdr:rowOff>
    </xdr:from>
    <xdr:to>
      <xdr:col>19</xdr:col>
      <xdr:colOff>350387</xdr:colOff>
      <xdr:row>22</xdr:row>
      <xdr:rowOff>48383</xdr:rowOff>
    </xdr:to>
    <xdr:sp macro="" textlink="">
      <xdr:nvSpPr>
        <xdr:cNvPr id="69" name="Rectangle 25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9B5280-6891-4614-82A5-ED166BFCAF31}"/>
            </a:ext>
          </a:extLst>
        </xdr:cNvPr>
        <xdr:cNvSpPr/>
      </xdr:nvSpPr>
      <xdr:spPr bwMode="gray">
        <a:xfrm>
          <a:off x="11032787" y="3761183"/>
          <a:ext cx="900000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 Patrimonial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</a:t>
          </a:r>
        </a:p>
      </xdr:txBody>
    </xdr:sp>
    <xdr:clientData/>
  </xdr:twoCellAnchor>
  <xdr:twoCellAnchor>
    <xdr:from>
      <xdr:col>7</xdr:col>
      <xdr:colOff>306951</xdr:colOff>
      <xdr:row>44</xdr:row>
      <xdr:rowOff>37161</xdr:rowOff>
    </xdr:from>
    <xdr:to>
      <xdr:col>8</xdr:col>
      <xdr:colOff>272061</xdr:colOff>
      <xdr:row>46</xdr:row>
      <xdr:rowOff>82927</xdr:rowOff>
    </xdr:to>
    <xdr:pic>
      <xdr:nvPicPr>
        <xdr:cNvPr id="70" name="Picture 2" descr="Resultado de imagem para cnp assurances logo png">
          <a:extLst>
            <a:ext uri="{FF2B5EF4-FFF2-40B4-BE49-F238E27FC236}">
              <a16:creationId xmlns:a16="http://schemas.microsoft.com/office/drawing/2014/main" id="{3A8BCBF3-99D9-46A1-B5C2-DC419EC7A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74151" y="8381061"/>
          <a:ext cx="574710" cy="42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465476</xdr:colOff>
      <xdr:row>44</xdr:row>
      <xdr:rowOff>37161</xdr:rowOff>
    </xdr:from>
    <xdr:to>
      <xdr:col>5</xdr:col>
      <xdr:colOff>427411</xdr:colOff>
      <xdr:row>46</xdr:row>
      <xdr:rowOff>108327</xdr:rowOff>
    </xdr:to>
    <xdr:pic>
      <xdr:nvPicPr>
        <xdr:cNvPr id="71" name="Picture 2" descr="Resultado de imagem para cnp assurances logo png">
          <a:extLst>
            <a:ext uri="{FF2B5EF4-FFF2-40B4-BE49-F238E27FC236}">
              <a16:creationId xmlns:a16="http://schemas.microsoft.com/office/drawing/2014/main" id="{DB2A3295-3FF8-4E5E-910E-F1281359E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03876" y="8381061"/>
          <a:ext cx="571535" cy="45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50295</xdr:colOff>
      <xdr:row>44</xdr:row>
      <xdr:rowOff>13607</xdr:rowOff>
    </xdr:from>
    <xdr:to>
      <xdr:col>10</xdr:col>
      <xdr:colOff>21512</xdr:colOff>
      <xdr:row>46</xdr:row>
      <xdr:rowOff>163127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E800761A-AD57-48B6-A629-711D951D9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536695" y="8357507"/>
          <a:ext cx="580817" cy="530520"/>
        </a:xfrm>
        <a:prstGeom prst="rect">
          <a:avLst/>
        </a:prstGeom>
      </xdr:spPr>
    </xdr:pic>
    <xdr:clientData/>
  </xdr:twoCellAnchor>
  <xdr:twoCellAnchor>
    <xdr:from>
      <xdr:col>10</xdr:col>
      <xdr:colOff>556241</xdr:colOff>
      <xdr:row>44</xdr:row>
      <xdr:rowOff>176163</xdr:rowOff>
    </xdr:from>
    <xdr:to>
      <xdr:col>11</xdr:col>
      <xdr:colOff>498952</xdr:colOff>
      <xdr:row>46</xdr:row>
      <xdr:rowOff>7424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433FA301-0876-4F58-8B91-2D6BF0F9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52241" y="8520063"/>
          <a:ext cx="552311" cy="212261"/>
        </a:xfrm>
        <a:prstGeom prst="rect">
          <a:avLst/>
        </a:prstGeom>
      </xdr:spPr>
    </xdr:pic>
    <xdr:clientData/>
  </xdr:twoCellAnchor>
  <xdr:twoCellAnchor>
    <xdr:from>
      <xdr:col>12</xdr:col>
      <xdr:colOff>496812</xdr:colOff>
      <xdr:row>44</xdr:row>
      <xdr:rowOff>37161</xdr:rowOff>
    </xdr:from>
    <xdr:to>
      <xdr:col>13</xdr:col>
      <xdr:colOff>461922</xdr:colOff>
      <xdr:row>46</xdr:row>
      <xdr:rowOff>86102</xdr:rowOff>
    </xdr:to>
    <xdr:pic>
      <xdr:nvPicPr>
        <xdr:cNvPr id="74" name="Picture 2" descr="Resultado de imagem para cnp assurances logo png">
          <a:extLst>
            <a:ext uri="{FF2B5EF4-FFF2-40B4-BE49-F238E27FC236}">
              <a16:creationId xmlns:a16="http://schemas.microsoft.com/office/drawing/2014/main" id="{BD1B4500-D747-42A0-B1AD-7A85DC5D2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12012" y="8381061"/>
          <a:ext cx="574710" cy="42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77747</xdr:colOff>
      <xdr:row>44</xdr:row>
      <xdr:rowOff>105328</xdr:rowOff>
    </xdr:from>
    <xdr:to>
      <xdr:col>15</xdr:col>
      <xdr:colOff>326576</xdr:colOff>
      <xdr:row>46</xdr:row>
      <xdr:rowOff>34500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BD771DB6-40DF-4F98-B82B-05B02086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9" b="7699"/>
        <a:stretch/>
      </xdr:blipFill>
      <xdr:spPr>
        <a:xfrm>
          <a:off x="8612147" y="8449228"/>
          <a:ext cx="858429" cy="31017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</xdr:row>
      <xdr:rowOff>121300</xdr:rowOff>
    </xdr:from>
    <xdr:to>
      <xdr:col>1</xdr:col>
      <xdr:colOff>514350</xdr:colOff>
      <xdr:row>19</xdr:row>
      <xdr:rowOff>141811</xdr:rowOff>
    </xdr:to>
    <xdr:sp macro="" textlink="">
      <xdr:nvSpPr>
        <xdr:cNvPr id="76" name="CaixaDeTexto 4">
          <a:extLst>
            <a:ext uri="{FF2B5EF4-FFF2-40B4-BE49-F238E27FC236}">
              <a16:creationId xmlns:a16="http://schemas.microsoft.com/office/drawing/2014/main" id="{47138E6E-B468-400D-833C-EC3D9F1544E1}"/>
            </a:ext>
          </a:extLst>
        </xdr:cNvPr>
        <xdr:cNvSpPr txBox="1"/>
      </xdr:nvSpPr>
      <xdr:spPr>
        <a:xfrm>
          <a:off x="38100" y="3474100"/>
          <a:ext cx="1085850" cy="40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EMPRESAS</a:t>
          </a:r>
          <a:r>
            <a:rPr lang="en-US" sz="1050" b="1" baseline="0">
              <a:solidFill>
                <a:schemeClr val="bg2">
                  <a:lumMod val="25000"/>
                </a:schemeClr>
              </a:solidFill>
            </a:rPr>
            <a:t> OPERACIONAIS</a:t>
          </a:r>
        </a:p>
      </xdr:txBody>
    </xdr:sp>
    <xdr:clientData/>
  </xdr:twoCellAnchor>
  <xdr:twoCellAnchor>
    <xdr:from>
      <xdr:col>6</xdr:col>
      <xdr:colOff>423334</xdr:colOff>
      <xdr:row>0</xdr:row>
      <xdr:rowOff>104775</xdr:rowOff>
    </xdr:from>
    <xdr:to>
      <xdr:col>9</xdr:col>
      <xdr:colOff>0</xdr:colOff>
      <xdr:row>3</xdr:row>
      <xdr:rowOff>85725</xdr:rowOff>
    </xdr:to>
    <xdr:sp macro="" textlink="">
      <xdr:nvSpPr>
        <xdr:cNvPr id="77" name="Rectangle 25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8B14CB8-E074-42D8-842A-8BFE1B47C2A6}"/>
            </a:ext>
          </a:extLst>
        </xdr:cNvPr>
        <xdr:cNvSpPr/>
      </xdr:nvSpPr>
      <xdr:spPr bwMode="gray">
        <a:xfrm>
          <a:off x="4080934" y="104775"/>
          <a:ext cx="1405466" cy="55245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20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  <a:r>
            <a:rPr lang="en-US" sz="2000" b="1" kern="0" baseline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</a:t>
          </a:r>
          <a:r>
            <a:rPr lang="en-US" sz="1400" b="1" kern="0" baseline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Gerencial</a:t>
          </a:r>
          <a:endParaRPr lang="en-US" sz="2000" b="1" kern="0">
            <a:solidFill>
              <a:srgbClr val="FFFFFF"/>
            </a:solidFill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412748</xdr:colOff>
      <xdr:row>0</xdr:row>
      <xdr:rowOff>106892</xdr:rowOff>
    </xdr:from>
    <xdr:to>
      <xdr:col>14</xdr:col>
      <xdr:colOff>25399</xdr:colOff>
      <xdr:row>3</xdr:row>
      <xdr:rowOff>87842</xdr:rowOff>
    </xdr:to>
    <xdr:sp macro="" textlink="">
      <xdr:nvSpPr>
        <xdr:cNvPr id="78" name="Rectangle 25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26D314F-57BB-4B93-BDC5-6AA92162FF65}"/>
            </a:ext>
          </a:extLst>
        </xdr:cNvPr>
        <xdr:cNvSpPr/>
      </xdr:nvSpPr>
      <xdr:spPr bwMode="gray">
        <a:xfrm>
          <a:off x="7118348" y="106892"/>
          <a:ext cx="1441451" cy="55245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 Patrimonial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</a:t>
          </a:r>
        </a:p>
      </xdr:txBody>
    </xdr:sp>
    <xdr:clientData/>
  </xdr:twoCellAnchor>
  <xdr:twoCellAnchor>
    <xdr:from>
      <xdr:col>9</xdr:col>
      <xdr:colOff>123823</xdr:colOff>
      <xdr:row>0</xdr:row>
      <xdr:rowOff>115358</xdr:rowOff>
    </xdr:from>
    <xdr:to>
      <xdr:col>11</xdr:col>
      <xdr:colOff>297391</xdr:colOff>
      <xdr:row>3</xdr:row>
      <xdr:rowOff>96308</xdr:rowOff>
    </xdr:to>
    <xdr:sp macro="" textlink="">
      <xdr:nvSpPr>
        <xdr:cNvPr id="79" name="Rectangle 25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41047D8-7CCC-4EA8-BA02-DC98F890BAB4}"/>
            </a:ext>
          </a:extLst>
        </xdr:cNvPr>
        <xdr:cNvSpPr/>
      </xdr:nvSpPr>
      <xdr:spPr bwMode="gray">
        <a:xfrm>
          <a:off x="5610223" y="115358"/>
          <a:ext cx="1392768" cy="55245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20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  <a:r>
            <a:rPr lang="en-US" sz="2000" b="1" kern="0" baseline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</a:t>
          </a: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Contábil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IFRS4</a:t>
          </a:r>
          <a:endParaRPr kumimoji="0" lang="en-US" sz="2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252941</xdr:colOff>
      <xdr:row>0</xdr:row>
      <xdr:rowOff>146050</xdr:rowOff>
    </xdr:from>
    <xdr:to>
      <xdr:col>24</xdr:col>
      <xdr:colOff>568323</xdr:colOff>
      <xdr:row>3</xdr:row>
      <xdr:rowOff>43686</xdr:rowOff>
    </xdr:to>
    <xdr:sp macro="" textlink="">
      <xdr:nvSpPr>
        <xdr:cNvPr id="80" name="CaixaDeTexto 4">
          <a:extLst>
            <a:ext uri="{FF2B5EF4-FFF2-40B4-BE49-F238E27FC236}">
              <a16:creationId xmlns:a16="http://schemas.microsoft.com/office/drawing/2014/main" id="{D69707AD-F954-4383-B843-9444A4EEFB7B}"/>
            </a:ext>
          </a:extLst>
        </xdr:cNvPr>
        <xdr:cNvSpPr txBox="1"/>
      </xdr:nvSpPr>
      <xdr:spPr>
        <a:xfrm>
          <a:off x="12397316" y="146050"/>
          <a:ext cx="2744257" cy="481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Informações: </a:t>
          </a:r>
        </a:p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CAIXA Seguridade Participações S.A.</a:t>
          </a:r>
          <a:endParaRPr lang="en-US" sz="1050" b="1" baseline="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</xdr:col>
      <xdr:colOff>25400</xdr:colOff>
      <xdr:row>33</xdr:row>
      <xdr:rowOff>158749</xdr:rowOff>
    </xdr:from>
    <xdr:to>
      <xdr:col>3</xdr:col>
      <xdr:colOff>339726</xdr:colOff>
      <xdr:row>37</xdr:row>
      <xdr:rowOff>1949</xdr:rowOff>
    </xdr:to>
    <xdr:sp macro="" textlink="">
      <xdr:nvSpPr>
        <xdr:cNvPr id="81" name="Rectangle 25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67E156C-E3C4-47D7-8370-AED8559E1495}"/>
            </a:ext>
          </a:extLst>
        </xdr:cNvPr>
        <xdr:cNvSpPr/>
      </xdr:nvSpPr>
      <xdr:spPr bwMode="gray">
        <a:xfrm>
          <a:off x="1244600" y="6483349"/>
          <a:ext cx="923926" cy="6052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Desempenho Comercial</a:t>
          </a:r>
        </a:p>
      </xdr:txBody>
    </xdr:sp>
    <xdr:clientData/>
  </xdr:twoCellAnchor>
  <xdr:twoCellAnchor>
    <xdr:from>
      <xdr:col>20</xdr:col>
      <xdr:colOff>232833</xdr:colOff>
      <xdr:row>19</xdr:row>
      <xdr:rowOff>38100</xdr:rowOff>
    </xdr:from>
    <xdr:to>
      <xdr:col>21</xdr:col>
      <xdr:colOff>509051</xdr:colOff>
      <xdr:row>22</xdr:row>
      <xdr:rowOff>59100</xdr:rowOff>
    </xdr:to>
    <xdr:sp macro="" textlink="">
      <xdr:nvSpPr>
        <xdr:cNvPr id="82" name="Rectangle 25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3DCD11C-D3D6-47A8-9328-A381799EBF24}"/>
            </a:ext>
          </a:extLst>
        </xdr:cNvPr>
        <xdr:cNvSpPr/>
      </xdr:nvSpPr>
      <xdr:spPr bwMode="gray">
        <a:xfrm>
          <a:off x="12424833" y="3771900"/>
          <a:ext cx="885818" cy="5925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20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  <a:endParaRPr kumimoji="0" lang="en-US" sz="2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285748</xdr:colOff>
      <xdr:row>1</xdr:row>
      <xdr:rowOff>0</xdr:rowOff>
    </xdr:from>
    <xdr:to>
      <xdr:col>5</xdr:col>
      <xdr:colOff>550333</xdr:colOff>
      <xdr:row>3</xdr:row>
      <xdr:rowOff>57401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48C3D300-1715-42F5-8439-8D7C4E6D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190500"/>
          <a:ext cx="3300679" cy="438401"/>
        </a:xfrm>
        <a:prstGeom prst="rect">
          <a:avLst/>
        </a:prstGeom>
      </xdr:spPr>
    </xdr:pic>
    <xdr:clientData/>
  </xdr:twoCellAnchor>
  <xdr:twoCellAnchor>
    <xdr:from>
      <xdr:col>4</xdr:col>
      <xdr:colOff>36308</xdr:colOff>
      <xdr:row>48</xdr:row>
      <xdr:rowOff>182032</xdr:rowOff>
    </xdr:from>
    <xdr:to>
      <xdr:col>5</xdr:col>
      <xdr:colOff>540591</xdr:colOff>
      <xdr:row>52</xdr:row>
      <xdr:rowOff>12532</xdr:rowOff>
    </xdr:to>
    <xdr:sp macro="" textlink="">
      <xdr:nvSpPr>
        <xdr:cNvPr id="84" name="Rectangle 25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2FEBCBA-7406-4651-A05D-E9F1E02E8105}"/>
            </a:ext>
          </a:extLst>
        </xdr:cNvPr>
        <xdr:cNvSpPr/>
      </xdr:nvSpPr>
      <xdr:spPr bwMode="gray">
        <a:xfrm>
          <a:off x="2474708" y="9300632"/>
          <a:ext cx="1113883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Investimentos</a:t>
          </a:r>
          <a:endParaRPr kumimoji="0" lang="en-US" sz="16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44709</xdr:colOff>
      <xdr:row>48</xdr:row>
      <xdr:rowOff>179917</xdr:rowOff>
    </xdr:from>
    <xdr:to>
      <xdr:col>7</xdr:col>
      <xdr:colOff>542643</xdr:colOff>
      <xdr:row>52</xdr:row>
      <xdr:rowOff>10417</xdr:rowOff>
    </xdr:to>
    <xdr:sp macro="" textlink="">
      <xdr:nvSpPr>
        <xdr:cNvPr id="85" name="Rectangle 25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428747A-F9CD-441C-9542-930E413EFC4E}"/>
            </a:ext>
          </a:extLst>
        </xdr:cNvPr>
        <xdr:cNvSpPr/>
      </xdr:nvSpPr>
      <xdr:spPr bwMode="gray">
        <a:xfrm>
          <a:off x="3702309" y="9298517"/>
          <a:ext cx="1107534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Operacional x</a:t>
          </a:r>
          <a:r>
            <a:rPr lang="en-US" sz="1400" b="1" kern="0" baseline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Financeiro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56286</xdr:colOff>
      <xdr:row>48</xdr:row>
      <xdr:rowOff>184149</xdr:rowOff>
    </xdr:from>
    <xdr:to>
      <xdr:col>9</xdr:col>
      <xdr:colOff>560569</xdr:colOff>
      <xdr:row>52</xdr:row>
      <xdr:rowOff>14649</xdr:rowOff>
    </xdr:to>
    <xdr:sp macro="" textlink="">
      <xdr:nvSpPr>
        <xdr:cNvPr id="86" name="Rectangle 25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5BB08E16-B375-4B91-BD14-06CF1A198867}"/>
            </a:ext>
          </a:extLst>
        </xdr:cNvPr>
        <xdr:cNvSpPr/>
      </xdr:nvSpPr>
      <xdr:spPr bwMode="gray">
        <a:xfrm>
          <a:off x="4933086" y="9302749"/>
          <a:ext cx="1113883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Earn-out e LPC</a:t>
          </a:r>
        </a:p>
      </xdr:txBody>
    </xdr:sp>
    <xdr:clientData/>
  </xdr:twoCellAnchor>
  <xdr:twoCellAnchor editAs="oneCell">
    <xdr:from>
      <xdr:col>20</xdr:col>
      <xdr:colOff>273050</xdr:colOff>
      <xdr:row>16</xdr:row>
      <xdr:rowOff>125941</xdr:rowOff>
    </xdr:from>
    <xdr:to>
      <xdr:col>21</xdr:col>
      <xdr:colOff>503198</xdr:colOff>
      <xdr:row>18</xdr:row>
      <xdr:rowOff>101765</xdr:rowOff>
    </xdr:to>
    <xdr:pic>
      <xdr:nvPicPr>
        <xdr:cNvPr id="87" name="Imagem 2">
          <a:extLst>
            <a:ext uri="{FF2B5EF4-FFF2-40B4-BE49-F238E27FC236}">
              <a16:creationId xmlns:a16="http://schemas.microsoft.com/office/drawing/2014/main" id="{E5C034E4-A0A6-435D-8E8D-58FFB0FD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465050" y="3288241"/>
          <a:ext cx="839748" cy="356824"/>
        </a:xfrm>
        <a:prstGeom prst="rect">
          <a:avLst/>
        </a:prstGeom>
      </xdr:spPr>
    </xdr:pic>
    <xdr:clientData/>
  </xdr:twoCellAnchor>
  <xdr:twoCellAnchor>
    <xdr:from>
      <xdr:col>10</xdr:col>
      <xdr:colOff>64687</xdr:colOff>
      <xdr:row>48</xdr:row>
      <xdr:rowOff>188384</xdr:rowOff>
    </xdr:from>
    <xdr:to>
      <xdr:col>11</xdr:col>
      <xdr:colOff>562620</xdr:colOff>
      <xdr:row>52</xdr:row>
      <xdr:rowOff>18884</xdr:rowOff>
    </xdr:to>
    <xdr:sp macro="" textlink="">
      <xdr:nvSpPr>
        <xdr:cNvPr id="88" name="Rectangle 25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382CA6B3-2D50-4AE5-9BB8-DBBF9F51658C}"/>
            </a:ext>
          </a:extLst>
        </xdr:cNvPr>
        <xdr:cNvSpPr/>
      </xdr:nvSpPr>
      <xdr:spPr bwMode="gray">
        <a:xfrm>
          <a:off x="6160687" y="9306984"/>
          <a:ext cx="1107533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Informações Adicionais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104775</xdr:colOff>
      <xdr:row>49</xdr:row>
      <xdr:rowOff>83200</xdr:rowOff>
    </xdr:from>
    <xdr:to>
      <xdr:col>2</xdr:col>
      <xdr:colOff>66675</xdr:colOff>
      <xdr:row>51</xdr:row>
      <xdr:rowOff>95250</xdr:rowOff>
    </xdr:to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93258D9-E997-4B10-A603-41DC74F8D23F}"/>
            </a:ext>
          </a:extLst>
        </xdr:cNvPr>
        <xdr:cNvSpPr txBox="1"/>
      </xdr:nvSpPr>
      <xdr:spPr>
        <a:xfrm>
          <a:off x="104775" y="9379600"/>
          <a:ext cx="1181100" cy="393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OUTRAS</a:t>
          </a:r>
          <a:r>
            <a:rPr lang="en-US" sz="1050" b="1" baseline="0">
              <a:solidFill>
                <a:schemeClr val="bg2">
                  <a:lumMod val="25000"/>
                </a:schemeClr>
              </a:solidFill>
            </a:rPr>
            <a:t> INFORMAÇÕES</a:t>
          </a:r>
          <a:endParaRPr lang="en-US" sz="105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12</xdr:col>
      <xdr:colOff>98035</xdr:colOff>
      <xdr:row>49</xdr:row>
      <xdr:rowOff>4732</xdr:rowOff>
    </xdr:from>
    <xdr:to>
      <xdr:col>13</xdr:col>
      <xdr:colOff>595968</xdr:colOff>
      <xdr:row>52</xdr:row>
      <xdr:rowOff>25732</xdr:rowOff>
    </xdr:to>
    <xdr:sp macro="" textlink="">
      <xdr:nvSpPr>
        <xdr:cNvPr id="90" name="Rectangle 25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E23F4A5-84FF-4AB3-A418-7482F6571634}"/>
            </a:ext>
          </a:extLst>
        </xdr:cNvPr>
        <xdr:cNvSpPr/>
      </xdr:nvSpPr>
      <xdr:spPr bwMode="gray">
        <a:xfrm>
          <a:off x="7413235" y="9313832"/>
          <a:ext cx="1107533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Sinistros Ocorridos</a:t>
          </a:r>
        </a:p>
      </xdr:txBody>
    </xdr:sp>
    <xdr:clientData/>
  </xdr:twoCellAnchor>
  <xdr:twoCellAnchor>
    <xdr:from>
      <xdr:col>14</xdr:col>
      <xdr:colOff>106437</xdr:colOff>
      <xdr:row>49</xdr:row>
      <xdr:rowOff>15618</xdr:rowOff>
    </xdr:from>
    <xdr:to>
      <xdr:col>16</xdr:col>
      <xdr:colOff>1119</xdr:colOff>
      <xdr:row>52</xdr:row>
      <xdr:rowOff>36618</xdr:rowOff>
    </xdr:to>
    <xdr:sp macro="" textlink="">
      <xdr:nvSpPr>
        <xdr:cNvPr id="7" name="Rectangle 25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2F16FBE-B3EA-46EB-835C-CB5840AC1F36}"/>
            </a:ext>
          </a:extLst>
        </xdr:cNvPr>
        <xdr:cNvSpPr/>
      </xdr:nvSpPr>
      <xdr:spPr bwMode="gray">
        <a:xfrm>
          <a:off x="8640837" y="9324718"/>
          <a:ext cx="1113882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Movimentação das Provisões</a:t>
          </a:r>
        </a:p>
      </xdr:txBody>
    </xdr:sp>
    <xdr:clientData/>
  </xdr:twoCellAnchor>
  <xdr:twoCellAnchor>
    <xdr:from>
      <xdr:col>2</xdr:col>
      <xdr:colOff>29941</xdr:colOff>
      <xdr:row>48</xdr:row>
      <xdr:rowOff>161372</xdr:rowOff>
    </xdr:from>
    <xdr:to>
      <xdr:col>3</xdr:col>
      <xdr:colOff>525840</xdr:colOff>
      <xdr:row>51</xdr:row>
      <xdr:rowOff>182372</xdr:rowOff>
    </xdr:to>
    <xdr:sp macro="" textlink="">
      <xdr:nvSpPr>
        <xdr:cNvPr id="92" name="Rectangle 25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9B46DE5-95AF-4296-B3A7-2C1F3DEA617F}"/>
            </a:ext>
          </a:extLst>
        </xdr:cNvPr>
        <xdr:cNvSpPr/>
      </xdr:nvSpPr>
      <xdr:spPr bwMode="gray">
        <a:xfrm>
          <a:off x="1249141" y="9279972"/>
          <a:ext cx="1105499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Indicadores Empresas</a:t>
          </a:r>
        </a:p>
      </xdr:txBody>
    </xdr:sp>
    <xdr:clientData/>
  </xdr:twoCellAnchor>
  <xdr:twoCellAnchor>
    <xdr:from>
      <xdr:col>15</xdr:col>
      <xdr:colOff>228600</xdr:colOff>
      <xdr:row>0</xdr:row>
      <xdr:rowOff>89005</xdr:rowOff>
    </xdr:from>
    <xdr:to>
      <xdr:col>17</xdr:col>
      <xdr:colOff>351519</xdr:colOff>
      <xdr:row>3</xdr:row>
      <xdr:rowOff>74491</xdr:rowOff>
    </xdr:to>
    <xdr:sp macro="" textlink="">
      <xdr:nvSpPr>
        <xdr:cNvPr id="93" name="Rectangle 25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C9D3FAF4-ACE7-4942-A792-01917227426C}"/>
            </a:ext>
          </a:extLst>
        </xdr:cNvPr>
        <xdr:cNvSpPr/>
      </xdr:nvSpPr>
      <xdr:spPr bwMode="gray">
        <a:xfrm>
          <a:off x="9372600" y="89005"/>
          <a:ext cx="1342119" cy="556986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8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 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Contábil</a:t>
          </a:r>
          <a:r>
            <a:rPr lang="en-US" sz="18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     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506208</xdr:colOff>
      <xdr:row>0</xdr:row>
      <xdr:rowOff>88900</xdr:rowOff>
    </xdr:from>
    <xdr:to>
      <xdr:col>20</xdr:col>
      <xdr:colOff>19528</xdr:colOff>
      <xdr:row>3</xdr:row>
      <xdr:rowOff>74386</xdr:rowOff>
    </xdr:to>
    <xdr:sp macro="" textlink="">
      <xdr:nvSpPr>
        <xdr:cNvPr id="94" name="Rectangle 25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1EAA5839-3639-4160-9919-ECD4935AD089}"/>
            </a:ext>
          </a:extLst>
        </xdr:cNvPr>
        <xdr:cNvSpPr/>
      </xdr:nvSpPr>
      <xdr:spPr bwMode="gray">
        <a:xfrm>
          <a:off x="10869408" y="88900"/>
          <a:ext cx="1342120" cy="556986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 Patrimonial 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368753</xdr:colOff>
      <xdr:row>23</xdr:row>
      <xdr:rowOff>34925</xdr:rowOff>
    </xdr:from>
    <xdr:to>
      <xdr:col>5</xdr:col>
      <xdr:colOff>16328</xdr:colOff>
      <xdr:row>26</xdr:row>
      <xdr:rowOff>34925</xdr:rowOff>
    </xdr:to>
    <xdr:sp macro="" textlink="">
      <xdr:nvSpPr>
        <xdr:cNvPr id="95" name="Rectangle 25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4FAADB06-00F1-40E6-ABA2-B7E69B5FAAA0}"/>
            </a:ext>
          </a:extLst>
        </xdr:cNvPr>
        <xdr:cNvSpPr/>
      </xdr:nvSpPr>
      <xdr:spPr bwMode="gray">
        <a:xfrm>
          <a:off x="2197553" y="4400096"/>
          <a:ext cx="866775" cy="555172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8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     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117475</xdr:colOff>
      <xdr:row>23</xdr:row>
      <xdr:rowOff>34925</xdr:rowOff>
    </xdr:from>
    <xdr:to>
      <xdr:col>6</xdr:col>
      <xdr:colOff>374650</xdr:colOff>
      <xdr:row>26</xdr:row>
      <xdr:rowOff>34925</xdr:rowOff>
    </xdr:to>
    <xdr:sp macro="" textlink="">
      <xdr:nvSpPr>
        <xdr:cNvPr id="96" name="Rectangle 25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91BA2CA3-B9D0-4D7D-8832-12B23F6EAA12}"/>
            </a:ext>
          </a:extLst>
        </xdr:cNvPr>
        <xdr:cNvSpPr/>
      </xdr:nvSpPr>
      <xdr:spPr bwMode="gray">
        <a:xfrm>
          <a:off x="3165475" y="4530725"/>
          <a:ext cx="866775" cy="571500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</a:t>
          </a:r>
          <a:r>
            <a:rPr lang="en-US" sz="1400" b="1" kern="0" baseline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Patrimonial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    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454025</xdr:colOff>
      <xdr:row>23</xdr:row>
      <xdr:rowOff>53975</xdr:rowOff>
    </xdr:from>
    <xdr:to>
      <xdr:col>11</xdr:col>
      <xdr:colOff>111125</xdr:colOff>
      <xdr:row>26</xdr:row>
      <xdr:rowOff>53975</xdr:rowOff>
    </xdr:to>
    <xdr:sp macro="" textlink="">
      <xdr:nvSpPr>
        <xdr:cNvPr id="97" name="Rectangle 25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9E0CD85E-AFAB-46BD-9049-40B6D4C590B7}"/>
            </a:ext>
          </a:extLst>
        </xdr:cNvPr>
        <xdr:cNvSpPr/>
      </xdr:nvSpPr>
      <xdr:spPr bwMode="gray">
        <a:xfrm>
          <a:off x="5940425" y="4549775"/>
          <a:ext cx="876300" cy="571500"/>
        </a:xfrm>
        <a:prstGeom prst="roundRect">
          <a:avLst>
            <a:gd name="adj" fmla="val 10342"/>
          </a:avLst>
        </a:prstGeom>
        <a:solidFill>
          <a:srgbClr val="D0E0E3"/>
        </a:solidFill>
        <a:ln>
          <a:solidFill>
            <a:srgbClr val="D0E0E3"/>
          </a:solidFill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8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     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191134</xdr:colOff>
      <xdr:row>23</xdr:row>
      <xdr:rowOff>64135</xdr:rowOff>
    </xdr:from>
    <xdr:to>
      <xdr:col>12</xdr:col>
      <xdr:colOff>481534</xdr:colOff>
      <xdr:row>26</xdr:row>
      <xdr:rowOff>64135</xdr:rowOff>
    </xdr:to>
    <xdr:sp macro="" textlink="">
      <xdr:nvSpPr>
        <xdr:cNvPr id="98" name="Rectangle 25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FCE2EC9A-AC92-49CD-94F7-1C51EE7EA5C4}"/>
            </a:ext>
          </a:extLst>
        </xdr:cNvPr>
        <xdr:cNvSpPr/>
      </xdr:nvSpPr>
      <xdr:spPr bwMode="gray">
        <a:xfrm>
          <a:off x="6896734" y="4392295"/>
          <a:ext cx="900000" cy="548640"/>
        </a:xfrm>
        <a:prstGeom prst="roundRect">
          <a:avLst>
            <a:gd name="adj" fmla="val 10342"/>
          </a:avLst>
        </a:prstGeom>
        <a:solidFill>
          <a:srgbClr val="D0E0E3"/>
        </a:solidFill>
        <a:ln>
          <a:solidFill>
            <a:srgbClr val="D0E0E3"/>
          </a:solidFill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</a:t>
          </a:r>
          <a:r>
            <a:rPr lang="en-US" sz="1400" b="1" kern="0" baseline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Patrimonial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    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47624</xdr:colOff>
      <xdr:row>22</xdr:row>
      <xdr:rowOff>187325</xdr:rowOff>
    </xdr:from>
    <xdr:to>
      <xdr:col>17</xdr:col>
      <xdr:colOff>338024</xdr:colOff>
      <xdr:row>25</xdr:row>
      <xdr:rowOff>187325</xdr:rowOff>
    </xdr:to>
    <xdr:sp macro="" textlink="">
      <xdr:nvSpPr>
        <xdr:cNvPr id="99" name="Rectangle 255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D6F1BC3C-C190-4D06-9936-5A18380D3C30}"/>
            </a:ext>
          </a:extLst>
        </xdr:cNvPr>
        <xdr:cNvSpPr/>
      </xdr:nvSpPr>
      <xdr:spPr bwMode="gray">
        <a:xfrm>
          <a:off x="9801224" y="4492625"/>
          <a:ext cx="900000" cy="571500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8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     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66675</xdr:colOff>
      <xdr:row>23</xdr:row>
      <xdr:rowOff>6350</xdr:rowOff>
    </xdr:from>
    <xdr:to>
      <xdr:col>19</xdr:col>
      <xdr:colOff>357075</xdr:colOff>
      <xdr:row>26</xdr:row>
      <xdr:rowOff>6350</xdr:rowOff>
    </xdr:to>
    <xdr:sp macro="" textlink="">
      <xdr:nvSpPr>
        <xdr:cNvPr id="100" name="Rectangle 25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90E6D704-8CF9-4E2A-901E-1B39507DA4FC}"/>
            </a:ext>
          </a:extLst>
        </xdr:cNvPr>
        <xdr:cNvSpPr/>
      </xdr:nvSpPr>
      <xdr:spPr bwMode="gray">
        <a:xfrm>
          <a:off x="11039475" y="4502150"/>
          <a:ext cx="900000" cy="571500"/>
        </a:xfrm>
        <a:prstGeom prst="roundRect">
          <a:avLst>
            <a:gd name="adj" fmla="val 10342"/>
          </a:avLst>
        </a:prstGeom>
        <a:solidFill>
          <a:schemeClr val="accent5">
            <a:lumMod val="20000"/>
            <a:lumOff val="80000"/>
          </a:schemeClr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Balanço</a:t>
          </a:r>
          <a:r>
            <a:rPr lang="en-US" sz="1400" b="1" kern="0" baseline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Patrimonial</a:t>
          </a:r>
          <a:r>
            <a:rPr lang="en-US" sz="1400" b="1" kern="0">
              <a:solidFill>
                <a:schemeClr val="accent1">
                  <a:lumMod val="50000"/>
                </a:schemeClr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    IFRS17</a:t>
          </a:r>
          <a:endParaRPr kumimoji="0" lang="en-US" sz="1400" b="1" i="0" u="none" strike="noStrike" kern="0" cap="none" spc="0" normalizeH="0" baseline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134257</xdr:colOff>
      <xdr:row>49</xdr:row>
      <xdr:rowOff>7257</xdr:rowOff>
    </xdr:from>
    <xdr:to>
      <xdr:col>18</xdr:col>
      <xdr:colOff>27352</xdr:colOff>
      <xdr:row>52</xdr:row>
      <xdr:rowOff>28257</xdr:rowOff>
    </xdr:to>
    <xdr:sp macro="" textlink="">
      <xdr:nvSpPr>
        <xdr:cNvPr id="101" name="Rectangle 25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6A98F1D0-4B33-4D6C-BF49-FC1C9E0A7B96}"/>
            </a:ext>
          </a:extLst>
        </xdr:cNvPr>
        <xdr:cNvSpPr/>
      </xdr:nvSpPr>
      <xdr:spPr bwMode="gray">
        <a:xfrm>
          <a:off x="9887857" y="9316357"/>
          <a:ext cx="1112295" cy="5925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Saldo das Provisões</a:t>
          </a:r>
        </a:p>
      </xdr:txBody>
    </xdr:sp>
    <xdr:clientData/>
  </xdr:twoCellAnchor>
  <xdr:twoCellAnchor>
    <xdr:from>
      <xdr:col>23</xdr:col>
      <xdr:colOff>490048</xdr:colOff>
      <xdr:row>10</xdr:row>
      <xdr:rowOff>8106</xdr:rowOff>
    </xdr:from>
    <xdr:to>
      <xdr:col>23</xdr:col>
      <xdr:colOff>490048</xdr:colOff>
      <xdr:row>11</xdr:row>
      <xdr:rowOff>16813</xdr:rowOff>
    </xdr:to>
    <xdr:cxnSp macro="">
      <xdr:nvCxnSpPr>
        <xdr:cNvPr id="102" name="Conector reto 100">
          <a:extLst>
            <a:ext uri="{FF2B5EF4-FFF2-40B4-BE49-F238E27FC236}">
              <a16:creationId xmlns:a16="http://schemas.microsoft.com/office/drawing/2014/main" id="{8FE0CFAD-2608-4622-A3B0-3A13F6BC0099}"/>
            </a:ext>
          </a:extLst>
        </xdr:cNvPr>
        <xdr:cNvCxnSpPr>
          <a:cxnSpLocks/>
        </xdr:cNvCxnSpPr>
      </xdr:nvCxnSpPr>
      <xdr:spPr>
        <a:xfrm>
          <a:off x="14510848" y="1913106"/>
          <a:ext cx="0" cy="25635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63724</xdr:colOff>
      <xdr:row>10</xdr:row>
      <xdr:rowOff>138284</xdr:rowOff>
    </xdr:from>
    <xdr:to>
      <xdr:col>24</xdr:col>
      <xdr:colOff>324514</xdr:colOff>
      <xdr:row>13</xdr:row>
      <xdr:rowOff>6884</xdr:rowOff>
    </xdr:to>
    <xdr:sp macro="" textlink="">
      <xdr:nvSpPr>
        <xdr:cNvPr id="103" name="Rectangle 255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A90AC0DB-7C38-48F9-9194-C3A969DE1A0D}"/>
            </a:ext>
          </a:extLst>
        </xdr:cNvPr>
        <xdr:cNvSpPr/>
      </xdr:nvSpPr>
      <xdr:spPr bwMode="gray">
        <a:xfrm>
          <a:off x="14084524" y="2043284"/>
          <a:ext cx="870390" cy="5544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6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DRE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Holding</a:t>
          </a:r>
          <a:endParaRPr kumimoji="0" lang="en-US" sz="2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91168</xdr:colOff>
      <xdr:row>40</xdr:row>
      <xdr:rowOff>104972</xdr:rowOff>
    </xdr:from>
    <xdr:to>
      <xdr:col>2</xdr:col>
      <xdr:colOff>53068</xdr:colOff>
      <xdr:row>42</xdr:row>
      <xdr:rowOff>117022</xdr:rowOff>
    </xdr:to>
    <xdr:sp macro="" textlink="">
      <xdr:nvSpPr>
        <xdr:cNvPr id="104" name="CaixaDeTexto 4">
          <a:extLst>
            <a:ext uri="{FF2B5EF4-FFF2-40B4-BE49-F238E27FC236}">
              <a16:creationId xmlns:a16="http://schemas.microsoft.com/office/drawing/2014/main" id="{139274A0-B67E-41FB-B8E4-CBB3A03BD41B}"/>
            </a:ext>
          </a:extLst>
        </xdr:cNvPr>
        <xdr:cNvSpPr txBox="1"/>
      </xdr:nvSpPr>
      <xdr:spPr>
        <a:xfrm>
          <a:off x="91168" y="7686872"/>
          <a:ext cx="1181100" cy="393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NEGÓCIOS DE DISTRIBUIÇÃO</a:t>
          </a:r>
        </a:p>
      </xdr:txBody>
    </xdr:sp>
    <xdr:clientData/>
  </xdr:twoCellAnchor>
  <xdr:twoCellAnchor>
    <xdr:from>
      <xdr:col>2</xdr:col>
      <xdr:colOff>19957</xdr:colOff>
      <xdr:row>39</xdr:row>
      <xdr:rowOff>127907</xdr:rowOff>
    </xdr:from>
    <xdr:to>
      <xdr:col>3</xdr:col>
      <xdr:colOff>334283</xdr:colOff>
      <xdr:row>42</xdr:row>
      <xdr:rowOff>161607</xdr:rowOff>
    </xdr:to>
    <xdr:sp macro="" textlink="">
      <xdr:nvSpPr>
        <xdr:cNvPr id="105" name="Rectangle 25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238D14A-57D9-49F3-A10D-46761DE98486}"/>
            </a:ext>
          </a:extLst>
        </xdr:cNvPr>
        <xdr:cNvSpPr/>
      </xdr:nvSpPr>
      <xdr:spPr bwMode="gray">
        <a:xfrm>
          <a:off x="1239157" y="7519307"/>
          <a:ext cx="923926" cy="605200"/>
        </a:xfrm>
        <a:prstGeom prst="roundRect">
          <a:avLst>
            <a:gd name="adj" fmla="val 10342"/>
          </a:avLst>
        </a:prstGeom>
        <a:solidFill>
          <a:srgbClr val="005CA9"/>
        </a:solidFill>
        <a:ln w="6350" cap="flat" cmpd="sng" algn="ctr">
          <a:solidFill>
            <a:srgbClr val="49A19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Desempenho Comercial</a:t>
          </a:r>
        </a:p>
      </xdr:txBody>
    </xdr:sp>
    <xdr:clientData/>
  </xdr:twoCellAnchor>
  <xdr:twoCellAnchor>
    <xdr:from>
      <xdr:col>4</xdr:col>
      <xdr:colOff>224117</xdr:colOff>
      <xdr:row>33</xdr:row>
      <xdr:rowOff>145677</xdr:rowOff>
    </xdr:from>
    <xdr:to>
      <xdr:col>5</xdr:col>
      <xdr:colOff>547967</xdr:colOff>
      <xdr:row>37</xdr:row>
      <xdr:rowOff>77627</xdr:rowOff>
    </xdr:to>
    <xdr:sp macro="" textlink="">
      <xdr:nvSpPr>
        <xdr:cNvPr id="106" name="Rectangle 255">
          <a:extLst>
            <a:ext uri="{FF2B5EF4-FFF2-40B4-BE49-F238E27FC236}">
              <a16:creationId xmlns:a16="http://schemas.microsoft.com/office/drawing/2014/main" id="{6FAA0B75-9FE3-46A3-9522-4A754B083CBD}"/>
            </a:ext>
          </a:extLst>
        </xdr:cNvPr>
        <xdr:cNvSpPr>
          <a:spLocks/>
        </xdr:cNvSpPr>
      </xdr:nvSpPr>
      <xdr:spPr bwMode="gray">
        <a:xfrm>
          <a:off x="2662517" y="6470277"/>
          <a:ext cx="933450" cy="69395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rgbClr val="D0E0E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Acumulação em RUN-OFF</a:t>
          </a:r>
        </a:p>
      </xdr:txBody>
    </xdr:sp>
    <xdr:clientData/>
  </xdr:twoCellAnchor>
  <xdr:twoCellAnchor editAs="oneCell">
    <xdr:from>
      <xdr:col>16</xdr:col>
      <xdr:colOff>122465</xdr:colOff>
      <xdr:row>15</xdr:row>
      <xdr:rowOff>157842</xdr:rowOff>
    </xdr:from>
    <xdr:to>
      <xdr:col>17</xdr:col>
      <xdr:colOff>108857</xdr:colOff>
      <xdr:row>17</xdr:row>
      <xdr:rowOff>159406</xdr:rowOff>
    </xdr:to>
    <xdr:pic>
      <xdr:nvPicPr>
        <xdr:cNvPr id="107" name="Picture 2" descr="Too Seguros - Home | Facebook">
          <a:extLst>
            <a:ext uri="{FF2B5EF4-FFF2-40B4-BE49-F238E27FC236}">
              <a16:creationId xmlns:a16="http://schemas.microsoft.com/office/drawing/2014/main" id="{4B0C038A-31E7-9E7D-F12D-964CD5FF5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8" r="7143" b="23213"/>
        <a:stretch>
          <a:fillRect/>
        </a:stretch>
      </xdr:blipFill>
      <xdr:spPr bwMode="auto">
        <a:xfrm>
          <a:off x="9876065" y="3042556"/>
          <a:ext cx="595992" cy="37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44597</xdr:colOff>
      <xdr:row>16</xdr:row>
      <xdr:rowOff>32658</xdr:rowOff>
    </xdr:from>
    <xdr:to>
      <xdr:col>19</xdr:col>
      <xdr:colOff>329389</xdr:colOff>
      <xdr:row>18</xdr:row>
      <xdr:rowOff>0</xdr:rowOff>
    </xdr:to>
    <xdr:pic>
      <xdr:nvPicPr>
        <xdr:cNvPr id="108" name="Picture 8" descr="Pan Corretora de Seguros - Home | Facebook">
          <a:extLst>
            <a:ext uri="{FF2B5EF4-FFF2-40B4-BE49-F238E27FC236}">
              <a16:creationId xmlns:a16="http://schemas.microsoft.com/office/drawing/2014/main" id="{BEEA3F8F-A2F8-51DD-5F3F-F1FDA551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397" y="3102429"/>
          <a:ext cx="894392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78583</xdr:colOff>
      <xdr:row>16</xdr:row>
      <xdr:rowOff>57147</xdr:rowOff>
    </xdr:from>
    <xdr:to>
      <xdr:col>15</xdr:col>
      <xdr:colOff>191365</xdr:colOff>
      <xdr:row>18</xdr:row>
      <xdr:rowOff>21594</xdr:rowOff>
    </xdr:to>
    <xdr:pic>
      <xdr:nvPicPr>
        <xdr:cNvPr id="109" name="Imagem 108" descr="Logotipo&#10;&#10;Descrição gerada automaticamente">
          <a:extLst>
            <a:ext uri="{FF2B5EF4-FFF2-40B4-BE49-F238E27FC236}">
              <a16:creationId xmlns:a16="http://schemas.microsoft.com/office/drawing/2014/main" id="{0D94DDE1-F4AA-4EE9-510E-2066CF80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646" y="3224210"/>
          <a:ext cx="720000" cy="345447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238126</xdr:colOff>
      <xdr:row>16</xdr:row>
      <xdr:rowOff>71440</xdr:rowOff>
    </xdr:from>
    <xdr:to>
      <xdr:col>13</xdr:col>
      <xdr:colOff>350907</xdr:colOff>
      <xdr:row>18</xdr:row>
      <xdr:rowOff>34746</xdr:rowOff>
    </xdr:to>
    <xdr:pic>
      <xdr:nvPicPr>
        <xdr:cNvPr id="110" name="Imagem 109" descr="Logotipo&#10;&#10;Descrição gerada automaticamente">
          <a:extLst>
            <a:ext uri="{FF2B5EF4-FFF2-40B4-BE49-F238E27FC236}">
              <a16:creationId xmlns:a16="http://schemas.microsoft.com/office/drawing/2014/main" id="{D5473E56-6A29-276D-32A9-D7104D00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1" y="3238503"/>
          <a:ext cx="720000" cy="344306"/>
        </a:xfrm>
        <a:prstGeom prst="rect">
          <a:avLst/>
        </a:prstGeom>
      </xdr:spPr>
    </xdr:pic>
    <xdr:clientData/>
  </xdr:twoCellAnchor>
  <xdr:twoCellAnchor editAs="oneCell">
    <xdr:from>
      <xdr:col>10</xdr:col>
      <xdr:colOff>369094</xdr:colOff>
      <xdr:row>16</xdr:row>
      <xdr:rowOff>83347</xdr:rowOff>
    </xdr:from>
    <xdr:to>
      <xdr:col>11</xdr:col>
      <xdr:colOff>589876</xdr:colOff>
      <xdr:row>18</xdr:row>
      <xdr:rowOff>26889</xdr:rowOff>
    </xdr:to>
    <xdr:pic>
      <xdr:nvPicPr>
        <xdr:cNvPr id="111" name="Imagem 110" descr="Logotipo&#10;&#10;Descrição gerada automaticamente">
          <a:extLst>
            <a:ext uri="{FF2B5EF4-FFF2-40B4-BE49-F238E27FC236}">
              <a16:creationId xmlns:a16="http://schemas.microsoft.com/office/drawing/2014/main" id="{0DADE4B7-4BE2-694A-3348-DEBD207B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282" y="3250410"/>
          <a:ext cx="828000" cy="324542"/>
        </a:xfrm>
        <a:prstGeom prst="rect">
          <a:avLst/>
        </a:prstGeom>
      </xdr:spPr>
    </xdr:pic>
    <xdr:clientData/>
  </xdr:twoCellAnchor>
  <xdr:twoCellAnchor editAs="oneCell">
    <xdr:from>
      <xdr:col>8</xdr:col>
      <xdr:colOff>575398</xdr:colOff>
      <xdr:row>16</xdr:row>
      <xdr:rowOff>67904</xdr:rowOff>
    </xdr:from>
    <xdr:to>
      <xdr:col>10</xdr:col>
      <xdr:colOff>44960</xdr:colOff>
      <xdr:row>18</xdr:row>
      <xdr:rowOff>13996</xdr:rowOff>
    </xdr:to>
    <xdr:pic>
      <xdr:nvPicPr>
        <xdr:cNvPr id="112" name="Imagem 111" descr="Logotipo&#10;&#10;Descrição gerada automaticamente">
          <a:extLst>
            <a:ext uri="{FF2B5EF4-FFF2-40B4-BE49-F238E27FC236}">
              <a16:creationId xmlns:a16="http://schemas.microsoft.com/office/drawing/2014/main" id="{38E966E8-9B1C-F161-9257-0F694DAF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3148" y="3234967"/>
          <a:ext cx="684000" cy="327092"/>
        </a:xfrm>
        <a:prstGeom prst="rect">
          <a:avLst/>
        </a:prstGeom>
      </xdr:spPr>
    </xdr:pic>
    <xdr:clientData/>
  </xdr:twoCellAnchor>
  <xdr:twoCellAnchor editAs="oneCell">
    <xdr:from>
      <xdr:col>7</xdr:col>
      <xdr:colOff>53594</xdr:colOff>
      <xdr:row>16</xdr:row>
      <xdr:rowOff>93496</xdr:rowOff>
    </xdr:from>
    <xdr:to>
      <xdr:col>8</xdr:col>
      <xdr:colOff>346375</xdr:colOff>
      <xdr:row>17</xdr:row>
      <xdr:rowOff>171160</xdr:rowOff>
    </xdr:to>
    <xdr:pic>
      <xdr:nvPicPr>
        <xdr:cNvPr id="113" name="Imagem 112" descr="Uma imagem contendo Logotipo&#10;&#10;Descrição gerada automaticamente">
          <a:extLst>
            <a:ext uri="{FF2B5EF4-FFF2-40B4-BE49-F238E27FC236}">
              <a16:creationId xmlns:a16="http://schemas.microsoft.com/office/drawing/2014/main" id="{ABE1AFB9-7706-7C4C-B6FC-553849058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4125" y="3260559"/>
          <a:ext cx="900000" cy="268164"/>
        </a:xfrm>
        <a:prstGeom prst="rect">
          <a:avLst/>
        </a:prstGeom>
      </xdr:spPr>
    </xdr:pic>
    <xdr:clientData/>
  </xdr:twoCellAnchor>
  <xdr:twoCellAnchor editAs="oneCell">
    <xdr:from>
      <xdr:col>4</xdr:col>
      <xdr:colOff>242208</xdr:colOff>
      <xdr:row>16</xdr:row>
      <xdr:rowOff>11905</xdr:rowOff>
    </xdr:from>
    <xdr:to>
      <xdr:col>5</xdr:col>
      <xdr:colOff>532608</xdr:colOff>
      <xdr:row>18</xdr:row>
      <xdr:rowOff>54955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69A563CF-D2DD-2F98-4213-90AB7A90D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72" b="24305"/>
        <a:stretch>
          <a:fillRect/>
        </a:stretch>
      </xdr:blipFill>
      <xdr:spPr bwMode="auto">
        <a:xfrm>
          <a:off x="2680608" y="3081676"/>
          <a:ext cx="900000" cy="41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581025</xdr:colOff>
      <xdr:row>7</xdr:row>
      <xdr:rowOff>165674</xdr:rowOff>
    </xdr:from>
    <xdr:to>
      <xdr:col>24</xdr:col>
      <xdr:colOff>352975</xdr:colOff>
      <xdr:row>10</xdr:row>
      <xdr:rowOff>30573</xdr:rowOff>
    </xdr:to>
    <xdr:sp macro="" textlink="">
      <xdr:nvSpPr>
        <xdr:cNvPr id="128" name="Retângulo 3">
          <a:extLst>
            <a:ext uri="{FF2B5EF4-FFF2-40B4-BE49-F238E27FC236}">
              <a16:creationId xmlns:a16="http://schemas.microsoft.com/office/drawing/2014/main" id="{9C56D400-6B1A-4A1F-857C-8F5F20F37268}"/>
            </a:ext>
          </a:extLst>
        </xdr:cNvPr>
        <xdr:cNvSpPr/>
      </xdr:nvSpPr>
      <xdr:spPr>
        <a:xfrm>
          <a:off x="13992225" y="1499174"/>
          <a:ext cx="991150" cy="436399"/>
        </a:xfrm>
        <a:prstGeom prst="roundRect">
          <a:avLst>
            <a:gd name="adj" fmla="val 9527"/>
          </a:avLst>
        </a:prstGeom>
        <a:solidFill>
          <a:srgbClr val="ECF3F4"/>
        </a:solidFill>
        <a:ln w="19050">
          <a:solidFill>
            <a:srgbClr val="ECF3F4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120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Holding Seguridade</a:t>
          </a:r>
        </a:p>
      </xdr:txBody>
    </xdr:sp>
    <xdr:clientData/>
  </xdr:twoCellAnchor>
  <xdr:twoCellAnchor>
    <xdr:from>
      <xdr:col>20</xdr:col>
      <xdr:colOff>172272</xdr:colOff>
      <xdr:row>7</xdr:row>
      <xdr:rowOff>165674</xdr:rowOff>
    </xdr:from>
    <xdr:to>
      <xdr:col>21</xdr:col>
      <xdr:colOff>553822</xdr:colOff>
      <xdr:row>10</xdr:row>
      <xdr:rowOff>30573</xdr:rowOff>
    </xdr:to>
    <xdr:sp macro="" textlink="">
      <xdr:nvSpPr>
        <xdr:cNvPr id="129" name="Retângulo 3">
          <a:extLst>
            <a:ext uri="{FF2B5EF4-FFF2-40B4-BE49-F238E27FC236}">
              <a16:creationId xmlns:a16="http://schemas.microsoft.com/office/drawing/2014/main" id="{50BEB3D2-FC72-43A5-89F6-05CA58C82720}"/>
            </a:ext>
          </a:extLst>
        </xdr:cNvPr>
        <xdr:cNvSpPr/>
      </xdr:nvSpPr>
      <xdr:spPr>
        <a:xfrm>
          <a:off x="12364272" y="1499174"/>
          <a:ext cx="991150" cy="436399"/>
        </a:xfrm>
        <a:prstGeom prst="roundRect">
          <a:avLst>
            <a:gd name="adj" fmla="val 9527"/>
          </a:avLst>
        </a:prstGeom>
        <a:solidFill>
          <a:srgbClr val="ECF3F4"/>
        </a:solidFill>
        <a:ln w="19050">
          <a:noFill/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120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Negócios de Distribuição</a:t>
          </a:r>
        </a:p>
      </xdr:txBody>
    </xdr:sp>
    <xdr:clientData/>
  </xdr:twoCellAnchor>
  <xdr:twoCellAnchor>
    <xdr:from>
      <xdr:col>10</xdr:col>
      <xdr:colOff>331250</xdr:colOff>
      <xdr:row>9</xdr:row>
      <xdr:rowOff>76200</xdr:rowOff>
    </xdr:from>
    <xdr:to>
      <xdr:col>12</xdr:col>
      <xdr:colOff>18611</xdr:colOff>
      <xdr:row>12</xdr:row>
      <xdr:rowOff>54456</xdr:rowOff>
    </xdr:to>
    <xdr:sp macro="" textlink="">
      <xdr:nvSpPr>
        <xdr:cNvPr id="133" name="Rectangle 255">
          <a:extLst>
            <a:ext uri="{FF2B5EF4-FFF2-40B4-BE49-F238E27FC236}">
              <a16:creationId xmlns:a16="http://schemas.microsoft.com/office/drawing/2014/main" id="{1F00C0C5-A0FA-4AB9-9541-521548B7AF91}"/>
            </a:ext>
          </a:extLst>
        </xdr:cNvPr>
        <xdr:cNvSpPr/>
      </xdr:nvSpPr>
      <xdr:spPr bwMode="gray">
        <a:xfrm>
          <a:off x="6427250" y="1790700"/>
          <a:ext cx="906561" cy="664056"/>
        </a:xfrm>
        <a:prstGeom prst="roundRect">
          <a:avLst>
            <a:gd name="adj" fmla="val 10342"/>
          </a:avLst>
        </a:prstGeom>
        <a:solidFill>
          <a:srgbClr val="ECF3F4"/>
        </a:solidFill>
        <a:ln w="190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Novas Parcerias</a:t>
          </a:r>
          <a:endParaRPr kumimoji="0" lang="en-US" sz="10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235357</xdr:colOff>
      <xdr:row>9</xdr:row>
      <xdr:rowOff>76200</xdr:rowOff>
    </xdr:from>
    <xdr:to>
      <xdr:col>5</xdr:col>
      <xdr:colOff>532318</xdr:colOff>
      <xdr:row>12</xdr:row>
      <xdr:rowOff>53276</xdr:rowOff>
    </xdr:to>
    <xdr:sp macro="" textlink="">
      <xdr:nvSpPr>
        <xdr:cNvPr id="134" name="Rectangle 255">
          <a:extLst>
            <a:ext uri="{FF2B5EF4-FFF2-40B4-BE49-F238E27FC236}">
              <a16:creationId xmlns:a16="http://schemas.microsoft.com/office/drawing/2014/main" id="{240639E4-FE42-41B7-9DA4-122BF649B7AA}"/>
            </a:ext>
          </a:extLst>
        </xdr:cNvPr>
        <xdr:cNvSpPr/>
      </xdr:nvSpPr>
      <xdr:spPr bwMode="gray">
        <a:xfrm>
          <a:off x="2673757" y="1790700"/>
          <a:ext cx="906561" cy="662876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Antiga Parceria</a:t>
          </a:r>
          <a:endParaRPr kumimoji="0" lang="en-US" sz="10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467446</xdr:colOff>
      <xdr:row>7</xdr:row>
      <xdr:rowOff>83634</xdr:rowOff>
    </xdr:from>
    <xdr:to>
      <xdr:col>17</xdr:col>
      <xdr:colOff>469281</xdr:colOff>
      <xdr:row>7</xdr:row>
      <xdr:rowOff>165673</xdr:rowOff>
    </xdr:to>
    <xdr:cxnSp macro="">
      <xdr:nvCxnSpPr>
        <xdr:cNvPr id="21" name="Conector reto 20">
          <a:extLst>
            <a:ext uri="{FF2B5EF4-FFF2-40B4-BE49-F238E27FC236}">
              <a16:creationId xmlns:a16="http://schemas.microsoft.com/office/drawing/2014/main" id="{A1522272-E7D9-9FE3-CCBF-8F1CBF050116}"/>
            </a:ext>
          </a:extLst>
        </xdr:cNvPr>
        <xdr:cNvCxnSpPr>
          <a:stCxn id="130" idx="0"/>
        </xdr:cNvCxnSpPr>
      </xdr:nvCxnSpPr>
      <xdr:spPr>
        <a:xfrm flipV="1">
          <a:off x="10830646" y="1417134"/>
          <a:ext cx="1835" cy="82039"/>
        </a:xfrm>
        <a:prstGeom prst="line">
          <a:avLst/>
        </a:prstGeom>
        <a:ln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57830</xdr:colOff>
      <xdr:row>7</xdr:row>
      <xdr:rowOff>91848</xdr:rowOff>
    </xdr:from>
    <xdr:to>
      <xdr:col>21</xdr:col>
      <xdr:colOff>58247</xdr:colOff>
      <xdr:row>7</xdr:row>
      <xdr:rowOff>165674</xdr:rowOff>
    </xdr:to>
    <xdr:cxnSp macro="">
      <xdr:nvCxnSpPr>
        <xdr:cNvPr id="115" name="Conector reto 114">
          <a:extLst>
            <a:ext uri="{FF2B5EF4-FFF2-40B4-BE49-F238E27FC236}">
              <a16:creationId xmlns:a16="http://schemas.microsoft.com/office/drawing/2014/main" id="{4AFD21BF-A0D9-4E47-B441-5EBAA210BDE8}"/>
            </a:ext>
          </a:extLst>
        </xdr:cNvPr>
        <xdr:cNvCxnSpPr>
          <a:stCxn id="129" idx="0"/>
        </xdr:cNvCxnSpPr>
      </xdr:nvCxnSpPr>
      <xdr:spPr>
        <a:xfrm flipH="1" flipV="1">
          <a:off x="12859430" y="1425348"/>
          <a:ext cx="417" cy="73826"/>
        </a:xfrm>
        <a:prstGeom prst="line">
          <a:avLst/>
        </a:prstGeom>
        <a:ln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4076541</xdr:colOff>
      <xdr:row>1</xdr:row>
      <xdr:rowOff>84931</xdr:rowOff>
    </xdr:from>
    <xdr:to>
      <xdr:col>0</xdr:col>
      <xdr:colOff>4472541</xdr:colOff>
      <xdr:row>2</xdr:row>
      <xdr:rowOff>287891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7ED53E-E558-4EA0-AD6C-E2412686B1F3}"/>
            </a:ext>
          </a:extLst>
        </xdr:cNvPr>
        <xdr:cNvGrpSpPr>
          <a:grpSpLocks noChangeAspect="1"/>
        </xdr:cNvGrpSpPr>
      </xdr:nvGrpSpPr>
      <xdr:grpSpPr>
        <a:xfrm>
          <a:off x="4076541" y="275431"/>
          <a:ext cx="396000" cy="393460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4BBCE925-5D8F-6C02-2B18-1DFFC21BFCB2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FC9DBF8-D24D-408A-F566-BF90CC1831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254000</xdr:colOff>
      <xdr:row>0</xdr:row>
      <xdr:rowOff>111760</xdr:rowOff>
    </xdr:from>
    <xdr:to>
      <xdr:col>0</xdr:col>
      <xdr:colOff>2414000</xdr:colOff>
      <xdr:row>2</xdr:row>
      <xdr:rowOff>18890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0C81F3B-DA21-480C-A34E-E72E2EA3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11760"/>
          <a:ext cx="2160000" cy="2932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59762</xdr:colOff>
      <xdr:row>0</xdr:row>
      <xdr:rowOff>107475</xdr:rowOff>
    </xdr:from>
    <xdr:to>
      <xdr:col>1</xdr:col>
      <xdr:colOff>2375766</xdr:colOff>
      <xdr:row>2</xdr:row>
      <xdr:rowOff>57876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90DBA3-57F9-483E-9E44-BC88078F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42" y="107475"/>
          <a:ext cx="2316004" cy="336481"/>
        </a:xfrm>
        <a:prstGeom prst="rect">
          <a:avLst/>
        </a:prstGeom>
      </xdr:spPr>
    </xdr:pic>
    <xdr:clientData/>
  </xdr:twoCellAnchor>
  <xdr:twoCellAnchor editAs="absolute">
    <xdr:from>
      <xdr:col>1</xdr:col>
      <xdr:colOff>3702368</xdr:colOff>
      <xdr:row>1</xdr:row>
      <xdr:rowOff>133983</xdr:rowOff>
    </xdr:from>
    <xdr:to>
      <xdr:col>1</xdr:col>
      <xdr:colOff>4095019</xdr:colOff>
      <xdr:row>2</xdr:row>
      <xdr:rowOff>318528</xdr:rowOff>
    </xdr:to>
    <xdr:grpSp>
      <xdr:nvGrpSpPr>
        <xdr:cNvPr id="2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835465-0F12-462C-AE24-4E676194876C}"/>
            </a:ext>
          </a:extLst>
        </xdr:cNvPr>
        <xdr:cNvGrpSpPr>
          <a:grpSpLocks noChangeAspect="1"/>
        </xdr:cNvGrpSpPr>
      </xdr:nvGrpSpPr>
      <xdr:grpSpPr>
        <a:xfrm>
          <a:off x="3880168" y="324483"/>
          <a:ext cx="392651" cy="375045"/>
          <a:chOff x="1323975" y="224974"/>
          <a:chExt cx="540000" cy="543626"/>
        </a:xfrm>
      </xdr:grpSpPr>
      <xdr:sp macro="" textlink="">
        <xdr:nvSpPr>
          <xdr:cNvPr id="3" name="Retângulo: Cantos Arredondados 2">
            <a:extLst>
              <a:ext uri="{FF2B5EF4-FFF2-40B4-BE49-F238E27FC236}">
                <a16:creationId xmlns:a16="http://schemas.microsoft.com/office/drawing/2014/main" id="{DB7FEE70-83BB-4343-EBD1-47B966CB19D7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8" name="Gráfico 7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390BCD4-A7D7-613E-A614-D5E47C1FBF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62390</xdr:colOff>
      <xdr:row>0</xdr:row>
      <xdr:rowOff>120970</xdr:rowOff>
    </xdr:from>
    <xdr:to>
      <xdr:col>1</xdr:col>
      <xdr:colOff>2417467</xdr:colOff>
      <xdr:row>2</xdr:row>
      <xdr:rowOff>46606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C9C555-B402-44B3-822D-EA6F0255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10" y="120970"/>
          <a:ext cx="2355077" cy="311716"/>
        </a:xfrm>
        <a:prstGeom prst="rect">
          <a:avLst/>
        </a:prstGeom>
      </xdr:spPr>
    </xdr:pic>
    <xdr:clientData/>
  </xdr:twoCellAnchor>
  <xdr:twoCellAnchor editAs="absolute">
    <xdr:from>
      <xdr:col>1</xdr:col>
      <xdr:colOff>3802381</xdr:colOff>
      <xdr:row>2</xdr:row>
      <xdr:rowOff>155416</xdr:rowOff>
    </xdr:from>
    <xdr:to>
      <xdr:col>1</xdr:col>
      <xdr:colOff>4160352</xdr:colOff>
      <xdr:row>2</xdr:row>
      <xdr:rowOff>496366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E97EEE-D750-44AD-BA28-2F0EF6789223}"/>
            </a:ext>
          </a:extLst>
        </xdr:cNvPr>
        <xdr:cNvGrpSpPr>
          <a:grpSpLocks noChangeAspect="1"/>
        </xdr:cNvGrpSpPr>
      </xdr:nvGrpSpPr>
      <xdr:grpSpPr>
        <a:xfrm>
          <a:off x="3980181" y="536416"/>
          <a:ext cx="357971" cy="340950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E4A68A02-A4C3-204E-55F1-EED1EA213376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8677437-04D7-6A6E-D31C-5032705321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27304</xdr:colOff>
      <xdr:row>0</xdr:row>
      <xdr:rowOff>76043</xdr:rowOff>
    </xdr:from>
    <xdr:to>
      <xdr:col>1</xdr:col>
      <xdr:colOff>2380138</xdr:colOff>
      <xdr:row>2</xdr:row>
      <xdr:rowOff>39779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7D13F3A-7EDD-41DD-8FD5-80D09993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84" y="76043"/>
          <a:ext cx="2352834" cy="344736"/>
        </a:xfrm>
        <a:prstGeom prst="rect">
          <a:avLst/>
        </a:prstGeom>
      </xdr:spPr>
    </xdr:pic>
    <xdr:clientData/>
  </xdr:twoCellAnchor>
  <xdr:twoCellAnchor editAs="absolute">
    <xdr:from>
      <xdr:col>1</xdr:col>
      <xdr:colOff>3946049</xdr:colOff>
      <xdr:row>1</xdr:row>
      <xdr:rowOff>142716</xdr:rowOff>
    </xdr:from>
    <xdr:to>
      <xdr:col>1</xdr:col>
      <xdr:colOff>4327480</xdr:colOff>
      <xdr:row>2</xdr:row>
      <xdr:rowOff>338904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93AF63-2F10-4E76-BEE9-25AFE4881EFF}"/>
            </a:ext>
          </a:extLst>
        </xdr:cNvPr>
        <xdr:cNvGrpSpPr>
          <a:grpSpLocks noChangeAspect="1"/>
        </xdr:cNvGrpSpPr>
      </xdr:nvGrpSpPr>
      <xdr:grpSpPr>
        <a:xfrm>
          <a:off x="4085749" y="333216"/>
          <a:ext cx="381431" cy="386688"/>
          <a:chOff x="1323975" y="224974"/>
          <a:chExt cx="540000" cy="543626"/>
        </a:xfrm>
      </xdr:grpSpPr>
      <xdr:sp macro="" textlink="">
        <xdr:nvSpPr>
          <xdr:cNvPr id="10" name="Retângulo: Cantos Arredondados 9">
            <a:extLst>
              <a:ext uri="{FF2B5EF4-FFF2-40B4-BE49-F238E27FC236}">
                <a16:creationId xmlns:a16="http://schemas.microsoft.com/office/drawing/2014/main" id="{BA93D6BC-6B70-E190-7349-8BAC85CDAB2B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1" name="Gráfico 10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F415D5F-4A0F-DF77-451B-369F01E510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70501</xdr:colOff>
      <xdr:row>0</xdr:row>
      <xdr:rowOff>145491</xdr:rowOff>
    </xdr:from>
    <xdr:to>
      <xdr:col>1</xdr:col>
      <xdr:colOff>2344420</xdr:colOff>
      <xdr:row>2</xdr:row>
      <xdr:rowOff>96696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75271C-9331-42D7-8E61-7319124A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56" y="144856"/>
          <a:ext cx="2280269" cy="323315"/>
        </a:xfrm>
        <a:prstGeom prst="rect">
          <a:avLst/>
        </a:prstGeom>
      </xdr:spPr>
    </xdr:pic>
    <xdr:clientData/>
  </xdr:twoCellAnchor>
  <xdr:twoCellAnchor editAs="absolute">
    <xdr:from>
      <xdr:col>1</xdr:col>
      <xdr:colOff>4129405</xdr:colOff>
      <xdr:row>1</xdr:row>
      <xdr:rowOff>74930</xdr:rowOff>
    </xdr:from>
    <xdr:to>
      <xdr:col>1</xdr:col>
      <xdr:colOff>4513729</xdr:colOff>
      <xdr:row>2</xdr:row>
      <xdr:rowOff>263920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355553-180E-466E-B312-02C0B5726593}"/>
            </a:ext>
          </a:extLst>
        </xdr:cNvPr>
        <xdr:cNvGrpSpPr>
          <a:grpSpLocks noChangeAspect="1"/>
        </xdr:cNvGrpSpPr>
      </xdr:nvGrpSpPr>
      <xdr:grpSpPr>
        <a:xfrm>
          <a:off x="4370705" y="265430"/>
          <a:ext cx="384324" cy="379490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EC0629DA-09FC-CD1D-A3B6-2B33A202E149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4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23FBCBC-4D4C-4977-1375-D0E1B95C75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523081</xdr:colOff>
      <xdr:row>2</xdr:row>
      <xdr:rowOff>30692</xdr:rowOff>
    </xdr:from>
    <xdr:to>
      <xdr:col>1</xdr:col>
      <xdr:colOff>1419481</xdr:colOff>
      <xdr:row>2</xdr:row>
      <xdr:rowOff>449100</xdr:rowOff>
    </xdr:to>
    <xdr:sp macro="" textlink="">
      <xdr:nvSpPr>
        <xdr:cNvPr id="3" name="Rectangle 2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0EE65-8B19-4A0F-9A26-22342E4FA2F0}"/>
            </a:ext>
          </a:extLst>
        </xdr:cNvPr>
        <xdr:cNvSpPr/>
      </xdr:nvSpPr>
      <xdr:spPr bwMode="gray">
        <a:xfrm>
          <a:off x="761206" y="411692"/>
          <a:ext cx="896400" cy="418408"/>
        </a:xfrm>
        <a:prstGeom prst="roundRect">
          <a:avLst>
            <a:gd name="adj" fmla="val 10342"/>
          </a:avLst>
        </a:prstGeom>
        <a:solidFill>
          <a:schemeClr val="bg1"/>
        </a:solidFill>
        <a:ln w="63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014175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Companhias Código SUSEP</a:t>
          </a:r>
        </a:p>
      </xdr:txBody>
    </xdr:sp>
    <xdr:clientData/>
  </xdr:twoCellAnchor>
  <xdr:twoCellAnchor editAs="oneCell">
    <xdr:from>
      <xdr:col>1</xdr:col>
      <xdr:colOff>2849562</xdr:colOff>
      <xdr:row>0</xdr:row>
      <xdr:rowOff>112714</xdr:rowOff>
    </xdr:from>
    <xdr:to>
      <xdr:col>1</xdr:col>
      <xdr:colOff>5048151</xdr:colOff>
      <xdr:row>2</xdr:row>
      <xdr:rowOff>55547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E01EAEF-574E-4796-92EE-97926C8F0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437" y="112714"/>
          <a:ext cx="2274789" cy="323833"/>
        </a:xfrm>
        <a:prstGeom prst="rect">
          <a:avLst/>
        </a:prstGeom>
      </xdr:spPr>
    </xdr:pic>
    <xdr:clientData/>
  </xdr:twoCellAnchor>
  <xdr:twoCellAnchor editAs="absolute">
    <xdr:from>
      <xdr:col>1</xdr:col>
      <xdr:colOff>1642270</xdr:colOff>
      <xdr:row>2</xdr:row>
      <xdr:rowOff>47624</xdr:rowOff>
    </xdr:from>
    <xdr:to>
      <xdr:col>1</xdr:col>
      <xdr:colOff>2028499</xdr:colOff>
      <xdr:row>2</xdr:row>
      <xdr:rowOff>441719</xdr:rowOff>
    </xdr:to>
    <xdr:grpSp>
      <xdr:nvGrpSpPr>
        <xdr:cNvPr id="2" name="Agrupar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FADF78-B56D-40CC-B111-AA2BDAB386A3}"/>
            </a:ext>
          </a:extLst>
        </xdr:cNvPr>
        <xdr:cNvGrpSpPr>
          <a:grpSpLocks noChangeAspect="1"/>
        </xdr:cNvGrpSpPr>
      </xdr:nvGrpSpPr>
      <xdr:grpSpPr>
        <a:xfrm>
          <a:off x="1781970" y="428624"/>
          <a:ext cx="386229" cy="394095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B2A3B6CF-52E4-C77E-C19B-325E8F301247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7" name="Gráfico 6" descr="Iníci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66086B4-0F7E-A4E8-91F8-B36E1942DC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2749974</xdr:colOff>
      <xdr:row>0</xdr:row>
      <xdr:rowOff>138450</xdr:rowOff>
    </xdr:from>
    <xdr:to>
      <xdr:col>1</xdr:col>
      <xdr:colOff>4623174</xdr:colOff>
      <xdr:row>2</xdr:row>
      <xdr:rowOff>8966</xdr:rowOff>
    </xdr:to>
    <xdr:pic>
      <xdr:nvPicPr>
        <xdr:cNvPr id="17" name="Imagem 4">
          <a:extLst>
            <a:ext uri="{FF2B5EF4-FFF2-40B4-BE49-F238E27FC236}">
              <a16:creationId xmlns:a16="http://schemas.microsoft.com/office/drawing/2014/main" id="{85C308ED-76DE-42A9-B41E-23BDB43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092" y="138450"/>
          <a:ext cx="1873200" cy="247034"/>
        </a:xfrm>
        <a:prstGeom prst="rect">
          <a:avLst/>
        </a:prstGeom>
      </xdr:spPr>
    </xdr:pic>
    <xdr:clientData/>
  </xdr:twoCellAnchor>
  <xdr:twoCellAnchor editAs="absolute">
    <xdr:from>
      <xdr:col>1</xdr:col>
      <xdr:colOff>556559</xdr:colOff>
      <xdr:row>1</xdr:row>
      <xdr:rowOff>98753</xdr:rowOff>
    </xdr:from>
    <xdr:to>
      <xdr:col>1</xdr:col>
      <xdr:colOff>943774</xdr:colOff>
      <xdr:row>2</xdr:row>
      <xdr:rowOff>306494</xdr:rowOff>
    </xdr:to>
    <xdr:grpSp>
      <xdr:nvGrpSpPr>
        <xdr:cNvPr id="5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D2D028-E5E0-4570-88BA-9AC3A58FF2E3}"/>
            </a:ext>
          </a:extLst>
        </xdr:cNvPr>
        <xdr:cNvGrpSpPr>
          <a:grpSpLocks noChangeAspect="1"/>
        </xdr:cNvGrpSpPr>
      </xdr:nvGrpSpPr>
      <xdr:grpSpPr>
        <a:xfrm>
          <a:off x="772459" y="289253"/>
          <a:ext cx="387215" cy="398241"/>
          <a:chOff x="1323975" y="224974"/>
          <a:chExt cx="540000" cy="543626"/>
        </a:xfrm>
      </xdr:grpSpPr>
      <xdr:sp macro="" textlink="">
        <xdr:nvSpPr>
          <xdr:cNvPr id="6" name="Retângulo: Cantos Arredondados 2">
            <a:extLst>
              <a:ext uri="{FF2B5EF4-FFF2-40B4-BE49-F238E27FC236}">
                <a16:creationId xmlns:a16="http://schemas.microsoft.com/office/drawing/2014/main" id="{11073DA0-781A-1415-B33C-4CB48E6FA0B8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7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184562C-F125-878A-EE6E-F21DA169A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2115872</xdr:colOff>
      <xdr:row>0</xdr:row>
      <xdr:rowOff>103716</xdr:rowOff>
    </xdr:from>
    <xdr:to>
      <xdr:col>1</xdr:col>
      <xdr:colOff>4583907</xdr:colOff>
      <xdr:row>2</xdr:row>
      <xdr:rowOff>35066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E113242-F821-4EC0-B7B7-CDDA41E49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435" y="103716"/>
          <a:ext cx="2379706" cy="312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489585</xdr:colOff>
      <xdr:row>1</xdr:row>
      <xdr:rowOff>133667</xdr:rowOff>
    </xdr:from>
    <xdr:to>
      <xdr:col>1</xdr:col>
      <xdr:colOff>958220</xdr:colOff>
      <xdr:row>2</xdr:row>
      <xdr:rowOff>402975</xdr:rowOff>
    </xdr:to>
    <xdr:grpSp>
      <xdr:nvGrpSpPr>
        <xdr:cNvPr id="7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75E79D-7E06-48B4-8809-203BD620B4EC}"/>
            </a:ext>
          </a:extLst>
        </xdr:cNvPr>
        <xdr:cNvGrpSpPr>
          <a:grpSpLocks noChangeAspect="1"/>
        </xdr:cNvGrpSpPr>
      </xdr:nvGrpSpPr>
      <xdr:grpSpPr>
        <a:xfrm>
          <a:off x="718185" y="324167"/>
          <a:ext cx="468635" cy="459808"/>
          <a:chOff x="1323975" y="224974"/>
          <a:chExt cx="540000" cy="543626"/>
        </a:xfrm>
      </xdr:grpSpPr>
      <xdr:sp macro="" textlink="">
        <xdr:nvSpPr>
          <xdr:cNvPr id="8" name="Retângulo: Cantos Arredondados 2">
            <a:extLst>
              <a:ext uri="{FF2B5EF4-FFF2-40B4-BE49-F238E27FC236}">
                <a16:creationId xmlns:a16="http://schemas.microsoft.com/office/drawing/2014/main" id="{CB9DE98F-84AA-9733-5805-D085CEB5877A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08FB49E-13A5-A69E-1292-7DD207742A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1683280</xdr:colOff>
      <xdr:row>0</xdr:row>
      <xdr:rowOff>52655</xdr:rowOff>
    </xdr:from>
    <xdr:to>
      <xdr:col>2</xdr:col>
      <xdr:colOff>0</xdr:colOff>
      <xdr:row>1</xdr:row>
      <xdr:rowOff>170536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D4E45A34-CC2C-4713-8A8A-3DA497C9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74" y="52655"/>
          <a:ext cx="2510391" cy="308381"/>
        </a:xfrm>
        <a:prstGeom prst="rect">
          <a:avLst/>
        </a:prstGeom>
      </xdr:spPr>
    </xdr:pic>
    <xdr:clientData/>
  </xdr:twoCellAnchor>
  <xdr:twoCellAnchor editAs="absolute">
    <xdr:from>
      <xdr:col>1</xdr:col>
      <xdr:colOff>353060</xdr:colOff>
      <xdr:row>1</xdr:row>
      <xdr:rowOff>19526</xdr:rowOff>
    </xdr:from>
    <xdr:to>
      <xdr:col>1</xdr:col>
      <xdr:colOff>826140</xdr:colOff>
      <xdr:row>2</xdr:row>
      <xdr:rowOff>304709</xdr:rowOff>
    </xdr:to>
    <xdr:grpSp>
      <xdr:nvGrpSpPr>
        <xdr:cNvPr id="7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CBA108-6CE2-4E61-BEAD-B215BD2470DE}"/>
            </a:ext>
          </a:extLst>
        </xdr:cNvPr>
        <xdr:cNvGrpSpPr>
          <a:grpSpLocks noChangeAspect="1"/>
        </xdr:cNvGrpSpPr>
      </xdr:nvGrpSpPr>
      <xdr:grpSpPr>
        <a:xfrm>
          <a:off x="530860" y="210026"/>
          <a:ext cx="473080" cy="475683"/>
          <a:chOff x="1323975" y="224974"/>
          <a:chExt cx="540000" cy="543626"/>
        </a:xfrm>
      </xdr:grpSpPr>
      <xdr:sp macro="" textlink="">
        <xdr:nvSpPr>
          <xdr:cNvPr id="8" name="Retângulo: Cantos Arredondados 4">
            <a:extLst>
              <a:ext uri="{FF2B5EF4-FFF2-40B4-BE49-F238E27FC236}">
                <a16:creationId xmlns:a16="http://schemas.microsoft.com/office/drawing/2014/main" id="{66A94829-97E8-0F8E-87E8-9A2483B0D325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E84CF0A-EAFE-846F-B90A-D2451DB327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0</xdr:row>
      <xdr:rowOff>135731</xdr:rowOff>
    </xdr:from>
    <xdr:to>
      <xdr:col>1</xdr:col>
      <xdr:colOff>2545187</xdr:colOff>
      <xdr:row>2</xdr:row>
      <xdr:rowOff>59531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4E6D4DA-1015-4AC0-8667-221FAEE5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664" y="135731"/>
          <a:ext cx="2462636" cy="304800"/>
        </a:xfrm>
        <a:prstGeom prst="rect">
          <a:avLst/>
        </a:prstGeom>
      </xdr:spPr>
    </xdr:pic>
    <xdr:clientData/>
  </xdr:twoCellAnchor>
  <xdr:twoCellAnchor editAs="absolute">
    <xdr:from>
      <xdr:col>1</xdr:col>
      <xdr:colOff>3773609</xdr:colOff>
      <xdr:row>0</xdr:row>
      <xdr:rowOff>47625</xdr:rowOff>
    </xdr:from>
    <xdr:to>
      <xdr:col>1</xdr:col>
      <xdr:colOff>4174452</xdr:colOff>
      <xdr:row>2</xdr:row>
      <xdr:rowOff>69105</xdr:rowOff>
    </xdr:to>
    <xdr:grpSp>
      <xdr:nvGrpSpPr>
        <xdr:cNvPr id="7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7CA7C8-80C1-4DC6-BEE4-61FDF6C7CF30}"/>
            </a:ext>
          </a:extLst>
        </xdr:cNvPr>
        <xdr:cNvGrpSpPr>
          <a:grpSpLocks noChangeAspect="1"/>
        </xdr:cNvGrpSpPr>
      </xdr:nvGrpSpPr>
      <xdr:grpSpPr>
        <a:xfrm>
          <a:off x="4065709" y="47625"/>
          <a:ext cx="400843" cy="402480"/>
          <a:chOff x="1323975" y="224974"/>
          <a:chExt cx="540000" cy="543626"/>
        </a:xfrm>
      </xdr:grpSpPr>
      <xdr:sp macro="" textlink="">
        <xdr:nvSpPr>
          <xdr:cNvPr id="8" name="Retângulo: Cantos Arredondados 4">
            <a:extLst>
              <a:ext uri="{FF2B5EF4-FFF2-40B4-BE49-F238E27FC236}">
                <a16:creationId xmlns:a16="http://schemas.microsoft.com/office/drawing/2014/main" id="{3EFF9804-69A1-55E1-CDD9-C1F2089ABB8E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160141E-161E-5D65-293E-EBA63F7F2A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3985574</xdr:colOff>
      <xdr:row>1</xdr:row>
      <xdr:rowOff>30956</xdr:rowOff>
    </xdr:from>
    <xdr:to>
      <xdr:col>1</xdr:col>
      <xdr:colOff>4381574</xdr:colOff>
      <xdr:row>2</xdr:row>
      <xdr:rowOff>240141</xdr:rowOff>
    </xdr:to>
    <xdr:grpSp>
      <xdr:nvGrpSpPr>
        <xdr:cNvPr id="10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603992-36A5-4B72-BB6E-2E1B3A2381ED}"/>
            </a:ext>
          </a:extLst>
        </xdr:cNvPr>
        <xdr:cNvGrpSpPr>
          <a:grpSpLocks noChangeAspect="1"/>
        </xdr:cNvGrpSpPr>
      </xdr:nvGrpSpPr>
      <xdr:grpSpPr>
        <a:xfrm>
          <a:off x="4099874" y="221456"/>
          <a:ext cx="396000" cy="399685"/>
          <a:chOff x="1323975" y="224974"/>
          <a:chExt cx="540000" cy="543626"/>
        </a:xfrm>
      </xdr:grpSpPr>
      <xdr:sp macro="" textlink="">
        <xdr:nvSpPr>
          <xdr:cNvPr id="11" name="Retângulo: Cantos Arredondados 6">
            <a:extLst>
              <a:ext uri="{FF2B5EF4-FFF2-40B4-BE49-F238E27FC236}">
                <a16:creationId xmlns:a16="http://schemas.microsoft.com/office/drawing/2014/main" id="{AAFBE24D-2FE4-4E04-FD7D-8458A5673ACB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2" name="Gráfico 8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A5D5729-7F02-F613-CD8D-CB864F8292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57150</xdr:colOff>
      <xdr:row>1</xdr:row>
      <xdr:rowOff>9525</xdr:rowOff>
    </xdr:from>
    <xdr:to>
      <xdr:col>1</xdr:col>
      <xdr:colOff>2217150</xdr:colOff>
      <xdr:row>2</xdr:row>
      <xdr:rowOff>107155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7EF9A4-BDAC-41AF-9984-CE2D9D1A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00025"/>
          <a:ext cx="2160000" cy="2881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249646</xdr:colOff>
      <xdr:row>1</xdr:row>
      <xdr:rowOff>36762</xdr:rowOff>
    </xdr:from>
    <xdr:to>
      <xdr:col>1</xdr:col>
      <xdr:colOff>701449</xdr:colOff>
      <xdr:row>2</xdr:row>
      <xdr:rowOff>299182</xdr:rowOff>
    </xdr:to>
    <xdr:grpSp>
      <xdr:nvGrpSpPr>
        <xdr:cNvPr id="7" name="Agrupar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773CAE-E4B1-4CC3-8268-07BEC8BDDE0D}"/>
            </a:ext>
          </a:extLst>
        </xdr:cNvPr>
        <xdr:cNvGrpSpPr>
          <a:grpSpLocks noChangeAspect="1"/>
        </xdr:cNvGrpSpPr>
      </xdr:nvGrpSpPr>
      <xdr:grpSpPr>
        <a:xfrm>
          <a:off x="490946" y="227262"/>
          <a:ext cx="451803" cy="452920"/>
          <a:chOff x="1323975" y="224974"/>
          <a:chExt cx="540000" cy="543626"/>
        </a:xfrm>
      </xdr:grpSpPr>
      <xdr:sp macro="" textlink="">
        <xdr:nvSpPr>
          <xdr:cNvPr id="8" name="Retângulo: Cantos Arredondados 4">
            <a:extLst>
              <a:ext uri="{FF2B5EF4-FFF2-40B4-BE49-F238E27FC236}">
                <a16:creationId xmlns:a16="http://schemas.microsoft.com/office/drawing/2014/main" id="{B33A6F5E-AA4E-A823-955F-9FBF54A7AB96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5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1E785226-D998-80BC-F381-AA0B17973C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2001520</xdr:colOff>
      <xdr:row>1</xdr:row>
      <xdr:rowOff>60960</xdr:rowOff>
    </xdr:from>
    <xdr:to>
      <xdr:col>1</xdr:col>
      <xdr:colOff>4460981</xdr:colOff>
      <xdr:row>2</xdr:row>
      <xdr:rowOff>177800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50FAB1-7912-4934-A5A2-AFE8FEB18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360" y="254000"/>
          <a:ext cx="2459461" cy="3098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3444875</xdr:colOff>
      <xdr:row>0</xdr:row>
      <xdr:rowOff>158750</xdr:rowOff>
    </xdr:from>
    <xdr:to>
      <xdr:col>2</xdr:col>
      <xdr:colOff>3978538</xdr:colOff>
      <xdr:row>2</xdr:row>
      <xdr:rowOff>307167</xdr:rowOff>
    </xdr:to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60C10-DB29-4F7E-947E-AC47BC8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463925" y="161925"/>
          <a:ext cx="524138" cy="5357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0</xdr:row>
      <xdr:rowOff>169333</xdr:rowOff>
    </xdr:from>
    <xdr:to>
      <xdr:col>2</xdr:col>
      <xdr:colOff>2412584</xdr:colOff>
      <xdr:row>2</xdr:row>
      <xdr:rowOff>88830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2EF13B-374B-4A2F-BC08-050CE4DA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69333"/>
          <a:ext cx="2412584" cy="31002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41199</xdr:colOff>
      <xdr:row>0</xdr:row>
      <xdr:rowOff>192990</xdr:rowOff>
    </xdr:from>
    <xdr:to>
      <xdr:col>1</xdr:col>
      <xdr:colOff>2438966</xdr:colOff>
      <xdr:row>2</xdr:row>
      <xdr:rowOff>132660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17CCE34-3FA2-470B-8482-41BF3DFD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99" y="192990"/>
          <a:ext cx="2397767" cy="325750"/>
        </a:xfrm>
        <a:prstGeom prst="rect">
          <a:avLst/>
        </a:prstGeom>
      </xdr:spPr>
    </xdr:pic>
    <xdr:clientData/>
  </xdr:twoCellAnchor>
  <xdr:twoCellAnchor editAs="absolute">
    <xdr:from>
      <xdr:col>1</xdr:col>
      <xdr:colOff>2940922</xdr:colOff>
      <xdr:row>1</xdr:row>
      <xdr:rowOff>177091</xdr:rowOff>
    </xdr:from>
    <xdr:to>
      <xdr:col>1</xdr:col>
      <xdr:colOff>3336922</xdr:colOff>
      <xdr:row>2</xdr:row>
      <xdr:rowOff>380051</xdr:rowOff>
    </xdr:to>
    <xdr:grpSp>
      <xdr:nvGrpSpPr>
        <xdr:cNvPr id="6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A5F1F8-2F24-4F4F-B129-3702EA8A572C}"/>
            </a:ext>
          </a:extLst>
        </xdr:cNvPr>
        <xdr:cNvGrpSpPr>
          <a:grpSpLocks noChangeAspect="1"/>
        </xdr:cNvGrpSpPr>
      </xdr:nvGrpSpPr>
      <xdr:grpSpPr>
        <a:xfrm>
          <a:off x="3233022" y="367591"/>
          <a:ext cx="396000" cy="393460"/>
          <a:chOff x="1323975" y="224974"/>
          <a:chExt cx="540000" cy="543626"/>
        </a:xfrm>
      </xdr:grpSpPr>
      <xdr:sp macro="" textlink="">
        <xdr:nvSpPr>
          <xdr:cNvPr id="7" name="Retângulo: Cantos Arredondados 3">
            <a:extLst>
              <a:ext uri="{FF2B5EF4-FFF2-40B4-BE49-F238E27FC236}">
                <a16:creationId xmlns:a16="http://schemas.microsoft.com/office/drawing/2014/main" id="{367CA870-EC63-925E-870D-8F3480E5BAC9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8" name="Gráfico 4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428F022-8055-0818-7D71-4D01E80CFA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115981</xdr:colOff>
      <xdr:row>0</xdr:row>
      <xdr:rowOff>119968</xdr:rowOff>
    </xdr:from>
    <xdr:to>
      <xdr:col>1</xdr:col>
      <xdr:colOff>2411327</xdr:colOff>
      <xdr:row>2</xdr:row>
      <xdr:rowOff>32109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6D01BE70-4364-4CCB-99ED-EB84B06D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7" y="119968"/>
          <a:ext cx="2298521" cy="296316"/>
        </a:xfrm>
        <a:prstGeom prst="rect">
          <a:avLst/>
        </a:prstGeom>
      </xdr:spPr>
    </xdr:pic>
    <xdr:clientData/>
  </xdr:twoCellAnchor>
  <xdr:twoCellAnchor editAs="absolute">
    <xdr:from>
      <xdr:col>1</xdr:col>
      <xdr:colOff>3104197</xdr:colOff>
      <xdr:row>1</xdr:row>
      <xdr:rowOff>54768</xdr:rowOff>
    </xdr:from>
    <xdr:to>
      <xdr:col>1</xdr:col>
      <xdr:colOff>3500197</xdr:colOff>
      <xdr:row>2</xdr:row>
      <xdr:rowOff>260268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44A5C2-8C90-4E86-8124-DBC8E1ECE742}"/>
            </a:ext>
          </a:extLst>
        </xdr:cNvPr>
        <xdr:cNvGrpSpPr>
          <a:grpSpLocks noChangeAspect="1"/>
        </xdr:cNvGrpSpPr>
      </xdr:nvGrpSpPr>
      <xdr:grpSpPr>
        <a:xfrm>
          <a:off x="3713797" y="245268"/>
          <a:ext cx="396000" cy="396000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6F37C5D9-FF7B-1A21-BC75-3FF2F1AD6021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3B63914-2543-D59A-EB5B-12E719C039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383380</xdr:colOff>
      <xdr:row>2</xdr:row>
      <xdr:rowOff>164572</xdr:rowOff>
    </xdr:from>
    <xdr:to>
      <xdr:col>0</xdr:col>
      <xdr:colOff>1279780</xdr:colOff>
      <xdr:row>2</xdr:row>
      <xdr:rowOff>563930</xdr:rowOff>
    </xdr:to>
    <xdr:sp macro="" textlink="">
      <xdr:nvSpPr>
        <xdr:cNvPr id="16" name="Rectangle 2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F26E9A-B455-43EE-A6A0-C17E519A46D0}"/>
            </a:ext>
          </a:extLst>
        </xdr:cNvPr>
        <xdr:cNvSpPr/>
      </xdr:nvSpPr>
      <xdr:spPr bwMode="gray">
        <a:xfrm>
          <a:off x="383380" y="545572"/>
          <a:ext cx="896400" cy="399358"/>
        </a:xfrm>
        <a:prstGeom prst="roundRect">
          <a:avLst>
            <a:gd name="adj" fmla="val 10342"/>
          </a:avLst>
        </a:prstGeom>
        <a:solidFill>
          <a:schemeClr val="bg1"/>
        </a:solidFill>
        <a:ln w="63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014175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Segmentos Código SUSEP</a:t>
          </a:r>
        </a:p>
      </xdr:txBody>
    </xdr:sp>
    <xdr:clientData/>
  </xdr:twoCellAnchor>
  <xdr:oneCellAnchor>
    <xdr:from>
      <xdr:col>0</xdr:col>
      <xdr:colOff>2366326</xdr:colOff>
      <xdr:row>0</xdr:row>
      <xdr:rowOff>128853</xdr:rowOff>
    </xdr:from>
    <xdr:ext cx="2255997" cy="288000"/>
    <xdr:pic>
      <xdr:nvPicPr>
        <xdr:cNvPr id="3" name="Imagem 2">
          <a:extLst>
            <a:ext uri="{FF2B5EF4-FFF2-40B4-BE49-F238E27FC236}">
              <a16:creationId xmlns:a16="http://schemas.microsoft.com/office/drawing/2014/main" id="{4A84CB78-74C6-4DAE-9C7F-17EDBFEC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326" y="128853"/>
          <a:ext cx="2255997" cy="288000"/>
        </a:xfrm>
        <a:prstGeom prst="rect">
          <a:avLst/>
        </a:prstGeom>
      </xdr:spPr>
    </xdr:pic>
    <xdr:clientData/>
  </xdr:oneCellAnchor>
  <xdr:twoCellAnchor editAs="absolute">
    <xdr:from>
      <xdr:col>0</xdr:col>
      <xdr:colOff>649409</xdr:colOff>
      <xdr:row>0</xdr:row>
      <xdr:rowOff>79563</xdr:rowOff>
    </xdr:from>
    <xdr:to>
      <xdr:col>0</xdr:col>
      <xdr:colOff>1045409</xdr:colOff>
      <xdr:row>2</xdr:row>
      <xdr:rowOff>89535</xdr:rowOff>
    </xdr:to>
    <xdr:grpSp>
      <xdr:nvGrpSpPr>
        <xdr:cNvPr id="8" name="Agrupar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BCBB62-7DB3-4F02-A0CF-DBE73F6B3D22}"/>
            </a:ext>
          </a:extLst>
        </xdr:cNvPr>
        <xdr:cNvGrpSpPr>
          <a:grpSpLocks noChangeAspect="1"/>
        </xdr:cNvGrpSpPr>
      </xdr:nvGrpSpPr>
      <xdr:grpSpPr>
        <a:xfrm>
          <a:off x="649409" y="79563"/>
          <a:ext cx="396000" cy="390972"/>
          <a:chOff x="1323975" y="224974"/>
          <a:chExt cx="540000" cy="543626"/>
        </a:xfrm>
      </xdr:grpSpPr>
      <xdr:sp macro="" textlink="">
        <xdr:nvSpPr>
          <xdr:cNvPr id="9" name="Retângulo: Cantos Arredondados 5">
            <a:extLst>
              <a:ext uri="{FF2B5EF4-FFF2-40B4-BE49-F238E27FC236}">
                <a16:creationId xmlns:a16="http://schemas.microsoft.com/office/drawing/2014/main" id="{66C3D931-A4AC-0D8D-B1ED-B579B91703BB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0" name="Gráfico 6" descr="Iníci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52C9E50-8FAB-0497-CF66-86314F6BE8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1763447</xdr:colOff>
      <xdr:row>0</xdr:row>
      <xdr:rowOff>59795</xdr:rowOff>
    </xdr:from>
    <xdr:to>
      <xdr:col>0</xdr:col>
      <xdr:colOff>4036219</xdr:colOff>
      <xdr:row>1</xdr:row>
      <xdr:rowOff>169946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1447D5E-ECCD-42A6-9B54-CC826895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447" y="59795"/>
          <a:ext cx="2362508" cy="292396"/>
        </a:xfrm>
        <a:prstGeom prst="rect">
          <a:avLst/>
        </a:prstGeom>
      </xdr:spPr>
    </xdr:pic>
    <xdr:clientData/>
  </xdr:twoCellAnchor>
  <xdr:twoCellAnchor editAs="absolute">
    <xdr:from>
      <xdr:col>0</xdr:col>
      <xdr:colOff>1721232</xdr:colOff>
      <xdr:row>2</xdr:row>
      <xdr:rowOff>63593</xdr:rowOff>
    </xdr:from>
    <xdr:to>
      <xdr:col>0</xdr:col>
      <xdr:colOff>2202567</xdr:colOff>
      <xdr:row>2</xdr:row>
      <xdr:rowOff>558961</xdr:rowOff>
    </xdr:to>
    <xdr:grpSp>
      <xdr:nvGrpSpPr>
        <xdr:cNvPr id="6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83CF7D-87A3-49D8-AE37-C8721BFFB5ED}"/>
            </a:ext>
          </a:extLst>
        </xdr:cNvPr>
        <xdr:cNvGrpSpPr>
          <a:grpSpLocks noChangeAspect="1"/>
        </xdr:cNvGrpSpPr>
      </xdr:nvGrpSpPr>
      <xdr:grpSpPr>
        <a:xfrm>
          <a:off x="1721232" y="444593"/>
          <a:ext cx="481335" cy="495368"/>
          <a:chOff x="1323975" y="224974"/>
          <a:chExt cx="540000" cy="543626"/>
        </a:xfrm>
      </xdr:grpSpPr>
      <xdr:sp macro="" textlink="">
        <xdr:nvSpPr>
          <xdr:cNvPr id="7" name="Retângulo: Cantos Arredondados 3">
            <a:extLst>
              <a:ext uri="{FF2B5EF4-FFF2-40B4-BE49-F238E27FC236}">
                <a16:creationId xmlns:a16="http://schemas.microsoft.com/office/drawing/2014/main" id="{88BEAFFF-379B-622C-B770-35594CFF20DC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8" name="Gráfico 4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AB67DB2-FB68-5FE9-2E9B-ACA7DF4F59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186689</xdr:colOff>
      <xdr:row>1</xdr:row>
      <xdr:rowOff>63024</xdr:rowOff>
    </xdr:from>
    <xdr:to>
      <xdr:col>0</xdr:col>
      <xdr:colOff>2332195</xdr:colOff>
      <xdr:row>2</xdr:row>
      <xdr:rowOff>179071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90DFD0E-E8CC-4558-953C-02181D9B5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89" y="256064"/>
          <a:ext cx="2145506" cy="309087"/>
        </a:xfrm>
        <a:prstGeom prst="rect">
          <a:avLst/>
        </a:prstGeom>
      </xdr:spPr>
    </xdr:pic>
    <xdr:clientData/>
  </xdr:twoCellAnchor>
  <xdr:twoCellAnchor editAs="absolute">
    <xdr:from>
      <xdr:col>0</xdr:col>
      <xdr:colOff>4101428</xdr:colOff>
      <xdr:row>1</xdr:row>
      <xdr:rowOff>107632</xdr:rowOff>
    </xdr:from>
    <xdr:to>
      <xdr:col>0</xdr:col>
      <xdr:colOff>4497428</xdr:colOff>
      <xdr:row>2</xdr:row>
      <xdr:rowOff>310592</xdr:rowOff>
    </xdr:to>
    <xdr:grpSp>
      <xdr:nvGrpSpPr>
        <xdr:cNvPr id="2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22ABB-082C-4D2E-9456-5DE92D34B4F9}"/>
            </a:ext>
          </a:extLst>
        </xdr:cNvPr>
        <xdr:cNvGrpSpPr>
          <a:grpSpLocks noChangeAspect="1"/>
        </xdr:cNvGrpSpPr>
      </xdr:nvGrpSpPr>
      <xdr:grpSpPr>
        <a:xfrm>
          <a:off x="4101428" y="298132"/>
          <a:ext cx="396000" cy="393460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357DEF64-D50C-BC65-FCAE-A8D245998FE7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1F99E65-67DC-D8EE-9BB9-04872D5D43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105833</xdr:colOff>
      <xdr:row>0</xdr:row>
      <xdr:rowOff>139700</xdr:rowOff>
    </xdr:from>
    <xdr:to>
      <xdr:col>0</xdr:col>
      <xdr:colOff>2630296</xdr:colOff>
      <xdr:row>2</xdr:row>
      <xdr:rowOff>86917</xdr:rowOff>
    </xdr:to>
    <xdr:pic>
      <xdr:nvPicPr>
        <xdr:cNvPr id="6" name="Imagem 3">
          <a:extLst>
            <a:ext uri="{FF2B5EF4-FFF2-40B4-BE49-F238E27FC236}">
              <a16:creationId xmlns:a16="http://schemas.microsoft.com/office/drawing/2014/main" id="{4E96C73C-3432-493A-8B1B-122F2C8C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" y="142875"/>
          <a:ext cx="2527638" cy="321867"/>
        </a:xfrm>
        <a:prstGeom prst="rect">
          <a:avLst/>
        </a:prstGeom>
      </xdr:spPr>
    </xdr:pic>
    <xdr:clientData/>
  </xdr:twoCellAnchor>
  <xdr:twoCellAnchor editAs="absolute">
    <xdr:from>
      <xdr:col>0</xdr:col>
      <xdr:colOff>4000500</xdr:colOff>
      <xdr:row>1</xdr:row>
      <xdr:rowOff>127000</xdr:rowOff>
    </xdr:from>
    <xdr:to>
      <xdr:col>0</xdr:col>
      <xdr:colOff>4429325</xdr:colOff>
      <xdr:row>2</xdr:row>
      <xdr:rowOff>368225</xdr:rowOff>
    </xdr:to>
    <xdr:grpSp>
      <xdr:nvGrpSpPr>
        <xdr:cNvPr id="2" name="Agrupar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37E5E-CB8B-431D-8D79-9AACF8D91262}"/>
            </a:ext>
          </a:extLst>
        </xdr:cNvPr>
        <xdr:cNvGrpSpPr>
          <a:grpSpLocks noChangeAspect="1"/>
        </xdr:cNvGrpSpPr>
      </xdr:nvGrpSpPr>
      <xdr:grpSpPr>
        <a:xfrm>
          <a:off x="4000500" y="317500"/>
          <a:ext cx="428825" cy="431725"/>
          <a:chOff x="1323975" y="224974"/>
          <a:chExt cx="540000" cy="543626"/>
        </a:xfrm>
      </xdr:grpSpPr>
      <xdr:sp macro="" textlink="">
        <xdr:nvSpPr>
          <xdr:cNvPr id="3" name="Retângulo: Cantos Arredondados 10">
            <a:extLst>
              <a:ext uri="{FF2B5EF4-FFF2-40B4-BE49-F238E27FC236}">
                <a16:creationId xmlns:a16="http://schemas.microsoft.com/office/drawing/2014/main" id="{92492A4A-E066-9F63-0622-7C07FCD6A1E0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11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A32A38F-C183-6D4C-DADC-FACB67466A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57940</xdr:colOff>
      <xdr:row>1</xdr:row>
      <xdr:rowOff>21117</xdr:rowOff>
    </xdr:from>
    <xdr:to>
      <xdr:col>1</xdr:col>
      <xdr:colOff>2440145</xdr:colOff>
      <xdr:row>2</xdr:row>
      <xdr:rowOff>169055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689A71-1EB1-48E9-B51C-F7BBA208A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40" y="211617"/>
          <a:ext cx="2382205" cy="338438"/>
        </a:xfrm>
        <a:prstGeom prst="rect">
          <a:avLst/>
        </a:prstGeom>
      </xdr:spPr>
    </xdr:pic>
    <xdr:clientData/>
  </xdr:twoCellAnchor>
  <xdr:twoCellAnchor editAs="absolute">
    <xdr:from>
      <xdr:col>1</xdr:col>
      <xdr:colOff>4069396</xdr:colOff>
      <xdr:row>1</xdr:row>
      <xdr:rowOff>46196</xdr:rowOff>
    </xdr:from>
    <xdr:to>
      <xdr:col>1</xdr:col>
      <xdr:colOff>4465396</xdr:colOff>
      <xdr:row>2</xdr:row>
      <xdr:rowOff>250450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89DE24-44EB-4033-AFD1-838BBFEB539D}"/>
            </a:ext>
          </a:extLst>
        </xdr:cNvPr>
        <xdr:cNvGrpSpPr>
          <a:grpSpLocks noChangeAspect="1"/>
        </xdr:cNvGrpSpPr>
      </xdr:nvGrpSpPr>
      <xdr:grpSpPr>
        <a:xfrm>
          <a:off x="4247990" y="236696"/>
          <a:ext cx="396000" cy="394754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61432B77-7553-ABB3-A92B-00655639CAF9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A2F6F31-406A-B242-B95F-BC579FB0CA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2443956</xdr:colOff>
      <xdr:row>0</xdr:row>
      <xdr:rowOff>120913</xdr:rowOff>
    </xdr:from>
    <xdr:to>
      <xdr:col>0</xdr:col>
      <xdr:colOff>4585652</xdr:colOff>
      <xdr:row>2</xdr:row>
      <xdr:rowOff>46052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A43B6B-A160-422D-A1AC-F5BA33EA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956" y="120913"/>
          <a:ext cx="2141696" cy="306139"/>
        </a:xfrm>
        <a:prstGeom prst="rect">
          <a:avLst/>
        </a:prstGeom>
      </xdr:spPr>
    </xdr:pic>
    <xdr:clientData/>
  </xdr:twoCellAnchor>
  <xdr:twoCellAnchor editAs="absolute">
    <xdr:from>
      <xdr:col>0</xdr:col>
      <xdr:colOff>411957</xdr:colOff>
      <xdr:row>2</xdr:row>
      <xdr:rowOff>21218</xdr:rowOff>
    </xdr:from>
    <xdr:to>
      <xdr:col>0</xdr:col>
      <xdr:colOff>807957</xdr:colOff>
      <xdr:row>2</xdr:row>
      <xdr:rowOff>417218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0B44F5-6860-4427-B68C-AE3AE7A2DA06}"/>
            </a:ext>
          </a:extLst>
        </xdr:cNvPr>
        <xdr:cNvGrpSpPr>
          <a:grpSpLocks noChangeAspect="1"/>
        </xdr:cNvGrpSpPr>
      </xdr:nvGrpSpPr>
      <xdr:grpSpPr>
        <a:xfrm>
          <a:off x="411957" y="402218"/>
          <a:ext cx="396000" cy="396000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D348BAE9-537C-20AF-3210-6A0F87432A1B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478307D-D8C2-CC06-AFCF-2F442C62B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4041739</xdr:colOff>
      <xdr:row>0</xdr:row>
      <xdr:rowOff>174467</xdr:rowOff>
    </xdr:from>
    <xdr:to>
      <xdr:col>1</xdr:col>
      <xdr:colOff>4437739</xdr:colOff>
      <xdr:row>2</xdr:row>
      <xdr:rowOff>171430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952BE8-9EDF-40EC-A151-1CE9C37BB95A}"/>
            </a:ext>
          </a:extLst>
        </xdr:cNvPr>
        <xdr:cNvGrpSpPr>
          <a:grpSpLocks noChangeAspect="1"/>
        </xdr:cNvGrpSpPr>
      </xdr:nvGrpSpPr>
      <xdr:grpSpPr>
        <a:xfrm>
          <a:off x="4232239" y="174467"/>
          <a:ext cx="396000" cy="377963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E2B5C23A-862F-6A14-0863-083D63FB5F63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4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D87E3DC-9CA6-2B2A-BECE-C159782BC4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257175</xdr:colOff>
      <xdr:row>1</xdr:row>
      <xdr:rowOff>0</xdr:rowOff>
    </xdr:from>
    <xdr:to>
      <xdr:col>1</xdr:col>
      <xdr:colOff>2417175</xdr:colOff>
      <xdr:row>2</xdr:row>
      <xdr:rowOff>97630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576C616-E6F6-4FE0-A050-E7BE23E5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90500"/>
          <a:ext cx="2160000" cy="2881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59786</xdr:colOff>
      <xdr:row>1</xdr:row>
      <xdr:rowOff>160347</xdr:rowOff>
    </xdr:from>
    <xdr:ext cx="2255997" cy="288000"/>
    <xdr:pic>
      <xdr:nvPicPr>
        <xdr:cNvPr id="3" name="Imagem 2">
          <a:extLst>
            <a:ext uri="{FF2B5EF4-FFF2-40B4-BE49-F238E27FC236}">
              <a16:creationId xmlns:a16="http://schemas.microsoft.com/office/drawing/2014/main" id="{75FBA65A-F682-47D5-8BDE-DD4F7EF5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26" y="350847"/>
          <a:ext cx="2255997" cy="288000"/>
        </a:xfrm>
        <a:prstGeom prst="rect">
          <a:avLst/>
        </a:prstGeom>
      </xdr:spPr>
    </xdr:pic>
    <xdr:clientData/>
  </xdr:oneCellAnchor>
  <xdr:twoCellAnchor editAs="absolute">
    <xdr:from>
      <xdr:col>1</xdr:col>
      <xdr:colOff>4108711</xdr:colOff>
      <xdr:row>1</xdr:row>
      <xdr:rowOff>188913</xdr:rowOff>
    </xdr:from>
    <xdr:to>
      <xdr:col>1</xdr:col>
      <xdr:colOff>4504711</xdr:colOff>
      <xdr:row>2</xdr:row>
      <xdr:rowOff>394413</xdr:rowOff>
    </xdr:to>
    <xdr:grpSp>
      <xdr:nvGrpSpPr>
        <xdr:cNvPr id="7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3F8CC-B795-4CA4-ADF4-2B8903B38068}"/>
            </a:ext>
          </a:extLst>
        </xdr:cNvPr>
        <xdr:cNvGrpSpPr>
          <a:grpSpLocks noChangeAspect="1"/>
        </xdr:cNvGrpSpPr>
      </xdr:nvGrpSpPr>
      <xdr:grpSpPr>
        <a:xfrm>
          <a:off x="4350011" y="379413"/>
          <a:ext cx="396000" cy="396000"/>
          <a:chOff x="1323975" y="224974"/>
          <a:chExt cx="540000" cy="543626"/>
        </a:xfrm>
      </xdr:grpSpPr>
      <xdr:sp macro="" textlink="">
        <xdr:nvSpPr>
          <xdr:cNvPr id="8" name="Retângulo: Cantos Arredondados 4">
            <a:extLst>
              <a:ext uri="{FF2B5EF4-FFF2-40B4-BE49-F238E27FC236}">
                <a16:creationId xmlns:a16="http://schemas.microsoft.com/office/drawing/2014/main" id="{38EBBDA2-4B71-4394-7427-0DA307FE6294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5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313165A-BC12-796A-87E9-6014978125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1497542</xdr:colOff>
      <xdr:row>0</xdr:row>
      <xdr:rowOff>51064</xdr:rowOff>
    </xdr:from>
    <xdr:to>
      <xdr:col>1</xdr:col>
      <xdr:colOff>3917156</xdr:colOff>
      <xdr:row>2</xdr:row>
      <xdr:rowOff>670</xdr:rowOff>
    </xdr:to>
    <xdr:pic>
      <xdr:nvPicPr>
        <xdr:cNvPr id="16" name="Imagem 4">
          <a:extLst>
            <a:ext uri="{FF2B5EF4-FFF2-40B4-BE49-F238E27FC236}">
              <a16:creationId xmlns:a16="http://schemas.microsoft.com/office/drawing/2014/main" id="{9AAFDD40-8345-4C54-94B0-D04D80B0E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136" y="51064"/>
          <a:ext cx="2379706" cy="330606"/>
        </a:xfrm>
        <a:prstGeom prst="rect">
          <a:avLst/>
        </a:prstGeom>
      </xdr:spPr>
    </xdr:pic>
    <xdr:clientData/>
  </xdr:twoCellAnchor>
  <xdr:twoCellAnchor editAs="absolute">
    <xdr:from>
      <xdr:col>1</xdr:col>
      <xdr:colOff>3254852</xdr:colOff>
      <xdr:row>2</xdr:row>
      <xdr:rowOff>59532</xdr:rowOff>
    </xdr:from>
    <xdr:to>
      <xdr:col>1</xdr:col>
      <xdr:colOff>3750157</xdr:colOff>
      <xdr:row>2</xdr:row>
      <xdr:rowOff>535215</xdr:rowOff>
    </xdr:to>
    <xdr:grpSp>
      <xdr:nvGrpSpPr>
        <xdr:cNvPr id="5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1FEC60-EB8F-4F56-A983-7A060CDB0D42}"/>
            </a:ext>
          </a:extLst>
        </xdr:cNvPr>
        <xdr:cNvGrpSpPr>
          <a:grpSpLocks noChangeAspect="1"/>
        </xdr:cNvGrpSpPr>
      </xdr:nvGrpSpPr>
      <xdr:grpSpPr>
        <a:xfrm>
          <a:off x="3432652" y="440532"/>
          <a:ext cx="495305" cy="475683"/>
          <a:chOff x="1323975" y="224974"/>
          <a:chExt cx="540000" cy="543626"/>
        </a:xfrm>
      </xdr:grpSpPr>
      <xdr:sp macro="" textlink="">
        <xdr:nvSpPr>
          <xdr:cNvPr id="6" name="Retângulo: Cantos Arredondados 2">
            <a:extLst>
              <a:ext uri="{FF2B5EF4-FFF2-40B4-BE49-F238E27FC236}">
                <a16:creationId xmlns:a16="http://schemas.microsoft.com/office/drawing/2014/main" id="{28BA1CA3-19B7-57F2-0009-D8B0BA65076E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7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EFE564B-6FAE-D468-09F3-B3A3F51C2B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170022</xdr:colOff>
      <xdr:row>0</xdr:row>
      <xdr:rowOff>98849</xdr:rowOff>
    </xdr:from>
    <xdr:to>
      <xdr:col>1</xdr:col>
      <xdr:colOff>2339340</xdr:colOff>
      <xdr:row>2</xdr:row>
      <xdr:rowOff>42105</xdr:rowOff>
    </xdr:to>
    <xdr:pic>
      <xdr:nvPicPr>
        <xdr:cNvPr id="26" name="Imagem 3">
          <a:extLst>
            <a:ext uri="{FF2B5EF4-FFF2-40B4-BE49-F238E27FC236}">
              <a16:creationId xmlns:a16="http://schemas.microsoft.com/office/drawing/2014/main" id="{DCFBCD1A-7478-46C5-97D0-6C1AAAC9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22" y="98849"/>
          <a:ext cx="2344578" cy="324256"/>
        </a:xfrm>
        <a:prstGeom prst="rect">
          <a:avLst/>
        </a:prstGeom>
      </xdr:spPr>
    </xdr:pic>
    <xdr:clientData/>
  </xdr:twoCellAnchor>
  <xdr:twoCellAnchor editAs="absolute">
    <xdr:from>
      <xdr:col>1</xdr:col>
      <xdr:colOff>3582671</xdr:colOff>
      <xdr:row>1</xdr:row>
      <xdr:rowOff>156687</xdr:rowOff>
    </xdr:from>
    <xdr:to>
      <xdr:col>1</xdr:col>
      <xdr:colOff>3977046</xdr:colOff>
      <xdr:row>2</xdr:row>
      <xdr:rowOff>359647</xdr:rowOff>
    </xdr:to>
    <xdr:grpSp>
      <xdr:nvGrpSpPr>
        <xdr:cNvPr id="5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90776F-1B98-40D8-8FC7-4505D3515726}"/>
            </a:ext>
          </a:extLst>
        </xdr:cNvPr>
        <xdr:cNvGrpSpPr>
          <a:grpSpLocks noChangeAspect="1"/>
        </xdr:cNvGrpSpPr>
      </xdr:nvGrpSpPr>
      <xdr:grpSpPr>
        <a:xfrm>
          <a:off x="3760471" y="347187"/>
          <a:ext cx="394375" cy="393460"/>
          <a:chOff x="1323975" y="224974"/>
          <a:chExt cx="540000" cy="543626"/>
        </a:xfrm>
      </xdr:grpSpPr>
      <xdr:sp macro="" textlink="">
        <xdr:nvSpPr>
          <xdr:cNvPr id="6" name="Retângulo: Cantos Arredondados 2">
            <a:extLst>
              <a:ext uri="{FF2B5EF4-FFF2-40B4-BE49-F238E27FC236}">
                <a16:creationId xmlns:a16="http://schemas.microsoft.com/office/drawing/2014/main" id="{F5F9B894-A561-573D-24EB-07579FA2057D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7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1E5A3A9-5044-AA91-C1AE-C804F617B9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49478</xdr:rowOff>
    </xdr:from>
    <xdr:to>
      <xdr:col>1</xdr:col>
      <xdr:colOff>2419350</xdr:colOff>
      <xdr:row>2</xdr:row>
      <xdr:rowOff>6651</xdr:rowOff>
    </xdr:to>
    <xdr:pic>
      <xdr:nvPicPr>
        <xdr:cNvPr id="20" name="Imagem 2">
          <a:extLst>
            <a:ext uri="{FF2B5EF4-FFF2-40B4-BE49-F238E27FC236}">
              <a16:creationId xmlns:a16="http://schemas.microsoft.com/office/drawing/2014/main" id="{74F8BF73-B4B3-4A42-853F-C2460B56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6" y="49478"/>
          <a:ext cx="2412209" cy="338173"/>
        </a:xfrm>
        <a:prstGeom prst="rect">
          <a:avLst/>
        </a:prstGeom>
      </xdr:spPr>
    </xdr:pic>
    <xdr:clientData/>
  </xdr:twoCellAnchor>
  <xdr:twoCellAnchor editAs="absolute">
    <xdr:from>
      <xdr:col>1</xdr:col>
      <xdr:colOff>3403124</xdr:colOff>
      <xdr:row>1</xdr:row>
      <xdr:rowOff>110808</xdr:rowOff>
    </xdr:from>
    <xdr:to>
      <xdr:col>1</xdr:col>
      <xdr:colOff>3799124</xdr:colOff>
      <xdr:row>2</xdr:row>
      <xdr:rowOff>313820</xdr:rowOff>
    </xdr:to>
    <xdr:grpSp>
      <xdr:nvGrpSpPr>
        <xdr:cNvPr id="8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EB19A0-E448-4CD9-BD28-30A5F2441386}"/>
            </a:ext>
          </a:extLst>
        </xdr:cNvPr>
        <xdr:cNvGrpSpPr>
          <a:grpSpLocks noChangeAspect="1"/>
        </xdr:cNvGrpSpPr>
      </xdr:nvGrpSpPr>
      <xdr:grpSpPr>
        <a:xfrm>
          <a:off x="3580924" y="301308"/>
          <a:ext cx="396000" cy="393512"/>
          <a:chOff x="1323975" y="224974"/>
          <a:chExt cx="540000" cy="543626"/>
        </a:xfrm>
      </xdr:grpSpPr>
      <xdr:sp macro="" textlink="">
        <xdr:nvSpPr>
          <xdr:cNvPr id="9" name="Retângulo: Cantos Arredondados 5">
            <a:extLst>
              <a:ext uri="{FF2B5EF4-FFF2-40B4-BE49-F238E27FC236}">
                <a16:creationId xmlns:a16="http://schemas.microsoft.com/office/drawing/2014/main" id="{45463538-F40E-CCFE-5ED3-18AD44A60224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0" name="Gráfico 6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A0BCCDD-1D61-D8B2-6D01-86337F85C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44825</xdr:colOff>
      <xdr:row>1</xdr:row>
      <xdr:rowOff>78442</xdr:rowOff>
    </xdr:from>
    <xdr:ext cx="2520000" cy="358588"/>
    <xdr:pic>
      <xdr:nvPicPr>
        <xdr:cNvPr id="5" name="Imagem 3">
          <a:extLst>
            <a:ext uri="{FF2B5EF4-FFF2-40B4-BE49-F238E27FC236}">
              <a16:creationId xmlns:a16="http://schemas.microsoft.com/office/drawing/2014/main" id="{E31BE5EE-AEE4-47F8-A84C-E8F40592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4" y="268942"/>
          <a:ext cx="2520000" cy="358588"/>
        </a:xfrm>
        <a:prstGeom prst="rect">
          <a:avLst/>
        </a:prstGeom>
      </xdr:spPr>
    </xdr:pic>
    <xdr:clientData/>
  </xdr:oneCellAnchor>
  <xdr:twoCellAnchor editAs="absolute">
    <xdr:from>
      <xdr:col>1</xdr:col>
      <xdr:colOff>2809241</xdr:colOff>
      <xdr:row>0</xdr:row>
      <xdr:rowOff>120968</xdr:rowOff>
    </xdr:from>
    <xdr:to>
      <xdr:col>1</xdr:col>
      <xdr:colOff>3302800</xdr:colOff>
      <xdr:row>2</xdr:row>
      <xdr:rowOff>222001</xdr:rowOff>
    </xdr:to>
    <xdr:grpSp>
      <xdr:nvGrpSpPr>
        <xdr:cNvPr id="6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08BDED-DDF2-4594-AD49-E11BF9C93678}"/>
            </a:ext>
          </a:extLst>
        </xdr:cNvPr>
        <xdr:cNvGrpSpPr>
          <a:grpSpLocks noChangeAspect="1"/>
        </xdr:cNvGrpSpPr>
      </xdr:nvGrpSpPr>
      <xdr:grpSpPr>
        <a:xfrm>
          <a:off x="3050541" y="120968"/>
          <a:ext cx="493559" cy="482033"/>
          <a:chOff x="1323975" y="224974"/>
          <a:chExt cx="540000" cy="543626"/>
        </a:xfrm>
      </xdr:grpSpPr>
      <xdr:sp macro="" textlink="">
        <xdr:nvSpPr>
          <xdr:cNvPr id="7" name="Retângulo: Cantos Arredondados 2">
            <a:extLst>
              <a:ext uri="{FF2B5EF4-FFF2-40B4-BE49-F238E27FC236}">
                <a16:creationId xmlns:a16="http://schemas.microsoft.com/office/drawing/2014/main" id="{34028DFD-9888-0DED-D545-8BF9E928DD0C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C4AAB1D-E5AC-DB23-E173-776ACB6DA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153511</xdr:colOff>
      <xdr:row>1</xdr:row>
      <xdr:rowOff>2382</xdr:rowOff>
    </xdr:from>
    <xdr:ext cx="2255997" cy="288000"/>
    <xdr:pic>
      <xdr:nvPicPr>
        <xdr:cNvPr id="2" name="Imagem 2">
          <a:extLst>
            <a:ext uri="{FF2B5EF4-FFF2-40B4-BE49-F238E27FC236}">
              <a16:creationId xmlns:a16="http://schemas.microsoft.com/office/drawing/2014/main" id="{5AE98D7B-A91F-4436-BCF9-1E8DCDB58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91" y="185262"/>
          <a:ext cx="2255997" cy="288000"/>
        </a:xfrm>
        <a:prstGeom prst="rect">
          <a:avLst/>
        </a:prstGeom>
      </xdr:spPr>
    </xdr:pic>
    <xdr:clientData/>
  </xdr:oneCellAnchor>
  <xdr:twoCellAnchor editAs="absolute">
    <xdr:from>
      <xdr:col>1</xdr:col>
      <xdr:colOff>3355975</xdr:colOff>
      <xdr:row>2</xdr:row>
      <xdr:rowOff>21273</xdr:rowOff>
    </xdr:from>
    <xdr:to>
      <xdr:col>1</xdr:col>
      <xdr:colOff>3751975</xdr:colOff>
      <xdr:row>2</xdr:row>
      <xdr:rowOff>405463</xdr:rowOff>
    </xdr:to>
    <xdr:grpSp>
      <xdr:nvGrpSpPr>
        <xdr:cNvPr id="3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9EE580-F31C-45EC-BFAF-9E6184EB4ACC}"/>
            </a:ext>
          </a:extLst>
        </xdr:cNvPr>
        <xdr:cNvGrpSpPr>
          <a:grpSpLocks noChangeAspect="1"/>
        </xdr:cNvGrpSpPr>
      </xdr:nvGrpSpPr>
      <xdr:grpSpPr>
        <a:xfrm>
          <a:off x="3597275" y="414973"/>
          <a:ext cx="396000" cy="384190"/>
          <a:chOff x="1323975" y="224974"/>
          <a:chExt cx="540000" cy="543626"/>
        </a:xfrm>
      </xdr:grpSpPr>
      <xdr:sp macro="" textlink="">
        <xdr:nvSpPr>
          <xdr:cNvPr id="4" name="Retângulo: Cantos Arredondados 2">
            <a:extLst>
              <a:ext uri="{FF2B5EF4-FFF2-40B4-BE49-F238E27FC236}">
                <a16:creationId xmlns:a16="http://schemas.microsoft.com/office/drawing/2014/main" id="{A2F6816E-A217-9E55-8B0B-D1C05813390A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EDEC53-131C-5C84-1EB1-9F15774BF1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174263</xdr:colOff>
      <xdr:row>1</xdr:row>
      <xdr:rowOff>126711</xdr:rowOff>
    </xdr:from>
    <xdr:ext cx="2255997" cy="288000"/>
    <xdr:pic>
      <xdr:nvPicPr>
        <xdr:cNvPr id="12" name="Imagem 3">
          <a:extLst>
            <a:ext uri="{FF2B5EF4-FFF2-40B4-BE49-F238E27FC236}">
              <a16:creationId xmlns:a16="http://schemas.microsoft.com/office/drawing/2014/main" id="{1441C7CD-7DDA-4635-BBFA-6D032A81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8363" y="317211"/>
          <a:ext cx="2255997" cy="288000"/>
        </a:xfrm>
        <a:prstGeom prst="rect">
          <a:avLst/>
        </a:prstGeom>
      </xdr:spPr>
    </xdr:pic>
    <xdr:clientData/>
  </xdr:oneCellAnchor>
  <xdr:twoCellAnchor editAs="absolute">
    <xdr:from>
      <xdr:col>1</xdr:col>
      <xdr:colOff>3619874</xdr:colOff>
      <xdr:row>2</xdr:row>
      <xdr:rowOff>140075</xdr:rowOff>
    </xdr:from>
    <xdr:to>
      <xdr:col>1</xdr:col>
      <xdr:colOff>4015874</xdr:colOff>
      <xdr:row>2</xdr:row>
      <xdr:rowOff>526828</xdr:rowOff>
    </xdr:to>
    <xdr:grpSp>
      <xdr:nvGrpSpPr>
        <xdr:cNvPr id="15" name="Agrupar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D4DC70-7B32-40F1-AB97-243BCB846151}"/>
            </a:ext>
          </a:extLst>
        </xdr:cNvPr>
        <xdr:cNvGrpSpPr>
          <a:grpSpLocks noChangeAspect="1"/>
        </xdr:cNvGrpSpPr>
      </xdr:nvGrpSpPr>
      <xdr:grpSpPr>
        <a:xfrm>
          <a:off x="3911974" y="521075"/>
          <a:ext cx="396000" cy="386753"/>
          <a:chOff x="1323975" y="224974"/>
          <a:chExt cx="540000" cy="543626"/>
        </a:xfrm>
      </xdr:grpSpPr>
      <xdr:sp macro="" textlink="">
        <xdr:nvSpPr>
          <xdr:cNvPr id="16" name="Retângulo: Cantos Arredondados 2">
            <a:extLst>
              <a:ext uri="{FF2B5EF4-FFF2-40B4-BE49-F238E27FC236}">
                <a16:creationId xmlns:a16="http://schemas.microsoft.com/office/drawing/2014/main" id="{3DF2FCC4-6E13-BD34-B53B-33D35005E206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7" name="Gráfico 3" descr="Iníci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16181FC-274E-3D8B-B7F4-424CF89FB3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3489852</xdr:colOff>
      <xdr:row>0</xdr:row>
      <xdr:rowOff>122236</xdr:rowOff>
    </xdr:from>
    <xdr:to>
      <xdr:col>2</xdr:col>
      <xdr:colOff>3978298</xdr:colOff>
      <xdr:row>2</xdr:row>
      <xdr:rowOff>285893</xdr:rowOff>
    </xdr:to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C453AD-E46B-45D1-8D98-7FE7EDF6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37802" y="122236"/>
          <a:ext cx="496066" cy="538942"/>
        </a:xfrm>
        <a:prstGeom prst="rect">
          <a:avLst/>
        </a:prstGeom>
      </xdr:spPr>
    </xdr:pic>
    <xdr:clientData/>
  </xdr:twoCellAnchor>
  <xdr:twoCellAnchor editAs="oneCell">
    <xdr:from>
      <xdr:col>2</xdr:col>
      <xdr:colOff>223309</xdr:colOff>
      <xdr:row>1</xdr:row>
      <xdr:rowOff>144990</xdr:rowOff>
    </xdr:from>
    <xdr:to>
      <xdr:col>2</xdr:col>
      <xdr:colOff>2150099</xdr:colOff>
      <xdr:row>2</xdr:row>
      <xdr:rowOff>249907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1FC02A-3270-498D-9A9A-5A2AB903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1259" y="335490"/>
          <a:ext cx="1926790" cy="30494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2752725</xdr:colOff>
      <xdr:row>3</xdr:row>
      <xdr:rowOff>57150</xdr:rowOff>
    </xdr:from>
    <xdr:ext cx="533400" cy="533400"/>
    <xdr:pic>
      <xdr:nvPicPr>
        <xdr:cNvPr id="11" name="Gráfico 10" descr="Seta de linha: retorno na horizont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F90415-2BF1-45CE-A1ED-F4830E0E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752725" y="57150"/>
          <a:ext cx="533400" cy="53340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</xdr:colOff>
      <xdr:row>3</xdr:row>
      <xdr:rowOff>114300</xdr:rowOff>
    </xdr:from>
    <xdr:to>
      <xdr:col>0</xdr:col>
      <xdr:colOff>2361648</xdr:colOff>
      <xdr:row>5</xdr:row>
      <xdr:rowOff>11884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D9E1CC8-23C7-4B6E-A297-6E8DCE0F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92956"/>
          <a:ext cx="2260048" cy="27540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2752725</xdr:colOff>
      <xdr:row>3</xdr:row>
      <xdr:rowOff>57150</xdr:rowOff>
    </xdr:from>
    <xdr:ext cx="533400" cy="533400"/>
    <xdr:pic>
      <xdr:nvPicPr>
        <xdr:cNvPr id="5" name="Gráfico 4" descr="Seta de linha: retorno na horizont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B4CCB1-6260-42F6-8102-A896348E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752725" y="1200150"/>
          <a:ext cx="533400" cy="53340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3</xdr:row>
      <xdr:rowOff>104775</xdr:rowOff>
    </xdr:from>
    <xdr:to>
      <xdr:col>0</xdr:col>
      <xdr:colOff>2355298</xdr:colOff>
      <xdr:row>5</xdr:row>
      <xdr:rowOff>2359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CEC824D-1319-495E-AB7C-4396EEA3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2256873" cy="2881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4213653</xdr:colOff>
      <xdr:row>1</xdr:row>
      <xdr:rowOff>21609</xdr:rowOff>
    </xdr:from>
    <xdr:to>
      <xdr:col>0</xdr:col>
      <xdr:colOff>4609653</xdr:colOff>
      <xdr:row>2</xdr:row>
      <xdr:rowOff>227109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D1CB06-F55A-4029-B806-6E019B16E435}"/>
            </a:ext>
          </a:extLst>
        </xdr:cNvPr>
        <xdr:cNvGrpSpPr>
          <a:grpSpLocks noChangeAspect="1"/>
        </xdr:cNvGrpSpPr>
      </xdr:nvGrpSpPr>
      <xdr:grpSpPr>
        <a:xfrm>
          <a:off x="4213653" y="212109"/>
          <a:ext cx="396000" cy="396000"/>
          <a:chOff x="1323975" y="224974"/>
          <a:chExt cx="540000" cy="543626"/>
        </a:xfrm>
      </xdr:grpSpPr>
      <xdr:sp macro="" textlink="">
        <xdr:nvSpPr>
          <xdr:cNvPr id="7" name="Retângulo: Cantos Arredondados 6">
            <a:extLst>
              <a:ext uri="{FF2B5EF4-FFF2-40B4-BE49-F238E27FC236}">
                <a16:creationId xmlns:a16="http://schemas.microsoft.com/office/drawing/2014/main" id="{AED4007E-DEC2-8994-1F35-75DE082A57EA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8" name="Gráfico 7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4654E67-FB38-1545-71D5-C00F022509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95250</xdr:colOff>
      <xdr:row>0</xdr:row>
      <xdr:rowOff>123825</xdr:rowOff>
    </xdr:from>
    <xdr:to>
      <xdr:col>0</xdr:col>
      <xdr:colOff>2255250</xdr:colOff>
      <xdr:row>2</xdr:row>
      <xdr:rowOff>30955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479D4D9-1D8F-46E6-9122-0376C103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3825"/>
          <a:ext cx="2160000" cy="2881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4110355</xdr:colOff>
      <xdr:row>0</xdr:row>
      <xdr:rowOff>189645</xdr:rowOff>
    </xdr:from>
    <xdr:to>
      <xdr:col>1</xdr:col>
      <xdr:colOff>4506355</xdr:colOff>
      <xdr:row>2</xdr:row>
      <xdr:rowOff>199565</xdr:rowOff>
    </xdr:to>
    <xdr:grpSp>
      <xdr:nvGrpSpPr>
        <xdr:cNvPr id="6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4E11C-7DE3-4944-AC3E-1FB6000D0A9B}"/>
            </a:ext>
          </a:extLst>
        </xdr:cNvPr>
        <xdr:cNvGrpSpPr>
          <a:grpSpLocks noChangeAspect="1"/>
        </xdr:cNvGrpSpPr>
      </xdr:nvGrpSpPr>
      <xdr:grpSpPr>
        <a:xfrm>
          <a:off x="4262755" y="189645"/>
          <a:ext cx="396000" cy="390920"/>
          <a:chOff x="1323975" y="224974"/>
          <a:chExt cx="540000" cy="543626"/>
        </a:xfrm>
      </xdr:grpSpPr>
      <xdr:sp macro="" textlink="">
        <xdr:nvSpPr>
          <xdr:cNvPr id="7" name="Retângulo: Cantos Arredondados 3">
            <a:extLst>
              <a:ext uri="{FF2B5EF4-FFF2-40B4-BE49-F238E27FC236}">
                <a16:creationId xmlns:a16="http://schemas.microsoft.com/office/drawing/2014/main" id="{B3D53A15-9259-9116-6DBC-7BDE058C834A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8" name="Gráfico 4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E8B15E5-8930-68EE-D6D7-F00B3A59DB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30480</xdr:colOff>
      <xdr:row>0</xdr:row>
      <xdr:rowOff>121920</xdr:rowOff>
    </xdr:from>
    <xdr:to>
      <xdr:col>1</xdr:col>
      <xdr:colOff>2190480</xdr:colOff>
      <xdr:row>2</xdr:row>
      <xdr:rowOff>29050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4512208-2B73-48C2-ABF2-C2ADE1C6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" y="121920"/>
          <a:ext cx="2160000" cy="2932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4161311</xdr:colOff>
      <xdr:row>1</xdr:row>
      <xdr:rowOff>148906</xdr:rowOff>
    </xdr:from>
    <xdr:to>
      <xdr:col>1</xdr:col>
      <xdr:colOff>4557311</xdr:colOff>
      <xdr:row>2</xdr:row>
      <xdr:rowOff>351866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D0CE5-B1BA-4BE5-AFAB-55DFE054FEE7}"/>
            </a:ext>
          </a:extLst>
        </xdr:cNvPr>
        <xdr:cNvGrpSpPr>
          <a:grpSpLocks noChangeAspect="1"/>
        </xdr:cNvGrpSpPr>
      </xdr:nvGrpSpPr>
      <xdr:grpSpPr>
        <a:xfrm>
          <a:off x="4339111" y="339406"/>
          <a:ext cx="396000" cy="393460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B63884A2-C87E-7122-FF97-2154991D25A5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4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90D3813-ED79-C0A3-A5FE-D82A22D41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50800</xdr:colOff>
      <xdr:row>0</xdr:row>
      <xdr:rowOff>111760</xdr:rowOff>
    </xdr:from>
    <xdr:to>
      <xdr:col>1</xdr:col>
      <xdr:colOff>2210800</xdr:colOff>
      <xdr:row>2</xdr:row>
      <xdr:rowOff>18890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3845D3F-17D8-4ACC-A1CF-C9A7A6DE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" y="111760"/>
          <a:ext cx="2160000" cy="2932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4112260</xdr:colOff>
      <xdr:row>1</xdr:row>
      <xdr:rowOff>63182</xdr:rowOff>
    </xdr:from>
    <xdr:to>
      <xdr:col>0</xdr:col>
      <xdr:colOff>4563110</xdr:colOff>
      <xdr:row>2</xdr:row>
      <xdr:rowOff>348858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7FFD2E-60C8-4B57-AF95-4C142A919F2F}"/>
            </a:ext>
          </a:extLst>
        </xdr:cNvPr>
        <xdr:cNvGrpSpPr>
          <a:grpSpLocks noChangeAspect="1"/>
        </xdr:cNvGrpSpPr>
      </xdr:nvGrpSpPr>
      <xdr:grpSpPr>
        <a:xfrm>
          <a:off x="4112260" y="253682"/>
          <a:ext cx="450850" cy="476176"/>
          <a:chOff x="1323975" y="224974"/>
          <a:chExt cx="540000" cy="5436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CDB99DED-ECB2-BC73-6AB2-355AE5D2D7AA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E8B3BA0-ECA1-D05C-9F8F-E4153D57C0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101600</xdr:colOff>
      <xdr:row>0</xdr:row>
      <xdr:rowOff>81280</xdr:rowOff>
    </xdr:from>
    <xdr:to>
      <xdr:col>0</xdr:col>
      <xdr:colOff>2261600</xdr:colOff>
      <xdr:row>1</xdr:row>
      <xdr:rowOff>181450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38F73C2-83D4-4CB3-AEEF-ED099E7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81280"/>
          <a:ext cx="2160000" cy="2932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3892205</xdr:colOff>
      <xdr:row>1</xdr:row>
      <xdr:rowOff>159721</xdr:rowOff>
    </xdr:from>
    <xdr:to>
      <xdr:col>0</xdr:col>
      <xdr:colOff>4272084</xdr:colOff>
      <xdr:row>2</xdr:row>
      <xdr:rowOff>357601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41A91E-97D5-4B44-B0AE-7F2CF31CDAF0}"/>
            </a:ext>
          </a:extLst>
        </xdr:cNvPr>
        <xdr:cNvGrpSpPr>
          <a:grpSpLocks noChangeAspect="1"/>
        </xdr:cNvGrpSpPr>
      </xdr:nvGrpSpPr>
      <xdr:grpSpPr>
        <a:xfrm>
          <a:off x="3892205" y="350221"/>
          <a:ext cx="379879" cy="388380"/>
          <a:chOff x="1323975" y="224974"/>
          <a:chExt cx="540000" cy="5436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56E77995-7AB5-2AD6-5363-2A5354CB902E}"/>
              </a:ext>
            </a:extLst>
          </xdr:cNvPr>
          <xdr:cNvSpPr/>
        </xdr:nvSpPr>
        <xdr:spPr>
          <a:xfrm>
            <a:off x="1323975" y="228600"/>
            <a:ext cx="540000" cy="540000"/>
          </a:xfrm>
          <a:prstGeom prst="round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" name="Gráfico 4" descr="Iníci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FC7BFEF-F249-4ABC-21FC-18C7742CDC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348333" y="224974"/>
            <a:ext cx="492404" cy="50955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193040</xdr:colOff>
      <xdr:row>0</xdr:row>
      <xdr:rowOff>132080</xdr:rowOff>
    </xdr:from>
    <xdr:to>
      <xdr:col>0</xdr:col>
      <xdr:colOff>2353040</xdr:colOff>
      <xdr:row>2</xdr:row>
      <xdr:rowOff>39210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DDDDEDA-C7AD-4A06-995C-608C062E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" y="132080"/>
          <a:ext cx="2160000" cy="2932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3573991</xdr:colOff>
      <xdr:row>0</xdr:row>
      <xdr:rowOff>103716</xdr:rowOff>
    </xdr:from>
    <xdr:ext cx="540000" cy="540000"/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722B9-0639-4E37-8252-4A7323C6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885266" y="106891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0</xdr:row>
      <xdr:rowOff>105833</xdr:rowOff>
    </xdr:from>
    <xdr:to>
      <xdr:col>4</xdr:col>
      <xdr:colOff>449103</xdr:colOff>
      <xdr:row>2</xdr:row>
      <xdr:rowOff>17710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0DA4981-9A9B-48F5-8B6C-44BB8913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658"/>
          <a:ext cx="2783635" cy="2960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mantha Pereira Sobreira" id="{BD465796-F77E-43DA-975E-6D355F678975}" userId="S::c099203@corp.caixa.gov.br::5f48735e-feda-4038-9dae-dcdec397e2e4" providerId="AD"/>
</personList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N12" dT="2023-07-24T14:43:50.75" personId="{BD465796-F77E-43DA-975E-6D355F678975}" id="{F08F6213-A2E3-4911-AFD6-53BCAF3AA14B}">
    <text>Alteração significativa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013C-829D-4D67-8137-D34BC6900ABC}">
  <dimension ref="M5:M53"/>
  <sheetViews>
    <sheetView showGridLines="0" showRowColHeaders="0" tabSelected="1" zoomScale="70" zoomScaleNormal="70" workbookViewId="0"/>
  </sheetViews>
  <sheetFormatPr defaultRowHeight="15"/>
  <sheetData>
    <row r="5" spans="13:13" s="6" customFormat="1"/>
    <row r="6" spans="13:13" s="6" customFormat="1"/>
    <row r="7" spans="13:13" s="6" customFormat="1"/>
    <row r="8" spans="13:13" s="6" customFormat="1">
      <c r="M8" s="7"/>
    </row>
    <row r="9" spans="13:13" s="6" customFormat="1">
      <c r="M9" s="7"/>
    </row>
    <row r="10" spans="13:13" s="6" customFormat="1">
      <c r="M10" s="7"/>
    </row>
    <row r="11" spans="13:13" s="6" customFormat="1" ht="19.5" customHeight="1">
      <c r="M11" s="7"/>
    </row>
    <row r="12" spans="13:13" s="6" customFormat="1" ht="19.5" customHeight="1">
      <c r="M12" s="7"/>
    </row>
    <row r="13" spans="13:13" s="6" customFormat="1"/>
    <row r="28" s="6" customFormat="1"/>
    <row r="29" s="6" customFormat="1"/>
    <row r="30" s="6" customFormat="1"/>
    <row r="31" s="6" customFormat="1"/>
    <row r="32" s="6" customFormat="1"/>
    <row r="33" ht="9" customHeight="1"/>
    <row r="34" s="6" customFormat="1"/>
    <row r="35" s="6" customFormat="1"/>
    <row r="36" s="6" customFormat="1"/>
    <row r="37" s="6" customFormat="1"/>
    <row r="38" s="6" customFormat="1"/>
    <row r="39" ht="9" customHeight="1"/>
    <row r="40" s="6" customFormat="1"/>
    <row r="41" s="6" customFormat="1"/>
    <row r="42" s="6" customFormat="1"/>
    <row r="43" s="6" customFormat="1"/>
    <row r="44" s="6" customFormat="1"/>
    <row r="49" s="6" customFormat="1"/>
    <row r="50" s="6" customFormat="1"/>
    <row r="51" s="6" customFormat="1"/>
    <row r="52" s="6" customFormat="1"/>
    <row r="53" s="6" customForma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DB57-7DCB-4D54-9261-5D3E4ACA85D4}">
  <dimension ref="A1:AL24"/>
  <sheetViews>
    <sheetView showGridLines="0" showRowColHeaders="0" zoomScale="75" zoomScaleNormal="75" workbookViewId="0">
      <pane xSplit="2" ySplit="4" topLeftCell="O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70.7109375" customWidth="1"/>
    <col min="2" max="2" width="1.5703125" hidden="1" customWidth="1"/>
    <col min="3" max="3" width="11.42578125" customWidth="1"/>
    <col min="4" max="4" width="10.42578125" customWidth="1"/>
    <col min="5" max="5" width="13.5703125" customWidth="1"/>
    <col min="6" max="6" width="13.5703125" bestFit="1" customWidth="1"/>
    <col min="7" max="19" width="13.5703125" customWidth="1"/>
  </cols>
  <sheetData>
    <row r="1" spans="1:38" ht="15" customHeight="1">
      <c r="A1" s="641"/>
      <c r="B1" s="641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31"/>
      <c r="S1" s="630"/>
    </row>
    <row r="2" spans="1:38" ht="15" customHeight="1">
      <c r="A2" s="641"/>
      <c r="B2" s="64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32"/>
      <c r="S2" s="630"/>
    </row>
    <row r="3" spans="1:38" ht="50.1" customHeight="1">
      <c r="A3" s="795" t="s">
        <v>354</v>
      </c>
      <c r="B3" s="641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31"/>
      <c r="S3" s="630"/>
    </row>
    <row r="4" spans="1:38" ht="16.350000000000001" customHeight="1"/>
    <row r="5" spans="1:38" ht="10.35" hidden="1" customHeight="1"/>
    <row r="6" spans="1:38" ht="25.35" customHeight="1">
      <c r="A6" s="650" t="s">
        <v>355</v>
      </c>
      <c r="B6" s="642"/>
      <c r="C6" s="643">
        <v>44621</v>
      </c>
      <c r="D6" s="643">
        <v>44713</v>
      </c>
      <c r="E6" s="643">
        <v>44805</v>
      </c>
      <c r="F6" s="643">
        <v>44896</v>
      </c>
      <c r="G6" s="643">
        <v>44986</v>
      </c>
      <c r="H6" s="643">
        <v>45078</v>
      </c>
      <c r="I6" s="643">
        <v>45170</v>
      </c>
      <c r="J6" s="643">
        <v>45261</v>
      </c>
      <c r="K6" s="643">
        <v>45352</v>
      </c>
      <c r="L6" s="643">
        <v>45444</v>
      </c>
      <c r="M6" s="643">
        <v>45536</v>
      </c>
      <c r="N6" s="643">
        <v>45627</v>
      </c>
      <c r="O6" s="643">
        <v>45717</v>
      </c>
      <c r="P6" s="643">
        <v>45809</v>
      </c>
      <c r="Q6" s="643">
        <v>45901</v>
      </c>
      <c r="R6" s="644">
        <v>45992</v>
      </c>
      <c r="S6" s="645">
        <v>46082</v>
      </c>
      <c r="T6" s="8"/>
      <c r="U6" s="8"/>
      <c r="V6" s="8"/>
      <c r="W6" s="8"/>
      <c r="X6" s="8"/>
      <c r="Y6" s="8"/>
      <c r="Z6" s="8"/>
      <c r="AA6" s="8"/>
      <c r="AB6" s="8"/>
      <c r="AD6" s="8"/>
      <c r="AE6" s="8"/>
      <c r="AF6" s="8"/>
      <c r="AG6" s="8"/>
      <c r="AH6" s="8"/>
      <c r="AI6" s="8"/>
      <c r="AJ6" s="8"/>
      <c r="AK6" s="8"/>
      <c r="AL6" s="8"/>
    </row>
    <row r="7" spans="1:38">
      <c r="A7" s="62" t="s">
        <v>5</v>
      </c>
      <c r="B7" s="63"/>
      <c r="C7" s="76"/>
      <c r="D7" s="76"/>
      <c r="E7" s="76"/>
      <c r="F7" s="76">
        <v>1955798</v>
      </c>
      <c r="G7" s="76">
        <v>2094221</v>
      </c>
      <c r="H7" s="76">
        <v>2440870</v>
      </c>
      <c r="I7" s="76">
        <v>2321776</v>
      </c>
      <c r="J7" s="76">
        <v>2342279</v>
      </c>
      <c r="K7" s="76">
        <v>2385957.98184</v>
      </c>
      <c r="L7" s="76">
        <v>2460667.7012700001</v>
      </c>
      <c r="M7" s="76">
        <v>2650955.6671500001</v>
      </c>
      <c r="N7" s="76">
        <v>2637843.8508000006</v>
      </c>
      <c r="O7" s="76">
        <f>SUM(O8:O16)</f>
        <v>2628228.7623699997</v>
      </c>
      <c r="P7" s="76">
        <f>SUM(P8:P16)</f>
        <v>2549691.8147399998</v>
      </c>
      <c r="Q7" s="76">
        <f>SUM(Q8:Q16)</f>
        <v>2473463.03204</v>
      </c>
      <c r="R7" s="76">
        <f>SUM(R8:R16)</f>
        <v>2661872.2647299999</v>
      </c>
      <c r="S7" s="76">
        <f>SUM(S8:S16)</f>
        <v>2709509.70358</v>
      </c>
    </row>
    <row r="8" spans="1:38">
      <c r="A8" s="11" t="s">
        <v>7</v>
      </c>
      <c r="B8" s="66"/>
      <c r="C8" s="1"/>
      <c r="D8" s="1"/>
      <c r="E8" s="1"/>
      <c r="F8" s="1">
        <v>2712</v>
      </c>
      <c r="G8" s="1">
        <v>1425</v>
      </c>
      <c r="H8" s="1">
        <v>657</v>
      </c>
      <c r="I8" s="1">
        <v>610</v>
      </c>
      <c r="J8" s="1">
        <v>1915</v>
      </c>
      <c r="K8" s="1">
        <v>414.57671999999997</v>
      </c>
      <c r="L8" s="1">
        <v>783.85103000000004</v>
      </c>
      <c r="M8" s="1">
        <v>611.79620999999997</v>
      </c>
      <c r="N8" s="1">
        <v>3609.2701299999999</v>
      </c>
      <c r="O8" s="1">
        <v>3650.4159399999999</v>
      </c>
      <c r="P8" s="1">
        <v>1634.0246200000001</v>
      </c>
      <c r="Q8" s="1">
        <v>2133.2339099999999</v>
      </c>
      <c r="R8" s="1">
        <v>2740.8651800000002</v>
      </c>
      <c r="S8" s="1">
        <v>884.27347999999995</v>
      </c>
    </row>
    <row r="9" spans="1:38">
      <c r="A9" s="11" t="s">
        <v>61</v>
      </c>
      <c r="B9" s="66"/>
      <c r="C9" s="1"/>
      <c r="D9" s="1"/>
      <c r="E9" s="1"/>
      <c r="F9" s="1">
        <v>1194877</v>
      </c>
      <c r="G9" s="1">
        <v>1316214</v>
      </c>
      <c r="H9" s="1">
        <v>1340956</v>
      </c>
      <c r="I9" s="1">
        <v>1566919</v>
      </c>
      <c r="J9" s="1">
        <v>1571669</v>
      </c>
      <c r="K9" s="1">
        <v>1553675.49009</v>
      </c>
      <c r="L9" s="1">
        <v>1631974.0610699998</v>
      </c>
      <c r="M9" s="1">
        <v>1765972.75199</v>
      </c>
      <c r="N9" s="1">
        <v>1800897.9894999999</v>
      </c>
      <c r="O9" s="1">
        <v>1687871.37937</v>
      </c>
      <c r="P9" s="1">
        <v>1681374.3579300002</v>
      </c>
      <c r="Q9" s="1">
        <v>1746672.02593</v>
      </c>
      <c r="R9" s="1">
        <v>1954561.41316</v>
      </c>
      <c r="S9" s="1">
        <v>2018714.12524</v>
      </c>
    </row>
    <row r="10" spans="1:38">
      <c r="A10" s="11" t="s">
        <v>151</v>
      </c>
      <c r="B10" s="66"/>
      <c r="C10" s="1"/>
      <c r="D10" s="1"/>
      <c r="E10" s="1"/>
      <c r="F10" s="1">
        <v>7128</v>
      </c>
      <c r="G10" s="1">
        <v>12834</v>
      </c>
      <c r="H10" s="1">
        <v>43615</v>
      </c>
      <c r="I10" s="1">
        <v>13139</v>
      </c>
      <c r="J10" s="1">
        <v>34021</v>
      </c>
      <c r="K10" s="1">
        <v>5380.7287200000501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</row>
    <row r="11" spans="1:38">
      <c r="A11" s="11" t="s">
        <v>152</v>
      </c>
      <c r="B11" s="66"/>
      <c r="C11" s="1"/>
      <c r="D11" s="1"/>
      <c r="E11" s="1"/>
      <c r="F11" s="1">
        <v>276578</v>
      </c>
      <c r="G11" s="1">
        <v>300858</v>
      </c>
      <c r="H11" s="1">
        <v>545620</v>
      </c>
      <c r="I11" s="1">
        <v>256154</v>
      </c>
      <c r="J11" s="1">
        <v>255697</v>
      </c>
      <c r="K11" s="1">
        <v>255581.16005000001</v>
      </c>
      <c r="L11" s="1">
        <v>249254.78990999999</v>
      </c>
      <c r="M11" s="1">
        <v>286009.43586000003</v>
      </c>
      <c r="N11" s="1">
        <v>337790.91078999999</v>
      </c>
      <c r="O11" s="1">
        <v>369204.15516000002</v>
      </c>
      <c r="P11" s="1">
        <v>334300.19795999996</v>
      </c>
      <c r="Q11" s="1">
        <v>319526.88195999997</v>
      </c>
      <c r="R11" s="1">
        <v>323434.51004000002</v>
      </c>
      <c r="S11" s="1">
        <v>306715.89976</v>
      </c>
    </row>
    <row r="12" spans="1:38">
      <c r="A12" s="11" t="s">
        <v>66</v>
      </c>
      <c r="B12" s="66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</row>
    <row r="13" spans="1:38">
      <c r="A13" s="11" t="s">
        <v>153</v>
      </c>
      <c r="B13" s="66"/>
      <c r="C13" s="1"/>
      <c r="D13" s="1"/>
      <c r="E13" s="1"/>
      <c r="F13" s="1">
        <v>28913</v>
      </c>
      <c r="G13" s="1">
        <v>33683</v>
      </c>
      <c r="H13" s="1">
        <v>47216</v>
      </c>
      <c r="I13" s="1">
        <v>59393</v>
      </c>
      <c r="J13" s="1">
        <v>52698</v>
      </c>
      <c r="K13" s="1">
        <v>62747.62455</v>
      </c>
      <c r="L13" s="1">
        <v>74604.04409000001</v>
      </c>
      <c r="M13" s="1">
        <v>38459.928909999995</v>
      </c>
      <c r="N13" s="1">
        <v>87797</v>
      </c>
      <c r="O13" s="1">
        <v>94252.262419999999</v>
      </c>
      <c r="P13" s="1">
        <v>102861.21326</v>
      </c>
      <c r="Q13" s="1">
        <v>107452.51667</v>
      </c>
      <c r="R13" s="110">
        <v>88620.225519999993</v>
      </c>
      <c r="S13" s="1">
        <v>95958</v>
      </c>
    </row>
    <row r="14" spans="1:38">
      <c r="A14" s="11" t="s">
        <v>76</v>
      </c>
      <c r="B14" s="66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6.7800000000279295E-3</v>
      </c>
      <c r="M14" s="1">
        <v>6.7800000000279295E-3</v>
      </c>
      <c r="N14" s="1">
        <v>6.7800000000279295E-3</v>
      </c>
      <c r="O14" s="1">
        <v>6.7800000000279399E-3</v>
      </c>
      <c r="P14" s="1">
        <v>6.7800000000279399E-3</v>
      </c>
      <c r="Q14" s="1">
        <v>6.7800000000279399E-3</v>
      </c>
      <c r="R14" s="1">
        <v>6.7800000000279399E-3</v>
      </c>
      <c r="S14" s="1">
        <v>0</v>
      </c>
    </row>
    <row r="15" spans="1:38">
      <c r="A15" s="11" t="s">
        <v>78</v>
      </c>
      <c r="B15" s="66"/>
      <c r="C15" s="1"/>
      <c r="D15" s="1"/>
      <c r="E15" s="1"/>
      <c r="F15" s="1">
        <v>315269</v>
      </c>
      <c r="G15" s="1">
        <v>312122</v>
      </c>
      <c r="H15" s="1">
        <v>309719</v>
      </c>
      <c r="I15" s="1">
        <v>307237</v>
      </c>
      <c r="J15" s="1">
        <v>304201</v>
      </c>
      <c r="K15" s="1">
        <v>301510.19141000003</v>
      </c>
      <c r="L15" s="1">
        <v>299102.82264999999</v>
      </c>
      <c r="M15" s="1">
        <v>296540.31915</v>
      </c>
      <c r="N15" s="1">
        <v>293201.96169000003</v>
      </c>
      <c r="O15" s="1">
        <v>290184.02829000005</v>
      </c>
      <c r="P15" s="1">
        <v>287166.09489000001</v>
      </c>
      <c r="Q15" s="1">
        <v>284155.47881</v>
      </c>
      <c r="R15" s="1">
        <v>280704.11725000001</v>
      </c>
      <c r="S15" s="1">
        <v>278072.70532999997</v>
      </c>
    </row>
    <row r="16" spans="1:38">
      <c r="A16" s="11" t="s">
        <v>13</v>
      </c>
      <c r="B16" s="66"/>
      <c r="C16" s="1"/>
      <c r="D16" s="1"/>
      <c r="E16" s="1"/>
      <c r="F16" s="1">
        <v>130321</v>
      </c>
      <c r="G16" s="1">
        <v>117085</v>
      </c>
      <c r="H16" s="1">
        <v>153087</v>
      </c>
      <c r="I16" s="1">
        <v>118324</v>
      </c>
      <c r="J16" s="1">
        <v>122078</v>
      </c>
      <c r="K16" s="1">
        <v>206648.20351999998</v>
      </c>
      <c r="L16" s="1">
        <v>204948.12574000005</v>
      </c>
      <c r="M16" s="1">
        <v>263361.42824999988</v>
      </c>
      <c r="N16" s="1">
        <v>114546.71191000054</v>
      </c>
      <c r="O16" s="1">
        <v>183066.51440999936</v>
      </c>
      <c r="P16" s="1">
        <v>142355.91929999972</v>
      </c>
      <c r="Q16" s="1">
        <v>13522.887980000116</v>
      </c>
      <c r="R16" s="1">
        <v>11811.126800000202</v>
      </c>
      <c r="S16" s="1">
        <v>9164.6997700002976</v>
      </c>
    </row>
    <row r="17" spans="1:19">
      <c r="A17" s="62" t="s">
        <v>17</v>
      </c>
      <c r="B17" s="63"/>
      <c r="C17" s="76"/>
      <c r="D17" s="76"/>
      <c r="E17" s="76"/>
      <c r="F17" s="76">
        <v>1176321</v>
      </c>
      <c r="G17" s="76">
        <v>1262084</v>
      </c>
      <c r="H17" s="76">
        <v>1507975</v>
      </c>
      <c r="I17" s="76">
        <v>1345664</v>
      </c>
      <c r="J17" s="76">
        <v>1432766</v>
      </c>
      <c r="K17" s="76">
        <v>1464634</v>
      </c>
      <c r="L17" s="76">
        <v>1504579.62173</v>
      </c>
      <c r="M17" s="76">
        <v>1573783.7965200001</v>
      </c>
      <c r="N17" s="76">
        <v>1768299.0670600003</v>
      </c>
      <c r="O17" s="76">
        <f>SUM(O18:O23)</f>
        <v>1773091.1889199996</v>
      </c>
      <c r="P17" s="76">
        <f>SUM(P18:P23)</f>
        <v>1808292.8398399998</v>
      </c>
      <c r="Q17" s="76">
        <f>SUM(Q18:Q23)</f>
        <v>1605033.0136299999</v>
      </c>
      <c r="R17" s="76">
        <f>SUM(R18:R23)</f>
        <v>1757571.8943599998</v>
      </c>
      <c r="S17" s="76">
        <f>SUM(S18:S23)</f>
        <v>1996147.2497100001</v>
      </c>
    </row>
    <row r="18" spans="1:19">
      <c r="A18" s="11" t="s">
        <v>154</v>
      </c>
      <c r="C18" s="1"/>
      <c r="D18" s="1"/>
      <c r="E18" s="1"/>
      <c r="F18" s="110">
        <v>91343</v>
      </c>
      <c r="G18" s="1">
        <v>110548</v>
      </c>
      <c r="H18" s="1">
        <v>86084</v>
      </c>
      <c r="I18" s="1">
        <v>102730</v>
      </c>
      <c r="J18" s="1">
        <v>121500</v>
      </c>
      <c r="K18" s="1">
        <v>157513</v>
      </c>
      <c r="L18" s="1">
        <v>98473.069470000002</v>
      </c>
      <c r="M18" s="1">
        <v>121487.91138999999</v>
      </c>
      <c r="N18" s="1">
        <v>206570.84897999998</v>
      </c>
      <c r="O18" s="1">
        <v>314254.27655000001</v>
      </c>
      <c r="P18" s="1">
        <v>342946.53352</v>
      </c>
      <c r="Q18" s="1">
        <v>29841.25272</v>
      </c>
      <c r="R18" s="1">
        <v>133704.05046</v>
      </c>
      <c r="S18" s="1">
        <v>116963.79417000001</v>
      </c>
    </row>
    <row r="19" spans="1:19">
      <c r="A19" s="11" t="s">
        <v>155</v>
      </c>
      <c r="C19" s="1"/>
      <c r="D19" s="1"/>
      <c r="E19" s="1"/>
      <c r="F19" s="110">
        <v>72836</v>
      </c>
      <c r="G19" s="1">
        <v>58712</v>
      </c>
      <c r="H19" s="1">
        <v>76702</v>
      </c>
      <c r="I19" s="1">
        <v>111119</v>
      </c>
      <c r="J19" s="1">
        <v>117664</v>
      </c>
      <c r="K19" s="1">
        <v>68341</v>
      </c>
      <c r="L19" s="1">
        <v>109823.39595999999</v>
      </c>
      <c r="M19" s="1">
        <v>112348.72453000001</v>
      </c>
      <c r="N19" s="1">
        <v>177071</v>
      </c>
      <c r="O19" s="1">
        <v>73748.666400000002</v>
      </c>
      <c r="P19" s="1">
        <v>126028.49957</v>
      </c>
      <c r="Q19" s="1">
        <v>180400.27396000002</v>
      </c>
      <c r="R19" s="110">
        <v>184423.42368000001</v>
      </c>
      <c r="S19" s="1">
        <v>104943</v>
      </c>
    </row>
    <row r="20" spans="1:19">
      <c r="A20" s="11" t="s">
        <v>156</v>
      </c>
      <c r="C20" s="1"/>
      <c r="D20" s="1"/>
      <c r="E20" s="1"/>
      <c r="F20" s="110">
        <v>896210</v>
      </c>
      <c r="G20" s="1">
        <v>993691</v>
      </c>
      <c r="H20" s="1">
        <v>1234646</v>
      </c>
      <c r="I20" s="1">
        <v>989536</v>
      </c>
      <c r="J20" s="1">
        <v>1050162</v>
      </c>
      <c r="K20" s="1">
        <v>1115539</v>
      </c>
      <c r="L20" s="1">
        <v>1178078.7296</v>
      </c>
      <c r="M20" s="1">
        <v>1229948.94698</v>
      </c>
      <c r="N20" s="1">
        <v>1347107.3677699999</v>
      </c>
      <c r="O20" s="1">
        <v>1352638.7062300001</v>
      </c>
      <c r="P20" s="1">
        <v>1315801.1054700001</v>
      </c>
      <c r="Q20" s="1">
        <v>1329701.1119300001</v>
      </c>
      <c r="R20" s="1">
        <v>1367724.7928199999</v>
      </c>
      <c r="S20" s="1">
        <v>1688519.45554</v>
      </c>
    </row>
    <row r="21" spans="1:19">
      <c r="A21" s="11" t="s">
        <v>52</v>
      </c>
      <c r="C21" s="1"/>
      <c r="D21" s="1"/>
      <c r="E21" s="1"/>
      <c r="F21" s="110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</row>
    <row r="22" spans="1:19">
      <c r="A22" s="11" t="s">
        <v>157</v>
      </c>
      <c r="C22" s="110"/>
      <c r="D22" s="110"/>
      <c r="E22" s="110"/>
      <c r="F22" s="110">
        <v>0</v>
      </c>
      <c r="G22" s="110">
        <v>0</v>
      </c>
      <c r="H22" s="110">
        <v>0</v>
      </c>
      <c r="I22" s="110">
        <v>0</v>
      </c>
      <c r="J22" s="110">
        <v>0</v>
      </c>
      <c r="K22" s="110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</row>
    <row r="23" spans="1:19">
      <c r="A23" s="11" t="s">
        <v>33</v>
      </c>
      <c r="B23" s="289"/>
      <c r="C23" s="77"/>
      <c r="D23" s="77"/>
      <c r="E23" s="77"/>
      <c r="F23" s="110">
        <v>115932</v>
      </c>
      <c r="G23" s="110">
        <v>99133</v>
      </c>
      <c r="H23" s="110">
        <v>110543</v>
      </c>
      <c r="I23" s="110">
        <v>142279</v>
      </c>
      <c r="J23" s="110">
        <v>143440</v>
      </c>
      <c r="K23" s="110">
        <v>123241</v>
      </c>
      <c r="L23" s="1">
        <v>118204.42669999995</v>
      </c>
      <c r="M23" s="1">
        <v>109998.21362000005</v>
      </c>
      <c r="N23" s="1">
        <v>37549.850310000358</v>
      </c>
      <c r="O23" s="1">
        <v>32449.539739999454</v>
      </c>
      <c r="P23" s="1">
        <v>23516.701279999688</v>
      </c>
      <c r="Q23" s="1">
        <v>65090.375019999687</v>
      </c>
      <c r="R23" s="1">
        <v>71719.627399999881</v>
      </c>
      <c r="S23" s="1">
        <v>85721</v>
      </c>
    </row>
    <row r="24" spans="1:19">
      <c r="A24" s="62" t="s">
        <v>25</v>
      </c>
      <c r="B24" s="63"/>
      <c r="C24" s="76"/>
      <c r="D24" s="76"/>
      <c r="E24" s="76"/>
      <c r="F24" s="76">
        <v>779477</v>
      </c>
      <c r="G24" s="76">
        <v>832137</v>
      </c>
      <c r="H24" s="76">
        <v>932895</v>
      </c>
      <c r="I24" s="76">
        <v>976112</v>
      </c>
      <c r="J24" s="76">
        <v>909513</v>
      </c>
      <c r="K24" s="76">
        <v>921324</v>
      </c>
      <c r="L24" s="76">
        <v>956088.07953999995</v>
      </c>
      <c r="M24" s="76">
        <v>1077171.87063</v>
      </c>
      <c r="N24" s="76">
        <v>869545.36794000003</v>
      </c>
      <c r="O24" s="76">
        <v>855137.57345000003</v>
      </c>
      <c r="P24" s="76">
        <v>741398.97490000003</v>
      </c>
      <c r="Q24" s="76">
        <v>868430.01841000002</v>
      </c>
      <c r="R24" s="76">
        <v>904300.37037000002</v>
      </c>
      <c r="S24" s="76">
        <v>713363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AAD2B-5C20-4566-AE58-D2A8AC3ACDA1}">
  <dimension ref="A1:BF94"/>
  <sheetViews>
    <sheetView showGridLines="0" showRowColHeaders="0" zoomScale="75" zoomScaleNormal="75" workbookViewId="0">
      <pane xSplit="6" ySplit="3" topLeftCell="AV4" activePane="bottomRight" state="frozen"/>
      <selection activeCell="M8" sqref="M8"/>
      <selection pane="topRight" activeCell="M8" sqref="M8"/>
      <selection pane="bottomLeft" activeCell="M8" sqref="M8"/>
      <selection pane="bottomRight" activeCell="A4" sqref="A4"/>
    </sheetView>
  </sheetViews>
  <sheetFormatPr defaultRowHeight="15" outlineLevelCol="2"/>
  <cols>
    <col min="1" max="1" width="2.7109375" customWidth="1"/>
    <col min="2" max="2" width="70.7109375" customWidth="1"/>
    <col min="3" max="6" width="9.5703125" hidden="1" customWidth="1" outlineLevel="1"/>
    <col min="7" max="7" width="11.42578125" bestFit="1" customWidth="1" collapsed="1"/>
    <col min="8" max="11" width="9.5703125" hidden="1" customWidth="1" outlineLevel="1"/>
    <col min="12" max="12" width="11.42578125" bestFit="1" customWidth="1" collapsed="1"/>
    <col min="13" max="16" width="9.5703125" hidden="1" customWidth="1" outlineLevel="1"/>
    <col min="17" max="17" width="11.42578125" bestFit="1" customWidth="1" collapsed="1"/>
    <col min="18" max="21" width="9.5703125" hidden="1" customWidth="1" outlineLevel="1"/>
    <col min="22" max="22" width="11.42578125" bestFit="1" customWidth="1" collapsed="1"/>
    <col min="23" max="24" width="9.5703125" hidden="1" customWidth="1" outlineLevel="2"/>
    <col min="25" max="25" width="10.42578125" hidden="1" customWidth="1" outlineLevel="2"/>
    <col min="26" max="26" width="9.5703125" hidden="1" customWidth="1" outlineLevel="2"/>
    <col min="27" max="27" width="11.42578125" bestFit="1" customWidth="1" collapsed="1"/>
    <col min="28" max="31" width="9.5703125" hidden="1" customWidth="1" outlineLevel="1"/>
    <col min="32" max="32" width="11.42578125" bestFit="1" customWidth="1" collapsed="1"/>
    <col min="33" max="34" width="9.5703125" hidden="1" customWidth="1" outlineLevel="1"/>
    <col min="35" max="36" width="11.42578125" hidden="1" customWidth="1" outlineLevel="1"/>
    <col min="37" max="37" width="11.42578125" bestFit="1" customWidth="1" collapsed="1"/>
    <col min="38" max="41" width="11.42578125" hidden="1" customWidth="1" outlineLevel="1"/>
    <col min="42" max="42" width="11.42578125" bestFit="1" customWidth="1" collapsed="1"/>
    <col min="43" max="44" width="11.42578125" hidden="1" customWidth="1" outlineLevel="1"/>
    <col min="45" max="45" width="13.5703125" hidden="1" customWidth="1" outlineLevel="1"/>
    <col min="46" max="46" width="14.5703125" hidden="1" customWidth="1" outlineLevel="1"/>
    <col min="47" max="47" width="11.42578125" bestFit="1" customWidth="1" collapsed="1"/>
    <col min="48" max="51" width="14.5703125" customWidth="1" outlineLevel="1"/>
    <col min="52" max="53" width="12.5703125" customWidth="1"/>
    <col min="54" max="54" width="8.5703125" customWidth="1"/>
    <col min="55" max="55" width="9.5703125" customWidth="1"/>
    <col min="56" max="56" width="8.5703125" bestFit="1" customWidth="1"/>
    <col min="57" max="58" width="11.42578125" bestFit="1" customWidth="1"/>
  </cols>
  <sheetData>
    <row r="1" spans="1:58" ht="15" customHeight="1">
      <c r="A1" s="641"/>
      <c r="B1" s="641"/>
      <c r="C1" s="641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58" ht="15" customHeight="1">
      <c r="A2" s="641"/>
      <c r="B2" s="641"/>
      <c r="C2" s="64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32"/>
      <c r="BA2" s="630"/>
    </row>
    <row r="3" spans="1:58" ht="50.1" customHeight="1">
      <c r="A3" s="635"/>
      <c r="B3" s="766" t="s">
        <v>1125</v>
      </c>
      <c r="C3" s="641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58" ht="5.0999999999999996" customHeight="1"/>
    <row r="5" spans="1:58" ht="5.0999999999999996" customHeight="1" thickBot="1"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</row>
    <row r="6" spans="1:58" ht="25.35" customHeight="1">
      <c r="A6" s="625"/>
      <c r="B6" s="625" t="s">
        <v>3</v>
      </c>
      <c r="C6" s="626" t="s">
        <v>224</v>
      </c>
      <c r="D6" s="626" t="s">
        <v>225</v>
      </c>
      <c r="E6" s="626" t="s">
        <v>226</v>
      </c>
      <c r="F6" s="626" t="s">
        <v>227</v>
      </c>
      <c r="G6" s="652">
        <v>2016</v>
      </c>
      <c r="H6" s="626" t="s">
        <v>228</v>
      </c>
      <c r="I6" s="626" t="s">
        <v>229</v>
      </c>
      <c r="J6" s="626" t="s">
        <v>230</v>
      </c>
      <c r="K6" s="626" t="s">
        <v>231</v>
      </c>
      <c r="L6" s="652">
        <v>2017</v>
      </c>
      <c r="M6" s="626" t="s">
        <v>232</v>
      </c>
      <c r="N6" s="626" t="s">
        <v>233</v>
      </c>
      <c r="O6" s="626" t="s">
        <v>234</v>
      </c>
      <c r="P6" s="626" t="s">
        <v>235</v>
      </c>
      <c r="Q6" s="652">
        <v>2018</v>
      </c>
      <c r="R6" s="626" t="s">
        <v>236</v>
      </c>
      <c r="S6" s="626" t="s">
        <v>237</v>
      </c>
      <c r="T6" s="626" t="s">
        <v>238</v>
      </c>
      <c r="U6" s="626" t="s">
        <v>239</v>
      </c>
      <c r="V6" s="652">
        <v>2019</v>
      </c>
      <c r="W6" s="626" t="s">
        <v>240</v>
      </c>
      <c r="X6" s="626" t="s">
        <v>241</v>
      </c>
      <c r="Y6" s="626" t="s">
        <v>242</v>
      </c>
      <c r="Z6" s="626" t="s">
        <v>243</v>
      </c>
      <c r="AA6" s="652">
        <v>2020</v>
      </c>
      <c r="AB6" s="626" t="s">
        <v>244</v>
      </c>
      <c r="AC6" s="626" t="s">
        <v>245</v>
      </c>
      <c r="AD6" s="626" t="s">
        <v>246</v>
      </c>
      <c r="AE6" s="626" t="s">
        <v>247</v>
      </c>
      <c r="AF6" s="652">
        <v>2021</v>
      </c>
      <c r="AG6" s="626" t="s">
        <v>248</v>
      </c>
      <c r="AH6" s="626" t="s">
        <v>249</v>
      </c>
      <c r="AI6" s="626" t="s">
        <v>250</v>
      </c>
      <c r="AJ6" s="626" t="s">
        <v>215</v>
      </c>
      <c r="AK6" s="652">
        <v>2022</v>
      </c>
      <c r="AL6" s="626" t="s">
        <v>252</v>
      </c>
      <c r="AM6" s="626" t="s">
        <v>253</v>
      </c>
      <c r="AN6" s="626" t="s">
        <v>254</v>
      </c>
      <c r="AO6" s="626" t="s">
        <v>219</v>
      </c>
      <c r="AP6" s="652">
        <v>2023</v>
      </c>
      <c r="AQ6" s="626" t="s">
        <v>223</v>
      </c>
      <c r="AR6" s="626" t="s">
        <v>256</v>
      </c>
      <c r="AS6" s="626" t="s">
        <v>357</v>
      </c>
      <c r="AT6" s="626" t="s">
        <v>358</v>
      </c>
      <c r="AU6" s="652">
        <v>2024</v>
      </c>
      <c r="AV6" s="626" t="s">
        <v>359</v>
      </c>
      <c r="AW6" s="626" t="s">
        <v>1115</v>
      </c>
      <c r="AX6" s="626" t="s">
        <v>1116</v>
      </c>
      <c r="AY6" s="626" t="s">
        <v>1117</v>
      </c>
      <c r="AZ6" s="653" t="s">
        <v>1118</v>
      </c>
      <c r="BA6" s="645" t="s">
        <v>1124</v>
      </c>
    </row>
    <row r="7" spans="1:58">
      <c r="A7" s="9"/>
      <c r="B7" s="9" t="s">
        <v>259</v>
      </c>
      <c r="C7" s="117">
        <v>306636.79729729268</v>
      </c>
      <c r="D7" s="117">
        <v>274306.7512371731</v>
      </c>
      <c r="E7" s="117">
        <v>298515.75263123499</v>
      </c>
      <c r="F7" s="117">
        <v>321110.40095796413</v>
      </c>
      <c r="G7" s="143">
        <f>SUM(C7:F7)</f>
        <v>1200569.7021236648</v>
      </c>
      <c r="H7" s="117">
        <v>363428.16202039085</v>
      </c>
      <c r="I7" s="117">
        <v>380408.93326195487</v>
      </c>
      <c r="J7" s="117">
        <v>356399.13188662275</v>
      </c>
      <c r="K7" s="117">
        <v>372620.93646319874</v>
      </c>
      <c r="L7" s="118">
        <v>1472857.163632167</v>
      </c>
      <c r="M7" s="117">
        <v>435178.92439298524</v>
      </c>
      <c r="N7" s="117">
        <v>375477.21229234047</v>
      </c>
      <c r="O7" s="117">
        <v>410314.94054789108</v>
      </c>
      <c r="P7" s="117">
        <v>463585.47318609315</v>
      </c>
      <c r="Q7" s="118">
        <v>1684556.5504193099</v>
      </c>
      <c r="R7" s="117">
        <v>447499.07085686206</v>
      </c>
      <c r="S7" s="117">
        <v>443928.21781320474</v>
      </c>
      <c r="T7" s="117">
        <v>497274.04422084999</v>
      </c>
      <c r="U7" s="117">
        <v>374882.13236149336</v>
      </c>
      <c r="V7" s="118">
        <v>1763583.4652524099</v>
      </c>
      <c r="W7" s="117">
        <v>472999.15802340291</v>
      </c>
      <c r="X7" s="117">
        <v>443355.76378291484</v>
      </c>
      <c r="Y7" s="117">
        <v>635864.27365499991</v>
      </c>
      <c r="Z7" s="117">
        <v>539882.5192331532</v>
      </c>
      <c r="AA7" s="118">
        <v>2092101.7146944709</v>
      </c>
      <c r="AB7" s="117">
        <v>496488.51130000001</v>
      </c>
      <c r="AC7" s="117">
        <v>512782.96380000003</v>
      </c>
      <c r="AD7" s="117">
        <v>632880.05135000008</v>
      </c>
      <c r="AE7" s="117">
        <v>719861.62354000006</v>
      </c>
      <c r="AF7" s="118">
        <v>2362013.1499900003</v>
      </c>
      <c r="AG7" s="117">
        <f t="shared" ref="AG7:AI7" si="0">AG8+AG18+AG26</f>
        <v>701557</v>
      </c>
      <c r="AH7" s="117">
        <f>AH8+AH18+AH26</f>
        <v>888340</v>
      </c>
      <c r="AI7" s="117">
        <f t="shared" si="0"/>
        <v>1046151</v>
      </c>
      <c r="AJ7" s="117">
        <f>AJ8+AJ18+AJ26</f>
        <v>989519</v>
      </c>
      <c r="AK7" s="118">
        <f>SUM(AG7:AJ7)</f>
        <v>3625567</v>
      </c>
      <c r="AL7" s="117">
        <f>AL8+AL18+AL26</f>
        <v>1086873.25</v>
      </c>
      <c r="AM7" s="160">
        <f>AM8+AM18+AM26</f>
        <v>1085672</v>
      </c>
      <c r="AN7" s="160">
        <f>AN8+AN18+AN26</f>
        <v>1202901</v>
      </c>
      <c r="AO7" s="160">
        <f>AO8+AO18+AO26</f>
        <v>1208265</v>
      </c>
      <c r="AP7" s="118">
        <f>SUM(AL7:AO7)</f>
        <v>4583711.25</v>
      </c>
      <c r="AQ7" s="160">
        <f>AQ8+AQ18+AQ26</f>
        <v>1249819</v>
      </c>
      <c r="AR7" s="160">
        <f t="shared" ref="AR7:AW7" si="1">AR8+AR18+AR26</f>
        <v>1076009.1520799999</v>
      </c>
      <c r="AS7" s="160">
        <f t="shared" si="1"/>
        <v>1252139.8626700002</v>
      </c>
      <c r="AT7" s="160">
        <f t="shared" si="1"/>
        <v>1426984.1952</v>
      </c>
      <c r="AU7" s="118">
        <f>SUM(AQ7:AT7)</f>
        <v>5004952.20995</v>
      </c>
      <c r="AV7" s="160">
        <f>AV8+AV18+AV26</f>
        <v>1381345.73679</v>
      </c>
      <c r="AW7" s="160">
        <f t="shared" si="1"/>
        <v>1382340.28354</v>
      </c>
      <c r="AX7" s="160">
        <f t="shared" ref="AX7:AY7" si="2">AX8+AX18+AX26</f>
        <v>1509988.3875699998</v>
      </c>
      <c r="AY7" s="160">
        <f t="shared" si="2"/>
        <v>1487926.2085000006</v>
      </c>
      <c r="AZ7" s="118">
        <f t="shared" ref="AZ7:AZ38" si="3">SUM(AV7:AY7)</f>
        <v>5761600.6164000006</v>
      </c>
      <c r="BA7" s="160">
        <f t="shared" ref="BA7" si="4">BA8+BA18+BA26</f>
        <v>1523738.19909</v>
      </c>
      <c r="BB7" s="1"/>
      <c r="BC7" s="1"/>
      <c r="BD7" s="1"/>
      <c r="BE7" s="1"/>
      <c r="BF7" s="1"/>
    </row>
    <row r="8" spans="1:58">
      <c r="A8" s="5"/>
      <c r="B8" s="5" t="s">
        <v>261</v>
      </c>
      <c r="C8" s="119">
        <v>218068.18025729267</v>
      </c>
      <c r="D8" s="119">
        <v>204924.82363717307</v>
      </c>
      <c r="E8" s="119">
        <v>218016.97780123501</v>
      </c>
      <c r="F8" s="119">
        <v>231474.28320796415</v>
      </c>
      <c r="G8" s="141">
        <v>872484.26490366494</v>
      </c>
      <c r="H8" s="119">
        <v>225814.80685039086</v>
      </c>
      <c r="I8" s="119">
        <v>253499.91484195483</v>
      </c>
      <c r="J8" s="119">
        <v>223444.97083662279</v>
      </c>
      <c r="K8" s="119">
        <v>263613.12988319877</v>
      </c>
      <c r="L8" s="141">
        <v>966372.82241216721</v>
      </c>
      <c r="M8" s="119">
        <v>232408.56226298524</v>
      </c>
      <c r="N8" s="119">
        <v>219542.65458234053</v>
      </c>
      <c r="O8" s="119">
        <v>257454.62589789109</v>
      </c>
      <c r="P8" s="119">
        <v>308738.47648609313</v>
      </c>
      <c r="Q8" s="141">
        <v>1018144.31922931</v>
      </c>
      <c r="R8" s="119">
        <v>265590.93042686209</v>
      </c>
      <c r="S8" s="119">
        <v>259512.84920320474</v>
      </c>
      <c r="T8" s="119">
        <v>304987.43214085</v>
      </c>
      <c r="U8" s="119">
        <v>287160.05994149332</v>
      </c>
      <c r="V8" s="141">
        <v>1117251.2717124103</v>
      </c>
      <c r="W8" s="119">
        <v>299932.46758340293</v>
      </c>
      <c r="X8" s="119">
        <v>286275.38978291483</v>
      </c>
      <c r="Y8" s="119">
        <v>309163.23565499991</v>
      </c>
      <c r="Z8" s="119">
        <v>302040.74950315332</v>
      </c>
      <c r="AA8" s="141">
        <v>1197411.842524471</v>
      </c>
      <c r="AB8" s="119">
        <v>301546.54121</v>
      </c>
      <c r="AC8" s="119">
        <v>298520.54684000002</v>
      </c>
      <c r="AD8" s="119">
        <v>278990.35178999999</v>
      </c>
      <c r="AE8" s="119">
        <v>359096.59004000004</v>
      </c>
      <c r="AF8" s="141">
        <v>1238154.02988</v>
      </c>
      <c r="AG8" s="119">
        <f>SUM(AG9:AG17)</f>
        <v>374565</v>
      </c>
      <c r="AH8" s="119">
        <f>SUM(AH9:AH17)</f>
        <v>477539</v>
      </c>
      <c r="AI8" s="119">
        <f t="shared" ref="AI8:AL8" si="5">SUM(AI9:AI17)</f>
        <v>513021</v>
      </c>
      <c r="AJ8" s="119">
        <f t="shared" si="5"/>
        <v>573000</v>
      </c>
      <c r="AK8" s="141">
        <f t="shared" ref="AK8:AK57" si="6">SUM(AG8:AJ8)</f>
        <v>1938125</v>
      </c>
      <c r="AL8" s="119">
        <f t="shared" si="5"/>
        <v>613372.25</v>
      </c>
      <c r="AM8" s="119">
        <f>SUM(AM9:AM17)</f>
        <v>604716</v>
      </c>
      <c r="AN8" s="119">
        <f>SUM(AN9:AN17)</f>
        <v>692046</v>
      </c>
      <c r="AO8" s="119">
        <f>SUM(AO9:AO17)</f>
        <v>679007</v>
      </c>
      <c r="AP8" s="141">
        <f t="shared" ref="AP8:AP14" si="7">SUM(AL8:AO8)</f>
        <v>2589141.25</v>
      </c>
      <c r="AQ8" s="119">
        <f>SUM(AQ9:AQ17)</f>
        <v>706644</v>
      </c>
      <c r="AR8" s="119">
        <f t="shared" ref="AR8:AT8" si="8">SUM(AR9:AR17)</f>
        <v>530701.15208000003</v>
      </c>
      <c r="AS8" s="119">
        <f t="shared" si="8"/>
        <v>678998.86267000006</v>
      </c>
      <c r="AT8" s="119">
        <f t="shared" si="8"/>
        <v>758594.19519999996</v>
      </c>
      <c r="AU8" s="141">
        <f>SUM(AQ8:AT8)</f>
        <v>2674938.20995</v>
      </c>
      <c r="AV8" s="119">
        <f>SUM(AV9:AV17)</f>
        <v>766768.7975799999</v>
      </c>
      <c r="AW8" s="119">
        <f t="shared" ref="AW8" si="9">SUM(AW9:AW17)</f>
        <v>797206.77116000012</v>
      </c>
      <c r="AX8" s="119">
        <f t="shared" ref="AX8:AY8" si="10">SUM(AX9:AX17)</f>
        <v>874899.35850999993</v>
      </c>
      <c r="AY8" s="119">
        <f t="shared" si="10"/>
        <v>865371.14068000088</v>
      </c>
      <c r="AZ8" s="141">
        <f>SUM(AV8:AY8)</f>
        <v>3304246.0679300008</v>
      </c>
      <c r="BA8" s="119">
        <f t="shared" ref="BA8" si="11">SUM(BA9:BA17)</f>
        <v>903051.40730999992</v>
      </c>
      <c r="BB8" s="1"/>
      <c r="BC8" s="1"/>
      <c r="BD8" s="1"/>
      <c r="BE8" s="1"/>
      <c r="BF8" s="1"/>
    </row>
    <row r="9" spans="1:58">
      <c r="A9" s="11"/>
      <c r="B9" s="11" t="s">
        <v>262</v>
      </c>
      <c r="C9" s="120">
        <v>205928.60085017027</v>
      </c>
      <c r="D9" s="120">
        <v>193301.22333676607</v>
      </c>
      <c r="E9" s="120">
        <v>208700.72586123503</v>
      </c>
      <c r="F9" s="120">
        <v>236010.46787549357</v>
      </c>
      <c r="G9" s="154">
        <v>918234.18418999994</v>
      </c>
      <c r="H9" s="120">
        <v>214028.75715039085</v>
      </c>
      <c r="I9" s="120">
        <v>243694.72966195483</v>
      </c>
      <c r="J9" s="120">
        <v>213268.78855662278</v>
      </c>
      <c r="K9" s="120">
        <v>242113.22219319872</v>
      </c>
      <c r="L9" s="154">
        <v>913105.49756216723</v>
      </c>
      <c r="M9" s="120">
        <v>216667.09510298524</v>
      </c>
      <c r="N9" s="120">
        <v>209048.60740234054</v>
      </c>
      <c r="O9" s="120">
        <v>245748.8221778911</v>
      </c>
      <c r="P9" s="120">
        <v>288835.23492609314</v>
      </c>
      <c r="Q9" s="154">
        <v>960299.75960930996</v>
      </c>
      <c r="R9" s="120">
        <v>252704.55294686207</v>
      </c>
      <c r="S9" s="120">
        <v>242710.97243320473</v>
      </c>
      <c r="T9" s="120">
        <v>286877.93122084998</v>
      </c>
      <c r="U9" s="120">
        <v>253995.77302149331</v>
      </c>
      <c r="V9" s="154">
        <v>1036289.2296224101</v>
      </c>
      <c r="W9" s="120">
        <v>288437.10982340295</v>
      </c>
      <c r="X9" s="120">
        <v>272412.71835291485</v>
      </c>
      <c r="Y9" s="120">
        <v>296666.25223499991</v>
      </c>
      <c r="Z9" s="120">
        <v>276811.38236315333</v>
      </c>
      <c r="AA9" s="154">
        <v>1134327.4627744709</v>
      </c>
      <c r="AB9" s="120">
        <v>102353.31213999999</v>
      </c>
      <c r="AC9" s="120">
        <v>97747.342810000002</v>
      </c>
      <c r="AD9" s="120">
        <v>70903.211729999995</v>
      </c>
      <c r="AE9" s="120">
        <v>104435.68768</v>
      </c>
      <c r="AF9" s="154">
        <v>375439.55435999995</v>
      </c>
      <c r="AG9" s="120">
        <v>101280</v>
      </c>
      <c r="AH9" s="120">
        <v>89536</v>
      </c>
      <c r="AI9" s="120">
        <v>112269</v>
      </c>
      <c r="AJ9" s="120">
        <v>153901</v>
      </c>
      <c r="AK9" s="154">
        <f t="shared" si="6"/>
        <v>456986</v>
      </c>
      <c r="AL9" s="120">
        <v>118543</v>
      </c>
      <c r="AM9" s="157">
        <v>112679</v>
      </c>
      <c r="AN9" s="120">
        <v>144463</v>
      </c>
      <c r="AO9" s="120">
        <v>142368</v>
      </c>
      <c r="AP9" s="154">
        <f t="shared" si="7"/>
        <v>518053</v>
      </c>
      <c r="AQ9" s="13">
        <v>118213</v>
      </c>
      <c r="AR9" s="157">
        <v>85294.214430000007</v>
      </c>
      <c r="AS9" s="157">
        <v>122179.04358000003</v>
      </c>
      <c r="AT9" s="157">
        <v>120117.23794000001</v>
      </c>
      <c r="AU9" s="154">
        <f t="shared" ref="AU9:AU44" si="12">SUM(AQ9:AT9)</f>
        <v>445803.49595000001</v>
      </c>
      <c r="AV9" s="157">
        <v>102459.55097000001</v>
      </c>
      <c r="AW9" s="157">
        <v>113241.78522000001</v>
      </c>
      <c r="AX9" s="157">
        <v>116971.74971999999</v>
      </c>
      <c r="AY9" s="157">
        <v>128111.21147000001</v>
      </c>
      <c r="AZ9" s="154">
        <f t="shared" si="3"/>
        <v>460784.29738</v>
      </c>
      <c r="BA9" s="13">
        <v>117098.58534000001</v>
      </c>
      <c r="BB9" s="1"/>
      <c r="BC9" s="1"/>
      <c r="BD9" s="1"/>
      <c r="BE9" s="1"/>
      <c r="BF9" s="1"/>
    </row>
    <row r="10" spans="1:58">
      <c r="A10" s="11"/>
      <c r="B10" s="11" t="s">
        <v>263</v>
      </c>
      <c r="C10" s="120">
        <v>0</v>
      </c>
      <c r="D10" s="120">
        <v>0</v>
      </c>
      <c r="E10" s="120">
        <v>0</v>
      </c>
      <c r="F10" s="120">
        <v>0</v>
      </c>
      <c r="G10" s="154">
        <v>0</v>
      </c>
      <c r="H10" s="120">
        <v>0</v>
      </c>
      <c r="I10" s="120">
        <v>0</v>
      </c>
      <c r="J10" s="120">
        <v>0</v>
      </c>
      <c r="K10" s="120">
        <v>0</v>
      </c>
      <c r="L10" s="154">
        <v>0</v>
      </c>
      <c r="M10" s="120">
        <v>0</v>
      </c>
      <c r="N10" s="120">
        <v>0</v>
      </c>
      <c r="O10" s="120">
        <v>0</v>
      </c>
      <c r="P10" s="120">
        <v>0</v>
      </c>
      <c r="Q10" s="154">
        <v>0</v>
      </c>
      <c r="R10" s="120">
        <v>0</v>
      </c>
      <c r="S10" s="120">
        <v>0</v>
      </c>
      <c r="T10" s="120">
        <v>0</v>
      </c>
      <c r="U10" s="120">
        <v>0</v>
      </c>
      <c r="V10" s="154">
        <v>0</v>
      </c>
      <c r="W10" s="120">
        <v>0</v>
      </c>
      <c r="X10" s="120">
        <v>0</v>
      </c>
      <c r="Y10" s="120">
        <v>55.539000000000001</v>
      </c>
      <c r="Z10" s="120">
        <v>442.16998000000001</v>
      </c>
      <c r="AA10" s="154">
        <v>497.70898</v>
      </c>
      <c r="AB10" s="120">
        <v>207267.38247000001</v>
      </c>
      <c r="AC10" s="120">
        <v>204071.52911999996</v>
      </c>
      <c r="AD10" s="120">
        <v>200938.49518999999</v>
      </c>
      <c r="AE10" s="120">
        <v>224796.31309000004</v>
      </c>
      <c r="AF10" s="154">
        <v>837073.71987000003</v>
      </c>
      <c r="AG10" s="120">
        <v>221744</v>
      </c>
      <c r="AH10" s="120">
        <v>314715</v>
      </c>
      <c r="AI10" s="120">
        <v>291565</v>
      </c>
      <c r="AJ10" s="120">
        <v>289806</v>
      </c>
      <c r="AK10" s="154">
        <f t="shared" si="6"/>
        <v>1117830</v>
      </c>
      <c r="AL10" s="120">
        <v>337257</v>
      </c>
      <c r="AM10" s="157">
        <v>330715</v>
      </c>
      <c r="AN10" s="120">
        <v>353416</v>
      </c>
      <c r="AO10" s="120">
        <v>328923</v>
      </c>
      <c r="AP10" s="154">
        <f t="shared" si="7"/>
        <v>1350311</v>
      </c>
      <c r="AQ10" s="13">
        <v>359377</v>
      </c>
      <c r="AR10" s="157">
        <v>225094.60947999998</v>
      </c>
      <c r="AS10" s="157">
        <v>286323.29554000002</v>
      </c>
      <c r="AT10" s="157">
        <v>374623.80388000002</v>
      </c>
      <c r="AU10" s="154">
        <f t="shared" si="12"/>
        <v>1245418.7089</v>
      </c>
      <c r="AV10" s="157">
        <v>357376.75735999993</v>
      </c>
      <c r="AW10" s="157">
        <v>357319.62336999999</v>
      </c>
      <c r="AX10" s="157">
        <v>397469.34869000007</v>
      </c>
      <c r="AY10" s="157">
        <v>403124.35963000002</v>
      </c>
      <c r="AZ10" s="154">
        <f t="shared" si="3"/>
        <v>1515290.0890500001</v>
      </c>
      <c r="BA10" s="13">
        <v>394905.29534999997</v>
      </c>
      <c r="BB10" s="1"/>
      <c r="BC10" s="1"/>
      <c r="BD10" s="1"/>
      <c r="BE10" s="1"/>
      <c r="BF10" s="1"/>
    </row>
    <row r="11" spans="1:58">
      <c r="A11" s="11"/>
      <c r="B11" s="11" t="s">
        <v>264</v>
      </c>
      <c r="C11" s="120">
        <v>0</v>
      </c>
      <c r="D11" s="120">
        <v>0</v>
      </c>
      <c r="E11" s="120">
        <v>0</v>
      </c>
      <c r="F11" s="120">
        <v>0</v>
      </c>
      <c r="G11" s="154">
        <v>0</v>
      </c>
      <c r="H11" s="120">
        <v>0</v>
      </c>
      <c r="I11" s="120">
        <v>0</v>
      </c>
      <c r="J11" s="120">
        <v>0</v>
      </c>
      <c r="K11" s="120">
        <v>0</v>
      </c>
      <c r="L11" s="154">
        <v>0</v>
      </c>
      <c r="M11" s="120">
        <v>0</v>
      </c>
      <c r="N11" s="120">
        <v>0</v>
      </c>
      <c r="O11" s="120">
        <v>0</v>
      </c>
      <c r="P11" s="120">
        <v>0</v>
      </c>
      <c r="Q11" s="154">
        <v>0</v>
      </c>
      <c r="R11" s="120">
        <v>0</v>
      </c>
      <c r="S11" s="120">
        <v>0</v>
      </c>
      <c r="T11" s="120">
        <v>0</v>
      </c>
      <c r="U11" s="120">
        <v>0</v>
      </c>
      <c r="V11" s="154">
        <v>0</v>
      </c>
      <c r="W11" s="120">
        <v>0</v>
      </c>
      <c r="X11" s="120">
        <v>0</v>
      </c>
      <c r="Y11" s="120">
        <v>0</v>
      </c>
      <c r="Z11" s="120">
        <v>0</v>
      </c>
      <c r="AA11" s="154">
        <v>0</v>
      </c>
      <c r="AB11" s="120">
        <v>-26142.165929999999</v>
      </c>
      <c r="AC11" s="120">
        <v>-15890.276810000003</v>
      </c>
      <c r="AD11" s="120">
        <v>-1194.7964500000016</v>
      </c>
      <c r="AE11" s="120">
        <v>9820.5491499999989</v>
      </c>
      <c r="AF11" s="154">
        <v>-33406.690040000001</v>
      </c>
      <c r="AG11" s="120">
        <v>21438</v>
      </c>
      <c r="AH11" s="120">
        <v>38583</v>
      </c>
      <c r="AI11" s="120">
        <v>43588</v>
      </c>
      <c r="AJ11" s="120">
        <v>47342</v>
      </c>
      <c r="AK11" s="154">
        <f t="shared" si="6"/>
        <v>150951</v>
      </c>
      <c r="AL11" s="120">
        <v>60504</v>
      </c>
      <c r="AM11" s="157">
        <v>65667</v>
      </c>
      <c r="AN11" s="120">
        <v>79855</v>
      </c>
      <c r="AO11" s="120">
        <v>80651</v>
      </c>
      <c r="AP11" s="154">
        <f t="shared" si="7"/>
        <v>286677</v>
      </c>
      <c r="AQ11" s="13">
        <v>87528</v>
      </c>
      <c r="AR11" s="157">
        <v>82340.471750000026</v>
      </c>
      <c r="AS11" s="157">
        <v>108919.53275999999</v>
      </c>
      <c r="AT11" s="157">
        <v>111709.41759000003</v>
      </c>
      <c r="AU11" s="154">
        <f t="shared" si="12"/>
        <v>390497.42210000003</v>
      </c>
      <c r="AV11" s="157">
        <v>129154.85290000009</v>
      </c>
      <c r="AW11" s="157">
        <v>134272.98635999998</v>
      </c>
      <c r="AX11" s="157">
        <v>149979.05123000001</v>
      </c>
      <c r="AY11" s="157">
        <v>157177.21138000028</v>
      </c>
      <c r="AZ11" s="154">
        <f t="shared" si="3"/>
        <v>570584.10187000036</v>
      </c>
      <c r="BA11" s="13">
        <v>175038.25928999996</v>
      </c>
      <c r="BB11" s="1"/>
      <c r="BC11" s="1"/>
      <c r="BD11" s="1"/>
      <c r="BE11" s="1"/>
      <c r="BF11" s="1"/>
    </row>
    <row r="12" spans="1:58">
      <c r="A12" s="11"/>
      <c r="B12" s="11" t="s">
        <v>265</v>
      </c>
      <c r="C12" s="120">
        <v>0</v>
      </c>
      <c r="D12" s="120">
        <v>0</v>
      </c>
      <c r="E12" s="120">
        <v>0</v>
      </c>
      <c r="F12" s="120">
        <v>0</v>
      </c>
      <c r="G12" s="154">
        <v>0</v>
      </c>
      <c r="H12" s="120">
        <v>0</v>
      </c>
      <c r="I12" s="120">
        <v>0</v>
      </c>
      <c r="J12" s="120">
        <v>0</v>
      </c>
      <c r="K12" s="120">
        <v>0</v>
      </c>
      <c r="L12" s="154">
        <v>0</v>
      </c>
      <c r="M12" s="120">
        <v>0</v>
      </c>
      <c r="N12" s="120">
        <v>0</v>
      </c>
      <c r="O12" s="120">
        <v>0</v>
      </c>
      <c r="P12" s="120">
        <v>0</v>
      </c>
      <c r="Q12" s="154">
        <v>0</v>
      </c>
      <c r="R12" s="120">
        <v>0</v>
      </c>
      <c r="S12" s="120">
        <v>0</v>
      </c>
      <c r="T12" s="120">
        <v>0</v>
      </c>
      <c r="U12" s="120">
        <v>0</v>
      </c>
      <c r="V12" s="154">
        <v>0</v>
      </c>
      <c r="W12" s="120">
        <v>0</v>
      </c>
      <c r="X12" s="120">
        <v>0</v>
      </c>
      <c r="Y12" s="120">
        <v>0</v>
      </c>
      <c r="Z12" s="120">
        <v>0</v>
      </c>
      <c r="AA12" s="154">
        <v>0</v>
      </c>
      <c r="AB12" s="120">
        <v>30.243200000000002</v>
      </c>
      <c r="AC12" s="120">
        <v>-703.26945999999998</v>
      </c>
      <c r="AD12" s="120">
        <v>2635.4137600000004</v>
      </c>
      <c r="AE12" s="120">
        <v>1172.3518700000004</v>
      </c>
      <c r="AF12" s="154">
        <v>3134.7393700000007</v>
      </c>
      <c r="AG12" s="120">
        <v>11614</v>
      </c>
      <c r="AH12" s="120">
        <v>14022</v>
      </c>
      <c r="AI12" s="120">
        <v>27860</v>
      </c>
      <c r="AJ12" s="120">
        <v>23730</v>
      </c>
      <c r="AK12" s="154">
        <f t="shared" si="6"/>
        <v>77226</v>
      </c>
      <c r="AL12" s="120">
        <v>31345</v>
      </c>
      <c r="AM12" s="157">
        <v>26555</v>
      </c>
      <c r="AN12" s="120">
        <v>33691</v>
      </c>
      <c r="AO12" s="120">
        <v>34448</v>
      </c>
      <c r="AP12" s="154">
        <f t="shared" si="7"/>
        <v>126039</v>
      </c>
      <c r="AQ12" s="13">
        <v>36643</v>
      </c>
      <c r="AR12" s="157">
        <v>37166.929939999995</v>
      </c>
      <c r="AS12" s="157">
        <v>38393</v>
      </c>
      <c r="AT12" s="157">
        <v>42347.553019999999</v>
      </c>
      <c r="AU12" s="154">
        <f t="shared" si="12"/>
        <v>154550.48295999999</v>
      </c>
      <c r="AV12" s="157">
        <v>51663.607490000002</v>
      </c>
      <c r="AW12" s="157">
        <v>47591.004400000034</v>
      </c>
      <c r="AX12" s="157">
        <v>52132.567649999917</v>
      </c>
      <c r="AY12" s="157">
        <v>51181.920330000074</v>
      </c>
      <c r="AZ12" s="154">
        <f t="shared" si="3"/>
        <v>202569.09987000003</v>
      </c>
      <c r="BA12" s="13">
        <v>60969.213029999999</v>
      </c>
      <c r="BB12" s="1"/>
      <c r="BC12" s="1"/>
      <c r="BD12" s="1"/>
      <c r="BE12" s="1"/>
      <c r="BF12" s="1"/>
    </row>
    <row r="13" spans="1:58">
      <c r="A13" s="11"/>
      <c r="B13" s="11" t="s">
        <v>266</v>
      </c>
      <c r="C13" s="120">
        <v>0</v>
      </c>
      <c r="D13" s="120">
        <v>0</v>
      </c>
      <c r="E13" s="120">
        <v>0</v>
      </c>
      <c r="F13" s="120">
        <v>0</v>
      </c>
      <c r="G13" s="154">
        <v>0</v>
      </c>
      <c r="H13" s="120">
        <v>0</v>
      </c>
      <c r="I13" s="120">
        <v>0</v>
      </c>
      <c r="J13" s="120">
        <v>0</v>
      </c>
      <c r="K13" s="120">
        <v>0</v>
      </c>
      <c r="L13" s="154">
        <v>0</v>
      </c>
      <c r="M13" s="120">
        <v>0</v>
      </c>
      <c r="N13" s="120">
        <v>0</v>
      </c>
      <c r="O13" s="120">
        <v>0</v>
      </c>
      <c r="P13" s="120">
        <v>0</v>
      </c>
      <c r="Q13" s="154">
        <v>0</v>
      </c>
      <c r="R13" s="120">
        <v>0</v>
      </c>
      <c r="S13" s="120">
        <v>0</v>
      </c>
      <c r="T13" s="120">
        <v>0</v>
      </c>
      <c r="U13" s="120">
        <v>0</v>
      </c>
      <c r="V13" s="154">
        <v>0</v>
      </c>
      <c r="W13" s="120">
        <v>0</v>
      </c>
      <c r="X13" s="120">
        <v>0</v>
      </c>
      <c r="Y13" s="120">
        <v>0</v>
      </c>
      <c r="Z13" s="120">
        <v>0</v>
      </c>
      <c r="AA13" s="154">
        <v>0</v>
      </c>
      <c r="AB13" s="120">
        <v>0</v>
      </c>
      <c r="AC13" s="120">
        <v>-1111.2993100000001</v>
      </c>
      <c r="AD13" s="120">
        <v>-1499.4540499999996</v>
      </c>
      <c r="AE13" s="120">
        <v>-3068.3097600000001</v>
      </c>
      <c r="AF13" s="154">
        <v>-5679.0631199999998</v>
      </c>
      <c r="AG13" s="120">
        <v>-1990</v>
      </c>
      <c r="AH13" s="120">
        <v>-1578</v>
      </c>
      <c r="AI13" s="120">
        <v>2245</v>
      </c>
      <c r="AJ13" s="120">
        <v>19722</v>
      </c>
      <c r="AK13" s="154">
        <f t="shared" si="6"/>
        <v>18399</v>
      </c>
      <c r="AL13" s="120">
        <v>13978</v>
      </c>
      <c r="AM13" s="157">
        <v>18672</v>
      </c>
      <c r="AN13" s="120">
        <v>24969</v>
      </c>
      <c r="AO13" s="120">
        <v>33686</v>
      </c>
      <c r="AP13" s="154">
        <f t="shared" si="7"/>
        <v>91305</v>
      </c>
      <c r="AQ13" s="13">
        <v>36302</v>
      </c>
      <c r="AR13" s="157">
        <v>41918.485099999998</v>
      </c>
      <c r="AS13" s="157">
        <v>52097</v>
      </c>
      <c r="AT13" s="157">
        <v>40152.85772</v>
      </c>
      <c r="AU13" s="154">
        <f t="shared" si="12"/>
        <v>170470.34281999999</v>
      </c>
      <c r="AV13" s="157">
        <v>53691.729760000002</v>
      </c>
      <c r="AW13" s="157">
        <v>72541.702689999991</v>
      </c>
      <c r="AX13" s="157">
        <v>72866.110220000002</v>
      </c>
      <c r="AY13" s="157">
        <v>61477.365250000003</v>
      </c>
      <c r="AZ13" s="154">
        <f t="shared" si="3"/>
        <v>260576.90792</v>
      </c>
      <c r="BA13" s="13">
        <v>61259.506780000003</v>
      </c>
      <c r="BB13" s="1"/>
      <c r="BC13" s="1"/>
      <c r="BD13" s="1"/>
      <c r="BE13" s="1"/>
      <c r="BF13" s="1"/>
    </row>
    <row r="14" spans="1:58">
      <c r="A14" s="11"/>
      <c r="B14" s="11" t="s">
        <v>268</v>
      </c>
      <c r="C14" s="120">
        <v>0</v>
      </c>
      <c r="D14" s="120">
        <v>0</v>
      </c>
      <c r="E14" s="120">
        <v>0</v>
      </c>
      <c r="F14" s="120">
        <v>0</v>
      </c>
      <c r="G14" s="154">
        <v>0</v>
      </c>
      <c r="H14" s="120">
        <v>0</v>
      </c>
      <c r="I14" s="120">
        <v>0</v>
      </c>
      <c r="J14" s="120">
        <v>0</v>
      </c>
      <c r="K14" s="120">
        <v>0</v>
      </c>
      <c r="L14" s="154">
        <v>0</v>
      </c>
      <c r="M14" s="120">
        <v>0</v>
      </c>
      <c r="N14" s="120">
        <v>0</v>
      </c>
      <c r="O14" s="120">
        <v>0</v>
      </c>
      <c r="P14" s="120">
        <v>0</v>
      </c>
      <c r="Q14" s="154">
        <v>0</v>
      </c>
      <c r="R14" s="120">
        <v>0</v>
      </c>
      <c r="S14" s="120">
        <v>0</v>
      </c>
      <c r="T14" s="120">
        <v>0</v>
      </c>
      <c r="U14" s="120">
        <v>0</v>
      </c>
      <c r="V14" s="154">
        <v>0</v>
      </c>
      <c r="W14" s="120">
        <v>0</v>
      </c>
      <c r="X14" s="120">
        <v>0</v>
      </c>
      <c r="Y14" s="120">
        <v>0</v>
      </c>
      <c r="Z14" s="120">
        <v>0</v>
      </c>
      <c r="AA14" s="154">
        <v>0</v>
      </c>
      <c r="AB14" s="120">
        <v>-124.48341000000001</v>
      </c>
      <c r="AC14" s="120">
        <v>-265.90536000000003</v>
      </c>
      <c r="AD14" s="120">
        <v>-633.96879999999987</v>
      </c>
      <c r="AE14" s="120">
        <v>-952.80201000000011</v>
      </c>
      <c r="AF14" s="154">
        <v>-1977.15958</v>
      </c>
      <c r="AG14" s="120">
        <v>-73</v>
      </c>
      <c r="AH14" s="120">
        <v>249</v>
      </c>
      <c r="AI14" s="120">
        <v>1017</v>
      </c>
      <c r="AJ14" s="120">
        <v>2223</v>
      </c>
      <c r="AK14" s="154">
        <f t="shared" si="6"/>
        <v>3416</v>
      </c>
      <c r="AL14" s="120">
        <v>2666.25</v>
      </c>
      <c r="AM14" s="157">
        <v>4531</v>
      </c>
      <c r="AN14" s="120">
        <v>5196</v>
      </c>
      <c r="AO14" s="120">
        <v>5236</v>
      </c>
      <c r="AP14" s="154">
        <f t="shared" si="7"/>
        <v>17629.25</v>
      </c>
      <c r="AQ14" s="13">
        <v>5161</v>
      </c>
      <c r="AR14" s="157">
        <v>4120.5923200000007</v>
      </c>
      <c r="AS14" s="157">
        <v>5633.8150299999998</v>
      </c>
      <c r="AT14" s="157">
        <v>8321.27232</v>
      </c>
      <c r="AU14" s="154">
        <f t="shared" si="12"/>
        <v>23236.679669999998</v>
      </c>
      <c r="AV14" s="157">
        <v>8415.2405299999991</v>
      </c>
      <c r="AW14" s="157">
        <v>9807.4060399999998</v>
      </c>
      <c r="AX14" s="157">
        <v>11274.421759999999</v>
      </c>
      <c r="AY14" s="157">
        <v>7647.4294600000003</v>
      </c>
      <c r="AZ14" s="154">
        <f t="shared" si="3"/>
        <v>37144.497789999994</v>
      </c>
      <c r="BA14" s="13">
        <v>7113.7056599999996</v>
      </c>
      <c r="BB14" s="1"/>
      <c r="BC14" s="1"/>
      <c r="BD14" s="1"/>
      <c r="BE14" s="1"/>
      <c r="BF14" s="1"/>
    </row>
    <row r="15" spans="1:58">
      <c r="A15" s="11"/>
      <c r="B15" s="11" t="s">
        <v>269</v>
      </c>
      <c r="C15" s="120">
        <v>10879.326935822401</v>
      </c>
      <c r="D15" s="120">
        <v>10156.355570207003</v>
      </c>
      <c r="E15" s="120">
        <v>8493.8030399999989</v>
      </c>
      <c r="F15" s="120">
        <v>-4734.9436560294043</v>
      </c>
      <c r="G15" s="154">
        <v>24794.541889999997</v>
      </c>
      <c r="H15" s="120">
        <v>9884.6331099999989</v>
      </c>
      <c r="I15" s="120">
        <v>8570.1071700000011</v>
      </c>
      <c r="J15" s="120">
        <v>9116.4090699999997</v>
      </c>
      <c r="K15" s="120">
        <v>20355.676689999997</v>
      </c>
      <c r="L15" s="154">
        <v>47926.82604</v>
      </c>
      <c r="M15" s="120">
        <v>14238.89248</v>
      </c>
      <c r="N15" s="120">
        <v>9331.6300500000016</v>
      </c>
      <c r="O15" s="120">
        <v>10434.51382</v>
      </c>
      <c r="P15" s="120">
        <v>18606.603039999991</v>
      </c>
      <c r="Q15" s="154">
        <v>52611.639389999997</v>
      </c>
      <c r="R15" s="120">
        <v>11259.94118</v>
      </c>
      <c r="S15" s="120">
        <v>9930.3495700000003</v>
      </c>
      <c r="T15" s="120">
        <v>10077.425780000001</v>
      </c>
      <c r="U15" s="120">
        <v>23188.290009999997</v>
      </c>
      <c r="V15" s="154">
        <v>54456.006540000002</v>
      </c>
      <c r="W15" s="120">
        <v>6992.8752500000001</v>
      </c>
      <c r="X15" s="120">
        <v>10779.93607</v>
      </c>
      <c r="Y15" s="120">
        <v>7565.497739999998</v>
      </c>
      <c r="Z15" s="120">
        <v>17143.477029999998</v>
      </c>
      <c r="AA15" s="154">
        <v>42481.786089999994</v>
      </c>
      <c r="AB15" s="120">
        <v>11128.263289999999</v>
      </c>
      <c r="AC15" s="120">
        <v>8173.9680500000004</v>
      </c>
      <c r="AD15" s="120">
        <v>3266.4812700000002</v>
      </c>
      <c r="AE15" s="120">
        <v>17534.295980000003</v>
      </c>
      <c r="AF15" s="154">
        <v>40103.008589999998</v>
      </c>
      <c r="AG15" s="120">
        <v>15649</v>
      </c>
      <c r="AH15" s="120">
        <v>16475</v>
      </c>
      <c r="AI15" s="120">
        <v>28331</v>
      </c>
      <c r="AJ15" s="120">
        <v>46363</v>
      </c>
      <c r="AK15" s="154">
        <f>SUM(AG15:AJ15)</f>
        <v>106818</v>
      </c>
      <c r="AL15" s="120">
        <v>41926</v>
      </c>
      <c r="AM15" s="157">
        <v>39306</v>
      </c>
      <c r="AN15" s="120">
        <v>43672</v>
      </c>
      <c r="AO15" s="120">
        <v>44518</v>
      </c>
      <c r="AP15" s="154">
        <f>SUM(AL15:AO15)</f>
        <v>169422</v>
      </c>
      <c r="AQ15" s="13">
        <v>54600</v>
      </c>
      <c r="AR15" s="157">
        <v>50353.665869999997</v>
      </c>
      <c r="AS15" s="157">
        <v>61099.797520000029</v>
      </c>
      <c r="AT15" s="157">
        <v>56783.275179999931</v>
      </c>
      <c r="AU15" s="154">
        <f t="shared" si="12"/>
        <v>222836.73856999996</v>
      </c>
      <c r="AV15" s="157">
        <v>58413.554600000003</v>
      </c>
      <c r="AW15" s="157">
        <v>56233.532920000041</v>
      </c>
      <c r="AX15" s="157">
        <v>67739.607619999879</v>
      </c>
      <c r="AY15" s="157">
        <v>48327.604140000403</v>
      </c>
      <c r="AZ15" s="154">
        <f t="shared" si="3"/>
        <v>230714.29928000033</v>
      </c>
      <c r="BA15" s="13">
        <v>79606.112720000019</v>
      </c>
      <c r="BB15" s="1"/>
      <c r="BC15" s="1"/>
      <c r="BD15" s="1"/>
      <c r="BE15" s="1"/>
      <c r="BF15" s="1"/>
    </row>
    <row r="16" spans="1:58">
      <c r="A16" s="11"/>
      <c r="B16" s="11" t="s">
        <v>270</v>
      </c>
      <c r="C16" s="120">
        <v>1260.2524713</v>
      </c>
      <c r="D16" s="120">
        <v>1467.2447302</v>
      </c>
      <c r="E16" s="120">
        <v>822.44889999999987</v>
      </c>
      <c r="F16" s="120">
        <v>198.75898850000044</v>
      </c>
      <c r="G16" s="154">
        <v>3748.7050900000004</v>
      </c>
      <c r="H16" s="120">
        <v>1901.41659</v>
      </c>
      <c r="I16" s="120">
        <v>1235.0780099999999</v>
      </c>
      <c r="J16" s="120">
        <v>1059.7732099999996</v>
      </c>
      <c r="K16" s="120">
        <v>1144.231</v>
      </c>
      <c r="L16" s="154">
        <v>5340.4988099999991</v>
      </c>
      <c r="M16" s="120">
        <v>1502.5746799999999</v>
      </c>
      <c r="N16" s="120">
        <v>1162.41713</v>
      </c>
      <c r="O16" s="120">
        <v>1271.2899</v>
      </c>
      <c r="P16" s="120">
        <v>1296.6385199999995</v>
      </c>
      <c r="Q16" s="154">
        <v>5232.9202299999997</v>
      </c>
      <c r="R16" s="120">
        <v>1626.4363000000001</v>
      </c>
      <c r="S16" s="120">
        <v>6871.5272000000004</v>
      </c>
      <c r="T16" s="120">
        <v>8032.0751400000008</v>
      </c>
      <c r="U16" s="120">
        <v>9975.9969099999998</v>
      </c>
      <c r="V16" s="154">
        <v>26506.035550000001</v>
      </c>
      <c r="W16" s="120">
        <v>4502.4825099999998</v>
      </c>
      <c r="X16" s="120">
        <v>3082.7353600000001</v>
      </c>
      <c r="Y16" s="120">
        <v>4875.9466800000009</v>
      </c>
      <c r="Z16" s="120">
        <v>7643.7201299999988</v>
      </c>
      <c r="AA16" s="154">
        <v>20104.884679999999</v>
      </c>
      <c r="AB16" s="120">
        <v>7033.98945</v>
      </c>
      <c r="AC16" s="120">
        <v>6498.4578000000001</v>
      </c>
      <c r="AD16" s="120">
        <v>4574.9691400000011</v>
      </c>
      <c r="AE16" s="120">
        <v>5358.5040399999989</v>
      </c>
      <c r="AF16" s="154">
        <v>23465.920430000002</v>
      </c>
      <c r="AG16" s="120">
        <v>4903</v>
      </c>
      <c r="AH16" s="120">
        <v>5537</v>
      </c>
      <c r="AI16" s="120">
        <v>6146</v>
      </c>
      <c r="AJ16" s="120">
        <v>6819</v>
      </c>
      <c r="AK16" s="154">
        <f t="shared" si="6"/>
        <v>23405</v>
      </c>
      <c r="AL16" s="120">
        <v>7153</v>
      </c>
      <c r="AM16" s="157">
        <v>6591</v>
      </c>
      <c r="AN16" s="120">
        <v>6784</v>
      </c>
      <c r="AO16" s="120">
        <v>9177</v>
      </c>
      <c r="AP16" s="154">
        <f t="shared" ref="AP16" si="13">SUM(AL16:AO16)</f>
        <v>29705</v>
      </c>
      <c r="AQ16" s="13">
        <v>8820</v>
      </c>
      <c r="AR16" s="157">
        <v>4412.1831899999943</v>
      </c>
      <c r="AS16" s="157">
        <v>4353.37824</v>
      </c>
      <c r="AT16" s="157">
        <v>4538.7775500000007</v>
      </c>
      <c r="AU16" s="154">
        <f t="shared" si="12"/>
        <v>22124.338979999993</v>
      </c>
      <c r="AV16" s="157">
        <v>5593.5039700000025</v>
      </c>
      <c r="AW16" s="157">
        <v>6198.7301599999973</v>
      </c>
      <c r="AX16" s="157">
        <v>6466.5016199999973</v>
      </c>
      <c r="AY16" s="157">
        <v>8324.0390199999965</v>
      </c>
      <c r="AZ16" s="154">
        <f t="shared" si="3"/>
        <v>26582.774769999996</v>
      </c>
      <c r="BA16" s="13">
        <v>7060.7291400000004</v>
      </c>
      <c r="BB16" s="1"/>
      <c r="BC16" s="1"/>
      <c r="BD16" s="1"/>
      <c r="BE16" s="1"/>
      <c r="BF16" s="1"/>
    </row>
    <row r="17" spans="1:58">
      <c r="A17" s="11"/>
      <c r="B17" s="11" t="s">
        <v>360</v>
      </c>
      <c r="C17" s="120"/>
      <c r="D17" s="120"/>
      <c r="E17" s="120"/>
      <c r="F17" s="120"/>
      <c r="G17" s="154"/>
      <c r="H17" s="120"/>
      <c r="I17" s="120"/>
      <c r="J17" s="120"/>
      <c r="K17" s="120"/>
      <c r="L17" s="154"/>
      <c r="M17" s="120"/>
      <c r="N17" s="120"/>
      <c r="O17" s="120"/>
      <c r="P17" s="120"/>
      <c r="Q17" s="154"/>
      <c r="R17" s="120"/>
      <c r="S17" s="120"/>
      <c r="T17" s="120"/>
      <c r="U17" s="120"/>
      <c r="V17" s="154"/>
      <c r="W17" s="120"/>
      <c r="X17" s="120"/>
      <c r="Y17" s="120"/>
      <c r="Z17" s="120"/>
      <c r="AA17" s="154"/>
      <c r="AB17" s="120"/>
      <c r="AC17" s="120"/>
      <c r="AD17" s="120"/>
      <c r="AE17" s="120"/>
      <c r="AF17" s="154"/>
      <c r="AG17" s="120"/>
      <c r="AH17" s="120"/>
      <c r="AI17" s="120"/>
      <c r="AJ17" s="120">
        <v>-16906</v>
      </c>
      <c r="AK17" s="154">
        <f t="shared" si="6"/>
        <v>-16906</v>
      </c>
      <c r="AL17" s="120">
        <v>0</v>
      </c>
      <c r="AM17" s="157">
        <v>0</v>
      </c>
      <c r="AN17" s="120">
        <v>0</v>
      </c>
      <c r="AO17" s="120">
        <v>0</v>
      </c>
      <c r="AP17" s="154">
        <f>SUM(AL17:AO17)</f>
        <v>0</v>
      </c>
      <c r="AQ17" s="13">
        <v>0</v>
      </c>
      <c r="AR17" s="157">
        <v>0</v>
      </c>
      <c r="AS17" s="157">
        <v>0</v>
      </c>
      <c r="AT17" s="157">
        <v>0</v>
      </c>
      <c r="AU17" s="154">
        <f t="shared" si="12"/>
        <v>0</v>
      </c>
      <c r="AV17" s="157">
        <v>0</v>
      </c>
      <c r="AW17" s="157">
        <v>0</v>
      </c>
      <c r="AX17" s="157">
        <v>0</v>
      </c>
      <c r="AY17" s="157">
        <v>0</v>
      </c>
      <c r="AZ17" s="154">
        <f t="shared" si="3"/>
        <v>0</v>
      </c>
      <c r="BA17" s="13">
        <v>0</v>
      </c>
      <c r="BB17" s="1"/>
      <c r="BC17" s="1"/>
      <c r="BD17" s="1"/>
      <c r="BE17" s="1"/>
      <c r="BF17" s="1"/>
    </row>
    <row r="18" spans="1:58">
      <c r="A18" s="5"/>
      <c r="B18" s="5" t="s">
        <v>361</v>
      </c>
      <c r="C18" s="119">
        <v>88568.617039999997</v>
      </c>
      <c r="D18" s="119">
        <v>69381.927600000025</v>
      </c>
      <c r="E18" s="119">
        <v>80498.774829999966</v>
      </c>
      <c r="F18" s="119">
        <v>89636.117749999961</v>
      </c>
      <c r="G18" s="141">
        <v>328085.43721999996</v>
      </c>
      <c r="H18" s="119">
        <v>137613.35517</v>
      </c>
      <c r="I18" s="119">
        <v>126909.01842000002</v>
      </c>
      <c r="J18" s="119">
        <v>132954.16104999997</v>
      </c>
      <c r="K18" s="119">
        <v>109007.80658</v>
      </c>
      <c r="L18" s="141">
        <v>506484.34121999994</v>
      </c>
      <c r="M18" s="119">
        <v>202770.36212999999</v>
      </c>
      <c r="N18" s="119">
        <v>155934.55770999996</v>
      </c>
      <c r="O18" s="119">
        <v>152860.31464999999</v>
      </c>
      <c r="P18" s="119">
        <v>154846.99670000002</v>
      </c>
      <c r="Q18" s="141">
        <v>666412.23118999996</v>
      </c>
      <c r="R18" s="119">
        <v>181908.14042999997</v>
      </c>
      <c r="S18" s="119">
        <v>184415.36861</v>
      </c>
      <c r="T18" s="119">
        <v>192286.61207999996</v>
      </c>
      <c r="U18" s="119">
        <v>87722.072420000026</v>
      </c>
      <c r="V18" s="141">
        <v>646332.19353999989</v>
      </c>
      <c r="W18" s="119">
        <v>173066.69043999998</v>
      </c>
      <c r="X18" s="119">
        <v>157080.37399999998</v>
      </c>
      <c r="Y18" s="119">
        <v>326701.038</v>
      </c>
      <c r="Z18" s="119">
        <v>237841.76972999994</v>
      </c>
      <c r="AA18" s="141">
        <v>894689.87216999999</v>
      </c>
      <c r="AB18" s="119">
        <v>78898.343970000002</v>
      </c>
      <c r="AC18" s="119">
        <v>46476.665019999993</v>
      </c>
      <c r="AD18" s="119">
        <v>38120.106820000008</v>
      </c>
      <c r="AE18" s="119">
        <v>17383.04105</v>
      </c>
      <c r="AF18" s="141">
        <v>180878.15686000002</v>
      </c>
      <c r="AG18" s="119">
        <f>SUM(AG19:AG25)</f>
        <v>41505</v>
      </c>
      <c r="AH18" s="119">
        <f>SUM(AH19:AH25)</f>
        <v>32137</v>
      </c>
      <c r="AI18" s="119">
        <f>SUM(AI19:AI25)</f>
        <v>33560</v>
      </c>
      <c r="AJ18" s="119">
        <f>SUM(AJ19:AJ25)</f>
        <v>34445</v>
      </c>
      <c r="AK18" s="141">
        <f t="shared" si="6"/>
        <v>141647</v>
      </c>
      <c r="AL18" s="119">
        <f>SUM(AL19:AL25)</f>
        <v>40329</v>
      </c>
      <c r="AM18" s="119">
        <f>SUM(AM19:AM25)</f>
        <v>38282</v>
      </c>
      <c r="AN18" s="119">
        <f>SUM(AN19:AN25)</f>
        <v>38471</v>
      </c>
      <c r="AO18" s="119">
        <f>SUM(AO19:AO25)</f>
        <v>40167</v>
      </c>
      <c r="AP18" s="141">
        <f t="shared" ref="AP18:AP25" si="14">SUM(AL18:AO18)</f>
        <v>157249</v>
      </c>
      <c r="AQ18" s="119">
        <f t="shared" ref="AQ18:AY18" si="15">SUM(AQ19:AQ25)</f>
        <v>51791</v>
      </c>
      <c r="AR18" s="119">
        <f t="shared" si="15"/>
        <v>40830</v>
      </c>
      <c r="AS18" s="119">
        <f t="shared" si="15"/>
        <v>41233</v>
      </c>
      <c r="AT18" s="119">
        <f t="shared" si="15"/>
        <v>74958</v>
      </c>
      <c r="AU18" s="141">
        <f t="shared" si="12"/>
        <v>208812</v>
      </c>
      <c r="AV18" s="119">
        <f t="shared" si="15"/>
        <v>55910.636000000006</v>
      </c>
      <c r="AW18" s="119">
        <f t="shared" si="15"/>
        <v>43266.521679999991</v>
      </c>
      <c r="AX18" s="119">
        <f t="shared" si="15"/>
        <v>42754.726429999995</v>
      </c>
      <c r="AY18" s="119">
        <f t="shared" si="15"/>
        <v>60846.292809999999</v>
      </c>
      <c r="AZ18" s="141">
        <f t="shared" si="3"/>
        <v>202778.17692</v>
      </c>
      <c r="BA18" s="119">
        <f t="shared" ref="BA18" si="16">SUM(BA19:BA25)</f>
        <v>41891.174060000005</v>
      </c>
      <c r="BB18" s="1"/>
      <c r="BC18" s="1"/>
      <c r="BD18" s="1"/>
      <c r="BE18" s="1"/>
      <c r="BF18" s="1"/>
    </row>
    <row r="19" spans="1:58">
      <c r="A19" s="11"/>
      <c r="B19" s="11" t="s">
        <v>275</v>
      </c>
      <c r="C19" s="120">
        <v>2647.0067100000001</v>
      </c>
      <c r="D19" s="120">
        <v>1952.4398799999999</v>
      </c>
      <c r="E19" s="120">
        <v>2407.8960200000006</v>
      </c>
      <c r="F19" s="120">
        <v>3315.3241000000007</v>
      </c>
      <c r="G19" s="154">
        <v>10322.666710000001</v>
      </c>
      <c r="H19" s="120">
        <v>4176.1040299999995</v>
      </c>
      <c r="I19" s="120">
        <v>3162.8367600000001</v>
      </c>
      <c r="J19" s="120">
        <v>3505.1761800000008</v>
      </c>
      <c r="K19" s="120">
        <v>1963.8138999999985</v>
      </c>
      <c r="L19" s="154">
        <v>12807.93087</v>
      </c>
      <c r="M19" s="120">
        <v>3304.5078399999998</v>
      </c>
      <c r="N19" s="120">
        <v>3253.8506100000004</v>
      </c>
      <c r="O19" s="120">
        <v>5337.9667099999997</v>
      </c>
      <c r="P19" s="120">
        <v>5233.4943700000013</v>
      </c>
      <c r="Q19" s="154">
        <v>17129.819530000001</v>
      </c>
      <c r="R19" s="120">
        <v>3301.2249200000001</v>
      </c>
      <c r="S19" s="120">
        <v>5259.4952200000007</v>
      </c>
      <c r="T19" s="120">
        <v>6234.6843599999993</v>
      </c>
      <c r="U19" s="120">
        <v>-10842.58921</v>
      </c>
      <c r="V19" s="154">
        <v>3952.8152900000005</v>
      </c>
      <c r="W19" s="120">
        <v>1703.64267</v>
      </c>
      <c r="X19" s="120">
        <v>3467.6972700000006</v>
      </c>
      <c r="Y19" s="120">
        <v>1797.0754999999999</v>
      </c>
      <c r="Z19" s="120">
        <v>1574.3457599999988</v>
      </c>
      <c r="AA19" s="154">
        <v>8542.761199999999</v>
      </c>
      <c r="AB19" s="120">
        <v>1704.3182099999999</v>
      </c>
      <c r="AC19" s="120">
        <v>1410.9515200000001</v>
      </c>
      <c r="AD19" s="120">
        <v>150.92835000000014</v>
      </c>
      <c r="AE19" s="120">
        <v>0</v>
      </c>
      <c r="AF19" s="154">
        <v>3266.1980800000001</v>
      </c>
      <c r="AG19" s="120">
        <v>0</v>
      </c>
      <c r="AH19" s="120">
        <v>0</v>
      </c>
      <c r="AI19" s="120">
        <v>0</v>
      </c>
      <c r="AJ19" s="120">
        <v>0</v>
      </c>
      <c r="AK19" s="154">
        <f t="shared" si="6"/>
        <v>0</v>
      </c>
      <c r="AL19" s="120">
        <v>0</v>
      </c>
      <c r="AM19" s="157">
        <v>0</v>
      </c>
      <c r="AN19" s="120">
        <v>0</v>
      </c>
      <c r="AO19" s="120">
        <v>0</v>
      </c>
      <c r="AP19" s="154">
        <f t="shared" si="14"/>
        <v>0</v>
      </c>
      <c r="AQ19" s="13">
        <v>0</v>
      </c>
      <c r="AR19" s="157">
        <v>0</v>
      </c>
      <c r="AS19" s="157">
        <v>0</v>
      </c>
      <c r="AT19" s="120">
        <v>0</v>
      </c>
      <c r="AU19" s="154">
        <f t="shared" si="12"/>
        <v>0</v>
      </c>
      <c r="AV19" s="120">
        <v>0</v>
      </c>
      <c r="AW19" s="120">
        <v>0</v>
      </c>
      <c r="AX19" s="120">
        <v>0</v>
      </c>
      <c r="AY19" s="120">
        <v>0</v>
      </c>
      <c r="AZ19" s="154">
        <f t="shared" si="3"/>
        <v>0</v>
      </c>
      <c r="BA19" s="13">
        <v>0</v>
      </c>
      <c r="BB19" s="1"/>
      <c r="BC19" s="1"/>
      <c r="BD19" s="1"/>
      <c r="BE19" s="1"/>
      <c r="BF19" s="1"/>
    </row>
    <row r="20" spans="1:58">
      <c r="A20" s="11"/>
      <c r="B20" s="11" t="s">
        <v>277</v>
      </c>
      <c r="C20" s="120">
        <v>4285.8790399999989</v>
      </c>
      <c r="D20" s="120">
        <v>4691.1730400000006</v>
      </c>
      <c r="E20" s="120">
        <v>5568.6564500000013</v>
      </c>
      <c r="F20" s="120">
        <v>3208.091919999998</v>
      </c>
      <c r="G20" s="154">
        <v>17753.800449999999</v>
      </c>
      <c r="H20" s="120">
        <v>5934.3816799999995</v>
      </c>
      <c r="I20" s="120">
        <v>6516.12799</v>
      </c>
      <c r="J20" s="120">
        <v>6664.3183199999985</v>
      </c>
      <c r="K20" s="120">
        <v>4843.2561200000009</v>
      </c>
      <c r="L20" s="154">
        <v>23958.08411</v>
      </c>
      <c r="M20" s="120">
        <v>3594.8093799999997</v>
      </c>
      <c r="N20" s="120">
        <v>6440.9302399999997</v>
      </c>
      <c r="O20" s="120">
        <v>6855.6991100000014</v>
      </c>
      <c r="P20" s="120">
        <v>5554.7250000000004</v>
      </c>
      <c r="Q20" s="154">
        <v>22446.16373</v>
      </c>
      <c r="R20" s="120">
        <v>4537.7527599999994</v>
      </c>
      <c r="S20" s="120">
        <v>7374.7725</v>
      </c>
      <c r="T20" s="120">
        <v>8317.0072400000008</v>
      </c>
      <c r="U20" s="120">
        <v>1586.4728599999994</v>
      </c>
      <c r="V20" s="154">
        <v>21816.005359999999</v>
      </c>
      <c r="W20" s="120">
        <v>7522.6654600000002</v>
      </c>
      <c r="X20" s="120">
        <v>5522.9755500000001</v>
      </c>
      <c r="Y20" s="120">
        <v>2932.4690900000001</v>
      </c>
      <c r="Z20" s="120">
        <v>3191.3905000000018</v>
      </c>
      <c r="AA20" s="154">
        <v>19169.500600000003</v>
      </c>
      <c r="AB20" s="120">
        <v>1828.2783700000002</v>
      </c>
      <c r="AC20" s="120">
        <v>1886.86608</v>
      </c>
      <c r="AD20" s="120">
        <v>1465.4596200000001</v>
      </c>
      <c r="AE20" s="120">
        <v>207.5212399999993</v>
      </c>
      <c r="AF20" s="154">
        <v>5388.1253099999994</v>
      </c>
      <c r="AG20" s="120">
        <v>0</v>
      </c>
      <c r="AH20" s="120">
        <v>0</v>
      </c>
      <c r="AI20" s="120">
        <v>0</v>
      </c>
      <c r="AJ20" s="120">
        <v>1</v>
      </c>
      <c r="AK20" s="154">
        <f t="shared" si="6"/>
        <v>1</v>
      </c>
      <c r="AL20" s="120">
        <v>0</v>
      </c>
      <c r="AM20" s="157">
        <v>0</v>
      </c>
      <c r="AN20" s="120">
        <v>0</v>
      </c>
      <c r="AO20" s="120">
        <v>0</v>
      </c>
      <c r="AP20" s="154">
        <f t="shared" si="14"/>
        <v>0</v>
      </c>
      <c r="AQ20" s="13">
        <v>0</v>
      </c>
      <c r="AR20" s="157">
        <v>0</v>
      </c>
      <c r="AS20" s="157">
        <v>0</v>
      </c>
      <c r="AT20" s="120">
        <v>0</v>
      </c>
      <c r="AU20" s="154">
        <f t="shared" si="12"/>
        <v>0</v>
      </c>
      <c r="AV20" s="120">
        <v>0</v>
      </c>
      <c r="AW20" s="120">
        <v>0</v>
      </c>
      <c r="AX20" s="120">
        <v>0</v>
      </c>
      <c r="AY20" s="120">
        <v>0</v>
      </c>
      <c r="AZ20" s="154">
        <f t="shared" si="3"/>
        <v>0</v>
      </c>
      <c r="BA20" s="13">
        <v>0</v>
      </c>
      <c r="BB20" s="1"/>
      <c r="BC20" s="1"/>
      <c r="BD20" s="1"/>
      <c r="BE20" s="1"/>
      <c r="BF20" s="1"/>
    </row>
    <row r="21" spans="1:58">
      <c r="A21" s="11"/>
      <c r="B21" s="11" t="s">
        <v>279</v>
      </c>
      <c r="C21" s="120">
        <v>9361.4164399999972</v>
      </c>
      <c r="D21" s="120">
        <v>9111.0661300000029</v>
      </c>
      <c r="E21" s="120">
        <v>11235.22236</v>
      </c>
      <c r="F21" s="120">
        <v>5881.2237400000022</v>
      </c>
      <c r="G21" s="154">
        <v>35588.928670000001</v>
      </c>
      <c r="H21" s="120">
        <v>13263.41056</v>
      </c>
      <c r="I21" s="120">
        <v>14628.899679999999</v>
      </c>
      <c r="J21" s="120">
        <v>16625.004559999998</v>
      </c>
      <c r="K21" s="120">
        <v>14212.87918</v>
      </c>
      <c r="L21" s="154">
        <v>58730.193979999996</v>
      </c>
      <c r="M21" s="120">
        <v>16806.66678</v>
      </c>
      <c r="N21" s="120">
        <v>19265.73403</v>
      </c>
      <c r="O21" s="120">
        <v>17745.830249999999</v>
      </c>
      <c r="P21" s="120">
        <v>21413.885629999997</v>
      </c>
      <c r="Q21" s="154">
        <v>75232.116689999995</v>
      </c>
      <c r="R21" s="120">
        <v>21932.11764</v>
      </c>
      <c r="S21" s="120">
        <v>25230.258200000004</v>
      </c>
      <c r="T21" s="120">
        <v>25964.108329999999</v>
      </c>
      <c r="U21" s="120">
        <v>7336.0333799999953</v>
      </c>
      <c r="V21" s="154">
        <v>80462.517550000004</v>
      </c>
      <c r="W21" s="120">
        <v>21301.937030000001</v>
      </c>
      <c r="X21" s="120">
        <v>16936.899909999996</v>
      </c>
      <c r="Y21" s="120">
        <v>32964.355299999996</v>
      </c>
      <c r="Z21" s="120">
        <v>31465.817230000004</v>
      </c>
      <c r="AA21" s="154">
        <v>102669.00946999999</v>
      </c>
      <c r="AB21" s="120">
        <v>12644.4887</v>
      </c>
      <c r="AC21" s="120">
        <v>14225.909539999999</v>
      </c>
      <c r="AD21" s="120">
        <v>12723.674129999996</v>
      </c>
      <c r="AE21" s="120">
        <v>12770.426940000005</v>
      </c>
      <c r="AF21" s="154">
        <v>52364.499309999999</v>
      </c>
      <c r="AG21" s="120">
        <v>12829</v>
      </c>
      <c r="AH21" s="120">
        <v>11573</v>
      </c>
      <c r="AI21" s="120">
        <v>10914</v>
      </c>
      <c r="AJ21" s="120">
        <v>10135</v>
      </c>
      <c r="AK21" s="154">
        <f t="shared" si="6"/>
        <v>45451</v>
      </c>
      <c r="AL21" s="120">
        <v>9835</v>
      </c>
      <c r="AM21" s="157">
        <v>9894</v>
      </c>
      <c r="AN21" s="120">
        <v>9455</v>
      </c>
      <c r="AO21" s="120">
        <v>9191</v>
      </c>
      <c r="AP21" s="154">
        <f t="shared" si="14"/>
        <v>38375</v>
      </c>
      <c r="AQ21" s="13">
        <v>8653</v>
      </c>
      <c r="AR21" s="157">
        <v>8433</v>
      </c>
      <c r="AS21" s="157">
        <v>8426</v>
      </c>
      <c r="AT21" s="120">
        <v>8327</v>
      </c>
      <c r="AU21" s="154">
        <f t="shared" si="12"/>
        <v>33839</v>
      </c>
      <c r="AV21" s="120">
        <v>7875.9269499999991</v>
      </c>
      <c r="AW21" s="120">
        <v>7511.0418399999999</v>
      </c>
      <c r="AX21" s="120">
        <v>7278</v>
      </c>
      <c r="AY21" s="120">
        <v>7056.0540700000001</v>
      </c>
      <c r="AZ21" s="154">
        <f t="shared" si="3"/>
        <v>29721.022859999997</v>
      </c>
      <c r="BA21" s="13">
        <v>6759.0730400000002</v>
      </c>
      <c r="BB21" s="1"/>
      <c r="BC21" s="1"/>
      <c r="BD21" s="1"/>
      <c r="BE21" s="1"/>
      <c r="BF21" s="1"/>
    </row>
    <row r="22" spans="1:58">
      <c r="A22" s="11"/>
      <c r="B22" s="11" t="s">
        <v>281</v>
      </c>
      <c r="C22" s="120">
        <v>26125</v>
      </c>
      <c r="D22" s="120">
        <v>22866.000000000007</v>
      </c>
      <c r="E22" s="120">
        <v>22500.000000000007</v>
      </c>
      <c r="F22" s="120">
        <v>19684.368059999986</v>
      </c>
      <c r="G22" s="154">
        <v>91175.368060000008</v>
      </c>
      <c r="H22" s="120">
        <v>29851.235389999998</v>
      </c>
      <c r="I22" s="120">
        <v>26250.789220000002</v>
      </c>
      <c r="J22" s="120">
        <v>26755.961689999996</v>
      </c>
      <c r="K22" s="120">
        <v>26975.38513000001</v>
      </c>
      <c r="L22" s="154">
        <v>109833.37143</v>
      </c>
      <c r="M22" s="120">
        <v>27957.785030000003</v>
      </c>
      <c r="N22" s="120">
        <v>29093.127759999999</v>
      </c>
      <c r="O22" s="120">
        <v>27761.318029999995</v>
      </c>
      <c r="P22" s="120">
        <v>25639.407750000017</v>
      </c>
      <c r="Q22" s="154">
        <v>110451.63857000001</v>
      </c>
      <c r="R22" s="120">
        <v>26772.866249999999</v>
      </c>
      <c r="S22" s="120">
        <v>27887.497800000005</v>
      </c>
      <c r="T22" s="120">
        <v>27291.314809999982</v>
      </c>
      <c r="U22" s="120">
        <v>25164.458940000011</v>
      </c>
      <c r="V22" s="154">
        <v>107116.1378</v>
      </c>
      <c r="W22" s="120">
        <v>29050.265769999998</v>
      </c>
      <c r="X22" s="120">
        <v>29131.783630000005</v>
      </c>
      <c r="Y22" s="120">
        <v>29096.444869999988</v>
      </c>
      <c r="Z22" s="120">
        <v>29172.094370000006</v>
      </c>
      <c r="AA22" s="154">
        <v>116450.58864</v>
      </c>
      <c r="AB22" s="120">
        <v>34602.20938</v>
      </c>
      <c r="AC22" s="120">
        <v>30231.405919999994</v>
      </c>
      <c r="AD22" s="120">
        <v>30370.021090000009</v>
      </c>
      <c r="AE22" s="120">
        <v>30618.520860000001</v>
      </c>
      <c r="AF22" s="154">
        <v>125822.15725</v>
      </c>
      <c r="AG22" s="120">
        <v>31384</v>
      </c>
      <c r="AH22" s="120">
        <v>30628</v>
      </c>
      <c r="AI22" s="120">
        <v>31475</v>
      </c>
      <c r="AJ22" s="120">
        <v>31581</v>
      </c>
      <c r="AK22" s="154">
        <f t="shared" si="6"/>
        <v>125068</v>
      </c>
      <c r="AL22" s="120">
        <v>33341</v>
      </c>
      <c r="AM22" s="157">
        <v>31736</v>
      </c>
      <c r="AN22" s="120">
        <v>31689</v>
      </c>
      <c r="AO22" s="120">
        <v>32024</v>
      </c>
      <c r="AP22" s="154">
        <f t="shared" si="14"/>
        <v>128790</v>
      </c>
      <c r="AQ22" s="13">
        <v>43119</v>
      </c>
      <c r="AR22" s="157">
        <v>32230</v>
      </c>
      <c r="AS22" s="157">
        <v>32139</v>
      </c>
      <c r="AT22" s="120">
        <v>66940</v>
      </c>
      <c r="AU22" s="154">
        <f t="shared" si="12"/>
        <v>174428</v>
      </c>
      <c r="AV22" s="120">
        <v>46526.735690000009</v>
      </c>
      <c r="AW22" s="120">
        <v>34549.634159999994</v>
      </c>
      <c r="AX22" s="120">
        <v>34158.559029999997</v>
      </c>
      <c r="AY22" s="120">
        <v>52660.007640000003</v>
      </c>
      <c r="AZ22" s="154">
        <f t="shared" si="3"/>
        <v>167894.93651999999</v>
      </c>
      <c r="BA22" s="13">
        <v>33899.89978</v>
      </c>
      <c r="BB22" s="1"/>
      <c r="BC22" s="1"/>
      <c r="BD22" s="1"/>
      <c r="BE22" s="1"/>
      <c r="BF22" s="1"/>
    </row>
    <row r="23" spans="1:58">
      <c r="A23" s="11"/>
      <c r="B23" s="11" t="s">
        <v>283</v>
      </c>
      <c r="C23" s="120">
        <v>28265.000000000004</v>
      </c>
      <c r="D23" s="120">
        <v>27732.000000000025</v>
      </c>
      <c r="E23" s="120">
        <v>35462.999999999956</v>
      </c>
      <c r="F23" s="120">
        <v>53717.819041525501</v>
      </c>
      <c r="G23" s="154">
        <v>145177.81904152548</v>
      </c>
      <c r="H23" s="120">
        <v>67159.019610000003</v>
      </c>
      <c r="I23" s="120">
        <v>72317.752950000009</v>
      </c>
      <c r="J23" s="120">
        <v>73247.401939999996</v>
      </c>
      <c r="K23" s="120">
        <v>52474.558749999997</v>
      </c>
      <c r="L23" s="154">
        <v>265198.73325000005</v>
      </c>
      <c r="M23" s="120">
        <v>61590.879689999994</v>
      </c>
      <c r="N23" s="120">
        <v>86143.474319999994</v>
      </c>
      <c r="O23" s="120">
        <v>87810.21037999999</v>
      </c>
      <c r="P23" s="120">
        <v>86925.616560000009</v>
      </c>
      <c r="Q23" s="154">
        <v>322470.18094999995</v>
      </c>
      <c r="R23" s="120">
        <v>100659.71281</v>
      </c>
      <c r="S23" s="120">
        <v>108968.95843000001</v>
      </c>
      <c r="T23" s="120">
        <v>116132.95714999997</v>
      </c>
      <c r="U23" s="120">
        <v>96409.608730000022</v>
      </c>
      <c r="V23" s="154">
        <v>422171.23712000001</v>
      </c>
      <c r="W23" s="120">
        <v>106793.66065999999</v>
      </c>
      <c r="X23" s="120">
        <v>95081.823250000001</v>
      </c>
      <c r="Y23" s="120">
        <v>235299.88246000002</v>
      </c>
      <c r="Z23" s="120">
        <v>149988.01143999994</v>
      </c>
      <c r="AA23" s="154">
        <v>587163.37780999998</v>
      </c>
      <c r="AB23" s="120">
        <v>21981.241460000001</v>
      </c>
      <c r="AC23" s="120">
        <v>-2296.3428399999998</v>
      </c>
      <c r="AD23" s="120">
        <v>-7818.3075499999977</v>
      </c>
      <c r="AE23" s="120">
        <v>-27347.608170000003</v>
      </c>
      <c r="AF23" s="154">
        <v>-15481.017100000001</v>
      </c>
      <c r="AG23" s="120">
        <v>-8907</v>
      </c>
      <c r="AH23" s="120">
        <v>-11274</v>
      </c>
      <c r="AI23" s="120">
        <v>-9961</v>
      </c>
      <c r="AJ23" s="120">
        <v>-8569</v>
      </c>
      <c r="AK23" s="154">
        <f t="shared" si="6"/>
        <v>-38711</v>
      </c>
      <c r="AL23" s="120">
        <v>-4155</v>
      </c>
      <c r="AM23" s="157">
        <v>-4215</v>
      </c>
      <c r="AN23" s="120">
        <v>-3979</v>
      </c>
      <c r="AO23" s="120">
        <v>-2332</v>
      </c>
      <c r="AP23" s="154">
        <f t="shared" si="14"/>
        <v>-14681</v>
      </c>
      <c r="AQ23" s="13">
        <v>-1190</v>
      </c>
      <c r="AR23" s="157">
        <v>-1033</v>
      </c>
      <c r="AS23" s="157">
        <v>-508</v>
      </c>
      <c r="AT23" s="120">
        <v>-1463</v>
      </c>
      <c r="AU23" s="154">
        <f t="shared" si="12"/>
        <v>-4194</v>
      </c>
      <c r="AV23" s="120">
        <v>440.55829999999997</v>
      </c>
      <c r="AW23" s="120">
        <v>157.10453999999999</v>
      </c>
      <c r="AX23" s="120">
        <v>269.18612000000002</v>
      </c>
      <c r="AY23" s="120">
        <v>96.749260000000007</v>
      </c>
      <c r="AZ23" s="154">
        <f t="shared" si="3"/>
        <v>963.59822000000008</v>
      </c>
      <c r="BA23" s="13">
        <v>162.20124000000001</v>
      </c>
      <c r="BB23" s="1"/>
      <c r="BC23" s="1"/>
      <c r="BD23" s="1"/>
      <c r="BE23" s="1"/>
      <c r="BF23" s="1"/>
    </row>
    <row r="24" spans="1:58">
      <c r="A24" s="11"/>
      <c r="B24" s="11" t="s">
        <v>285</v>
      </c>
      <c r="C24" s="120">
        <v>4403</v>
      </c>
      <c r="D24" s="120">
        <v>3029.2485499999848</v>
      </c>
      <c r="E24" s="120">
        <v>3323.9999999999955</v>
      </c>
      <c r="F24" s="120">
        <v>3829.2908884744661</v>
      </c>
      <c r="G24" s="154">
        <v>14585.539438474447</v>
      </c>
      <c r="H24" s="120">
        <v>3604.4377599999998</v>
      </c>
      <c r="I24" s="120">
        <v>4032.6118200000001</v>
      </c>
      <c r="J24" s="120">
        <v>6156.2983599999998</v>
      </c>
      <c r="K24" s="120">
        <v>8537.9135000000024</v>
      </c>
      <c r="L24" s="154">
        <v>22331.261440000002</v>
      </c>
      <c r="M24" s="120">
        <v>4944.19049</v>
      </c>
      <c r="N24" s="120">
        <v>9218.3194700000004</v>
      </c>
      <c r="O24" s="120">
        <v>7349.2901699999984</v>
      </c>
      <c r="P24" s="120">
        <v>10079.867390000001</v>
      </c>
      <c r="Q24" s="154">
        <v>31591.667519999995</v>
      </c>
      <c r="R24" s="120">
        <v>6645.6103600000006</v>
      </c>
      <c r="S24" s="120">
        <v>9694.3864600000015</v>
      </c>
      <c r="T24" s="120">
        <v>12310.321969999999</v>
      </c>
      <c r="U24" s="120">
        <v>-31931.91228</v>
      </c>
      <c r="V24" s="154">
        <v>-3281.5934899999993</v>
      </c>
      <c r="W24" s="120">
        <v>6694.5188499999995</v>
      </c>
      <c r="X24" s="120">
        <v>6939.1943900000006</v>
      </c>
      <c r="Y24" s="120">
        <v>24610.81078</v>
      </c>
      <c r="Z24" s="120">
        <v>22450.110430000001</v>
      </c>
      <c r="AA24" s="154">
        <v>60694.634449999998</v>
      </c>
      <c r="AB24" s="120">
        <v>6137.8078499999992</v>
      </c>
      <c r="AC24" s="120">
        <v>1017.8748000000007</v>
      </c>
      <c r="AD24" s="120">
        <v>1228.3311800000001</v>
      </c>
      <c r="AE24" s="120">
        <v>1134.1801799999996</v>
      </c>
      <c r="AF24" s="154">
        <v>9518.1940099999993</v>
      </c>
      <c r="AG24" s="120">
        <v>6199</v>
      </c>
      <c r="AH24" s="120">
        <v>1210</v>
      </c>
      <c r="AI24" s="120">
        <v>1132</v>
      </c>
      <c r="AJ24" s="120">
        <v>1297</v>
      </c>
      <c r="AK24" s="154">
        <f t="shared" si="6"/>
        <v>9838</v>
      </c>
      <c r="AL24" s="120">
        <v>1308</v>
      </c>
      <c r="AM24" s="157">
        <v>867</v>
      </c>
      <c r="AN24" s="120">
        <v>1306</v>
      </c>
      <c r="AO24" s="120">
        <v>1284</v>
      </c>
      <c r="AP24" s="154">
        <f t="shared" si="14"/>
        <v>4765</v>
      </c>
      <c r="AQ24" s="13">
        <v>1209</v>
      </c>
      <c r="AR24" s="157">
        <v>1200</v>
      </c>
      <c r="AS24" s="157">
        <v>1176</v>
      </c>
      <c r="AT24" s="120">
        <v>1154</v>
      </c>
      <c r="AU24" s="154">
        <f t="shared" si="12"/>
        <v>4739</v>
      </c>
      <c r="AV24" s="120">
        <v>1067.4150600000003</v>
      </c>
      <c r="AW24" s="120">
        <v>1048.7411400000001</v>
      </c>
      <c r="AX24" s="120">
        <v>1048.9812800000002</v>
      </c>
      <c r="AY24" s="120">
        <v>1033.4818400000001</v>
      </c>
      <c r="AZ24" s="154">
        <f t="shared" si="3"/>
        <v>4198.6193200000007</v>
      </c>
      <c r="BA24" s="13">
        <f>'DRE CAIXA SEGURIDADE'!BA24</f>
        <v>1070</v>
      </c>
      <c r="BB24" s="1"/>
      <c r="BC24" s="1"/>
      <c r="BD24" s="1"/>
      <c r="BE24" s="1"/>
      <c r="BF24" s="1"/>
    </row>
    <row r="25" spans="1:58">
      <c r="A25" s="11"/>
      <c r="B25" s="11" t="s">
        <v>286</v>
      </c>
      <c r="C25" s="120">
        <v>13481.314849999999</v>
      </c>
      <c r="D25" s="120">
        <v>0</v>
      </c>
      <c r="E25" s="120">
        <v>0</v>
      </c>
      <c r="F25" s="120">
        <v>0</v>
      </c>
      <c r="G25" s="154">
        <v>13481.314849999999</v>
      </c>
      <c r="H25" s="120">
        <v>13624.76614</v>
      </c>
      <c r="I25" s="120">
        <v>0</v>
      </c>
      <c r="J25" s="120">
        <v>0</v>
      </c>
      <c r="K25" s="120">
        <v>0</v>
      </c>
      <c r="L25" s="154">
        <v>13624.76614</v>
      </c>
      <c r="M25" s="120">
        <v>84571.522920000003</v>
      </c>
      <c r="N25" s="120">
        <v>2519.1212800000012</v>
      </c>
      <c r="O25" s="120">
        <v>0</v>
      </c>
      <c r="P25" s="120">
        <v>0</v>
      </c>
      <c r="Q25" s="154">
        <v>87090.64420000001</v>
      </c>
      <c r="R25" s="120">
        <v>18058.85569</v>
      </c>
      <c r="S25" s="120">
        <v>0</v>
      </c>
      <c r="T25" s="120">
        <v>-3963.7817800000012</v>
      </c>
      <c r="U25" s="120">
        <v>0</v>
      </c>
      <c r="V25" s="154">
        <v>14095.073909999999</v>
      </c>
      <c r="W25" s="120">
        <v>0</v>
      </c>
      <c r="X25" s="120">
        <v>0</v>
      </c>
      <c r="Y25" s="120">
        <v>0</v>
      </c>
      <c r="Z25" s="120">
        <v>0</v>
      </c>
      <c r="AA25" s="154">
        <v>0</v>
      </c>
      <c r="AB25" s="120">
        <v>0</v>
      </c>
      <c r="AC25" s="120">
        <v>0</v>
      </c>
      <c r="AD25" s="120">
        <v>0</v>
      </c>
      <c r="AE25" s="120">
        <v>0</v>
      </c>
      <c r="AF25" s="154">
        <v>0</v>
      </c>
      <c r="AG25" s="120">
        <v>0</v>
      </c>
      <c r="AH25" s="120">
        <v>0</v>
      </c>
      <c r="AI25" s="120">
        <v>0</v>
      </c>
      <c r="AJ25" s="120">
        <v>0</v>
      </c>
      <c r="AK25" s="154">
        <f t="shared" si="6"/>
        <v>0</v>
      </c>
      <c r="AL25" s="120">
        <v>0</v>
      </c>
      <c r="AM25" s="157">
        <v>0</v>
      </c>
      <c r="AN25" s="120">
        <v>0</v>
      </c>
      <c r="AO25" s="120">
        <v>0</v>
      </c>
      <c r="AP25" s="154">
        <f t="shared" si="14"/>
        <v>0</v>
      </c>
      <c r="AQ25" s="13">
        <v>0</v>
      </c>
      <c r="AR25" s="157">
        <v>0</v>
      </c>
      <c r="AS25" s="157">
        <v>0</v>
      </c>
      <c r="AT25" s="120">
        <v>0</v>
      </c>
      <c r="AU25" s="154">
        <f t="shared" si="12"/>
        <v>0</v>
      </c>
      <c r="AV25" s="120">
        <v>0</v>
      </c>
      <c r="AW25" s="120">
        <v>0</v>
      </c>
      <c r="AX25" s="120">
        <v>0</v>
      </c>
      <c r="AY25" s="120">
        <v>0</v>
      </c>
      <c r="AZ25" s="154">
        <f t="shared" si="3"/>
        <v>0</v>
      </c>
      <c r="BA25" s="13">
        <v>0</v>
      </c>
      <c r="BB25" s="1"/>
      <c r="BC25" s="1"/>
      <c r="BD25" s="1"/>
      <c r="BE25" s="1"/>
      <c r="BF25" s="1"/>
    </row>
    <row r="26" spans="1:58">
      <c r="A26" s="5"/>
      <c r="B26" s="5" t="s">
        <v>363</v>
      </c>
      <c r="C26" s="119">
        <v>0</v>
      </c>
      <c r="D26" s="119">
        <v>0</v>
      </c>
      <c r="E26" s="119">
        <v>0</v>
      </c>
      <c r="F26" s="119">
        <v>0</v>
      </c>
      <c r="G26" s="141">
        <v>0</v>
      </c>
      <c r="H26" s="119">
        <v>0</v>
      </c>
      <c r="I26" s="119">
        <v>0</v>
      </c>
      <c r="J26" s="119">
        <v>0</v>
      </c>
      <c r="K26" s="119">
        <v>0</v>
      </c>
      <c r="L26" s="141">
        <v>0</v>
      </c>
      <c r="M26" s="119">
        <v>0</v>
      </c>
      <c r="N26" s="119">
        <v>0</v>
      </c>
      <c r="O26" s="119">
        <v>0</v>
      </c>
      <c r="P26" s="119">
        <v>0</v>
      </c>
      <c r="Q26" s="141">
        <v>0</v>
      </c>
      <c r="R26" s="119">
        <v>0</v>
      </c>
      <c r="S26" s="119">
        <v>0</v>
      </c>
      <c r="T26" s="119">
        <v>0</v>
      </c>
      <c r="U26" s="119">
        <v>0</v>
      </c>
      <c r="V26" s="141">
        <v>0</v>
      </c>
      <c r="W26" s="119">
        <v>0</v>
      </c>
      <c r="X26" s="119">
        <v>0</v>
      </c>
      <c r="Y26" s="119">
        <v>0</v>
      </c>
      <c r="Z26" s="119">
        <v>0</v>
      </c>
      <c r="AA26" s="141">
        <v>0</v>
      </c>
      <c r="AB26" s="119">
        <v>116043.62612</v>
      </c>
      <c r="AC26" s="119">
        <v>167785.75193999999</v>
      </c>
      <c r="AD26" s="119">
        <v>315769.59274000011</v>
      </c>
      <c r="AE26" s="119">
        <v>343381.99244999996</v>
      </c>
      <c r="AF26" s="141">
        <v>942980.96325000003</v>
      </c>
      <c r="AG26" s="119">
        <f>SUM(AG27:AG37)</f>
        <v>285487</v>
      </c>
      <c r="AH26" s="119">
        <f>SUM(AH27:AH37)</f>
        <v>378664</v>
      </c>
      <c r="AI26" s="119">
        <f t="shared" ref="AI26:AJ26" si="17">SUM(AI27:AI37)</f>
        <v>499570</v>
      </c>
      <c r="AJ26" s="119">
        <f t="shared" si="17"/>
        <v>382074</v>
      </c>
      <c r="AK26" s="141">
        <f>SUM(AG26:AJ26)</f>
        <v>1545795</v>
      </c>
      <c r="AL26" s="119">
        <f>SUM(AL27:AL37)</f>
        <v>433172</v>
      </c>
      <c r="AM26" s="119">
        <f>SUM(AM27:AM37)</f>
        <v>442674</v>
      </c>
      <c r="AN26" s="119">
        <f>SUM(AN27:AN37)</f>
        <v>472384</v>
      </c>
      <c r="AO26" s="119">
        <f>SUM(AO27:AO37)</f>
        <v>489091</v>
      </c>
      <c r="AP26" s="141">
        <f>SUM(AL26:AO26)</f>
        <v>1837321</v>
      </c>
      <c r="AQ26" s="119">
        <f t="shared" ref="AQ26:AY26" si="18">SUM(AQ27:AQ37)</f>
        <v>491384</v>
      </c>
      <c r="AR26" s="119">
        <f t="shared" si="18"/>
        <v>504478</v>
      </c>
      <c r="AS26" s="119">
        <f t="shared" si="18"/>
        <v>531908</v>
      </c>
      <c r="AT26" s="119">
        <f t="shared" si="18"/>
        <v>593432</v>
      </c>
      <c r="AU26" s="141">
        <f t="shared" si="12"/>
        <v>2121202</v>
      </c>
      <c r="AV26" s="119">
        <f t="shared" si="18"/>
        <v>558666.30320999993</v>
      </c>
      <c r="AW26" s="119">
        <f t="shared" si="18"/>
        <v>541866.99069999985</v>
      </c>
      <c r="AX26" s="119">
        <f t="shared" si="18"/>
        <v>592334.3026299997</v>
      </c>
      <c r="AY26" s="119">
        <f t="shared" si="18"/>
        <v>561708.77500999975</v>
      </c>
      <c r="AZ26" s="141">
        <f t="shared" si="3"/>
        <v>2254576.3715499993</v>
      </c>
      <c r="BA26" s="119">
        <f t="shared" ref="BA26" si="19">SUM(BA27:BA37)</f>
        <v>578795.6177200001</v>
      </c>
      <c r="BB26" s="1"/>
      <c r="BC26" s="1"/>
      <c r="BD26" s="1"/>
      <c r="BE26" s="1"/>
      <c r="BF26" s="1"/>
    </row>
    <row r="27" spans="1:58">
      <c r="A27" s="11"/>
      <c r="B27" s="11" t="s">
        <v>290</v>
      </c>
      <c r="C27" s="120">
        <v>0</v>
      </c>
      <c r="D27" s="120">
        <v>0</v>
      </c>
      <c r="E27" s="120">
        <v>0</v>
      </c>
      <c r="F27" s="120">
        <v>0</v>
      </c>
      <c r="G27" s="142">
        <v>0</v>
      </c>
      <c r="H27" s="120">
        <v>0</v>
      </c>
      <c r="I27" s="120">
        <v>0</v>
      </c>
      <c r="J27" s="120">
        <v>0</v>
      </c>
      <c r="K27" s="120">
        <v>0</v>
      </c>
      <c r="L27" s="142">
        <v>0</v>
      </c>
      <c r="M27" s="120">
        <v>0</v>
      </c>
      <c r="N27" s="120">
        <v>0</v>
      </c>
      <c r="O27" s="120">
        <v>0</v>
      </c>
      <c r="P27" s="120">
        <v>0</v>
      </c>
      <c r="Q27" s="142">
        <v>0</v>
      </c>
      <c r="R27" s="120">
        <v>0</v>
      </c>
      <c r="S27" s="120">
        <v>0</v>
      </c>
      <c r="T27" s="120">
        <v>0</v>
      </c>
      <c r="U27" s="120">
        <v>0</v>
      </c>
      <c r="V27" s="142">
        <v>0</v>
      </c>
      <c r="W27" s="120">
        <v>0</v>
      </c>
      <c r="X27" s="120">
        <v>0</v>
      </c>
      <c r="Y27" s="120">
        <v>0</v>
      </c>
      <c r="Z27" s="120">
        <v>0</v>
      </c>
      <c r="AA27" s="142">
        <v>0</v>
      </c>
      <c r="AB27" s="120">
        <v>9996.3251700000001</v>
      </c>
      <c r="AC27" s="120">
        <v>15800.894779999999</v>
      </c>
      <c r="AD27" s="120">
        <v>25326.22653</v>
      </c>
      <c r="AE27" s="120">
        <v>30358.872930000001</v>
      </c>
      <c r="AF27" s="142">
        <v>81482.319409999996</v>
      </c>
      <c r="AG27" s="120">
        <v>27615</v>
      </c>
      <c r="AH27" s="120">
        <v>26089</v>
      </c>
      <c r="AI27" s="120">
        <v>38792</v>
      </c>
      <c r="AJ27" s="120">
        <v>32576</v>
      </c>
      <c r="AK27" s="142">
        <f t="shared" si="6"/>
        <v>125072</v>
      </c>
      <c r="AL27" s="120">
        <v>38093</v>
      </c>
      <c r="AM27" s="121">
        <v>44789</v>
      </c>
      <c r="AN27" s="120">
        <v>40333</v>
      </c>
      <c r="AO27" s="120">
        <v>45235</v>
      </c>
      <c r="AP27" s="142">
        <f t="shared" ref="AP27:AP38" si="20">SUM(AL27:AO27)</f>
        <v>168450</v>
      </c>
      <c r="AQ27" s="13">
        <v>39941</v>
      </c>
      <c r="AR27" s="121">
        <v>40512</v>
      </c>
      <c r="AS27" s="120">
        <v>43097</v>
      </c>
      <c r="AT27" s="120">
        <v>44430</v>
      </c>
      <c r="AU27" s="142">
        <f t="shared" si="12"/>
        <v>167980</v>
      </c>
      <c r="AV27" s="120">
        <v>39124.469149999983</v>
      </c>
      <c r="AW27" s="120">
        <v>45199.96103000002</v>
      </c>
      <c r="AX27" s="120">
        <f>'DRE CAIXA SEGURIDADE'!AX27</f>
        <v>47257</v>
      </c>
      <c r="AY27" s="120">
        <f>'DRE CAIXA SEGURIDADE CONTABIL'!AY27</f>
        <v>44977</v>
      </c>
      <c r="AZ27" s="142">
        <f>SUM(AV27:AY27)</f>
        <v>176558.43018</v>
      </c>
      <c r="BA27" s="13">
        <v>40123.412959999972</v>
      </c>
      <c r="BB27" s="1"/>
      <c r="BC27" s="1"/>
      <c r="BD27" s="1"/>
      <c r="BE27" s="1"/>
      <c r="BF27" s="1"/>
    </row>
    <row r="28" spans="1:58">
      <c r="A28" s="11"/>
      <c r="B28" s="11" t="s">
        <v>292</v>
      </c>
      <c r="C28" s="120">
        <v>0</v>
      </c>
      <c r="D28" s="120">
        <v>0</v>
      </c>
      <c r="E28" s="120">
        <v>0</v>
      </c>
      <c r="F28" s="120">
        <v>0</v>
      </c>
      <c r="G28" s="142">
        <v>0</v>
      </c>
      <c r="H28" s="120">
        <v>0</v>
      </c>
      <c r="I28" s="120">
        <v>0</v>
      </c>
      <c r="J28" s="120">
        <v>0</v>
      </c>
      <c r="K28" s="120">
        <v>0</v>
      </c>
      <c r="L28" s="142">
        <v>0</v>
      </c>
      <c r="M28" s="120">
        <v>0</v>
      </c>
      <c r="N28" s="120">
        <v>0</v>
      </c>
      <c r="O28" s="120">
        <v>0</v>
      </c>
      <c r="P28" s="120">
        <v>0</v>
      </c>
      <c r="Q28" s="142">
        <v>0</v>
      </c>
      <c r="R28" s="120">
        <v>0</v>
      </c>
      <c r="S28" s="120">
        <v>0</v>
      </c>
      <c r="T28" s="120">
        <v>0</v>
      </c>
      <c r="U28" s="120">
        <v>0</v>
      </c>
      <c r="V28" s="142">
        <v>0</v>
      </c>
      <c r="W28" s="120">
        <v>0</v>
      </c>
      <c r="X28" s="120">
        <v>0</v>
      </c>
      <c r="Y28" s="120">
        <v>0</v>
      </c>
      <c r="Z28" s="120">
        <v>0</v>
      </c>
      <c r="AA28" s="142">
        <v>0</v>
      </c>
      <c r="AB28" s="120">
        <v>77995.33941</v>
      </c>
      <c r="AC28" s="120">
        <v>100105.40303999999</v>
      </c>
      <c r="AD28" s="120">
        <v>209429.62568000003</v>
      </c>
      <c r="AE28" s="120">
        <v>202800.24335000003</v>
      </c>
      <c r="AF28" s="142">
        <v>590330.61148000008</v>
      </c>
      <c r="AG28" s="120">
        <v>129927</v>
      </c>
      <c r="AH28" s="120">
        <v>177505</v>
      </c>
      <c r="AI28" s="120">
        <v>234232</v>
      </c>
      <c r="AJ28" s="120">
        <v>130471</v>
      </c>
      <c r="AK28" s="142">
        <f t="shared" si="6"/>
        <v>672135</v>
      </c>
      <c r="AL28" s="120">
        <v>171652</v>
      </c>
      <c r="AM28" s="121">
        <v>159849</v>
      </c>
      <c r="AN28" s="120">
        <v>160439</v>
      </c>
      <c r="AO28" s="120">
        <v>164411</v>
      </c>
      <c r="AP28" s="142">
        <f t="shared" si="20"/>
        <v>656351</v>
      </c>
      <c r="AQ28" s="13">
        <v>165631</v>
      </c>
      <c r="AR28" s="121">
        <v>177764</v>
      </c>
      <c r="AS28" s="120">
        <v>165395</v>
      </c>
      <c r="AT28" s="120">
        <v>185509</v>
      </c>
      <c r="AU28" s="142">
        <f t="shared" si="12"/>
        <v>694299</v>
      </c>
      <c r="AV28" s="120">
        <v>116019.78047000003</v>
      </c>
      <c r="AW28" s="120">
        <v>101661.70065000007</v>
      </c>
      <c r="AX28" s="120">
        <f>'DRE CAIXA SEGURIDADE'!AX28</f>
        <v>113307</v>
      </c>
      <c r="AY28" s="120">
        <f>'DRE CAIXA SEGURIDADE CONTABIL'!AY28</f>
        <v>70076</v>
      </c>
      <c r="AZ28" s="142">
        <f t="shared" si="3"/>
        <v>401064.48112000013</v>
      </c>
      <c r="BA28" s="13">
        <v>91493.824120000005</v>
      </c>
      <c r="BB28" s="1"/>
      <c r="BC28" s="1"/>
      <c r="BD28" s="1"/>
      <c r="BE28" s="1"/>
      <c r="BF28" s="1"/>
    </row>
    <row r="29" spans="1:58">
      <c r="A29" s="11"/>
      <c r="B29" s="11" t="s">
        <v>279</v>
      </c>
      <c r="C29" s="120">
        <v>0</v>
      </c>
      <c r="D29" s="120">
        <v>0</v>
      </c>
      <c r="E29" s="120">
        <v>0</v>
      </c>
      <c r="F29" s="120">
        <v>0</v>
      </c>
      <c r="G29" s="142">
        <v>0</v>
      </c>
      <c r="H29" s="120">
        <v>0</v>
      </c>
      <c r="I29" s="120">
        <v>0</v>
      </c>
      <c r="J29" s="120">
        <v>0</v>
      </c>
      <c r="K29" s="120">
        <v>0</v>
      </c>
      <c r="L29" s="142">
        <v>0</v>
      </c>
      <c r="M29" s="120">
        <v>0</v>
      </c>
      <c r="N29" s="120">
        <v>0</v>
      </c>
      <c r="O29" s="120">
        <v>0</v>
      </c>
      <c r="P29" s="120">
        <v>0</v>
      </c>
      <c r="Q29" s="142">
        <v>0</v>
      </c>
      <c r="R29" s="120">
        <v>0</v>
      </c>
      <c r="S29" s="120">
        <v>0</v>
      </c>
      <c r="T29" s="120">
        <v>0</v>
      </c>
      <c r="U29" s="120">
        <v>0</v>
      </c>
      <c r="V29" s="142">
        <v>0</v>
      </c>
      <c r="W29" s="120">
        <v>0</v>
      </c>
      <c r="X29" s="120">
        <v>0</v>
      </c>
      <c r="Y29" s="120">
        <v>0</v>
      </c>
      <c r="Z29" s="120">
        <v>0</v>
      </c>
      <c r="AA29" s="142">
        <v>0</v>
      </c>
      <c r="AB29" s="120">
        <v>13344.21117</v>
      </c>
      <c r="AC29" s="120">
        <v>16520.48747</v>
      </c>
      <c r="AD29" s="120">
        <v>18838.53082</v>
      </c>
      <c r="AE29" s="120">
        <v>23199.461979999996</v>
      </c>
      <c r="AF29" s="142">
        <v>71902.691439999995</v>
      </c>
      <c r="AG29" s="120">
        <v>22337</v>
      </c>
      <c r="AH29" s="120">
        <v>23211</v>
      </c>
      <c r="AI29" s="120">
        <v>23352</v>
      </c>
      <c r="AJ29" s="120">
        <v>16344</v>
      </c>
      <c r="AK29" s="142">
        <f t="shared" si="6"/>
        <v>85244</v>
      </c>
      <c r="AL29" s="120">
        <v>17835</v>
      </c>
      <c r="AM29" s="121">
        <v>18739</v>
      </c>
      <c r="AN29" s="120">
        <v>19307</v>
      </c>
      <c r="AO29" s="120">
        <v>18420</v>
      </c>
      <c r="AP29" s="142">
        <f t="shared" si="20"/>
        <v>74301</v>
      </c>
      <c r="AQ29" s="13">
        <v>19693</v>
      </c>
      <c r="AR29" s="121">
        <v>18827</v>
      </c>
      <c r="AS29" s="120">
        <v>20726</v>
      </c>
      <c r="AT29" s="120">
        <v>22967</v>
      </c>
      <c r="AU29" s="142">
        <f t="shared" si="12"/>
        <v>82213</v>
      </c>
      <c r="AV29" s="120">
        <v>22028.667459999997</v>
      </c>
      <c r="AW29" s="120">
        <v>18810.136640000059</v>
      </c>
      <c r="AX29" s="120">
        <v>22882.110709999943</v>
      </c>
      <c r="AY29" s="120">
        <v>20692.988210000007</v>
      </c>
      <c r="AZ29" s="142">
        <f t="shared" si="3"/>
        <v>84413.903019999998</v>
      </c>
      <c r="BA29" s="13">
        <v>21913.263159999959</v>
      </c>
      <c r="BB29" s="1"/>
      <c r="BC29" s="1"/>
      <c r="BD29" s="1"/>
      <c r="BE29" s="1"/>
      <c r="BF29" s="1"/>
    </row>
    <row r="30" spans="1:58">
      <c r="A30" s="11"/>
      <c r="B30" s="11" t="s">
        <v>294</v>
      </c>
      <c r="C30" s="120">
        <v>0</v>
      </c>
      <c r="D30" s="120">
        <v>0</v>
      </c>
      <c r="E30" s="120">
        <v>0</v>
      </c>
      <c r="F30" s="120">
        <v>0</v>
      </c>
      <c r="G30" s="142">
        <v>0</v>
      </c>
      <c r="H30" s="120">
        <v>0</v>
      </c>
      <c r="I30" s="120">
        <v>0</v>
      </c>
      <c r="J30" s="120">
        <v>0</v>
      </c>
      <c r="K30" s="120">
        <v>0</v>
      </c>
      <c r="L30" s="142">
        <v>0</v>
      </c>
      <c r="M30" s="120">
        <v>0</v>
      </c>
      <c r="N30" s="120">
        <v>0</v>
      </c>
      <c r="O30" s="120">
        <v>0</v>
      </c>
      <c r="P30" s="120">
        <v>0</v>
      </c>
      <c r="Q30" s="142">
        <v>0</v>
      </c>
      <c r="R30" s="120">
        <v>0</v>
      </c>
      <c r="S30" s="120">
        <v>0</v>
      </c>
      <c r="T30" s="120">
        <v>0</v>
      </c>
      <c r="U30" s="120">
        <v>0</v>
      </c>
      <c r="V30" s="142">
        <v>0</v>
      </c>
      <c r="W30" s="120">
        <v>0</v>
      </c>
      <c r="X30" s="120">
        <v>0</v>
      </c>
      <c r="Y30" s="120">
        <v>0</v>
      </c>
      <c r="Z30" s="120">
        <v>0</v>
      </c>
      <c r="AA30" s="142">
        <v>0</v>
      </c>
      <c r="AB30" s="120">
        <v>0</v>
      </c>
      <c r="AC30" s="120">
        <v>1115.6157800000001</v>
      </c>
      <c r="AD30" s="120">
        <v>5017.2139999999999</v>
      </c>
      <c r="AE30" s="120">
        <v>6475.7491800000007</v>
      </c>
      <c r="AF30" s="142">
        <v>12608.578960000001</v>
      </c>
      <c r="AG30" s="120">
        <v>9623</v>
      </c>
      <c r="AH30" s="120">
        <v>12207</v>
      </c>
      <c r="AI30" s="120">
        <v>15800</v>
      </c>
      <c r="AJ30" s="120">
        <v>19698</v>
      </c>
      <c r="AK30" s="142">
        <f t="shared" si="6"/>
        <v>57328</v>
      </c>
      <c r="AL30" s="120">
        <v>26198</v>
      </c>
      <c r="AM30" s="157">
        <v>38694</v>
      </c>
      <c r="AN30" s="120">
        <v>44278</v>
      </c>
      <c r="AO30" s="120">
        <v>51072</v>
      </c>
      <c r="AP30" s="142">
        <f t="shared" si="20"/>
        <v>160242</v>
      </c>
      <c r="AQ30" s="13">
        <v>56156</v>
      </c>
      <c r="AR30" s="121">
        <v>63839</v>
      </c>
      <c r="AS30" s="120">
        <v>72598</v>
      </c>
      <c r="AT30" s="120">
        <v>78998</v>
      </c>
      <c r="AU30" s="142">
        <f t="shared" si="12"/>
        <v>271591</v>
      </c>
      <c r="AV30" s="120">
        <v>84273.190220000033</v>
      </c>
      <c r="AW30" s="120">
        <v>90383.776269999886</v>
      </c>
      <c r="AX30" s="120">
        <v>97483.76940999979</v>
      </c>
      <c r="AY30" s="120">
        <f>'DRE CAIXA SEGURIDADE CONTABIL'!AY30</f>
        <v>104389</v>
      </c>
      <c r="AZ30" s="142">
        <f t="shared" si="3"/>
        <v>376529.73589999968</v>
      </c>
      <c r="BA30" s="13">
        <v>114766.98335000018</v>
      </c>
      <c r="BB30" s="1"/>
      <c r="BC30" s="1"/>
      <c r="BD30" s="1"/>
      <c r="BE30" s="1"/>
      <c r="BF30" s="1"/>
    </row>
    <row r="31" spans="1:58">
      <c r="A31" s="11"/>
      <c r="B31" s="11" t="s">
        <v>296</v>
      </c>
      <c r="C31" s="120">
        <v>0</v>
      </c>
      <c r="D31" s="120">
        <v>0</v>
      </c>
      <c r="E31" s="120">
        <v>0</v>
      </c>
      <c r="F31" s="120">
        <v>0</v>
      </c>
      <c r="G31" s="142">
        <v>0</v>
      </c>
      <c r="H31" s="120">
        <v>0</v>
      </c>
      <c r="I31" s="120">
        <v>0</v>
      </c>
      <c r="J31" s="120">
        <v>0</v>
      </c>
      <c r="K31" s="120">
        <v>0</v>
      </c>
      <c r="L31" s="142">
        <v>0</v>
      </c>
      <c r="M31" s="120">
        <v>0</v>
      </c>
      <c r="N31" s="120">
        <v>0</v>
      </c>
      <c r="O31" s="120">
        <v>0</v>
      </c>
      <c r="P31" s="120">
        <v>0</v>
      </c>
      <c r="Q31" s="142">
        <v>0</v>
      </c>
      <c r="R31" s="120">
        <v>0</v>
      </c>
      <c r="S31" s="120">
        <v>0</v>
      </c>
      <c r="T31" s="120">
        <v>0</v>
      </c>
      <c r="U31" s="120">
        <v>0</v>
      </c>
      <c r="V31" s="142">
        <v>0</v>
      </c>
      <c r="W31" s="120">
        <v>0</v>
      </c>
      <c r="X31" s="120">
        <v>0</v>
      </c>
      <c r="Y31" s="120">
        <v>0</v>
      </c>
      <c r="Z31" s="120">
        <v>0</v>
      </c>
      <c r="AA31" s="142">
        <v>0</v>
      </c>
      <c r="AB31" s="120">
        <v>14707.750370000002</v>
      </c>
      <c r="AC31" s="120">
        <v>34243.350870000002</v>
      </c>
      <c r="AD31" s="120">
        <v>50129.761829999989</v>
      </c>
      <c r="AE31" s="120">
        <v>63928.733469999999</v>
      </c>
      <c r="AF31" s="142">
        <v>163009.59654</v>
      </c>
      <c r="AG31" s="120">
        <v>56926</v>
      </c>
      <c r="AH31" s="120">
        <v>63794</v>
      </c>
      <c r="AI31" s="120">
        <v>79334</v>
      </c>
      <c r="AJ31" s="120">
        <v>69331</v>
      </c>
      <c r="AK31" s="142">
        <f t="shared" si="6"/>
        <v>269385</v>
      </c>
      <c r="AL31" s="120">
        <v>64879</v>
      </c>
      <c r="AM31" s="121">
        <v>60889</v>
      </c>
      <c r="AN31" s="120">
        <v>66844</v>
      </c>
      <c r="AO31" s="120">
        <v>66360</v>
      </c>
      <c r="AP31" s="142">
        <f t="shared" si="20"/>
        <v>258972</v>
      </c>
      <c r="AQ31" s="13">
        <v>66076</v>
      </c>
      <c r="AR31" s="121">
        <v>73378</v>
      </c>
      <c r="AS31" s="120">
        <v>77935</v>
      </c>
      <c r="AT31" s="120">
        <v>78506</v>
      </c>
      <c r="AU31" s="142">
        <f t="shared" si="12"/>
        <v>295895</v>
      </c>
      <c r="AV31" s="120">
        <v>86528.731709999935</v>
      </c>
      <c r="AW31" s="120">
        <v>91456.468859999979</v>
      </c>
      <c r="AX31" s="120">
        <v>100909.94935000045</v>
      </c>
      <c r="AY31" s="120">
        <v>98962.065450000111</v>
      </c>
      <c r="AZ31" s="142">
        <f t="shared" si="3"/>
        <v>377857.21537000046</v>
      </c>
      <c r="BA31" s="13">
        <v>93676.687010000096</v>
      </c>
      <c r="BB31" s="1"/>
      <c r="BC31" s="1"/>
      <c r="BD31" s="1"/>
      <c r="BE31" s="1"/>
      <c r="BF31" s="1"/>
    </row>
    <row r="32" spans="1:58">
      <c r="A32" s="11"/>
      <c r="B32" s="11" t="s">
        <v>275</v>
      </c>
      <c r="C32" s="120">
        <v>0</v>
      </c>
      <c r="D32" s="120">
        <v>0</v>
      </c>
      <c r="E32" s="120">
        <v>0</v>
      </c>
      <c r="F32" s="120">
        <v>0</v>
      </c>
      <c r="G32" s="142">
        <v>0</v>
      </c>
      <c r="H32" s="120">
        <v>0</v>
      </c>
      <c r="I32" s="120">
        <v>0</v>
      </c>
      <c r="J32" s="120">
        <v>0</v>
      </c>
      <c r="K32" s="120">
        <v>0</v>
      </c>
      <c r="L32" s="142">
        <v>0</v>
      </c>
      <c r="M32" s="120">
        <v>0</v>
      </c>
      <c r="N32" s="120">
        <v>0</v>
      </c>
      <c r="O32" s="120">
        <v>0</v>
      </c>
      <c r="P32" s="120">
        <v>0</v>
      </c>
      <c r="Q32" s="142">
        <v>0</v>
      </c>
      <c r="R32" s="120">
        <v>0</v>
      </c>
      <c r="S32" s="120">
        <v>0</v>
      </c>
      <c r="T32" s="120">
        <v>0</v>
      </c>
      <c r="U32" s="120">
        <v>0</v>
      </c>
      <c r="V32" s="142">
        <v>0</v>
      </c>
      <c r="W32" s="120">
        <v>0</v>
      </c>
      <c r="X32" s="120">
        <v>0</v>
      </c>
      <c r="Y32" s="120">
        <v>0</v>
      </c>
      <c r="Z32" s="120">
        <v>0</v>
      </c>
      <c r="AA32" s="142">
        <v>0</v>
      </c>
      <c r="AB32" s="120">
        <v>0</v>
      </c>
      <c r="AC32" s="120">
        <v>0</v>
      </c>
      <c r="AD32" s="120">
        <v>6379.6751800000002</v>
      </c>
      <c r="AE32" s="120">
        <v>8454.2459299999991</v>
      </c>
      <c r="AF32" s="142">
        <v>14833.921109999999</v>
      </c>
      <c r="AG32" s="120">
        <v>6028</v>
      </c>
      <c r="AH32" s="120">
        <v>13727</v>
      </c>
      <c r="AI32" s="120">
        <v>20490</v>
      </c>
      <c r="AJ32" s="120">
        <v>14749</v>
      </c>
      <c r="AK32" s="142">
        <f t="shared" si="6"/>
        <v>54994</v>
      </c>
      <c r="AL32" s="120">
        <v>21581</v>
      </c>
      <c r="AM32" s="121">
        <v>23032</v>
      </c>
      <c r="AN32" s="120">
        <v>30344</v>
      </c>
      <c r="AO32" s="120">
        <v>28879</v>
      </c>
      <c r="AP32" s="142">
        <f t="shared" si="20"/>
        <v>103836</v>
      </c>
      <c r="AQ32" s="13">
        <v>28589</v>
      </c>
      <c r="AR32" s="121">
        <v>24483</v>
      </c>
      <c r="AS32" s="120">
        <v>26014</v>
      </c>
      <c r="AT32" s="120">
        <v>28803</v>
      </c>
      <c r="AU32" s="142">
        <f t="shared" si="12"/>
        <v>107889</v>
      </c>
      <c r="AV32" s="120">
        <v>30113.047650000008</v>
      </c>
      <c r="AW32" s="120">
        <v>31461.441709999955</v>
      </c>
      <c r="AX32" s="120">
        <v>35996.749250000088</v>
      </c>
      <c r="AY32" s="120">
        <v>38459.375310000076</v>
      </c>
      <c r="AZ32" s="142">
        <f t="shared" si="3"/>
        <v>136030.61392000015</v>
      </c>
      <c r="BA32" s="13">
        <v>39250.16120999994</v>
      </c>
      <c r="BB32" s="1"/>
      <c r="BC32" s="1"/>
      <c r="BD32" s="1"/>
      <c r="BE32" s="1"/>
      <c r="BF32" s="1"/>
    </row>
    <row r="33" spans="1:58">
      <c r="A33" s="11"/>
      <c r="B33" s="11" t="s">
        <v>277</v>
      </c>
      <c r="C33" s="120">
        <v>0</v>
      </c>
      <c r="D33" s="120">
        <v>0</v>
      </c>
      <c r="E33" s="120">
        <v>0</v>
      </c>
      <c r="F33" s="120">
        <v>0</v>
      </c>
      <c r="G33" s="142">
        <v>0</v>
      </c>
      <c r="H33" s="120">
        <v>0</v>
      </c>
      <c r="I33" s="120">
        <v>0</v>
      </c>
      <c r="J33" s="120">
        <v>0</v>
      </c>
      <c r="K33" s="120">
        <v>0</v>
      </c>
      <c r="L33" s="142">
        <v>0</v>
      </c>
      <c r="M33" s="120">
        <v>0</v>
      </c>
      <c r="N33" s="120">
        <v>0</v>
      </c>
      <c r="O33" s="120">
        <v>0</v>
      </c>
      <c r="P33" s="120">
        <v>0</v>
      </c>
      <c r="Q33" s="142">
        <v>0</v>
      </c>
      <c r="R33" s="120">
        <v>0</v>
      </c>
      <c r="S33" s="120">
        <v>0</v>
      </c>
      <c r="T33" s="120">
        <v>0</v>
      </c>
      <c r="U33" s="120">
        <v>0</v>
      </c>
      <c r="V33" s="142">
        <v>0</v>
      </c>
      <c r="W33" s="120">
        <v>0</v>
      </c>
      <c r="X33" s="120">
        <v>0</v>
      </c>
      <c r="Y33" s="120">
        <v>0</v>
      </c>
      <c r="Z33" s="120">
        <v>0</v>
      </c>
      <c r="AA33" s="142">
        <v>0</v>
      </c>
      <c r="AB33" s="120">
        <v>0</v>
      </c>
      <c r="AC33" s="120">
        <v>0</v>
      </c>
      <c r="AD33" s="120">
        <v>625.17274999999995</v>
      </c>
      <c r="AE33" s="120">
        <v>7527.6387500000001</v>
      </c>
      <c r="AF33" s="142">
        <v>8152.8114999999998</v>
      </c>
      <c r="AG33" s="120">
        <v>29931</v>
      </c>
      <c r="AH33" s="120">
        <v>56516</v>
      </c>
      <c r="AI33" s="120">
        <v>78055</v>
      </c>
      <c r="AJ33" s="120">
        <v>90656</v>
      </c>
      <c r="AK33" s="142">
        <f t="shared" si="6"/>
        <v>255158</v>
      </c>
      <c r="AL33" s="120">
        <v>84791</v>
      </c>
      <c r="AM33" s="121">
        <v>85412</v>
      </c>
      <c r="AN33" s="120">
        <v>101694</v>
      </c>
      <c r="AO33" s="120">
        <v>106181</v>
      </c>
      <c r="AP33" s="142">
        <f t="shared" si="20"/>
        <v>378078</v>
      </c>
      <c r="AQ33" s="13">
        <v>101221</v>
      </c>
      <c r="AR33" s="121">
        <v>92460</v>
      </c>
      <c r="AS33" s="120">
        <v>108665</v>
      </c>
      <c r="AT33" s="120">
        <v>137759</v>
      </c>
      <c r="AU33" s="142">
        <f t="shared" si="12"/>
        <v>440105</v>
      </c>
      <c r="AV33" s="120">
        <v>160925.92279999997</v>
      </c>
      <c r="AW33" s="120">
        <v>143328.89731999984</v>
      </c>
      <c r="AX33" s="120">
        <v>152423.9001399994</v>
      </c>
      <c r="AY33" s="120">
        <v>160613.83525999964</v>
      </c>
      <c r="AZ33" s="142">
        <f t="shared" si="3"/>
        <v>617292.55551999889</v>
      </c>
      <c r="BA33" s="13">
        <v>156273.66565999994</v>
      </c>
      <c r="BB33" s="1"/>
      <c r="BC33" s="1"/>
      <c r="BD33" s="1"/>
      <c r="BE33" s="1"/>
      <c r="BF33" s="1"/>
    </row>
    <row r="34" spans="1:58">
      <c r="A34" s="11"/>
      <c r="B34" s="11" t="s">
        <v>298</v>
      </c>
      <c r="C34" s="120">
        <v>0</v>
      </c>
      <c r="D34" s="120">
        <v>0</v>
      </c>
      <c r="E34" s="120">
        <v>0</v>
      </c>
      <c r="F34" s="120">
        <v>0</v>
      </c>
      <c r="G34" s="142">
        <v>0</v>
      </c>
      <c r="H34" s="120">
        <v>0</v>
      </c>
      <c r="I34" s="120">
        <v>0</v>
      </c>
      <c r="J34" s="120">
        <v>0</v>
      </c>
      <c r="K34" s="120">
        <v>0</v>
      </c>
      <c r="L34" s="142">
        <v>0</v>
      </c>
      <c r="M34" s="120">
        <v>0</v>
      </c>
      <c r="N34" s="120">
        <v>0</v>
      </c>
      <c r="O34" s="120">
        <v>0</v>
      </c>
      <c r="P34" s="120">
        <v>0</v>
      </c>
      <c r="Q34" s="142">
        <v>0</v>
      </c>
      <c r="R34" s="120">
        <v>0</v>
      </c>
      <c r="S34" s="120">
        <v>0</v>
      </c>
      <c r="T34" s="120">
        <v>0</v>
      </c>
      <c r="U34" s="120">
        <v>0</v>
      </c>
      <c r="V34" s="142">
        <v>0</v>
      </c>
      <c r="W34" s="120">
        <v>0</v>
      </c>
      <c r="X34" s="120">
        <v>0</v>
      </c>
      <c r="Y34" s="120">
        <v>0</v>
      </c>
      <c r="Z34" s="120">
        <v>0</v>
      </c>
      <c r="AA34" s="142">
        <v>0</v>
      </c>
      <c r="AB34" s="120">
        <v>0</v>
      </c>
      <c r="AC34" s="120">
        <v>0</v>
      </c>
      <c r="AD34" s="120">
        <v>0</v>
      </c>
      <c r="AE34" s="120">
        <v>14.02482</v>
      </c>
      <c r="AF34" s="142">
        <v>14.02482</v>
      </c>
      <c r="AG34" s="120">
        <v>1993</v>
      </c>
      <c r="AH34" s="120">
        <v>3351</v>
      </c>
      <c r="AI34" s="120">
        <v>6410</v>
      </c>
      <c r="AJ34" s="120">
        <v>4734</v>
      </c>
      <c r="AK34" s="142">
        <f t="shared" si="6"/>
        <v>16488</v>
      </c>
      <c r="AL34" s="120">
        <v>6119</v>
      </c>
      <c r="AM34" s="121">
        <v>8626</v>
      </c>
      <c r="AN34" s="120">
        <v>6395</v>
      </c>
      <c r="AO34" s="120">
        <v>5407</v>
      </c>
      <c r="AP34" s="142">
        <f t="shared" si="20"/>
        <v>26547</v>
      </c>
      <c r="AQ34" s="13">
        <v>11014</v>
      </c>
      <c r="AR34" s="121">
        <v>9694</v>
      </c>
      <c r="AS34" s="120">
        <v>13666</v>
      </c>
      <c r="AT34" s="120">
        <v>11841</v>
      </c>
      <c r="AU34" s="142">
        <f t="shared" si="12"/>
        <v>46215</v>
      </c>
      <c r="AV34" s="120">
        <v>15500.804850000006</v>
      </c>
      <c r="AW34" s="120">
        <v>15614.302859999996</v>
      </c>
      <c r="AX34" s="120">
        <v>17533.692030000024</v>
      </c>
      <c r="AY34" s="120">
        <v>17965.293389999933</v>
      </c>
      <c r="AZ34" s="142">
        <f t="shared" si="3"/>
        <v>66614.093129999965</v>
      </c>
      <c r="BA34" s="13">
        <v>16084.741489999997</v>
      </c>
      <c r="BB34" s="1"/>
      <c r="BC34" s="1"/>
      <c r="BD34" s="1"/>
      <c r="BE34" s="1"/>
      <c r="BF34" s="1"/>
    </row>
    <row r="35" spans="1:58">
      <c r="A35" s="11"/>
      <c r="B35" s="11" t="s">
        <v>365</v>
      </c>
      <c r="C35" s="120"/>
      <c r="D35" s="120"/>
      <c r="E35" s="120"/>
      <c r="F35" s="120"/>
      <c r="G35" s="142"/>
      <c r="H35" s="120"/>
      <c r="I35" s="120"/>
      <c r="J35" s="120"/>
      <c r="K35" s="120"/>
      <c r="L35" s="142"/>
      <c r="M35" s="120"/>
      <c r="N35" s="120"/>
      <c r="O35" s="120"/>
      <c r="P35" s="120"/>
      <c r="Q35" s="142"/>
      <c r="R35" s="120"/>
      <c r="S35" s="120"/>
      <c r="T35" s="120"/>
      <c r="U35" s="120"/>
      <c r="V35" s="142"/>
      <c r="W35" s="120"/>
      <c r="X35" s="120"/>
      <c r="Y35" s="120"/>
      <c r="Z35" s="120"/>
      <c r="AA35" s="142"/>
      <c r="AB35" s="120">
        <v>0</v>
      </c>
      <c r="AC35" s="120">
        <v>0</v>
      </c>
      <c r="AD35" s="120">
        <v>23.385950000000005</v>
      </c>
      <c r="AE35" s="120">
        <v>623.02203999999983</v>
      </c>
      <c r="AF35" s="142">
        <v>646.40798999999981</v>
      </c>
      <c r="AG35" s="120">
        <v>1083</v>
      </c>
      <c r="AH35" s="120">
        <v>2180</v>
      </c>
      <c r="AI35" s="120">
        <v>2996</v>
      </c>
      <c r="AJ35" s="120">
        <v>3332</v>
      </c>
      <c r="AK35" s="142">
        <f t="shared" si="6"/>
        <v>9591</v>
      </c>
      <c r="AL35" s="120">
        <v>1776</v>
      </c>
      <c r="AM35" s="121">
        <v>2350</v>
      </c>
      <c r="AN35" s="120">
        <v>2447</v>
      </c>
      <c r="AO35" s="120">
        <v>2708</v>
      </c>
      <c r="AP35" s="142">
        <f t="shared" si="20"/>
        <v>9281</v>
      </c>
      <c r="AQ35" s="13">
        <v>2580</v>
      </c>
      <c r="AR35" s="121">
        <v>3091</v>
      </c>
      <c r="AS35" s="120">
        <v>3304</v>
      </c>
      <c r="AT35" s="120">
        <v>4124</v>
      </c>
      <c r="AU35" s="142">
        <f t="shared" si="12"/>
        <v>13099</v>
      </c>
      <c r="AV35" s="120">
        <v>3631.1754800000003</v>
      </c>
      <c r="AW35" s="120">
        <v>3704.9399800000069</v>
      </c>
      <c r="AX35" s="120">
        <v>4072.3702900000089</v>
      </c>
      <c r="AY35" s="120">
        <f>'DRE CAIXA SEGURIDADE CONTABIL'!AY35</f>
        <v>4974</v>
      </c>
      <c r="AZ35" s="142">
        <f t="shared" si="3"/>
        <v>16382.485750000016</v>
      </c>
      <c r="BA35" s="13">
        <v>4421.0251199999893</v>
      </c>
      <c r="BB35" s="1"/>
      <c r="BC35" s="1"/>
      <c r="BD35" s="1"/>
      <c r="BE35" s="1"/>
      <c r="BF35" s="1"/>
    </row>
    <row r="36" spans="1:58">
      <c r="A36" s="11"/>
      <c r="B36" s="11" t="s">
        <v>301</v>
      </c>
      <c r="C36" s="120"/>
      <c r="D36" s="120"/>
      <c r="E36" s="120"/>
      <c r="F36" s="120"/>
      <c r="G36" s="142"/>
      <c r="H36" s="120"/>
      <c r="I36" s="120"/>
      <c r="J36" s="120"/>
      <c r="K36" s="120"/>
      <c r="L36" s="142"/>
      <c r="M36" s="120"/>
      <c r="N36" s="120"/>
      <c r="O36" s="120"/>
      <c r="P36" s="120"/>
      <c r="Q36" s="142"/>
      <c r="R36" s="120"/>
      <c r="S36" s="120"/>
      <c r="T36" s="120"/>
      <c r="U36" s="120"/>
      <c r="V36" s="142"/>
      <c r="W36" s="120"/>
      <c r="X36" s="120"/>
      <c r="Y36" s="120"/>
      <c r="Z36" s="120"/>
      <c r="AA36" s="142"/>
      <c r="AB36" s="120"/>
      <c r="AC36" s="120"/>
      <c r="AD36" s="120"/>
      <c r="AE36" s="120"/>
      <c r="AF36" s="142"/>
      <c r="AG36" s="120">
        <v>24</v>
      </c>
      <c r="AH36" s="120">
        <v>84</v>
      </c>
      <c r="AI36" s="120">
        <v>98</v>
      </c>
      <c r="AJ36" s="120">
        <v>169</v>
      </c>
      <c r="AK36" s="142">
        <f t="shared" si="6"/>
        <v>375</v>
      </c>
      <c r="AL36" s="120">
        <v>235</v>
      </c>
      <c r="AM36" s="121">
        <v>285</v>
      </c>
      <c r="AN36" s="120">
        <v>294</v>
      </c>
      <c r="AO36" s="120">
        <v>407</v>
      </c>
      <c r="AP36" s="142">
        <f t="shared" si="20"/>
        <v>1221</v>
      </c>
      <c r="AQ36" s="120">
        <v>475</v>
      </c>
      <c r="AR36" s="121">
        <v>423</v>
      </c>
      <c r="AS36" s="120">
        <v>500</v>
      </c>
      <c r="AT36" s="120">
        <v>489</v>
      </c>
      <c r="AU36" s="142">
        <f t="shared" si="12"/>
        <v>1887</v>
      </c>
      <c r="AV36" s="120">
        <v>516.43579999999963</v>
      </c>
      <c r="AW36" s="120">
        <v>242.06335000000112</v>
      </c>
      <c r="AX36" s="120">
        <v>464.74354999999866</v>
      </c>
      <c r="AY36" s="120">
        <v>596.5052000000029</v>
      </c>
      <c r="AZ36" s="142">
        <f t="shared" si="3"/>
        <v>1819.7479000000021</v>
      </c>
      <c r="BA36" s="13">
        <v>789.39063000000147</v>
      </c>
      <c r="BB36" s="1"/>
      <c r="BC36" s="1"/>
      <c r="BD36" s="1"/>
      <c r="BE36" s="1"/>
      <c r="BF36" s="1"/>
    </row>
    <row r="37" spans="1:58">
      <c r="A37" s="11"/>
      <c r="B37" s="11" t="s">
        <v>303</v>
      </c>
      <c r="C37" s="120"/>
      <c r="D37" s="120"/>
      <c r="E37" s="120"/>
      <c r="F37" s="120"/>
      <c r="G37" s="142"/>
      <c r="H37" s="120"/>
      <c r="I37" s="120"/>
      <c r="J37" s="120"/>
      <c r="K37" s="120"/>
      <c r="L37" s="142"/>
      <c r="M37" s="120"/>
      <c r="N37" s="120"/>
      <c r="O37" s="120"/>
      <c r="P37" s="120"/>
      <c r="Q37" s="142"/>
      <c r="R37" s="120"/>
      <c r="S37" s="120"/>
      <c r="T37" s="120"/>
      <c r="U37" s="120"/>
      <c r="V37" s="142"/>
      <c r="W37" s="120"/>
      <c r="X37" s="120"/>
      <c r="Y37" s="120"/>
      <c r="Z37" s="120"/>
      <c r="AA37" s="142"/>
      <c r="AB37" s="120"/>
      <c r="AC37" s="120"/>
      <c r="AD37" s="120"/>
      <c r="AE37" s="120"/>
      <c r="AF37" s="142"/>
      <c r="AG37" s="120"/>
      <c r="AH37" s="120"/>
      <c r="AI37" s="120">
        <v>11</v>
      </c>
      <c r="AJ37" s="120">
        <v>14</v>
      </c>
      <c r="AK37" s="142">
        <f t="shared" si="6"/>
        <v>25</v>
      </c>
      <c r="AL37" s="120">
        <v>13</v>
      </c>
      <c r="AM37" s="121">
        <v>9</v>
      </c>
      <c r="AN37" s="120">
        <v>9</v>
      </c>
      <c r="AO37" s="120">
        <v>11</v>
      </c>
      <c r="AP37" s="142">
        <f t="shared" si="20"/>
        <v>42</v>
      </c>
      <c r="AQ37" s="120">
        <v>8</v>
      </c>
      <c r="AR37" s="121">
        <v>7</v>
      </c>
      <c r="AS37" s="120">
        <v>8</v>
      </c>
      <c r="AT37" s="120">
        <v>6</v>
      </c>
      <c r="AU37" s="142">
        <f t="shared" si="12"/>
        <v>29</v>
      </c>
      <c r="AV37" s="120">
        <v>4.0776199999999996</v>
      </c>
      <c r="AW37" s="120">
        <v>3.3020300000000051</v>
      </c>
      <c r="AX37" s="120">
        <v>3.0178999999999938</v>
      </c>
      <c r="AY37" s="120">
        <v>2.7121899999999943</v>
      </c>
      <c r="AZ37" s="142">
        <f t="shared" si="3"/>
        <v>13.109739999999993</v>
      </c>
      <c r="BA37" s="13">
        <v>2.4630099999999993</v>
      </c>
      <c r="BB37" s="1"/>
      <c r="BC37" s="1"/>
      <c r="BD37" s="1"/>
      <c r="BE37" s="1"/>
      <c r="BF37" s="1"/>
    </row>
    <row r="38" spans="1:58">
      <c r="A38" s="9"/>
      <c r="B38" s="9" t="s">
        <v>305</v>
      </c>
      <c r="C38" s="122">
        <v>0</v>
      </c>
      <c r="D38" s="122">
        <v>0</v>
      </c>
      <c r="E38" s="122">
        <v>0</v>
      </c>
      <c r="F38" s="122">
        <v>0</v>
      </c>
      <c r="G38" s="143">
        <v>0</v>
      </c>
      <c r="H38" s="122">
        <v>0</v>
      </c>
      <c r="I38" s="122">
        <v>0</v>
      </c>
      <c r="J38" s="122">
        <v>0</v>
      </c>
      <c r="K38" s="122">
        <v>0</v>
      </c>
      <c r="L38" s="143">
        <v>0</v>
      </c>
      <c r="M38" s="122">
        <v>0</v>
      </c>
      <c r="N38" s="122">
        <v>0</v>
      </c>
      <c r="O38" s="122">
        <v>0</v>
      </c>
      <c r="P38" s="122">
        <v>0</v>
      </c>
      <c r="Q38" s="143">
        <v>0</v>
      </c>
      <c r="R38" s="122">
        <v>0</v>
      </c>
      <c r="S38" s="122">
        <v>0</v>
      </c>
      <c r="T38" s="122">
        <v>0</v>
      </c>
      <c r="U38" s="122">
        <v>0</v>
      </c>
      <c r="V38" s="143">
        <v>0</v>
      </c>
      <c r="W38" s="122">
        <v>0</v>
      </c>
      <c r="X38" s="122">
        <v>0</v>
      </c>
      <c r="Y38" s="122">
        <v>0</v>
      </c>
      <c r="Z38" s="122">
        <v>0</v>
      </c>
      <c r="AA38" s="143">
        <v>0</v>
      </c>
      <c r="AB38" s="122">
        <v>-1781.4667399999998</v>
      </c>
      <c r="AC38" s="122">
        <v>-21658.209200000005</v>
      </c>
      <c r="AD38" s="122">
        <v>-24240.573229999998</v>
      </c>
      <c r="AE38" s="122">
        <v>-27746.284649999998</v>
      </c>
      <c r="AF38" s="143">
        <v>-75426.533819999997</v>
      </c>
      <c r="AG38" s="122">
        <v>-46700</v>
      </c>
      <c r="AH38" s="122">
        <v>-70176</v>
      </c>
      <c r="AI38" s="122">
        <v>-96249</v>
      </c>
      <c r="AJ38" s="122">
        <v>-92070</v>
      </c>
      <c r="AK38" s="143">
        <f t="shared" si="6"/>
        <v>-305195</v>
      </c>
      <c r="AL38" s="122">
        <v>-87829</v>
      </c>
      <c r="AM38" s="122">
        <v>-90149</v>
      </c>
      <c r="AN38" s="122">
        <v>-104196</v>
      </c>
      <c r="AO38" s="122">
        <v>-103636</v>
      </c>
      <c r="AP38" s="143">
        <f t="shared" si="20"/>
        <v>-385810</v>
      </c>
      <c r="AQ38" s="122">
        <v>-98747</v>
      </c>
      <c r="AR38" s="122">
        <v>-103142</v>
      </c>
      <c r="AS38" s="122">
        <v>-120386</v>
      </c>
      <c r="AT38" s="122">
        <v>-138170.89696000001</v>
      </c>
      <c r="AU38" s="143">
        <f t="shared" si="12"/>
        <v>-460445.89696000004</v>
      </c>
      <c r="AV38" s="122">
        <v>-154125.67618000001</v>
      </c>
      <c r="AW38" s="122">
        <v>-147177.04013999994</v>
      </c>
      <c r="AX38" s="122">
        <v>-154725.89739000003</v>
      </c>
      <c r="AY38" s="122">
        <f>'DRE CAIXA SEGURIDADE CONTABIL'!AY38</f>
        <v>-162480</v>
      </c>
      <c r="AZ38" s="143">
        <f t="shared" si="3"/>
        <v>-618508.61370999995</v>
      </c>
      <c r="BA38" s="122">
        <v>-154110.35391000001</v>
      </c>
      <c r="BB38" s="1"/>
      <c r="BC38" s="1"/>
      <c r="BD38" s="1"/>
      <c r="BE38" s="1"/>
      <c r="BF38" s="1"/>
    </row>
    <row r="39" spans="1:58">
      <c r="A39" s="11"/>
      <c r="B39" s="11"/>
      <c r="C39" s="120"/>
      <c r="D39" s="120"/>
      <c r="E39" s="120"/>
      <c r="F39" s="120"/>
      <c r="G39" s="142"/>
      <c r="H39" s="120"/>
      <c r="I39" s="120"/>
      <c r="J39" s="120"/>
      <c r="K39" s="120"/>
      <c r="L39" s="142"/>
      <c r="M39" s="120"/>
      <c r="N39" s="120"/>
      <c r="O39" s="120"/>
      <c r="P39" s="120"/>
      <c r="Q39" s="142"/>
      <c r="R39" s="120"/>
      <c r="S39" s="120"/>
      <c r="T39" s="120"/>
      <c r="U39" s="120"/>
      <c r="V39" s="142"/>
      <c r="W39" s="120"/>
      <c r="X39" s="120"/>
      <c r="Y39" s="120"/>
      <c r="Z39" s="120"/>
      <c r="AA39" s="142"/>
      <c r="AB39" s="120"/>
      <c r="AC39" s="120"/>
      <c r="AD39" s="120"/>
      <c r="AE39" s="120"/>
      <c r="AF39" s="185"/>
      <c r="AG39" s="120"/>
      <c r="AH39" s="120"/>
      <c r="AI39" s="120"/>
      <c r="AJ39" s="120"/>
      <c r="AK39" s="185"/>
      <c r="AL39" s="120"/>
      <c r="AM39" s="121"/>
      <c r="AN39" s="120"/>
      <c r="AO39" s="120"/>
      <c r="AP39" s="185"/>
      <c r="AQ39" s="115"/>
      <c r="AR39" s="121"/>
      <c r="AS39" s="120"/>
      <c r="AT39" s="120"/>
      <c r="AU39" s="185"/>
      <c r="AV39" s="120"/>
      <c r="AW39" s="120"/>
      <c r="AX39" s="120"/>
      <c r="AY39" s="120"/>
      <c r="AZ39" s="185"/>
      <c r="BA39" s="115"/>
      <c r="BB39" s="1"/>
      <c r="BC39" s="1"/>
      <c r="BD39" s="1"/>
      <c r="BE39" s="1"/>
      <c r="BF39" s="1"/>
    </row>
    <row r="40" spans="1:58">
      <c r="A40" s="54"/>
      <c r="B40" s="9" t="s">
        <v>307</v>
      </c>
      <c r="C40" s="122">
        <f t="shared" ref="C40:D40" si="21">SUM(C41:C44)</f>
        <v>-12453.154839999999</v>
      </c>
      <c r="D40" s="122">
        <f t="shared" si="21"/>
        <v>-14576.701679999998</v>
      </c>
      <c r="E40" s="122">
        <f>SUM(E41:E44)</f>
        <v>-17673.740510000003</v>
      </c>
      <c r="F40" s="122">
        <f>SUM(F41:F44)</f>
        <v>-20718.914909999992</v>
      </c>
      <c r="G40" s="143">
        <f>SUM(C40:F40)</f>
        <v>-65422.511939999997</v>
      </c>
      <c r="H40" s="122">
        <v>-21010.350930000001</v>
      </c>
      <c r="I40" s="122">
        <v>-20583.432040000003</v>
      </c>
      <c r="J40" s="122">
        <v>-22631.823019999989</v>
      </c>
      <c r="K40" s="122">
        <v>-29543.228969999996</v>
      </c>
      <c r="L40" s="143">
        <v>-93768.834959999978</v>
      </c>
      <c r="M40" s="122">
        <v>-28115.11174</v>
      </c>
      <c r="N40" s="122">
        <v>-26436.952160000001</v>
      </c>
      <c r="O40" s="122">
        <v>-29415.879860000015</v>
      </c>
      <c r="P40" s="122">
        <v>-2277.0186299999987</v>
      </c>
      <c r="Q40" s="143">
        <v>-86244.96239000003</v>
      </c>
      <c r="R40" s="122">
        <v>-28036.43275</v>
      </c>
      <c r="S40" s="122">
        <v>-30255.899729999994</v>
      </c>
      <c r="T40" s="122">
        <v>-31845.563979999999</v>
      </c>
      <c r="U40" s="122">
        <v>-24406.541239999999</v>
      </c>
      <c r="V40" s="143">
        <v>-114544.43769999998</v>
      </c>
      <c r="W40" s="122">
        <v>-30500.91994</v>
      </c>
      <c r="X40" s="122">
        <v>-28159.054630000002</v>
      </c>
      <c r="Y40" s="122">
        <v>-43884.79458999999</v>
      </c>
      <c r="Z40" s="122">
        <v>-37313.735299999978</v>
      </c>
      <c r="AA40" s="143">
        <v>-139858.50445999997</v>
      </c>
      <c r="AB40" s="122">
        <v>-34651.087630000002</v>
      </c>
      <c r="AC40" s="122">
        <v>-42476.204289999987</v>
      </c>
      <c r="AD40" s="122">
        <v>-50963.072759999981</v>
      </c>
      <c r="AE40" s="122">
        <v>-62417.958160000009</v>
      </c>
      <c r="AF40" s="143">
        <v>-190508.32283999998</v>
      </c>
      <c r="AG40" s="122">
        <v>-50558</v>
      </c>
      <c r="AH40" s="122">
        <v>-74233</v>
      </c>
      <c r="AI40" s="122">
        <v>-89069</v>
      </c>
      <c r="AJ40" s="122">
        <v>214909</v>
      </c>
      <c r="AK40" s="143">
        <f t="shared" si="6"/>
        <v>1049</v>
      </c>
      <c r="AL40" s="122">
        <f>AL41+AL42+AL43+AL44</f>
        <v>-53848</v>
      </c>
      <c r="AM40" s="122">
        <f>AM41+AM42+AM43+AM44</f>
        <v>-89489</v>
      </c>
      <c r="AN40" s="122">
        <f>AN41+AN42+AN43+AN44</f>
        <v>-94268</v>
      </c>
      <c r="AO40" s="122">
        <f>AO41+AO42+AO43+AO44</f>
        <v>-89378</v>
      </c>
      <c r="AP40" s="143">
        <f t="shared" ref="AP40:AP58" si="22">SUM(AL40:AO40)</f>
        <v>-326983</v>
      </c>
      <c r="AQ40" s="122">
        <f t="shared" ref="AQ40:AY40" si="23">AQ41+AQ42+AQ43+AQ44</f>
        <v>-102838</v>
      </c>
      <c r="AR40" s="122">
        <f t="shared" si="23"/>
        <v>-93930</v>
      </c>
      <c r="AS40" s="122">
        <f t="shared" si="23"/>
        <v>-22927</v>
      </c>
      <c r="AT40" s="122">
        <f t="shared" si="23"/>
        <v>-110188</v>
      </c>
      <c r="AU40" s="143">
        <f t="shared" si="12"/>
        <v>-329883</v>
      </c>
      <c r="AV40" s="122">
        <f t="shared" si="23"/>
        <v>-115649.56821999981</v>
      </c>
      <c r="AW40" s="122">
        <f t="shared" si="23"/>
        <v>-109458.11362000137</v>
      </c>
      <c r="AX40" s="122">
        <f t="shared" si="23"/>
        <v>-123247.703560001</v>
      </c>
      <c r="AY40" s="122">
        <f t="shared" si="23"/>
        <v>-122811.88757000002</v>
      </c>
      <c r="AZ40" s="143">
        <f>SUM(AV40:AY40)</f>
        <v>-471167.2729700022</v>
      </c>
      <c r="BA40" s="122">
        <f t="shared" ref="BA40" si="24">BA41+BA42+BA43+BA44</f>
        <v>-125198.40306999991</v>
      </c>
      <c r="BB40" s="1"/>
      <c r="BC40" s="1"/>
      <c r="BD40" s="1"/>
      <c r="BE40" s="1"/>
      <c r="BF40" s="1"/>
    </row>
    <row r="41" spans="1:58">
      <c r="A41" s="11"/>
      <c r="B41" s="11" t="s">
        <v>311</v>
      </c>
      <c r="C41" s="120">
        <v>-2216.6877699999995</v>
      </c>
      <c r="D41" s="120">
        <v>-4126.8672299999998</v>
      </c>
      <c r="E41" s="120">
        <v>-6310.178469999998</v>
      </c>
      <c r="F41" s="120">
        <v>-9359.9636399999981</v>
      </c>
      <c r="G41" s="142">
        <v>-22013.697109999994</v>
      </c>
      <c r="H41" s="120">
        <v>-6669.2848099999983</v>
      </c>
      <c r="I41" s="120">
        <v>-7482.5691600000036</v>
      </c>
      <c r="J41" s="120">
        <v>-8903.9532499999932</v>
      </c>
      <c r="K41" s="120">
        <v>-15634.739829999995</v>
      </c>
      <c r="L41" s="142">
        <v>-38690.547049999994</v>
      </c>
      <c r="M41" s="120">
        <v>-8155.6838599999992</v>
      </c>
      <c r="N41" s="120">
        <v>-10933.564439999995</v>
      </c>
      <c r="O41" s="120">
        <v>-14467.978350000012</v>
      </c>
      <c r="P41" s="120">
        <v>-13158.086229999997</v>
      </c>
      <c r="Q41" s="142">
        <v>-46715.312879999998</v>
      </c>
      <c r="R41" s="120">
        <v>-10460.7711</v>
      </c>
      <c r="S41" s="120">
        <v>-11110.768909999995</v>
      </c>
      <c r="T41" s="120">
        <v>-12026.777290000004</v>
      </c>
      <c r="U41" s="120">
        <v>-11909.429629999995</v>
      </c>
      <c r="V41" s="142">
        <v>-45507.746929999994</v>
      </c>
      <c r="W41" s="120">
        <v>-16810.195630000002</v>
      </c>
      <c r="X41" s="120">
        <v>-11807.021240000002</v>
      </c>
      <c r="Y41" s="120">
        <v>-12318.089829999999</v>
      </c>
      <c r="Z41" s="120">
        <v>-14215.174809999995</v>
      </c>
      <c r="AA41" s="142">
        <v>-55150.481509999998</v>
      </c>
      <c r="AB41" s="120">
        <v>-13579.38731</v>
      </c>
      <c r="AC41" s="120">
        <v>-19664.983889999992</v>
      </c>
      <c r="AD41" s="120">
        <v>-15965.393460000007</v>
      </c>
      <c r="AE41" s="120">
        <v>-20353.055479999981</v>
      </c>
      <c r="AF41" s="142">
        <v>-69562.820139999982</v>
      </c>
      <c r="AG41" s="120">
        <v>-22135</v>
      </c>
      <c r="AH41" s="120">
        <v>-24184</v>
      </c>
      <c r="AI41" s="120">
        <v>-24123</v>
      </c>
      <c r="AJ41" s="121">
        <v>-29860</v>
      </c>
      <c r="AK41" s="142">
        <f t="shared" si="6"/>
        <v>-100302</v>
      </c>
      <c r="AL41" s="120">
        <v>-26198</v>
      </c>
      <c r="AM41" s="121">
        <v>-29655</v>
      </c>
      <c r="AN41" s="120">
        <v>-30628</v>
      </c>
      <c r="AO41" s="120">
        <v>-23555</v>
      </c>
      <c r="AP41" s="142">
        <f t="shared" si="22"/>
        <v>-110036</v>
      </c>
      <c r="AQ41" s="121">
        <v>-36006</v>
      </c>
      <c r="AR41" s="121">
        <v>-32228</v>
      </c>
      <c r="AS41" s="120">
        <v>-29870</v>
      </c>
      <c r="AT41" s="120">
        <v>-28513</v>
      </c>
      <c r="AU41" s="142">
        <f t="shared" si="12"/>
        <v>-126617</v>
      </c>
      <c r="AV41" s="120">
        <v>-37474.24568</v>
      </c>
      <c r="AW41" s="120">
        <f>'DRE CAIXA SEGURIDADE'!AW42</f>
        <v>-35135.463770000002</v>
      </c>
      <c r="AX41" s="120">
        <v>-38770.367610000038</v>
      </c>
      <c r="AY41" s="120">
        <f>'DRE CAIXA SEGURIDADE'!AY42</f>
        <v>-38041</v>
      </c>
      <c r="AZ41" s="142">
        <f>SUM(AV41:AY41)</f>
        <v>-149421.07706000004</v>
      </c>
      <c r="BA41" s="157">
        <v>-45932.407810000004</v>
      </c>
      <c r="BB41" s="1"/>
      <c r="BC41" s="1"/>
      <c r="BD41" s="1"/>
      <c r="BE41" s="1"/>
      <c r="BF41" s="1"/>
    </row>
    <row r="42" spans="1:58">
      <c r="A42" s="11"/>
      <c r="B42" s="11" t="s">
        <v>313</v>
      </c>
      <c r="C42" s="120">
        <v>-10236.467070000001</v>
      </c>
      <c r="D42" s="120">
        <v>-9200.8344499999985</v>
      </c>
      <c r="E42" s="120">
        <v>-11297.915360000003</v>
      </c>
      <c r="F42" s="120">
        <v>-11357.597949999996</v>
      </c>
      <c r="G42" s="142">
        <v>-42092.814830000003</v>
      </c>
      <c r="H42" s="120">
        <v>-14341.066120000001</v>
      </c>
      <c r="I42" s="120">
        <v>-13100.862879999999</v>
      </c>
      <c r="J42" s="120">
        <v>-13727.869769999996</v>
      </c>
      <c r="K42" s="120">
        <v>-13908.489140000001</v>
      </c>
      <c r="L42" s="142">
        <v>-55078.287909999999</v>
      </c>
      <c r="M42" s="120">
        <v>-19959.427879999999</v>
      </c>
      <c r="N42" s="120">
        <v>-15503.953720000003</v>
      </c>
      <c r="O42" s="120">
        <v>-14948.065090000004</v>
      </c>
      <c r="P42" s="120">
        <v>-19379.219710000001</v>
      </c>
      <c r="Q42" s="142">
        <v>-69790.666400000002</v>
      </c>
      <c r="R42" s="120">
        <v>-17575.661649999998</v>
      </c>
      <c r="S42" s="120">
        <v>-19145.130819999998</v>
      </c>
      <c r="T42" s="120">
        <v>-19809.04639</v>
      </c>
      <c r="U42" s="120">
        <v>-12484.056950000004</v>
      </c>
      <c r="V42" s="142">
        <v>-69013.895810000002</v>
      </c>
      <c r="W42" s="120">
        <v>-13690.724309999998</v>
      </c>
      <c r="X42" s="120">
        <v>-16342.020769999999</v>
      </c>
      <c r="Y42" s="120">
        <v>-31538.017269999997</v>
      </c>
      <c r="Z42" s="120">
        <v>-23100.433669999988</v>
      </c>
      <c r="AA42" s="142">
        <v>-84671.196019999974</v>
      </c>
      <c r="AB42" s="120">
        <v>-21071.70032</v>
      </c>
      <c r="AC42" s="120">
        <v>-24620.228289999999</v>
      </c>
      <c r="AD42" s="120">
        <v>-40932.313639999978</v>
      </c>
      <c r="AE42" s="120">
        <v>-42064.903360000026</v>
      </c>
      <c r="AF42" s="142">
        <v>-128689.14561000001</v>
      </c>
      <c r="AG42" s="120">
        <v>-39868</v>
      </c>
      <c r="AH42" s="120">
        <v>-50049</v>
      </c>
      <c r="AI42" s="120">
        <v>-64950</v>
      </c>
      <c r="AJ42" s="121">
        <v>-51963</v>
      </c>
      <c r="AK42" s="142">
        <f t="shared" si="6"/>
        <v>-206830</v>
      </c>
      <c r="AL42" s="120">
        <v>-58331</v>
      </c>
      <c r="AM42" s="121">
        <v>-59835</v>
      </c>
      <c r="AN42" s="120">
        <v>-63421</v>
      </c>
      <c r="AO42" s="120">
        <v>-65582</v>
      </c>
      <c r="AP42" s="142">
        <f t="shared" si="22"/>
        <v>-247169</v>
      </c>
      <c r="AQ42" s="121">
        <v>-66646</v>
      </c>
      <c r="AR42" s="121">
        <v>-66956</v>
      </c>
      <c r="AS42" s="120">
        <v>-82650</v>
      </c>
      <c r="AT42" s="120">
        <v>-81424</v>
      </c>
      <c r="AU42" s="142">
        <f t="shared" si="12"/>
        <v>-297676</v>
      </c>
      <c r="AV42" s="120">
        <v>-77378.850609999805</v>
      </c>
      <c r="AW42" s="120">
        <v>-73568.192340001377</v>
      </c>
      <c r="AX42" s="120">
        <v>-79807.932950000963</v>
      </c>
      <c r="AY42" s="120">
        <f>'DRE CAIXA SEGURIDADE CONTABIL'!AY42</f>
        <v>-78652</v>
      </c>
      <c r="AZ42" s="142">
        <f>SUM(AV42:AY42)</f>
        <v>-309406.97590000217</v>
      </c>
      <c r="BA42" s="157">
        <v>-78331.854639999903</v>
      </c>
      <c r="BB42" s="1"/>
      <c r="BC42" s="1"/>
      <c r="BD42" s="1"/>
      <c r="BE42" s="1"/>
      <c r="BF42" s="1"/>
    </row>
    <row r="43" spans="1:58">
      <c r="A43" s="11"/>
      <c r="B43" s="11" t="s">
        <v>315</v>
      </c>
      <c r="C43" s="558">
        <v>0</v>
      </c>
      <c r="D43" s="558">
        <v>-1249</v>
      </c>
      <c r="E43" s="558">
        <v>-65.646679999999932</v>
      </c>
      <c r="F43" s="558">
        <v>-1.3533200000000676</v>
      </c>
      <c r="G43" s="142">
        <v>0</v>
      </c>
      <c r="H43" s="120">
        <v>0</v>
      </c>
      <c r="I43" s="120">
        <v>0</v>
      </c>
      <c r="J43" s="120">
        <v>0</v>
      </c>
      <c r="K43" s="120">
        <v>0</v>
      </c>
      <c r="L43" s="142">
        <v>0</v>
      </c>
      <c r="M43" s="120">
        <v>0</v>
      </c>
      <c r="N43" s="120">
        <v>0</v>
      </c>
      <c r="O43" s="120">
        <v>0</v>
      </c>
      <c r="P43" s="120">
        <v>0</v>
      </c>
      <c r="Q43" s="142">
        <v>0</v>
      </c>
      <c r="R43" s="120">
        <v>0</v>
      </c>
      <c r="S43" s="120">
        <v>0</v>
      </c>
      <c r="T43" s="120">
        <v>-9.745989999999999</v>
      </c>
      <c r="U43" s="120">
        <v>-13.054660000000002</v>
      </c>
      <c r="V43" s="142">
        <v>-22.800650000000001</v>
      </c>
      <c r="W43" s="120">
        <v>0</v>
      </c>
      <c r="X43" s="120">
        <v>-10.01262</v>
      </c>
      <c r="Y43" s="120">
        <v>-28.687489999999997</v>
      </c>
      <c r="Z43" s="120">
        <v>0</v>
      </c>
      <c r="AA43" s="142">
        <v>-38.700109999999995</v>
      </c>
      <c r="AB43" s="120">
        <v>0</v>
      </c>
      <c r="AC43" s="120">
        <v>0</v>
      </c>
      <c r="AD43" s="120">
        <v>0</v>
      </c>
      <c r="AE43" s="120">
        <v>0</v>
      </c>
      <c r="AF43" s="142">
        <v>0</v>
      </c>
      <c r="AG43" s="120">
        <v>0</v>
      </c>
      <c r="AH43" s="120">
        <v>0</v>
      </c>
      <c r="AI43" s="120">
        <v>0</v>
      </c>
      <c r="AJ43" s="121">
        <v>0</v>
      </c>
      <c r="AK43" s="142">
        <f t="shared" si="6"/>
        <v>0</v>
      </c>
      <c r="AL43" s="120">
        <v>0</v>
      </c>
      <c r="AM43" s="121">
        <v>0</v>
      </c>
      <c r="AN43" s="120">
        <v>-227</v>
      </c>
      <c r="AO43" s="120">
        <v>-241</v>
      </c>
      <c r="AP43" s="142">
        <f t="shared" si="22"/>
        <v>-468</v>
      </c>
      <c r="AQ43" s="121">
        <v>-191</v>
      </c>
      <c r="AR43" s="121">
        <v>-360</v>
      </c>
      <c r="AS43" s="120">
        <v>-239</v>
      </c>
      <c r="AT43" s="120">
        <v>-263</v>
      </c>
      <c r="AU43" s="142">
        <f t="shared" si="12"/>
        <v>-1053</v>
      </c>
      <c r="AV43" s="120">
        <v>-798.35087999999996</v>
      </c>
      <c r="AW43" s="120">
        <v>-755.77539000000229</v>
      </c>
      <c r="AX43" s="120">
        <v>-4670.7475700000041</v>
      </c>
      <c r="AY43" s="120">
        <f>'DRE CAIXA SEGURIDADE CONTABIL'!AY43</f>
        <v>-6119.6699600000102</v>
      </c>
      <c r="AZ43" s="142">
        <f>SUM(AV43:AY43)</f>
        <v>-12344.543800000018</v>
      </c>
      <c r="BA43" s="157">
        <v>-934.19</v>
      </c>
      <c r="BB43" s="1"/>
      <c r="BC43" s="1"/>
      <c r="BD43" s="1"/>
      <c r="BE43" s="1"/>
      <c r="BF43" s="1"/>
    </row>
    <row r="44" spans="1:58">
      <c r="A44" s="11"/>
      <c r="B44" s="11" t="s">
        <v>309</v>
      </c>
      <c r="C44" s="558"/>
      <c r="D44" s="558"/>
      <c r="E44" s="558"/>
      <c r="F44" s="558"/>
      <c r="G44" s="142">
        <f>SUM(C44:F44)</f>
        <v>0</v>
      </c>
      <c r="H44" s="120">
        <v>0</v>
      </c>
      <c r="I44" s="120">
        <v>0</v>
      </c>
      <c r="J44" s="120">
        <v>0</v>
      </c>
      <c r="K44" s="120">
        <v>0</v>
      </c>
      <c r="L44" s="142">
        <v>0</v>
      </c>
      <c r="M44" s="120">
        <v>0</v>
      </c>
      <c r="N44" s="120">
        <v>0.56599999999999995</v>
      </c>
      <c r="O44" s="120">
        <v>0.16358000000000003</v>
      </c>
      <c r="P44" s="120">
        <v>30260.28731</v>
      </c>
      <c r="Q44" s="142">
        <v>30261.016889999999</v>
      </c>
      <c r="R44" s="120">
        <v>0</v>
      </c>
      <c r="S44" s="120">
        <v>0</v>
      </c>
      <c r="T44" s="120">
        <v>5.6900000000000006E-3</v>
      </c>
      <c r="U44" s="120">
        <v>0</v>
      </c>
      <c r="V44" s="142">
        <v>5.6900000000000006E-3</v>
      </c>
      <c r="W44" s="120">
        <v>0</v>
      </c>
      <c r="X44" s="120">
        <v>0</v>
      </c>
      <c r="Y44" s="120">
        <v>0</v>
      </c>
      <c r="Z44" s="120">
        <v>1.8731800000000001</v>
      </c>
      <c r="AA44" s="142">
        <v>1.8731800000000001</v>
      </c>
      <c r="AB44" s="120">
        <v>0</v>
      </c>
      <c r="AC44" s="120">
        <v>1809.0078899999999</v>
      </c>
      <c r="AD44" s="120">
        <v>5934.6343400000005</v>
      </c>
      <c r="AE44" s="120">
        <v>6.7999999970197672E-4</v>
      </c>
      <c r="AF44" s="142">
        <v>7743.6429100000005</v>
      </c>
      <c r="AG44" s="120">
        <v>11445</v>
      </c>
      <c r="AH44" s="120">
        <v>0</v>
      </c>
      <c r="AI44" s="120">
        <v>4</v>
      </c>
      <c r="AJ44" s="121">
        <v>296732</v>
      </c>
      <c r="AK44" s="142">
        <f t="shared" si="6"/>
        <v>308181</v>
      </c>
      <c r="AL44" s="120">
        <v>30681</v>
      </c>
      <c r="AM44" s="121">
        <v>1</v>
      </c>
      <c r="AN44" s="120">
        <v>8</v>
      </c>
      <c r="AO44" s="120">
        <v>0</v>
      </c>
      <c r="AP44" s="142">
        <f t="shared" si="22"/>
        <v>30690</v>
      </c>
      <c r="AQ44" s="121">
        <v>5</v>
      </c>
      <c r="AR44" s="121">
        <v>5614</v>
      </c>
      <c r="AS44" s="120">
        <v>89832</v>
      </c>
      <c r="AT44" s="120">
        <v>12</v>
      </c>
      <c r="AU44" s="142">
        <f t="shared" si="12"/>
        <v>95463</v>
      </c>
      <c r="AV44" s="120">
        <v>1.8789499999997898</v>
      </c>
      <c r="AW44" s="120">
        <v>1.3178800000003426</v>
      </c>
      <c r="AX44" s="120">
        <v>1.3445700000000316</v>
      </c>
      <c r="AY44" s="120">
        <v>0.78238999999979797</v>
      </c>
      <c r="AZ44" s="142">
        <f>SUM(AV44:AY44)</f>
        <v>5.3237899999999625</v>
      </c>
      <c r="BA44" s="157">
        <v>4.9380000000563098E-2</v>
      </c>
      <c r="BB44" s="1"/>
      <c r="BC44" s="1"/>
      <c r="BD44" s="1"/>
      <c r="BE44" s="1"/>
      <c r="BF44" s="1"/>
    </row>
    <row r="45" spans="1:58">
      <c r="A45" s="54"/>
      <c r="B45" s="9" t="s">
        <v>317</v>
      </c>
      <c r="C45" s="122">
        <f>C40+C7</f>
        <v>294183.64245729271</v>
      </c>
      <c r="D45" s="122">
        <f t="shared" ref="D45:F45" si="25">D40+D7</f>
        <v>259730.0495571731</v>
      </c>
      <c r="E45" s="122">
        <f t="shared" si="25"/>
        <v>280842.01212123502</v>
      </c>
      <c r="F45" s="122">
        <f t="shared" si="25"/>
        <v>300391.48604796414</v>
      </c>
      <c r="G45" s="143">
        <f>SUM(C45:F45)</f>
        <v>1135147.1901836649</v>
      </c>
      <c r="H45" s="122">
        <v>342417.81109039084</v>
      </c>
      <c r="I45" s="122">
        <v>359825.50122195488</v>
      </c>
      <c r="J45" s="122">
        <v>333767.30886662274</v>
      </c>
      <c r="K45" s="122">
        <v>343077.70749319874</v>
      </c>
      <c r="L45" s="143">
        <v>1379088.3286721671</v>
      </c>
      <c r="M45" s="122">
        <v>407063.81265298522</v>
      </c>
      <c r="N45" s="122">
        <v>349040.26013234048</v>
      </c>
      <c r="O45" s="122">
        <v>380899.06068789109</v>
      </c>
      <c r="P45" s="122">
        <v>461308.45455609314</v>
      </c>
      <c r="Q45" s="143">
        <v>1598311.5880293099</v>
      </c>
      <c r="R45" s="122">
        <v>419462.63810686208</v>
      </c>
      <c r="S45" s="122">
        <v>413672.31808320474</v>
      </c>
      <c r="T45" s="122">
        <v>465428.48024085001</v>
      </c>
      <c r="U45" s="122">
        <v>350475.59112149337</v>
      </c>
      <c r="V45" s="143">
        <v>1649039.0275524103</v>
      </c>
      <c r="W45" s="122">
        <v>442498.23808340292</v>
      </c>
      <c r="X45" s="122">
        <v>415196.70915291482</v>
      </c>
      <c r="Y45" s="122">
        <v>591979.47906499996</v>
      </c>
      <c r="Z45" s="122">
        <v>502568.7839331532</v>
      </c>
      <c r="AA45" s="143">
        <v>1952243.2102344709</v>
      </c>
      <c r="AB45" s="122">
        <v>460055.95692999999</v>
      </c>
      <c r="AC45" s="122">
        <v>448648.55031000008</v>
      </c>
      <c r="AD45" s="122">
        <v>557676.40536000009</v>
      </c>
      <c r="AE45" s="122">
        <v>629697.38072999998</v>
      </c>
      <c r="AF45" s="143">
        <v>2096078.2933300002</v>
      </c>
      <c r="AG45" s="122">
        <f>AG7+AG38+AG40</f>
        <v>604299</v>
      </c>
      <c r="AH45" s="122">
        <f>AH7+AH38+AH40</f>
        <v>743931</v>
      </c>
      <c r="AI45" s="122">
        <f>AI7+AI38+AI40</f>
        <v>860833</v>
      </c>
      <c r="AJ45" s="122">
        <f>AJ7+AJ38+AJ40</f>
        <v>1112358</v>
      </c>
      <c r="AK45" s="143">
        <f t="shared" si="6"/>
        <v>3321421</v>
      </c>
      <c r="AL45" s="122">
        <f>AL7+AL38+AL40</f>
        <v>945196.25</v>
      </c>
      <c r="AM45" s="122">
        <f>SUM(AM40,AM38,AM7)</f>
        <v>906034</v>
      </c>
      <c r="AN45" s="122">
        <f>SUM(AN40,AN38,AN7)</f>
        <v>1004437</v>
      </c>
      <c r="AO45" s="122">
        <f>SUM(AO40,AO38,AO7)</f>
        <v>1015251</v>
      </c>
      <c r="AP45" s="143">
        <f t="shared" si="22"/>
        <v>3870918.25</v>
      </c>
      <c r="AQ45" s="122">
        <f t="shared" ref="AQ45:AX45" si="26">SUM(AQ40,AQ38,AQ7)</f>
        <v>1048234</v>
      </c>
      <c r="AR45" s="122">
        <f t="shared" si="26"/>
        <v>878937.15207999991</v>
      </c>
      <c r="AS45" s="122">
        <f t="shared" si="26"/>
        <v>1108826.8626700002</v>
      </c>
      <c r="AT45" s="122">
        <f t="shared" si="26"/>
        <v>1178625.2982399999</v>
      </c>
      <c r="AU45" s="143">
        <f t="shared" si="26"/>
        <v>4214623.3129900005</v>
      </c>
      <c r="AV45" s="122">
        <f t="shared" si="26"/>
        <v>1111570.4923900003</v>
      </c>
      <c r="AW45" s="122">
        <f t="shared" si="26"/>
        <v>1125705.1297799987</v>
      </c>
      <c r="AX45" s="122">
        <f t="shared" si="26"/>
        <v>1232014.7866199987</v>
      </c>
      <c r="AY45" s="122">
        <f>SUM(AY40,AY38,AY7)</f>
        <v>1202634.3209300006</v>
      </c>
      <c r="AZ45" s="143">
        <f t="shared" ref="AZ45" si="27">SUM(AZ40,AZ38,AZ7)</f>
        <v>4671924.7297199983</v>
      </c>
      <c r="BA45" s="122">
        <f>SUM(BA40,BA38,BA7)</f>
        <v>1244429.4421100002</v>
      </c>
      <c r="BB45" s="1"/>
      <c r="BC45" s="1"/>
      <c r="BD45" s="1"/>
      <c r="BE45" s="1"/>
      <c r="BF45" s="1"/>
    </row>
    <row r="46" spans="1:58">
      <c r="A46" s="11"/>
      <c r="B46" s="11"/>
      <c r="C46" s="120"/>
      <c r="D46" s="120"/>
      <c r="E46" s="120"/>
      <c r="F46" s="120"/>
      <c r="G46" s="142"/>
      <c r="H46" s="120"/>
      <c r="I46" s="120"/>
      <c r="J46" s="120"/>
      <c r="K46" s="120"/>
      <c r="L46" s="142"/>
      <c r="M46" s="120"/>
      <c r="N46" s="120"/>
      <c r="O46" s="120"/>
      <c r="P46" s="120"/>
      <c r="Q46" s="142"/>
      <c r="R46" s="120"/>
      <c r="S46" s="120"/>
      <c r="T46" s="120"/>
      <c r="U46" s="120"/>
      <c r="V46" s="142"/>
      <c r="W46" s="120"/>
      <c r="X46" s="120"/>
      <c r="Y46" s="120"/>
      <c r="Z46" s="120"/>
      <c r="AA46" s="142"/>
      <c r="AB46" s="120"/>
      <c r="AC46" s="120"/>
      <c r="AD46" s="120"/>
      <c r="AE46" s="120"/>
      <c r="AF46" s="142"/>
      <c r="AG46" s="120"/>
      <c r="AH46" s="120"/>
      <c r="AI46" s="120"/>
      <c r="AJ46" s="121">
        <v>0</v>
      </c>
      <c r="AK46" s="142"/>
      <c r="AL46" s="120"/>
      <c r="AM46" s="121"/>
      <c r="AN46" s="120"/>
      <c r="AO46" s="120"/>
      <c r="AP46" s="142">
        <f t="shared" si="22"/>
        <v>0</v>
      </c>
      <c r="AQ46" s="14"/>
      <c r="AR46" s="121"/>
      <c r="AS46" s="120"/>
      <c r="AT46" s="120"/>
      <c r="AU46" s="142"/>
      <c r="AV46" s="120"/>
      <c r="AW46" s="120"/>
      <c r="AX46" s="120"/>
      <c r="AY46" s="120"/>
      <c r="AZ46" s="142"/>
      <c r="BA46" s="14"/>
      <c r="BB46" s="1"/>
      <c r="BC46" s="1"/>
      <c r="BD46" s="1"/>
      <c r="BE46" s="1"/>
      <c r="BF46" s="1"/>
    </row>
    <row r="47" spans="1:58">
      <c r="A47" s="54"/>
      <c r="B47" s="9" t="s">
        <v>319</v>
      </c>
      <c r="C47" s="122">
        <v>-1418.2734300000006</v>
      </c>
      <c r="D47" s="122">
        <v>2677.4463699999997</v>
      </c>
      <c r="E47" s="122">
        <v>5837.2842000000046</v>
      </c>
      <c r="F47" s="122">
        <v>7006.9743999999982</v>
      </c>
      <c r="G47" s="143">
        <f>SUM(C47:F47)</f>
        <v>14103.431540000001</v>
      </c>
      <c r="H47" s="122">
        <v>4216.8447699999997</v>
      </c>
      <c r="I47" s="122">
        <v>7007.4345200000025</v>
      </c>
      <c r="J47" s="122">
        <v>6577.1029199999984</v>
      </c>
      <c r="K47" s="122">
        <v>6447.4069499999996</v>
      </c>
      <c r="L47" s="143">
        <v>24248.78916</v>
      </c>
      <c r="M47" s="122">
        <v>2733.1374600000008</v>
      </c>
      <c r="N47" s="122">
        <v>6629.2316099999989</v>
      </c>
      <c r="O47" s="122">
        <v>6872.564730000001</v>
      </c>
      <c r="P47" s="122">
        <v>7660.6280699999998</v>
      </c>
      <c r="Q47" s="143">
        <v>23895.561870000001</v>
      </c>
      <c r="R47" s="122">
        <v>4140.2438900000006</v>
      </c>
      <c r="S47" s="122">
        <v>13237.845399999997</v>
      </c>
      <c r="T47" s="122">
        <v>12215.334070000001</v>
      </c>
      <c r="U47" s="122">
        <v>5350.0509500000026</v>
      </c>
      <c r="V47" s="143">
        <v>34943.474309999998</v>
      </c>
      <c r="W47" s="122">
        <v>4646.90798</v>
      </c>
      <c r="X47" s="122">
        <v>5911.9798900000005</v>
      </c>
      <c r="Y47" s="122">
        <v>3741.4539599999985</v>
      </c>
      <c r="Z47" s="122">
        <v>6040.7381799999994</v>
      </c>
      <c r="AA47" s="143">
        <v>20341.080009999998</v>
      </c>
      <c r="AB47" s="122">
        <v>-179.89427000000001</v>
      </c>
      <c r="AC47" s="122">
        <v>2444.45082</v>
      </c>
      <c r="AD47" s="122">
        <v>5011.8135200000006</v>
      </c>
      <c r="AE47" s="122">
        <v>3295.3234499999994</v>
      </c>
      <c r="AF47" s="143">
        <v>10571.693520000001</v>
      </c>
      <c r="AG47" s="122">
        <f>SUM(AG48:AG50)</f>
        <v>14034</v>
      </c>
      <c r="AH47" s="122">
        <f t="shared" ref="AH47:AL47" si="28">SUM(AH48:AH50)</f>
        <v>21273</v>
      </c>
      <c r="AI47" s="122">
        <f t="shared" si="28"/>
        <v>28936</v>
      </c>
      <c r="AJ47" s="122">
        <f t="shared" si="28"/>
        <v>33445</v>
      </c>
      <c r="AK47" s="143">
        <f t="shared" si="6"/>
        <v>97688</v>
      </c>
      <c r="AL47" s="122">
        <f t="shared" si="28"/>
        <v>15189</v>
      </c>
      <c r="AM47" s="122">
        <v>31847</v>
      </c>
      <c r="AN47" s="122">
        <v>31653</v>
      </c>
      <c r="AO47" s="122">
        <v>35178</v>
      </c>
      <c r="AP47" s="143">
        <f t="shared" si="22"/>
        <v>113867</v>
      </c>
      <c r="AQ47" s="122">
        <f t="shared" ref="AQ47:AY47" si="29">SUM(AQ48:AQ50)</f>
        <v>-7282</v>
      </c>
      <c r="AR47" s="122">
        <f t="shared" si="29"/>
        <v>17758</v>
      </c>
      <c r="AS47" s="122">
        <f t="shared" si="29"/>
        <v>67893</v>
      </c>
      <c r="AT47" s="122">
        <f t="shared" si="29"/>
        <v>35122</v>
      </c>
      <c r="AU47" s="143">
        <f t="shared" ref="AU47:AU49" si="30">SUM(AQ47:AT47)</f>
        <v>113491</v>
      </c>
      <c r="AV47" s="122">
        <f t="shared" si="29"/>
        <v>28696.215400000001</v>
      </c>
      <c r="AW47" s="122">
        <f t="shared" si="29"/>
        <v>45475.789109998972</v>
      </c>
      <c r="AX47" s="122">
        <f t="shared" si="29"/>
        <v>51095.31436999888</v>
      </c>
      <c r="AY47" s="122">
        <f t="shared" si="29"/>
        <v>56928.721039998898</v>
      </c>
      <c r="AZ47" s="143">
        <f>SUM(AV47:AY47)</f>
        <v>182196.03991999675</v>
      </c>
      <c r="BA47" s="122">
        <f t="shared" ref="BA47" si="31">SUM(BA48:BA50)</f>
        <v>28667.213849999891</v>
      </c>
      <c r="BB47" s="1"/>
      <c r="BC47" s="1"/>
      <c r="BD47" s="1"/>
      <c r="BE47" s="1"/>
      <c r="BF47" s="1"/>
    </row>
    <row r="48" spans="1:58">
      <c r="A48" s="11"/>
      <c r="B48" s="11" t="s">
        <v>321</v>
      </c>
      <c r="C48" s="120">
        <v>2717.0130299999996</v>
      </c>
      <c r="D48" s="120">
        <v>4754.5504599999995</v>
      </c>
      <c r="E48" s="120">
        <v>5634.9898000000039</v>
      </c>
      <c r="F48" s="120">
        <v>7006.9743999999982</v>
      </c>
      <c r="G48" s="142">
        <v>20113.527690000003</v>
      </c>
      <c r="H48" s="120">
        <v>8481.92425</v>
      </c>
      <c r="I48" s="120">
        <v>8232.1099600000016</v>
      </c>
      <c r="J48" s="120">
        <v>6577.1029199999984</v>
      </c>
      <c r="K48" s="120">
        <v>6447.4069499999996</v>
      </c>
      <c r="L48" s="142">
        <v>29738.54408</v>
      </c>
      <c r="M48" s="120">
        <v>7050.4618900000005</v>
      </c>
      <c r="N48" s="120">
        <v>8263.3159099999993</v>
      </c>
      <c r="O48" s="120">
        <v>6872.5947500000002</v>
      </c>
      <c r="P48" s="120">
        <v>7660.7134499999993</v>
      </c>
      <c r="Q48" s="142">
        <v>29847.085999999999</v>
      </c>
      <c r="R48" s="120">
        <v>4506.8492100000003</v>
      </c>
      <c r="S48" s="120">
        <v>13365.335369999997</v>
      </c>
      <c r="T48" s="120">
        <v>12215.489030000001</v>
      </c>
      <c r="U48" s="120">
        <v>5350.0509500000026</v>
      </c>
      <c r="V48" s="142">
        <v>35437.724560000002</v>
      </c>
      <c r="W48" s="120">
        <v>5487.2420899999997</v>
      </c>
      <c r="X48" s="120">
        <v>5913.1763800000008</v>
      </c>
      <c r="Y48" s="120">
        <v>3741.4574999999982</v>
      </c>
      <c r="Z48" s="120">
        <v>6040.7746799999995</v>
      </c>
      <c r="AA48" s="142">
        <v>21182.65065</v>
      </c>
      <c r="AB48" s="120">
        <v>841.82868999999994</v>
      </c>
      <c r="AC48" s="120">
        <v>2444.4508300000002</v>
      </c>
      <c r="AD48" s="120">
        <v>5568.4585800000004</v>
      </c>
      <c r="AE48" s="120">
        <v>6728.4127999999992</v>
      </c>
      <c r="AF48" s="142">
        <v>15583.150900000001</v>
      </c>
      <c r="AG48" s="120">
        <v>14232</v>
      </c>
      <c r="AH48" s="120">
        <v>21274</v>
      </c>
      <c r="AI48" s="120">
        <v>29104</v>
      </c>
      <c r="AJ48" s="121">
        <v>33572</v>
      </c>
      <c r="AK48" s="142">
        <f t="shared" si="6"/>
        <v>98182</v>
      </c>
      <c r="AL48" s="120">
        <v>37870</v>
      </c>
      <c r="AM48" s="121">
        <v>40296</v>
      </c>
      <c r="AN48" s="120">
        <v>32508</v>
      </c>
      <c r="AO48" s="120">
        <v>37138</v>
      </c>
      <c r="AP48" s="142">
        <f t="shared" si="22"/>
        <v>147812</v>
      </c>
      <c r="AQ48" s="121">
        <v>26552</v>
      </c>
      <c r="AR48" s="121">
        <v>36217</v>
      </c>
      <c r="AS48" s="120">
        <v>69993</v>
      </c>
      <c r="AT48" s="120">
        <v>39512</v>
      </c>
      <c r="AU48" s="142">
        <f t="shared" si="30"/>
        <v>172274</v>
      </c>
      <c r="AV48" s="120">
        <v>35449</v>
      </c>
      <c r="AW48" s="120">
        <v>47213.19347999891</v>
      </c>
      <c r="AX48" s="120">
        <v>52282.243309998892</v>
      </c>
      <c r="AY48" s="120">
        <v>58149.395389998899</v>
      </c>
      <c r="AZ48" s="142">
        <f>SUM(AV48:AY48)</f>
        <v>193093.83217999671</v>
      </c>
      <c r="BA48" s="121">
        <v>36847.471299999903</v>
      </c>
      <c r="BB48" s="1"/>
      <c r="BC48" s="1"/>
      <c r="BD48" s="1"/>
      <c r="BE48" s="1"/>
      <c r="BF48" s="1"/>
    </row>
    <row r="49" spans="1:58">
      <c r="A49" s="11"/>
      <c r="B49" s="11" t="s">
        <v>323</v>
      </c>
      <c r="C49" s="120">
        <v>-4135.2864600000003</v>
      </c>
      <c r="D49" s="120">
        <v>-2077.1040899999998</v>
      </c>
      <c r="E49" s="120">
        <v>202.29440000000037</v>
      </c>
      <c r="F49" s="120">
        <v>0</v>
      </c>
      <c r="G49" s="142">
        <v>-6010.0961499999994</v>
      </c>
      <c r="H49" s="120">
        <v>-4265.0794800000003</v>
      </c>
      <c r="I49" s="120">
        <v>-1224.6754399999995</v>
      </c>
      <c r="J49" s="120">
        <v>0</v>
      </c>
      <c r="K49" s="120">
        <v>0</v>
      </c>
      <c r="L49" s="142">
        <v>-5489.7549199999994</v>
      </c>
      <c r="M49" s="120">
        <v>-4317.3244299999997</v>
      </c>
      <c r="N49" s="120">
        <v>-1634.0843000000007</v>
      </c>
      <c r="O49" s="120">
        <v>-3.0019999999552967E-2</v>
      </c>
      <c r="P49" s="120">
        <v>-8.537999999988824E-2</v>
      </c>
      <c r="Q49" s="142">
        <v>-5951.5241299999989</v>
      </c>
      <c r="R49" s="120">
        <v>-366.60532000000001</v>
      </c>
      <c r="S49" s="120">
        <v>-127.48996999999997</v>
      </c>
      <c r="T49" s="120">
        <v>-0.15496000000002094</v>
      </c>
      <c r="U49" s="120">
        <v>0</v>
      </c>
      <c r="V49" s="142">
        <v>-494.25024999999999</v>
      </c>
      <c r="W49" s="120">
        <v>-840.3341099999999</v>
      </c>
      <c r="X49" s="120">
        <v>-1.1964900000001071</v>
      </c>
      <c r="Y49" s="120">
        <v>-3.5399999999208374E-3</v>
      </c>
      <c r="Z49" s="120">
        <v>-3.6499999999999998E-2</v>
      </c>
      <c r="AA49" s="142">
        <v>-841.57064000000003</v>
      </c>
      <c r="AB49" s="120">
        <v>-1021.7229599999999</v>
      </c>
      <c r="AC49" s="120">
        <v>-1.0000000009313226E-5</v>
      </c>
      <c r="AD49" s="120">
        <v>-556.64506000000017</v>
      </c>
      <c r="AE49" s="120">
        <v>-3433.0893499999997</v>
      </c>
      <c r="AF49" s="142">
        <v>-5011.4573799999998</v>
      </c>
      <c r="AG49" s="120">
        <v>-198</v>
      </c>
      <c r="AH49" s="120">
        <v>-1</v>
      </c>
      <c r="AI49" s="120">
        <v>-168</v>
      </c>
      <c r="AJ49" s="121">
        <v>-127</v>
      </c>
      <c r="AK49" s="142">
        <f t="shared" si="6"/>
        <v>-494</v>
      </c>
      <c r="AL49" s="120">
        <v>-22681</v>
      </c>
      <c r="AM49" s="121">
        <v>-8449</v>
      </c>
      <c r="AN49" s="120">
        <v>-855</v>
      </c>
      <c r="AO49" s="120">
        <v>-1960</v>
      </c>
      <c r="AP49" s="142">
        <f t="shared" si="22"/>
        <v>-33945</v>
      </c>
      <c r="AQ49" s="121">
        <v>-33834</v>
      </c>
      <c r="AR49" s="121">
        <v>-18459</v>
      </c>
      <c r="AS49" s="120">
        <v>-2100</v>
      </c>
      <c r="AT49" s="120">
        <v>-4390</v>
      </c>
      <c r="AU49" s="142">
        <f t="shared" si="30"/>
        <v>-58783</v>
      </c>
      <c r="AV49" s="120">
        <v>-6752.7846</v>
      </c>
      <c r="AW49" s="120">
        <f>'DRE CAIXA SEGURIDADE'!AW49</f>
        <v>-1737.4043699999399</v>
      </c>
      <c r="AX49" s="120">
        <v>-1186.9289400000137</v>
      </c>
      <c r="AY49" s="120">
        <v>-1220.67435</v>
      </c>
      <c r="AZ49" s="142">
        <f>SUM(AV49:AY49)</f>
        <v>-10897.792259999953</v>
      </c>
      <c r="BA49" s="121">
        <v>-8180.2574500000101</v>
      </c>
      <c r="BB49" s="1"/>
      <c r="BC49" s="1"/>
      <c r="BD49" s="1"/>
      <c r="BE49" s="1"/>
      <c r="BF49" s="1"/>
    </row>
    <row r="50" spans="1:58">
      <c r="A50" s="11"/>
      <c r="B50" s="11"/>
      <c r="C50" s="120"/>
      <c r="D50" s="120"/>
      <c r="E50" s="120"/>
      <c r="F50" s="120"/>
      <c r="G50" s="142"/>
      <c r="H50" s="120"/>
      <c r="I50" s="120"/>
      <c r="J50" s="120"/>
      <c r="K50" s="120"/>
      <c r="L50" s="142"/>
      <c r="M50" s="120"/>
      <c r="N50" s="120"/>
      <c r="O50" s="120"/>
      <c r="P50" s="120"/>
      <c r="Q50" s="142"/>
      <c r="R50" s="120"/>
      <c r="S50" s="120"/>
      <c r="T50" s="120"/>
      <c r="U50" s="120"/>
      <c r="V50" s="142"/>
      <c r="W50" s="120"/>
      <c r="X50" s="120"/>
      <c r="Y50" s="120"/>
      <c r="Z50" s="120"/>
      <c r="AA50" s="142"/>
      <c r="AB50" s="120"/>
      <c r="AC50" s="120"/>
      <c r="AD50" s="120"/>
      <c r="AE50" s="120"/>
      <c r="AF50" s="142"/>
      <c r="AG50" s="120">
        <v>0</v>
      </c>
      <c r="AH50" s="120">
        <v>0</v>
      </c>
      <c r="AI50" s="120">
        <v>0</v>
      </c>
      <c r="AJ50" s="121">
        <v>0</v>
      </c>
      <c r="AK50" s="142">
        <f t="shared" si="6"/>
        <v>0</v>
      </c>
      <c r="AL50" s="120">
        <v>0</v>
      </c>
      <c r="AM50" s="121">
        <v>0</v>
      </c>
      <c r="AN50" s="120">
        <v>0</v>
      </c>
      <c r="AO50" s="120">
        <v>0</v>
      </c>
      <c r="AP50" s="142">
        <f t="shared" si="22"/>
        <v>0</v>
      </c>
      <c r="AQ50" s="121">
        <v>0</v>
      </c>
      <c r="AR50" s="121"/>
      <c r="AS50" s="120"/>
      <c r="AT50" s="120"/>
      <c r="AU50" s="142"/>
      <c r="AV50" s="120"/>
      <c r="AW50" s="120"/>
      <c r="AX50" s="120"/>
      <c r="AY50" s="120"/>
      <c r="AZ50" s="142"/>
      <c r="BA50" s="121"/>
      <c r="BB50" s="1"/>
      <c r="BC50" s="1"/>
      <c r="BD50" s="1"/>
      <c r="BE50" s="1"/>
      <c r="BF50" s="1"/>
    </row>
    <row r="51" spans="1:58">
      <c r="A51" s="54"/>
      <c r="B51" s="9" t="s">
        <v>366</v>
      </c>
      <c r="C51" s="122">
        <f>C45+C47</f>
        <v>292765.36902729271</v>
      </c>
      <c r="D51" s="122">
        <f t="shared" ref="D51:F51" si="32">D45+D47</f>
        <v>262407.49592717312</v>
      </c>
      <c r="E51" s="122">
        <f t="shared" si="32"/>
        <v>286679.29632123502</v>
      </c>
      <c r="F51" s="122">
        <f t="shared" si="32"/>
        <v>307398.46044796414</v>
      </c>
      <c r="G51" s="143">
        <f>SUM(C51:F51)</f>
        <v>1149250.6217236649</v>
      </c>
      <c r="H51" s="122">
        <v>346634.65586039086</v>
      </c>
      <c r="I51" s="122">
        <v>366832.93574195489</v>
      </c>
      <c r="J51" s="122">
        <v>340344.41178662272</v>
      </c>
      <c r="K51" s="122">
        <v>349525.11444319872</v>
      </c>
      <c r="L51" s="143">
        <v>1403337.1178321671</v>
      </c>
      <c r="M51" s="122">
        <v>409796.95011298521</v>
      </c>
      <c r="N51" s="122">
        <v>355669.4917423405</v>
      </c>
      <c r="O51" s="122">
        <v>387771.62541789107</v>
      </c>
      <c r="P51" s="122">
        <v>468969.08262609312</v>
      </c>
      <c r="Q51" s="143">
        <v>1622207.14989931</v>
      </c>
      <c r="R51" s="122">
        <v>423602.88199686207</v>
      </c>
      <c r="S51" s="122">
        <v>426910.16348320473</v>
      </c>
      <c r="T51" s="122">
        <v>477643.81431084999</v>
      </c>
      <c r="U51" s="122">
        <v>355825.64207149338</v>
      </c>
      <c r="V51" s="143">
        <v>1683982.5018624102</v>
      </c>
      <c r="W51" s="122">
        <v>447145.14606340294</v>
      </c>
      <c r="X51" s="122">
        <v>421108.68904291483</v>
      </c>
      <c r="Y51" s="122">
        <v>595720.93302499992</v>
      </c>
      <c r="Z51" s="122">
        <v>508609.52211315319</v>
      </c>
      <c r="AA51" s="143">
        <v>1972584.2902444708</v>
      </c>
      <c r="AB51" s="122">
        <v>459876.06266</v>
      </c>
      <c r="AC51" s="122">
        <v>451093.00113000011</v>
      </c>
      <c r="AD51" s="122">
        <v>562688.21888000006</v>
      </c>
      <c r="AE51" s="122">
        <v>632992.70418</v>
      </c>
      <c r="AF51" s="143">
        <v>2106649.98685</v>
      </c>
      <c r="AG51" s="122">
        <f>AG47+AG45</f>
        <v>618333</v>
      </c>
      <c r="AH51" s="122">
        <f t="shared" ref="AH51:AL51" si="33">AH47+AH45</f>
        <v>765204</v>
      </c>
      <c r="AI51" s="122">
        <f t="shared" si="33"/>
        <v>889769</v>
      </c>
      <c r="AJ51" s="122">
        <f t="shared" si="33"/>
        <v>1145803</v>
      </c>
      <c r="AK51" s="143">
        <f t="shared" si="6"/>
        <v>3419109</v>
      </c>
      <c r="AL51" s="122">
        <f t="shared" si="33"/>
        <v>960385.25</v>
      </c>
      <c r="AM51" s="122">
        <v>937881</v>
      </c>
      <c r="AN51" s="122">
        <v>1036089</v>
      </c>
      <c r="AO51" s="122">
        <v>1050428</v>
      </c>
      <c r="AP51" s="143">
        <f t="shared" si="22"/>
        <v>3984783.25</v>
      </c>
      <c r="AQ51" s="122">
        <f t="shared" ref="AQ51:AY51" si="34">AQ47+AQ45</f>
        <v>1040952</v>
      </c>
      <c r="AR51" s="122">
        <f t="shared" si="34"/>
        <v>896695.15207999991</v>
      </c>
      <c r="AS51" s="122">
        <f t="shared" si="34"/>
        <v>1176719.8626700002</v>
      </c>
      <c r="AT51" s="122">
        <f t="shared" si="34"/>
        <v>1213747.2982399999</v>
      </c>
      <c r="AU51" s="143">
        <f t="shared" si="34"/>
        <v>4328114.3129900005</v>
      </c>
      <c r="AV51" s="122">
        <f t="shared" si="34"/>
        <v>1140266.7077900004</v>
      </c>
      <c r="AW51" s="122">
        <f t="shared" si="34"/>
        <v>1171180.9188899978</v>
      </c>
      <c r="AX51" s="122">
        <f t="shared" si="34"/>
        <v>1283110.1009899976</v>
      </c>
      <c r="AY51" s="122">
        <f t="shared" si="34"/>
        <v>1259563.0419699994</v>
      </c>
      <c r="AZ51" s="143">
        <f t="shared" ref="AZ51:BA51" si="35">AZ47+AZ45</f>
        <v>4854120.7696399949</v>
      </c>
      <c r="BA51" s="122">
        <f t="shared" si="35"/>
        <v>1273096.6559600001</v>
      </c>
      <c r="BB51" s="1"/>
      <c r="BC51" s="1"/>
      <c r="BD51" s="1"/>
      <c r="BE51" s="1"/>
      <c r="BF51" s="1"/>
    </row>
    <row r="52" spans="1:58">
      <c r="C52" s="123"/>
      <c r="D52" s="123"/>
      <c r="E52" s="123"/>
      <c r="F52" s="123"/>
      <c r="G52" s="144"/>
      <c r="H52" s="123"/>
      <c r="I52" s="123"/>
      <c r="J52" s="123"/>
      <c r="K52" s="123"/>
      <c r="L52" s="144"/>
      <c r="M52" s="123"/>
      <c r="N52" s="123"/>
      <c r="O52" s="123"/>
      <c r="P52" s="123"/>
      <c r="Q52" s="144"/>
      <c r="R52" s="123"/>
      <c r="S52" s="123"/>
      <c r="T52" s="123"/>
      <c r="U52" s="123"/>
      <c r="V52" s="144"/>
      <c r="W52" s="123"/>
      <c r="X52" s="123"/>
      <c r="Y52" s="123"/>
      <c r="Z52" s="123"/>
      <c r="AA52" s="144"/>
      <c r="AB52" s="123"/>
      <c r="AC52" s="123"/>
      <c r="AD52" s="123"/>
      <c r="AE52" s="123"/>
      <c r="AF52" s="144"/>
      <c r="AG52" s="123"/>
      <c r="AH52" s="123"/>
      <c r="AI52" s="123"/>
      <c r="AJ52" s="123">
        <v>0</v>
      </c>
      <c r="AK52" s="144">
        <f t="shared" si="6"/>
        <v>0</v>
      </c>
      <c r="AL52" s="123"/>
      <c r="AM52" s="123"/>
      <c r="AN52" s="123"/>
      <c r="AO52" s="123"/>
      <c r="AP52" s="144">
        <f t="shared" si="22"/>
        <v>0</v>
      </c>
      <c r="AR52" s="123"/>
      <c r="AS52" s="123"/>
      <c r="AT52" s="123"/>
      <c r="AU52" s="144"/>
      <c r="AV52" s="123"/>
      <c r="AW52" s="123"/>
      <c r="AX52" s="123"/>
      <c r="AY52" s="123"/>
      <c r="AZ52" s="144"/>
      <c r="BB52" s="1"/>
      <c r="BC52" s="1"/>
      <c r="BD52" s="1"/>
      <c r="BE52" s="1"/>
      <c r="BF52" s="1"/>
    </row>
    <row r="53" spans="1:58">
      <c r="A53" s="9"/>
      <c r="B53" s="9" t="s">
        <v>327</v>
      </c>
      <c r="C53" s="122">
        <v>-32439.258460000001</v>
      </c>
      <c r="D53" s="122">
        <v>-28799.083560000003</v>
      </c>
      <c r="E53" s="122">
        <v>-36556.443429999992</v>
      </c>
      <c r="F53" s="122">
        <v>-36155.890210000005</v>
      </c>
      <c r="G53" s="143">
        <f>SUM(C53:F53)</f>
        <v>-133950.67566000001</v>
      </c>
      <c r="H53" s="122">
        <v>-46997.737650000003</v>
      </c>
      <c r="I53" s="122">
        <v>-42474.802869999992</v>
      </c>
      <c r="J53" s="122">
        <v>-43847.08971</v>
      </c>
      <c r="K53" s="122">
        <v>-42429.774840000005</v>
      </c>
      <c r="L53" s="143">
        <v>-175749.40507000001</v>
      </c>
      <c r="M53" s="122">
        <v>-65005.81192</v>
      </c>
      <c r="N53" s="122">
        <v>-48471.169189999993</v>
      </c>
      <c r="O53" s="122">
        <v>-44940.490500000007</v>
      </c>
      <c r="P53" s="122">
        <v>-60376.173279999988</v>
      </c>
      <c r="Q53" s="143">
        <v>-218793.64489</v>
      </c>
      <c r="R53" s="122">
        <v>-55697.54782</v>
      </c>
      <c r="S53" s="122">
        <v>-62276.76455</v>
      </c>
      <c r="T53" s="122">
        <v>-62767.25263000001</v>
      </c>
      <c r="U53" s="122">
        <v>-27210.030969999985</v>
      </c>
      <c r="V53" s="143">
        <v>-207951.59596999999</v>
      </c>
      <c r="W53" s="122">
        <v>-52976.324219999995</v>
      </c>
      <c r="X53" s="122">
        <v>-48424.392359999998</v>
      </c>
      <c r="Y53" s="122">
        <v>-101615.43473000002</v>
      </c>
      <c r="Z53" s="122">
        <v>-73394.194679999971</v>
      </c>
      <c r="AA53" s="143">
        <v>-276410.34599</v>
      </c>
      <c r="AB53" s="122">
        <v>-54834.664099999995</v>
      </c>
      <c r="AC53" s="122">
        <v>-53138.731930000002</v>
      </c>
      <c r="AD53" s="122">
        <v>-97389.546020000023</v>
      </c>
      <c r="AE53" s="122">
        <v>-94720.263690000022</v>
      </c>
      <c r="AF53" s="143">
        <v>-300083.20574</v>
      </c>
      <c r="AG53" s="122">
        <v>-86716</v>
      </c>
      <c r="AH53" s="122">
        <v>-99372</v>
      </c>
      <c r="AI53" s="122">
        <v>-129704</v>
      </c>
      <c r="AJ53" s="122">
        <v>-197372</v>
      </c>
      <c r="AK53" s="143">
        <f t="shared" si="6"/>
        <v>-513164</v>
      </c>
      <c r="AL53" s="122">
        <f>AL54+AL57</f>
        <v>-120015</v>
      </c>
      <c r="AM53" s="122">
        <f>SUM(AM54,AM57)</f>
        <v>-115303</v>
      </c>
      <c r="AN53" s="122">
        <f>SUM(AN54,AN57)</f>
        <v>-119515</v>
      </c>
      <c r="AO53" s="122">
        <f>SUM(AO54,AO57)</f>
        <v>-128015</v>
      </c>
      <c r="AP53" s="143">
        <f t="shared" si="22"/>
        <v>-482848</v>
      </c>
      <c r="AQ53" s="122">
        <f t="shared" ref="AQ53:AY53" si="36">SUM(AQ54,AQ57)</f>
        <v>-116610</v>
      </c>
      <c r="AR53" s="122">
        <f t="shared" si="36"/>
        <v>-126395</v>
      </c>
      <c r="AS53" s="122">
        <f t="shared" si="36"/>
        <v>-171403</v>
      </c>
      <c r="AT53" s="122">
        <f t="shared" si="36"/>
        <v>-156922</v>
      </c>
      <c r="AU53" s="143">
        <f t="shared" ref="AU53:AU57" si="37">SUM(AQ53:AT53)</f>
        <v>-571330</v>
      </c>
      <c r="AV53" s="122">
        <f t="shared" si="36"/>
        <v>-130945.05796999999</v>
      </c>
      <c r="AW53" s="122">
        <f t="shared" si="36"/>
        <v>-129595.55239999993</v>
      </c>
      <c r="AX53" s="122">
        <f t="shared" si="36"/>
        <v>-142949.86468999946</v>
      </c>
      <c r="AY53" s="122">
        <f t="shared" si="36"/>
        <v>-134738.10753999994</v>
      </c>
      <c r="AZ53" s="143">
        <f>SUM(AV53:AY53)</f>
        <v>-538228.58259999938</v>
      </c>
      <c r="BA53" s="122">
        <f t="shared" ref="BA53" si="38">SUM(BA54,BA57)</f>
        <v>-130122.03846000001</v>
      </c>
      <c r="BB53" s="1"/>
      <c r="BC53" s="1"/>
      <c r="BD53" s="1"/>
      <c r="BE53" s="1"/>
      <c r="BF53" s="1"/>
    </row>
    <row r="54" spans="1:58">
      <c r="A54" s="73"/>
      <c r="B54" s="73" t="s">
        <v>329</v>
      </c>
      <c r="C54" s="120">
        <v>-32442.01699</v>
      </c>
      <c r="D54" s="120">
        <v>-28801.603500000001</v>
      </c>
      <c r="E54" s="120">
        <v>-36557.502709999993</v>
      </c>
      <c r="F54" s="120">
        <v>-36151.750960000005</v>
      </c>
      <c r="G54" s="142">
        <v>-133952.87416000001</v>
      </c>
      <c r="H54" s="120">
        <v>-46997.025890000004</v>
      </c>
      <c r="I54" s="120">
        <v>-42473.316129999992</v>
      </c>
      <c r="J54" s="120">
        <v>-43876.885589999998</v>
      </c>
      <c r="K54" s="120">
        <v>-42436.152100000007</v>
      </c>
      <c r="L54" s="142">
        <v>-175783.37971000001</v>
      </c>
      <c r="M54" s="120">
        <v>-64943.742129999999</v>
      </c>
      <c r="N54" s="120">
        <v>-48471.169189999993</v>
      </c>
      <c r="O54" s="120">
        <v>-44940.490500000007</v>
      </c>
      <c r="P54" s="120">
        <v>-60376.173279999988</v>
      </c>
      <c r="Q54" s="142">
        <v>-218731.57509999999</v>
      </c>
      <c r="R54" s="120">
        <v>-55695.422059999997</v>
      </c>
      <c r="S54" s="120">
        <v>-59037.532789999997</v>
      </c>
      <c r="T54" s="120">
        <v>-61375.76701000001</v>
      </c>
      <c r="U54" s="120">
        <v>-31840.748349999987</v>
      </c>
      <c r="V54" s="142">
        <v>-207949.47020999997</v>
      </c>
      <c r="W54" s="120">
        <v>-51879.784719999996</v>
      </c>
      <c r="X54" s="120">
        <v>-47410.502759999996</v>
      </c>
      <c r="Y54" s="120">
        <v>-100662.87559000003</v>
      </c>
      <c r="Z54" s="120">
        <v>-76457.182919999977</v>
      </c>
      <c r="AA54" s="142">
        <v>-276410.34599</v>
      </c>
      <c r="AB54" s="120">
        <v>-53910.889759999998</v>
      </c>
      <c r="AC54" s="120">
        <v>-52168.189290000002</v>
      </c>
      <c r="AD54" s="120">
        <v>-96361.813860000024</v>
      </c>
      <c r="AE54" s="120">
        <v>-97642.31283000001</v>
      </c>
      <c r="AF54" s="142">
        <v>-300083.20574</v>
      </c>
      <c r="AG54" s="120">
        <v>-85447</v>
      </c>
      <c r="AH54" s="120">
        <v>-97948</v>
      </c>
      <c r="AI54" s="120">
        <v>-128240</v>
      </c>
      <c r="AJ54" s="121">
        <v>-201571</v>
      </c>
      <c r="AK54" s="142">
        <f t="shared" si="6"/>
        <v>-513206</v>
      </c>
      <c r="AL54" s="121">
        <v>-118124</v>
      </c>
      <c r="AM54" s="121">
        <v>-113450</v>
      </c>
      <c r="AN54" s="120">
        <v>-117756</v>
      </c>
      <c r="AO54" s="120">
        <v>-133477</v>
      </c>
      <c r="AP54" s="142">
        <f t="shared" si="22"/>
        <v>-482807</v>
      </c>
      <c r="AQ54" s="121">
        <v>-116728</v>
      </c>
      <c r="AR54" s="121">
        <v>-122744</v>
      </c>
      <c r="AS54" s="120">
        <v>-169296</v>
      </c>
      <c r="AT54" s="120">
        <v>-162445</v>
      </c>
      <c r="AU54" s="142">
        <f t="shared" si="37"/>
        <v>-571213</v>
      </c>
      <c r="AV54" s="120">
        <v>-128636</v>
      </c>
      <c r="AW54" s="120">
        <v>-127563.96564999993</v>
      </c>
      <c r="AX54" s="120">
        <v>-140661.80385999952</v>
      </c>
      <c r="AY54" s="120">
        <f>'DRE CAIXA SEGURIDADE CONTABIL'!AY54</f>
        <v>-141027.87086999996</v>
      </c>
      <c r="AZ54" s="142">
        <f>SUM(AV54:AY54)</f>
        <v>-537889.64037999942</v>
      </c>
      <c r="BA54" s="157">
        <v>-127240.08168</v>
      </c>
      <c r="BB54" s="1"/>
      <c r="BC54" s="1"/>
      <c r="BD54" s="1"/>
      <c r="BE54" s="1"/>
      <c r="BF54" s="1"/>
    </row>
    <row r="55" spans="1:58">
      <c r="A55" s="11"/>
      <c r="B55" s="11" t="s">
        <v>331</v>
      </c>
      <c r="C55" s="120">
        <v>-23852.836019999999</v>
      </c>
      <c r="D55" s="120">
        <v>-21176.061400000002</v>
      </c>
      <c r="E55" s="120">
        <v>-26878.928459999992</v>
      </c>
      <c r="F55" s="120">
        <v>-26580.581590000005</v>
      </c>
      <c r="G55" s="142">
        <v>-98488.407469999991</v>
      </c>
      <c r="H55" s="120">
        <v>-34555.048450000002</v>
      </c>
      <c r="I55" s="120">
        <v>-31228.791269999994</v>
      </c>
      <c r="J55" s="120">
        <v>-32260.82764</v>
      </c>
      <c r="K55" s="120">
        <v>-31195.111840000005</v>
      </c>
      <c r="L55" s="142">
        <v>-129239.77919999999</v>
      </c>
      <c r="M55" s="120">
        <v>-47750.997920000002</v>
      </c>
      <c r="N55" s="120">
        <v>-35638.797829999996</v>
      </c>
      <c r="O55" s="120">
        <v>-33038.470290000005</v>
      </c>
      <c r="P55" s="120">
        <v>-44471.215999999986</v>
      </c>
      <c r="Q55" s="142">
        <v>-160899.48203999997</v>
      </c>
      <c r="R55" s="120">
        <v>-40949.339749999999</v>
      </c>
      <c r="S55" s="120">
        <v>-43406.774109999998</v>
      </c>
      <c r="T55" s="120">
        <v>-45148.152290000005</v>
      </c>
      <c r="U55" s="120">
        <v>-23451.181359999984</v>
      </c>
      <c r="V55" s="142">
        <v>-152955.44751</v>
      </c>
      <c r="W55" s="120">
        <v>-38145.311689999995</v>
      </c>
      <c r="X55" s="120">
        <v>-34857.487329999996</v>
      </c>
      <c r="Y55" s="120">
        <v>-74013.643810000023</v>
      </c>
      <c r="Z55" s="120">
        <v>-56282.34467999998</v>
      </c>
      <c r="AA55" s="142">
        <v>-203298.78750999999</v>
      </c>
      <c r="AB55" s="120">
        <v>-39636.146549999998</v>
      </c>
      <c r="AC55" s="120">
        <v>-38408.489670000003</v>
      </c>
      <c r="AD55" s="120">
        <v>-70801.114650000018</v>
      </c>
      <c r="AE55" s="120">
        <v>-71890.544609999983</v>
      </c>
      <c r="AF55" s="142">
        <v>-220736.29548</v>
      </c>
      <c r="AG55" s="120">
        <v>-62846</v>
      </c>
      <c r="AH55" s="120">
        <v>-72016</v>
      </c>
      <c r="AI55" s="120">
        <v>-94289</v>
      </c>
      <c r="AJ55" s="120">
        <v>-148473</v>
      </c>
      <c r="AK55" s="142">
        <f t="shared" si="6"/>
        <v>-377624</v>
      </c>
      <c r="AL55" s="157">
        <v>-86435</v>
      </c>
      <c r="AM55" s="121">
        <v>-83423</v>
      </c>
      <c r="AN55" s="120">
        <v>-86744</v>
      </c>
      <c r="AO55" s="120">
        <v>-98140</v>
      </c>
      <c r="AP55" s="142">
        <f t="shared" si="22"/>
        <v>-354742</v>
      </c>
      <c r="AQ55" s="121">
        <v>-85826</v>
      </c>
      <c r="AR55" s="121">
        <v>-90247</v>
      </c>
      <c r="AS55" s="120">
        <v>-124477</v>
      </c>
      <c r="AT55" s="120">
        <v>-119623</v>
      </c>
      <c r="AU55" s="142">
        <f t="shared" si="37"/>
        <v>-420173</v>
      </c>
      <c r="AV55" s="120">
        <v>-94580.934569999998</v>
      </c>
      <c r="AW55" s="120">
        <v>-93792.268869999971</v>
      </c>
      <c r="AX55" s="120">
        <v>-103423.03223999972</v>
      </c>
      <c r="AY55" s="120">
        <f>'DRE CAIXA SEGURIDADE CONTABIL'!AY55</f>
        <v>-103949.28455999999</v>
      </c>
      <c r="AZ55" s="142">
        <f>SUM(AV55:AY55)</f>
        <v>-395745.52023999969</v>
      </c>
      <c r="BA55" s="157">
        <v>-93554.714370000002</v>
      </c>
      <c r="BB55" s="1"/>
      <c r="BC55" s="1"/>
      <c r="BD55" s="1"/>
      <c r="BE55" s="1"/>
      <c r="BF55" s="1"/>
    </row>
    <row r="56" spans="1:58">
      <c r="A56" s="11"/>
      <c r="B56" s="11" t="s">
        <v>333</v>
      </c>
      <c r="C56" s="120">
        <v>-8589.1809700000013</v>
      </c>
      <c r="D56" s="120">
        <v>-7625.5420999999997</v>
      </c>
      <c r="E56" s="120">
        <v>-9678.5742499999997</v>
      </c>
      <c r="F56" s="120">
        <v>-9571.1693699999978</v>
      </c>
      <c r="G56" s="142">
        <v>-35464.466689999994</v>
      </c>
      <c r="H56" s="120">
        <v>-12441.977439999999</v>
      </c>
      <c r="I56" s="120">
        <v>-11244.524860000001</v>
      </c>
      <c r="J56" s="120">
        <v>-11616.057949999999</v>
      </c>
      <c r="K56" s="120">
        <v>-11241.040259999998</v>
      </c>
      <c r="L56" s="142">
        <v>-46543.600509999989</v>
      </c>
      <c r="M56" s="120">
        <v>-17192.744210000001</v>
      </c>
      <c r="N56" s="120">
        <v>-12832.371359999999</v>
      </c>
      <c r="O56" s="120">
        <v>-11902.020210000001</v>
      </c>
      <c r="P56" s="120">
        <v>-15904.957280000001</v>
      </c>
      <c r="Q56" s="142">
        <v>-57832.093060000007</v>
      </c>
      <c r="R56" s="120">
        <v>-14746.08231</v>
      </c>
      <c r="S56" s="120">
        <v>-15630.758679999997</v>
      </c>
      <c r="T56" s="120">
        <v>-16227.614720000003</v>
      </c>
      <c r="U56" s="120">
        <v>-8389.566990000003</v>
      </c>
      <c r="V56" s="142">
        <v>-54994.022700000001</v>
      </c>
      <c r="W56" s="120">
        <v>-13734.473029999999</v>
      </c>
      <c r="X56" s="120">
        <v>-12553.015430000001</v>
      </c>
      <c r="Y56" s="120">
        <v>-26649.231780000002</v>
      </c>
      <c r="Z56" s="120">
        <v>-20174.838240000001</v>
      </c>
      <c r="AA56" s="142">
        <v>-73111.558480000007</v>
      </c>
      <c r="AB56" s="120">
        <v>-14274.743210000001</v>
      </c>
      <c r="AC56" s="120">
        <v>-13759.699619999998</v>
      </c>
      <c r="AD56" s="120">
        <v>-25560.699209999999</v>
      </c>
      <c r="AE56" s="120">
        <v>-25751.768220000005</v>
      </c>
      <c r="AF56" s="142">
        <v>-79346.910260000004</v>
      </c>
      <c r="AG56" s="120">
        <v>-22601</v>
      </c>
      <c r="AH56" s="120">
        <v>-25932</v>
      </c>
      <c r="AI56" s="120">
        <v>-33950</v>
      </c>
      <c r="AJ56" s="120">
        <v>-53098</v>
      </c>
      <c r="AK56" s="142">
        <f t="shared" si="6"/>
        <v>-135581</v>
      </c>
      <c r="AL56" s="157">
        <v>-31689</v>
      </c>
      <c r="AM56" s="121">
        <v>-30028</v>
      </c>
      <c r="AN56" s="120">
        <v>-31012</v>
      </c>
      <c r="AO56" s="120">
        <v>-35337</v>
      </c>
      <c r="AP56" s="142">
        <f t="shared" si="22"/>
        <v>-128066</v>
      </c>
      <c r="AQ56" s="121">
        <v>-30902</v>
      </c>
      <c r="AR56" s="121">
        <v>-32497</v>
      </c>
      <c r="AS56" s="120">
        <v>-44819</v>
      </c>
      <c r="AT56" s="120">
        <v>-42822</v>
      </c>
      <c r="AU56" s="142">
        <f t="shared" si="37"/>
        <v>-151040</v>
      </c>
      <c r="AV56" s="120">
        <v>-34055.616450000001</v>
      </c>
      <c r="AW56" s="120">
        <v>-33771.696779999955</v>
      </c>
      <c r="AX56" s="120">
        <v>-37238.771619999781</v>
      </c>
      <c r="AY56" s="120">
        <f>'DRE CAIXA SEGURIDADE CONTABIL'!AY56</f>
        <v>-37078.58630999997</v>
      </c>
      <c r="AZ56" s="142">
        <f>SUM(AV56:AY56)</f>
        <v>-142144.67115999971</v>
      </c>
      <c r="BA56" s="157">
        <v>-33685.367310000001</v>
      </c>
      <c r="BB56" s="1"/>
      <c r="BC56" s="1"/>
      <c r="BD56" s="1"/>
      <c r="BE56" s="1"/>
      <c r="BF56" s="1"/>
    </row>
    <row r="57" spans="1:58">
      <c r="A57" s="73"/>
      <c r="B57" s="73" t="s">
        <v>335</v>
      </c>
      <c r="C57" s="120">
        <v>2.7585299999999999</v>
      </c>
      <c r="D57" s="120">
        <v>2.5199400000000005</v>
      </c>
      <c r="E57" s="120">
        <v>1.0592799999999998</v>
      </c>
      <c r="F57" s="120">
        <v>-4.1392499999999997</v>
      </c>
      <c r="G57" s="142">
        <v>2.1985000000000001</v>
      </c>
      <c r="H57" s="120">
        <v>-0.71175999999999995</v>
      </c>
      <c r="I57" s="120">
        <v>-1.486739999999998</v>
      </c>
      <c r="J57" s="120">
        <v>29.795879999999997</v>
      </c>
      <c r="K57" s="120">
        <v>6.3772600000000024</v>
      </c>
      <c r="L57" s="142">
        <v>33.974640000000001</v>
      </c>
      <c r="M57" s="120">
        <v>-62.069790000000005</v>
      </c>
      <c r="N57" s="120">
        <v>0</v>
      </c>
      <c r="O57" s="120">
        <v>0</v>
      </c>
      <c r="P57" s="120">
        <v>0</v>
      </c>
      <c r="Q57" s="142">
        <v>-62.069790000000005</v>
      </c>
      <c r="R57" s="120">
        <v>-2.1257600000000001</v>
      </c>
      <c r="S57" s="120">
        <v>-3239.2317599999997</v>
      </c>
      <c r="T57" s="120">
        <v>-1391.4856200000002</v>
      </c>
      <c r="U57" s="120">
        <v>4630.71738</v>
      </c>
      <c r="V57" s="142">
        <v>-2.1257599999999002</v>
      </c>
      <c r="W57" s="120">
        <v>-1096.5395000000001</v>
      </c>
      <c r="X57" s="120">
        <v>-1013.8895999999996</v>
      </c>
      <c r="Y57" s="120">
        <v>-952.55914000000018</v>
      </c>
      <c r="Z57" s="120">
        <v>3062.9882399999992</v>
      </c>
      <c r="AA57" s="142">
        <v>0</v>
      </c>
      <c r="AB57" s="120">
        <v>-923.77433999999994</v>
      </c>
      <c r="AC57" s="120">
        <v>-970.54264000000001</v>
      </c>
      <c r="AD57" s="120">
        <v>-1027.7321599999996</v>
      </c>
      <c r="AE57" s="120">
        <v>2922.0491399999996</v>
      </c>
      <c r="AF57" s="142">
        <v>0</v>
      </c>
      <c r="AG57" s="120">
        <v>-1269</v>
      </c>
      <c r="AH57" s="120">
        <v>-1424</v>
      </c>
      <c r="AI57" s="120">
        <v>-1464</v>
      </c>
      <c r="AJ57" s="120">
        <v>4199</v>
      </c>
      <c r="AK57" s="142">
        <f t="shared" si="6"/>
        <v>42</v>
      </c>
      <c r="AL57" s="121">
        <v>-1891</v>
      </c>
      <c r="AM57" s="121">
        <v>-1853</v>
      </c>
      <c r="AN57" s="120">
        <v>-1759</v>
      </c>
      <c r="AO57" s="120">
        <v>5462</v>
      </c>
      <c r="AP57" s="142">
        <f t="shared" si="22"/>
        <v>-41</v>
      </c>
      <c r="AQ57" s="13">
        <v>118</v>
      </c>
      <c r="AR57" s="121">
        <v>-3651</v>
      </c>
      <c r="AS57" s="120">
        <v>-2107</v>
      </c>
      <c r="AT57" s="120">
        <v>5523</v>
      </c>
      <c r="AU57" s="142">
        <f t="shared" si="37"/>
        <v>-117</v>
      </c>
      <c r="AV57" s="120">
        <v>-2309.0579700000003</v>
      </c>
      <c r="AW57" s="120">
        <v>-2031.5867500000068</v>
      </c>
      <c r="AX57" s="120">
        <v>-2288.0608299999494</v>
      </c>
      <c r="AY57" s="120">
        <f>'DRE CAIXA SEGURIDADE CONTABIL'!AY57</f>
        <v>6289.7633300000034</v>
      </c>
      <c r="AZ57" s="142">
        <f>SUM(AV57:AY57)</f>
        <v>-338.94221999995352</v>
      </c>
      <c r="BA57" s="157">
        <v>-2881.95678000001</v>
      </c>
      <c r="BB57" s="1"/>
      <c r="BC57" s="1"/>
      <c r="BD57" s="1"/>
      <c r="BE57" s="1"/>
      <c r="BF57" s="1"/>
    </row>
    <row r="58" spans="1:58" ht="15.75" thickBot="1">
      <c r="A58" s="15"/>
      <c r="B58" s="15" t="s">
        <v>367</v>
      </c>
      <c r="C58" s="124">
        <f>C51+C53</f>
        <v>260326.11056729269</v>
      </c>
      <c r="D58" s="124">
        <f t="shared" ref="D58:F58" si="39">D51+D53</f>
        <v>233608.41236717312</v>
      </c>
      <c r="E58" s="124">
        <f t="shared" si="39"/>
        <v>250122.85289123503</v>
      </c>
      <c r="F58" s="124">
        <f t="shared" si="39"/>
        <v>271242.57023796416</v>
      </c>
      <c r="G58" s="145">
        <f>SUM(C58:F58)</f>
        <v>1015299.946063665</v>
      </c>
      <c r="H58" s="124">
        <f>H51+H53</f>
        <v>299636.91821039084</v>
      </c>
      <c r="I58" s="124">
        <f t="shared" ref="I58:K58" si="40">I51+I53</f>
        <v>324358.13287195488</v>
      </c>
      <c r="J58" s="124">
        <f t="shared" si="40"/>
        <v>296497.32207662275</v>
      </c>
      <c r="K58" s="124">
        <f t="shared" si="40"/>
        <v>307095.33960319869</v>
      </c>
      <c r="L58" s="272">
        <v>1227587.7127621672</v>
      </c>
      <c r="M58" s="124">
        <f>M51+M53</f>
        <v>344791.13819298521</v>
      </c>
      <c r="N58" s="124">
        <f t="shared" ref="N58:P58" si="41">N51+N53</f>
        <v>307198.32255234051</v>
      </c>
      <c r="O58" s="124">
        <f t="shared" si="41"/>
        <v>342831.13491789106</v>
      </c>
      <c r="P58" s="124">
        <f t="shared" si="41"/>
        <v>408592.90934609313</v>
      </c>
      <c r="Q58" s="272">
        <v>1403413.5050093101</v>
      </c>
      <c r="R58" s="124">
        <f>R51+R53</f>
        <v>367905.33417686209</v>
      </c>
      <c r="S58" s="124">
        <f t="shared" ref="S58:U58" si="42">S51+S53</f>
        <v>364633.39893320471</v>
      </c>
      <c r="T58" s="124">
        <f t="shared" si="42"/>
        <v>414876.56168084999</v>
      </c>
      <c r="U58" s="124">
        <f t="shared" si="42"/>
        <v>328615.61110149341</v>
      </c>
      <c r="V58" s="272">
        <v>1476030.9058924101</v>
      </c>
      <c r="W58" s="124">
        <f>W51+W53</f>
        <v>394168.82184340293</v>
      </c>
      <c r="X58" s="124">
        <f t="shared" ref="X58:Z58" si="43">X51+X53</f>
        <v>372684.29668291484</v>
      </c>
      <c r="Y58" s="124">
        <f t="shared" si="43"/>
        <v>494105.49829499988</v>
      </c>
      <c r="Z58" s="124">
        <f t="shared" si="43"/>
        <v>435215.32743315323</v>
      </c>
      <c r="AA58" s="272">
        <v>1696173.944254471</v>
      </c>
      <c r="AB58" s="124">
        <f>AB51+AB53</f>
        <v>405041.39856</v>
      </c>
      <c r="AC58" s="124">
        <f t="shared" ref="AC58:AE58" si="44">AC51+AC53</f>
        <v>397954.2692000001</v>
      </c>
      <c r="AD58" s="124">
        <f t="shared" si="44"/>
        <v>465298.67286000005</v>
      </c>
      <c r="AE58" s="124">
        <f t="shared" si="44"/>
        <v>538272.44048999995</v>
      </c>
      <c r="AF58" s="272">
        <v>1806566.7811100001</v>
      </c>
      <c r="AG58" s="124">
        <f>AG51+AG53</f>
        <v>531617</v>
      </c>
      <c r="AH58" s="124">
        <f t="shared" ref="AH58:AJ58" si="45">AH51+AH53</f>
        <v>665832</v>
      </c>
      <c r="AI58" s="124">
        <f t="shared" si="45"/>
        <v>760065</v>
      </c>
      <c r="AJ58" s="124">
        <f t="shared" si="45"/>
        <v>948431</v>
      </c>
      <c r="AK58" s="272" t="s">
        <v>36</v>
      </c>
      <c r="AL58" s="124">
        <f>AL51+AL53</f>
        <v>840370.25</v>
      </c>
      <c r="AM58" s="124">
        <f t="shared" ref="AM58:AO58" si="46">AM51+AM53</f>
        <v>822578</v>
      </c>
      <c r="AN58" s="124">
        <f t="shared" si="46"/>
        <v>916574</v>
      </c>
      <c r="AO58" s="124">
        <f t="shared" si="46"/>
        <v>922413</v>
      </c>
      <c r="AP58" s="272">
        <f t="shared" si="22"/>
        <v>3501935.25</v>
      </c>
      <c r="AQ58" s="124">
        <f t="shared" ref="AQ58:AY58" si="47">AQ51+AQ53</f>
        <v>924342</v>
      </c>
      <c r="AR58" s="124">
        <f t="shared" si="47"/>
        <v>770300.15207999991</v>
      </c>
      <c r="AS58" s="124">
        <f t="shared" si="47"/>
        <v>1005316.8626700002</v>
      </c>
      <c r="AT58" s="124">
        <f t="shared" si="47"/>
        <v>1056825.2982399999</v>
      </c>
      <c r="AU58" s="272">
        <f t="shared" si="47"/>
        <v>3756784.3129900005</v>
      </c>
      <c r="AV58" s="124">
        <f t="shared" si="47"/>
        <v>1009321.6498200004</v>
      </c>
      <c r="AW58" s="124">
        <f t="shared" si="47"/>
        <v>1041585.3664899978</v>
      </c>
      <c r="AX58" s="124">
        <f t="shared" si="47"/>
        <v>1140160.2362999981</v>
      </c>
      <c r="AY58" s="124">
        <f t="shared" si="47"/>
        <v>1124824.9344299994</v>
      </c>
      <c r="AZ58" s="272">
        <f t="shared" ref="AZ58:BA58" si="48">AZ51+AZ53</f>
        <v>4315892.1870399956</v>
      </c>
      <c r="BA58" s="124">
        <f t="shared" si="48"/>
        <v>1142974.6175000002</v>
      </c>
      <c r="BB58" s="1"/>
      <c r="BC58" s="1"/>
      <c r="BD58" s="1"/>
      <c r="BE58" s="1"/>
      <c r="BF58" s="1"/>
    </row>
    <row r="59" spans="1:58">
      <c r="A59" s="9"/>
      <c r="B59" s="9" t="s">
        <v>368</v>
      </c>
      <c r="C59" s="274">
        <v>18187.27895453672</v>
      </c>
      <c r="D59" s="274">
        <v>20656.206533774923</v>
      </c>
      <c r="E59" s="274">
        <v>20856.749418764994</v>
      </c>
      <c r="F59" s="274">
        <v>14592.931359258419</v>
      </c>
      <c r="G59" s="275">
        <v>74293.166266335058</v>
      </c>
      <c r="H59" s="274">
        <v>21592.651269609149</v>
      </c>
      <c r="I59" s="274">
        <v>15983.778238045166</v>
      </c>
      <c r="J59" s="274">
        <v>18152.455953377219</v>
      </c>
      <c r="K59" s="274">
        <v>15533.790506801284</v>
      </c>
      <c r="L59" s="275">
        <v>71262.675967832824</v>
      </c>
      <c r="M59" s="274">
        <v>25355.829697014771</v>
      </c>
      <c r="N59" s="274">
        <v>16255.212067659457</v>
      </c>
      <c r="O59" s="274">
        <v>15983.445532108901</v>
      </c>
      <c r="P59" s="274">
        <v>16599.470323906869</v>
      </c>
      <c r="Q59" s="275">
        <v>74193.957620689995</v>
      </c>
      <c r="R59" s="274">
        <v>27532.806263137943</v>
      </c>
      <c r="S59" s="274">
        <v>19014.116576795255</v>
      </c>
      <c r="T59" s="274">
        <v>22232.136149150007</v>
      </c>
      <c r="U59" s="274">
        <v>-8753.3329314933217</v>
      </c>
      <c r="V59" s="275">
        <v>60025.726057589884</v>
      </c>
      <c r="W59" s="274">
        <v>19760.962956597043</v>
      </c>
      <c r="X59" s="274">
        <v>21253.706937085131</v>
      </c>
      <c r="Y59" s="274">
        <v>14024.878005000122</v>
      </c>
      <c r="Z59" s="274">
        <v>18199.952646846628</v>
      </c>
      <c r="AA59" s="275">
        <v>73239.500545528921</v>
      </c>
      <c r="AB59" s="274">
        <v>26616</v>
      </c>
      <c r="AC59" s="274">
        <v>28679.30739537</v>
      </c>
      <c r="AD59" s="274">
        <v>26839.053043750002</v>
      </c>
      <c r="AE59" s="274">
        <v>7451.24487469</v>
      </c>
      <c r="AF59" s="275">
        <v>89585.605313810011</v>
      </c>
      <c r="AG59" s="274">
        <v>25420.512500000001</v>
      </c>
      <c r="AH59" s="274">
        <v>14955.57</v>
      </c>
      <c r="AI59" s="274">
        <v>6184.6849999999995</v>
      </c>
      <c r="AJ59" s="274">
        <v>334.3725</v>
      </c>
      <c r="AK59" s="275">
        <f>SUM(AG59:AJ59)</f>
        <v>46895.14</v>
      </c>
      <c r="AL59" s="274">
        <v>0</v>
      </c>
      <c r="AM59" s="342">
        <v>0</v>
      </c>
      <c r="AN59" s="274">
        <v>0</v>
      </c>
      <c r="AO59" s="274">
        <v>0</v>
      </c>
      <c r="AP59" s="275">
        <f>SUM(AL59:AO59)</f>
        <v>0</v>
      </c>
      <c r="AQ59" s="274">
        <v>0</v>
      </c>
      <c r="AR59" s="342">
        <v>0</v>
      </c>
      <c r="AS59" s="274">
        <v>0</v>
      </c>
      <c r="AT59" s="274">
        <v>0</v>
      </c>
      <c r="AU59" s="275">
        <v>0</v>
      </c>
      <c r="AV59" s="274">
        <v>0</v>
      </c>
      <c r="AW59" s="274">
        <v>0</v>
      </c>
      <c r="AX59" s="274">
        <v>0</v>
      </c>
      <c r="AY59" s="274"/>
      <c r="AZ59" s="275">
        <v>0</v>
      </c>
      <c r="BA59" s="274"/>
      <c r="BB59" s="1"/>
      <c r="BC59" s="1"/>
      <c r="BD59" s="1"/>
      <c r="BE59" s="1"/>
      <c r="BF59" s="1"/>
    </row>
    <row r="60" spans="1:58" ht="15.75" thickBot="1">
      <c r="A60" s="15"/>
      <c r="B60" s="15" t="s">
        <v>369</v>
      </c>
      <c r="C60" s="124">
        <f>C58+C59</f>
        <v>278513.38952182943</v>
      </c>
      <c r="D60" s="124">
        <f t="shared" ref="D60:F60" si="49">D58+D59</f>
        <v>254264.61890094803</v>
      </c>
      <c r="E60" s="124">
        <f t="shared" si="49"/>
        <v>270979.60231000005</v>
      </c>
      <c r="F60" s="124">
        <f t="shared" si="49"/>
        <v>285835.50159722258</v>
      </c>
      <c r="G60" s="145">
        <f>SUM(C60:F60)</f>
        <v>1089593.1123300001</v>
      </c>
      <c r="H60" s="124">
        <f>H58+H59</f>
        <v>321229.56948000001</v>
      </c>
      <c r="I60" s="124">
        <f t="shared" ref="I60:K60" si="50">I58+I59</f>
        <v>340341.91111000004</v>
      </c>
      <c r="J60" s="124">
        <f t="shared" si="50"/>
        <v>314649.77802999999</v>
      </c>
      <c r="K60" s="124">
        <f t="shared" si="50"/>
        <v>322629.13010999997</v>
      </c>
      <c r="L60" s="145">
        <v>1298850.38873</v>
      </c>
      <c r="M60" s="124">
        <f>M58+M59</f>
        <v>370146.96788999997</v>
      </c>
      <c r="N60" s="124">
        <f t="shared" ref="N60:P60" si="51">N58+N59</f>
        <v>323453.53461999999</v>
      </c>
      <c r="O60" s="124">
        <f t="shared" si="51"/>
        <v>358814.58044999995</v>
      </c>
      <c r="P60" s="124">
        <f t="shared" si="51"/>
        <v>425192.37966999999</v>
      </c>
      <c r="Q60" s="145">
        <v>1477607.46263</v>
      </c>
      <c r="R60" s="124">
        <f>R58+R59</f>
        <v>395438.14044000005</v>
      </c>
      <c r="S60" s="124">
        <f t="shared" ref="S60:U60" si="52">S58+S59</f>
        <v>383647.51550999994</v>
      </c>
      <c r="T60" s="124">
        <f t="shared" si="52"/>
        <v>437108.69783000002</v>
      </c>
      <c r="U60" s="124">
        <f t="shared" si="52"/>
        <v>319862.27817000006</v>
      </c>
      <c r="V60" s="145">
        <v>1536056.6319500001</v>
      </c>
      <c r="W60" s="124">
        <f>W58+W59</f>
        <v>413929.78479999996</v>
      </c>
      <c r="X60" s="124">
        <f t="shared" ref="X60:Z60" si="53">X58+X59</f>
        <v>393938.00361999997</v>
      </c>
      <c r="Y60" s="124">
        <f t="shared" si="53"/>
        <v>508130.3763</v>
      </c>
      <c r="Z60" s="124">
        <f t="shared" si="53"/>
        <v>453415.28007999988</v>
      </c>
      <c r="AA60" s="145">
        <v>1769413.4447999999</v>
      </c>
      <c r="AB60" s="124">
        <f>AB58+AB59</f>
        <v>431657.39856</v>
      </c>
      <c r="AC60" s="124">
        <f t="shared" ref="AC60:AE60" si="54">AC58+AC59</f>
        <v>426633.57659537008</v>
      </c>
      <c r="AD60" s="124">
        <f t="shared" si="54"/>
        <v>492137.72590375005</v>
      </c>
      <c r="AE60" s="124">
        <f t="shared" si="54"/>
        <v>545723.68536468991</v>
      </c>
      <c r="AF60" s="145">
        <v>1896152.3864238102</v>
      </c>
      <c r="AG60" s="124">
        <f>AG58+AG59</f>
        <v>557037.51249999995</v>
      </c>
      <c r="AH60" s="124">
        <f t="shared" ref="AH60:AJ60" si="55">AH58+AH59</f>
        <v>680787.57</v>
      </c>
      <c r="AI60" s="124">
        <f t="shared" si="55"/>
        <v>766249.68500000006</v>
      </c>
      <c r="AJ60" s="124">
        <f t="shared" si="55"/>
        <v>948765.37250000006</v>
      </c>
      <c r="AK60" s="145">
        <f t="shared" ref="AK60" si="56">SUM(AG60:AJ60)</f>
        <v>2952840.14</v>
      </c>
      <c r="AL60" s="124">
        <f t="shared" ref="AL60" si="57">AL58+AL59</f>
        <v>840370.25</v>
      </c>
      <c r="AM60" s="124">
        <v>822578</v>
      </c>
      <c r="AN60" s="124">
        <v>916574</v>
      </c>
      <c r="AO60" s="124">
        <v>922413</v>
      </c>
      <c r="AP60" s="145">
        <f t="shared" ref="AP60" si="58">SUM(AL60:AO60)</f>
        <v>3501935.25</v>
      </c>
      <c r="AQ60" s="124">
        <f t="shared" ref="AQ60:AY60" si="59">AQ58+AQ59</f>
        <v>924342</v>
      </c>
      <c r="AR60" s="124">
        <f t="shared" si="59"/>
        <v>770300.15207999991</v>
      </c>
      <c r="AS60" s="124">
        <f t="shared" si="59"/>
        <v>1005316.8626700002</v>
      </c>
      <c r="AT60" s="124">
        <f t="shared" si="59"/>
        <v>1056825.2982399999</v>
      </c>
      <c r="AU60" s="145">
        <f t="shared" si="59"/>
        <v>3756784.3129900005</v>
      </c>
      <c r="AV60" s="124">
        <f t="shared" si="59"/>
        <v>1009321.6498200004</v>
      </c>
      <c r="AW60" s="124">
        <f t="shared" si="59"/>
        <v>1041585.3664899978</v>
      </c>
      <c r="AX60" s="124">
        <f t="shared" si="59"/>
        <v>1140160.2362999981</v>
      </c>
      <c r="AY60" s="124">
        <f t="shared" si="59"/>
        <v>1124824.9344299994</v>
      </c>
      <c r="AZ60" s="145">
        <f t="shared" ref="AZ60:BA60" si="60">AZ58+AZ59</f>
        <v>4315892.1870399956</v>
      </c>
      <c r="BA60" s="124">
        <f t="shared" si="60"/>
        <v>1142974.6175000002</v>
      </c>
      <c r="BB60" s="1"/>
      <c r="BC60" s="1"/>
      <c r="BD60" s="1"/>
      <c r="BE60" s="1"/>
      <c r="BF60" s="1"/>
    </row>
    <row r="61" spans="1:58">
      <c r="AG61" s="110"/>
      <c r="AH61" s="110"/>
      <c r="AI61" s="110"/>
      <c r="AJ61" s="110"/>
      <c r="AK61" s="469"/>
      <c r="AL61" s="469"/>
      <c r="AM61" s="469"/>
      <c r="AN61" s="469"/>
      <c r="AO61" s="469"/>
      <c r="AP61" s="469"/>
      <c r="AR61" s="469"/>
      <c r="AS61" s="469"/>
      <c r="AT61" s="469"/>
      <c r="AU61" s="469"/>
      <c r="AV61" s="469"/>
      <c r="AW61" s="469"/>
      <c r="AX61" s="469"/>
      <c r="AY61" s="469"/>
      <c r="AZ61" s="469"/>
      <c r="BA61" s="469"/>
      <c r="BB61" s="8"/>
      <c r="BC61" s="8"/>
    </row>
    <row r="62" spans="1:58" ht="15.75" thickBot="1">
      <c r="AJ62" s="123"/>
      <c r="AK62" s="491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8"/>
      <c r="BC62" s="8"/>
    </row>
    <row r="63" spans="1:58" ht="24.4" customHeight="1">
      <c r="A63" s="625"/>
      <c r="B63" s="625" t="s">
        <v>371</v>
      </c>
      <c r="C63" s="626" t="s">
        <v>224</v>
      </c>
      <c r="D63" s="626" t="s">
        <v>225</v>
      </c>
      <c r="E63" s="626" t="s">
        <v>226</v>
      </c>
      <c r="F63" s="626" t="s">
        <v>227</v>
      </c>
      <c r="G63" s="652">
        <v>2016</v>
      </c>
      <c r="H63" s="626" t="s">
        <v>228</v>
      </c>
      <c r="I63" s="626" t="s">
        <v>229</v>
      </c>
      <c r="J63" s="626" t="s">
        <v>230</v>
      </c>
      <c r="K63" s="626" t="s">
        <v>231</v>
      </c>
      <c r="L63" s="652">
        <v>2017</v>
      </c>
      <c r="M63" s="626" t="s">
        <v>232</v>
      </c>
      <c r="N63" s="626" t="s">
        <v>233</v>
      </c>
      <c r="O63" s="626" t="s">
        <v>234</v>
      </c>
      <c r="P63" s="626" t="s">
        <v>235</v>
      </c>
      <c r="Q63" s="652">
        <v>2018</v>
      </c>
      <c r="R63" s="626" t="s">
        <v>236</v>
      </c>
      <c r="S63" s="626" t="s">
        <v>237</v>
      </c>
      <c r="T63" s="626" t="s">
        <v>238</v>
      </c>
      <c r="U63" s="626" t="s">
        <v>239</v>
      </c>
      <c r="V63" s="652">
        <v>2019</v>
      </c>
      <c r="W63" s="626" t="s">
        <v>240</v>
      </c>
      <c r="X63" s="626" t="s">
        <v>241</v>
      </c>
      <c r="Y63" s="626" t="s">
        <v>242</v>
      </c>
      <c r="Z63" s="626" t="s">
        <v>243</v>
      </c>
      <c r="AA63" s="652">
        <v>2020</v>
      </c>
      <c r="AB63" s="626" t="s">
        <v>244</v>
      </c>
      <c r="AC63" s="626" t="s">
        <v>245</v>
      </c>
      <c r="AD63" s="626" t="s">
        <v>246</v>
      </c>
      <c r="AE63" s="626" t="s">
        <v>247</v>
      </c>
      <c r="AF63" s="652">
        <v>2021</v>
      </c>
      <c r="AG63" s="626" t="s">
        <v>248</v>
      </c>
      <c r="AH63" s="626" t="s">
        <v>249</v>
      </c>
      <c r="AI63" s="626" t="s">
        <v>250</v>
      </c>
      <c r="AJ63" s="626" t="s">
        <v>215</v>
      </c>
      <c r="AK63" s="652">
        <v>2022</v>
      </c>
      <c r="AL63" s="626" t="s">
        <v>252</v>
      </c>
      <c r="AM63" s="626" t="s">
        <v>253</v>
      </c>
      <c r="AN63" s="626" t="str">
        <f>AN6</f>
        <v>3T23</v>
      </c>
      <c r="AO63" s="626" t="str">
        <f>AO6</f>
        <v>4T23</v>
      </c>
      <c r="AP63" s="652">
        <v>2023</v>
      </c>
      <c r="AQ63" s="626" t="s">
        <v>223</v>
      </c>
      <c r="AR63" s="626" t="s">
        <v>256</v>
      </c>
      <c r="AS63" s="626" t="s">
        <v>357</v>
      </c>
      <c r="AT63" s="626" t="s">
        <v>358</v>
      </c>
      <c r="AU63" s="652">
        <v>2024</v>
      </c>
      <c r="AV63" s="626" t="s">
        <v>359</v>
      </c>
      <c r="AW63" s="626" t="s">
        <v>1115</v>
      </c>
      <c r="AX63" s="626" t="s">
        <v>1116</v>
      </c>
      <c r="AY63" s="626" t="s">
        <v>1117</v>
      </c>
      <c r="AZ63" s="653" t="s">
        <v>1118</v>
      </c>
      <c r="BA63" s="645" t="s">
        <v>1124</v>
      </c>
      <c r="BB63" s="8"/>
      <c r="BC63" s="8"/>
    </row>
    <row r="64" spans="1:58">
      <c r="A64" s="54"/>
      <c r="B64" s="54" t="s">
        <v>259</v>
      </c>
      <c r="C64" s="125">
        <v>306635.72104546329</v>
      </c>
      <c r="D64" s="125">
        <v>274306.79346622509</v>
      </c>
      <c r="E64" s="125">
        <v>298515.25058123504</v>
      </c>
      <c r="F64" s="125">
        <v>321111.06864074158</v>
      </c>
      <c r="G64" s="118">
        <v>1200568.8337336651</v>
      </c>
      <c r="H64" s="125">
        <v>363428.12732039089</v>
      </c>
      <c r="I64" s="125">
        <v>380408.80876195489</v>
      </c>
      <c r="J64" s="125">
        <v>356398.93338662281</v>
      </c>
      <c r="K64" s="125">
        <v>362387.32913319871</v>
      </c>
      <c r="L64" s="118">
        <v>1462623.1986021672</v>
      </c>
      <c r="M64" s="125">
        <v>435183.6734329852</v>
      </c>
      <c r="N64" s="125">
        <v>375482.36627234053</v>
      </c>
      <c r="O64" s="125">
        <v>410792.748007891</v>
      </c>
      <c r="P64" s="125">
        <v>455047.22687609331</v>
      </c>
      <c r="Q64" s="118">
        <v>1676506.0145893102</v>
      </c>
      <c r="R64" s="125">
        <v>448096.19373686204</v>
      </c>
      <c r="S64" s="125">
        <v>440470.88342320477</v>
      </c>
      <c r="T64" s="125">
        <v>496113.86385084997</v>
      </c>
      <c r="U64" s="125">
        <v>374239.66308149335</v>
      </c>
      <c r="V64" s="118">
        <v>1758920.6040924103</v>
      </c>
      <c r="W64" s="125">
        <v>472377.03704340296</v>
      </c>
      <c r="X64" s="125">
        <v>442726.29306291486</v>
      </c>
      <c r="Y64" s="125">
        <v>635042.12199499994</v>
      </c>
      <c r="Z64" s="125">
        <v>539142.04735315335</v>
      </c>
      <c r="AA64" s="118">
        <v>2089287.499454471</v>
      </c>
      <c r="AB64" s="125">
        <v>445557</v>
      </c>
      <c r="AC64" s="125">
        <v>427371.59249463002</v>
      </c>
      <c r="AD64" s="125">
        <v>484959.05678624997</v>
      </c>
      <c r="AE64" s="125">
        <v>554223.75512531004</v>
      </c>
      <c r="AF64" s="118">
        <v>1912111.4044061899</v>
      </c>
      <c r="AG64" s="125">
        <v>553028</v>
      </c>
      <c r="AH64" s="125">
        <v>686226</v>
      </c>
      <c r="AI64" s="125">
        <v>780897</v>
      </c>
      <c r="AJ64" s="125">
        <v>769096</v>
      </c>
      <c r="AK64" s="118">
        <f t="shared" ref="AK64:AK86" si="61">SUM(AG64:AJ64)</f>
        <v>2789247</v>
      </c>
      <c r="AL64" s="337">
        <v>849809</v>
      </c>
      <c r="AM64" s="337">
        <v>844934</v>
      </c>
      <c r="AN64" s="125">
        <v>941688</v>
      </c>
      <c r="AO64" s="125">
        <v>941900</v>
      </c>
      <c r="AP64" s="118">
        <f t="shared" ref="AP64:AP78" si="62">SUM(AL64:AO64)</f>
        <v>3578331</v>
      </c>
      <c r="AQ64" s="337">
        <v>981800</v>
      </c>
      <c r="AR64" s="337">
        <v>800204.61630000011</v>
      </c>
      <c r="AS64" s="337">
        <v>949408.67113999999</v>
      </c>
      <c r="AT64" s="337">
        <v>1087260.56174</v>
      </c>
      <c r="AU64" s="118">
        <f t="shared" ref="AU64:AU78" si="63">SUM(AQ64:AT64)</f>
        <v>3818673.8491799999</v>
      </c>
      <c r="AV64" s="337">
        <f t="shared" ref="AV64:AY64" si="64">SUM(AV65:AV66)</f>
        <v>1044314.7294999999</v>
      </c>
      <c r="AW64" s="337">
        <f t="shared" si="64"/>
        <v>1060788.16576</v>
      </c>
      <c r="AX64" s="337">
        <f t="shared" si="64"/>
        <v>1160087.49789</v>
      </c>
      <c r="AY64" s="337">
        <f t="shared" si="64"/>
        <v>1143742.0231700011</v>
      </c>
      <c r="AZ64" s="118">
        <f t="shared" ref="AZ64:AZ78" si="65">SUM(AV64:AY64)</f>
        <v>4408932.4163200008</v>
      </c>
      <c r="BA64" s="337">
        <f t="shared" ref="BA64" si="66">SUM(BA65:BA66)</f>
        <v>1177817.27563</v>
      </c>
      <c r="BB64" s="1"/>
      <c r="BC64" s="1"/>
      <c r="BD64" s="1"/>
      <c r="BE64" s="1"/>
    </row>
    <row r="65" spans="1:57" ht="14.25" customHeight="1">
      <c r="A65" s="55"/>
      <c r="B65" s="55" t="s">
        <v>261</v>
      </c>
      <c r="C65" s="126">
        <v>218067.72104546329</v>
      </c>
      <c r="D65" s="126">
        <v>204924.79346622509</v>
      </c>
      <c r="E65" s="126">
        <v>218017.25058123501</v>
      </c>
      <c r="F65" s="126">
        <v>231474.06864074158</v>
      </c>
      <c r="G65" s="146">
        <v>872483.83373366506</v>
      </c>
      <c r="H65" s="126">
        <v>225814.77215039087</v>
      </c>
      <c r="I65" s="126">
        <v>253499.79034195485</v>
      </c>
      <c r="J65" s="126">
        <v>241597.22829</v>
      </c>
      <c r="K65" s="126">
        <v>268913.31305999996</v>
      </c>
      <c r="L65" s="146">
        <v>989825.10384234565</v>
      </c>
      <c r="M65" s="126">
        <v>232413.31130298524</v>
      </c>
      <c r="N65" s="126">
        <v>219547.80856234056</v>
      </c>
      <c r="O65" s="126">
        <v>257932.4333578911</v>
      </c>
      <c r="P65" s="126">
        <v>300200.23017609312</v>
      </c>
      <c r="Q65" s="146">
        <v>1010093.78339931</v>
      </c>
      <c r="R65" s="127">
        <v>266188.19373686204</v>
      </c>
      <c r="S65" s="127">
        <v>256054.88342320474</v>
      </c>
      <c r="T65" s="127">
        <v>303827.86385084997</v>
      </c>
      <c r="U65" s="127">
        <v>286516.46954149334</v>
      </c>
      <c r="V65" s="146">
        <v>1112587.4105524102</v>
      </c>
      <c r="W65" s="127">
        <v>299310.03704340296</v>
      </c>
      <c r="X65" s="127">
        <v>285646.29306291486</v>
      </c>
      <c r="Y65" s="127">
        <v>308341.12199499988</v>
      </c>
      <c r="Z65" s="127">
        <v>301300.04735315335</v>
      </c>
      <c r="AA65" s="146">
        <v>1194597.499454471</v>
      </c>
      <c r="AB65" s="127">
        <v>366659</v>
      </c>
      <c r="AC65" s="127">
        <v>380894.58350463002</v>
      </c>
      <c r="AD65" s="127">
        <v>446838.94996624999</v>
      </c>
      <c r="AE65" s="127">
        <v>536840.75512531004</v>
      </c>
      <c r="AF65" s="146">
        <v>1731233.28859619</v>
      </c>
      <c r="AG65" s="127">
        <v>511523</v>
      </c>
      <c r="AH65" s="127">
        <v>654089</v>
      </c>
      <c r="AI65" s="127">
        <v>747337</v>
      </c>
      <c r="AJ65" s="127">
        <v>734651</v>
      </c>
      <c r="AK65" s="146">
        <f t="shared" si="61"/>
        <v>2647600</v>
      </c>
      <c r="AL65" s="338">
        <v>809480</v>
      </c>
      <c r="AM65" s="338">
        <v>806652</v>
      </c>
      <c r="AN65" s="127">
        <v>903217</v>
      </c>
      <c r="AO65" s="127">
        <v>901732</v>
      </c>
      <c r="AP65" s="146">
        <f t="shared" si="62"/>
        <v>3421081</v>
      </c>
      <c r="AQ65" s="338">
        <v>930009</v>
      </c>
      <c r="AR65" s="338">
        <v>759374.61630000011</v>
      </c>
      <c r="AS65" s="127">
        <v>908175.67113999999</v>
      </c>
      <c r="AT65" s="127">
        <v>1012301.56174</v>
      </c>
      <c r="AU65" s="146">
        <f t="shared" si="63"/>
        <v>3609860.8491799999</v>
      </c>
      <c r="AV65" s="127">
        <v>988404.09349999996</v>
      </c>
      <c r="AW65" s="127">
        <v>1017521.64408</v>
      </c>
      <c r="AX65" s="127">
        <v>1117332.49789</v>
      </c>
      <c r="AY65" s="127">
        <f>AY8+'DRE HOLDING SEGURIDADE'!AY36+'DRE NEGÓCIOS DE DISTRIBUIÇÃO'!AY38</f>
        <v>1082895.7303600011</v>
      </c>
      <c r="AZ65" s="146">
        <f t="shared" si="65"/>
        <v>4206153.965830001</v>
      </c>
      <c r="BA65" s="127">
        <v>1135925.6027800001</v>
      </c>
      <c r="BB65" s="1"/>
      <c r="BC65" s="1"/>
      <c r="BD65" s="1"/>
      <c r="BE65" s="1"/>
    </row>
    <row r="66" spans="1:57">
      <c r="A66" s="55"/>
      <c r="B66" s="55" t="s">
        <v>361</v>
      </c>
      <c r="C66" s="126">
        <v>88568</v>
      </c>
      <c r="D66" s="126">
        <v>69382</v>
      </c>
      <c r="E66" s="126">
        <v>80498</v>
      </c>
      <c r="F66" s="126">
        <v>89637</v>
      </c>
      <c r="G66" s="146">
        <v>328085</v>
      </c>
      <c r="H66" s="126">
        <v>137613.35517000002</v>
      </c>
      <c r="I66" s="126">
        <v>126909.01842000001</v>
      </c>
      <c r="J66" s="126">
        <v>114801.70509662278</v>
      </c>
      <c r="K66" s="126">
        <v>93474.016073198727</v>
      </c>
      <c r="L66" s="146">
        <v>472798.09475982154</v>
      </c>
      <c r="M66" s="126">
        <v>202770.36212999999</v>
      </c>
      <c r="N66" s="126">
        <v>155934.55770999999</v>
      </c>
      <c r="O66" s="126">
        <v>152860.31464999993</v>
      </c>
      <c r="P66" s="126">
        <v>154846.99670000016</v>
      </c>
      <c r="Q66" s="146">
        <v>666412.23119000008</v>
      </c>
      <c r="R66" s="127">
        <v>181908</v>
      </c>
      <c r="S66" s="127">
        <v>184416</v>
      </c>
      <c r="T66" s="127">
        <v>192286</v>
      </c>
      <c r="U66" s="127">
        <v>87723.193540000007</v>
      </c>
      <c r="V66" s="146">
        <v>646333.19354000001</v>
      </c>
      <c r="W66" s="127">
        <v>173067</v>
      </c>
      <c r="X66" s="127">
        <v>157080</v>
      </c>
      <c r="Y66" s="127">
        <v>326701</v>
      </c>
      <c r="Z66" s="127">
        <v>237842</v>
      </c>
      <c r="AA66" s="146">
        <v>894690</v>
      </c>
      <c r="AB66" s="127">
        <v>78898</v>
      </c>
      <c r="AC66" s="127">
        <v>46477.008990000017</v>
      </c>
      <c r="AD66" s="127">
        <v>38120.106819999972</v>
      </c>
      <c r="AE66" s="127">
        <v>17383</v>
      </c>
      <c r="AF66" s="146">
        <v>180878.11580999999</v>
      </c>
      <c r="AG66" s="127">
        <v>41505</v>
      </c>
      <c r="AH66" s="127">
        <v>32137</v>
      </c>
      <c r="AI66" s="127">
        <v>33560</v>
      </c>
      <c r="AJ66" s="127">
        <v>34445</v>
      </c>
      <c r="AK66" s="333">
        <f>SUM(AG66:AJ66)</f>
        <v>141647</v>
      </c>
      <c r="AL66" s="127">
        <v>40329</v>
      </c>
      <c r="AM66" s="338">
        <v>38282</v>
      </c>
      <c r="AN66" s="127">
        <v>38471</v>
      </c>
      <c r="AO66" s="127">
        <v>40168</v>
      </c>
      <c r="AP66" s="146">
        <f t="shared" si="62"/>
        <v>157250</v>
      </c>
      <c r="AQ66" s="127">
        <v>51791</v>
      </c>
      <c r="AR66" s="338">
        <v>40830</v>
      </c>
      <c r="AS66" s="127">
        <v>41233</v>
      </c>
      <c r="AT66" s="605">
        <v>74959</v>
      </c>
      <c r="AU66" s="146">
        <f t="shared" si="63"/>
        <v>208813</v>
      </c>
      <c r="AV66" s="605">
        <v>55910.635999999999</v>
      </c>
      <c r="AW66" s="605">
        <v>43266.521679999998</v>
      </c>
      <c r="AX66" s="605">
        <v>42755</v>
      </c>
      <c r="AY66" s="605">
        <v>60846.292809999999</v>
      </c>
      <c r="AZ66" s="146">
        <f t="shared" si="65"/>
        <v>202778.45049000002</v>
      </c>
      <c r="BA66" s="605">
        <v>41891.672850000003</v>
      </c>
      <c r="BB66" s="1"/>
      <c r="BC66" s="1"/>
      <c r="BD66" s="1"/>
      <c r="BE66" s="1"/>
    </row>
    <row r="67" spans="1:57">
      <c r="A67" s="57"/>
      <c r="B67" s="57" t="s">
        <v>363</v>
      </c>
      <c r="C67" s="128">
        <v>0</v>
      </c>
      <c r="D67" s="128">
        <v>0</v>
      </c>
      <c r="E67" s="128">
        <v>0</v>
      </c>
      <c r="F67" s="128">
        <v>0</v>
      </c>
      <c r="G67" s="147">
        <v>0</v>
      </c>
      <c r="H67" s="128">
        <v>0</v>
      </c>
      <c r="I67" s="128">
        <v>0</v>
      </c>
      <c r="J67" s="128">
        <v>0</v>
      </c>
      <c r="K67" s="128">
        <v>0</v>
      </c>
      <c r="L67" s="147">
        <v>0</v>
      </c>
      <c r="M67" s="128">
        <v>0</v>
      </c>
      <c r="N67" s="128">
        <v>0</v>
      </c>
      <c r="O67" s="128">
        <v>0</v>
      </c>
      <c r="P67" s="128">
        <v>0</v>
      </c>
      <c r="Q67" s="147">
        <v>0</v>
      </c>
      <c r="R67" s="129">
        <v>0</v>
      </c>
      <c r="S67" s="129">
        <v>0</v>
      </c>
      <c r="T67" s="129">
        <v>0</v>
      </c>
      <c r="U67" s="129">
        <v>0</v>
      </c>
      <c r="V67" s="147">
        <v>0</v>
      </c>
      <c r="W67" s="129">
        <v>0</v>
      </c>
      <c r="X67" s="129">
        <v>0</v>
      </c>
      <c r="Y67" s="129">
        <v>0</v>
      </c>
      <c r="Z67" s="129">
        <v>0</v>
      </c>
      <c r="AA67" s="147">
        <v>0</v>
      </c>
      <c r="AB67" s="129">
        <v>0</v>
      </c>
      <c r="AC67" s="129">
        <v>0</v>
      </c>
      <c r="AD67" s="129">
        <v>0</v>
      </c>
      <c r="AE67" s="129">
        <v>0</v>
      </c>
      <c r="AF67" s="147">
        <v>0</v>
      </c>
      <c r="AG67" s="129">
        <v>0</v>
      </c>
      <c r="AH67" s="129">
        <v>0</v>
      </c>
      <c r="AI67" s="129">
        <v>0</v>
      </c>
      <c r="AJ67" s="129">
        <v>0</v>
      </c>
      <c r="AK67" s="147">
        <f t="shared" si="61"/>
        <v>0</v>
      </c>
      <c r="AL67" s="129"/>
      <c r="AM67" s="343"/>
      <c r="AN67" s="129"/>
      <c r="AO67" s="129"/>
      <c r="AP67" s="147">
        <f t="shared" si="62"/>
        <v>0</v>
      </c>
      <c r="AQ67" s="129">
        <v>0</v>
      </c>
      <c r="AR67" s="129">
        <v>0</v>
      </c>
      <c r="AS67" s="129">
        <v>0</v>
      </c>
      <c r="AT67" s="129">
        <v>0</v>
      </c>
      <c r="AU67" s="147">
        <f t="shared" si="63"/>
        <v>0</v>
      </c>
      <c r="AV67" s="129">
        <v>0</v>
      </c>
      <c r="AW67" s="129">
        <v>0</v>
      </c>
      <c r="AX67" s="129">
        <v>0</v>
      </c>
      <c r="AY67" s="129">
        <v>0</v>
      </c>
      <c r="AZ67" s="147">
        <f t="shared" si="65"/>
        <v>0</v>
      </c>
      <c r="BA67" s="129">
        <v>0</v>
      </c>
      <c r="BB67" s="1"/>
      <c r="BC67" s="1"/>
      <c r="BD67" s="1"/>
      <c r="BE67" s="1"/>
    </row>
    <row r="68" spans="1:57">
      <c r="A68" s="9"/>
      <c r="B68" s="54" t="s">
        <v>305</v>
      </c>
      <c r="C68" s="130"/>
      <c r="D68" s="130"/>
      <c r="E68" s="130"/>
      <c r="F68" s="130"/>
      <c r="G68" s="148"/>
      <c r="H68" s="130"/>
      <c r="I68" s="130"/>
      <c r="J68" s="130"/>
      <c r="K68" s="130"/>
      <c r="L68" s="148"/>
      <c r="M68" s="130"/>
      <c r="N68" s="130"/>
      <c r="O68" s="130"/>
      <c r="P68" s="130"/>
      <c r="Q68" s="148"/>
      <c r="R68" s="125"/>
      <c r="S68" s="125"/>
      <c r="T68" s="125"/>
      <c r="U68" s="125"/>
      <c r="V68" s="148"/>
      <c r="W68" s="125"/>
      <c r="X68" s="125"/>
      <c r="Y68" s="125"/>
      <c r="Z68" s="125"/>
      <c r="AA68" s="148"/>
      <c r="AB68" s="125">
        <v>0</v>
      </c>
      <c r="AC68" s="125">
        <v>0</v>
      </c>
      <c r="AD68" s="125">
        <v>0</v>
      </c>
      <c r="AE68" s="125">
        <v>0</v>
      </c>
      <c r="AF68" s="148"/>
      <c r="AG68" s="125">
        <v>0</v>
      </c>
      <c r="AH68" s="125">
        <v>0</v>
      </c>
      <c r="AI68" s="125">
        <v>0</v>
      </c>
      <c r="AJ68" s="125">
        <v>0</v>
      </c>
      <c r="AK68" s="148">
        <f t="shared" si="61"/>
        <v>0</v>
      </c>
      <c r="AL68" s="125">
        <v>0</v>
      </c>
      <c r="AM68" s="337"/>
      <c r="AN68" s="125">
        <v>0</v>
      </c>
      <c r="AO68" s="125">
        <v>0</v>
      </c>
      <c r="AP68" s="148">
        <f t="shared" si="62"/>
        <v>0</v>
      </c>
      <c r="AQ68" s="125">
        <v>0</v>
      </c>
      <c r="AR68" s="337"/>
      <c r="AS68" s="125"/>
      <c r="AT68" s="125"/>
      <c r="AU68" s="148">
        <f t="shared" si="63"/>
        <v>0</v>
      </c>
      <c r="AV68" s="125">
        <v>0</v>
      </c>
      <c r="AW68" s="125"/>
      <c r="AX68" s="125"/>
      <c r="AY68" s="125"/>
      <c r="AZ68" s="148">
        <f t="shared" si="65"/>
        <v>0</v>
      </c>
      <c r="BA68" s="125"/>
      <c r="BB68" s="1"/>
      <c r="BC68" s="1"/>
      <c r="BD68" s="1"/>
      <c r="BE68" s="1"/>
    </row>
    <row r="69" spans="1:57">
      <c r="A69" s="54"/>
      <c r="B69" s="54" t="s">
        <v>307</v>
      </c>
      <c r="C69" s="130">
        <v>-12453</v>
      </c>
      <c r="D69" s="130">
        <v>-14576</v>
      </c>
      <c r="E69" s="130">
        <v>-17675.646680000002</v>
      </c>
      <c r="F69" s="130">
        <v>-19910.353319999998</v>
      </c>
      <c r="G69" s="148">
        <v>-64615</v>
      </c>
      <c r="H69" s="130">
        <v>-21010.290929999999</v>
      </c>
      <c r="I69" s="130">
        <v>-20583.307540000002</v>
      </c>
      <c r="J69" s="130">
        <v>-22630.624519999983</v>
      </c>
      <c r="K69" s="130">
        <v>-26320.292230000014</v>
      </c>
      <c r="L69" s="148">
        <v>-90544.515220000001</v>
      </c>
      <c r="M69" s="130">
        <v>-28109.545369999996</v>
      </c>
      <c r="N69" s="130">
        <v>-26436.102019999991</v>
      </c>
      <c r="O69" s="130">
        <v>-29381.324530000016</v>
      </c>
      <c r="P69" s="130">
        <v>1043.661669999994</v>
      </c>
      <c r="Q69" s="148">
        <v>-82883.31025000001</v>
      </c>
      <c r="R69" s="125">
        <v>-27993</v>
      </c>
      <c r="S69" s="125">
        <v>-29226</v>
      </c>
      <c r="T69" s="125">
        <v>-31044</v>
      </c>
      <c r="U69" s="125">
        <v>-23402.379710000008</v>
      </c>
      <c r="V69" s="148">
        <v>-111665.37971000001</v>
      </c>
      <c r="W69" s="125">
        <v>-30087</v>
      </c>
      <c r="X69" s="125">
        <v>-27803</v>
      </c>
      <c r="Y69" s="125">
        <v>-43564</v>
      </c>
      <c r="Z69" s="125">
        <v>-36018</v>
      </c>
      <c r="AA69" s="148">
        <v>-137472</v>
      </c>
      <c r="AB69" s="125">
        <v>-20469.83628</v>
      </c>
      <c r="AC69" s="125">
        <v>-22040.001559999997</v>
      </c>
      <c r="AD69" s="125">
        <v>-13064.414820000002</v>
      </c>
      <c r="AE69" s="125">
        <v>-15640</v>
      </c>
      <c r="AF69" s="148">
        <v>-71214.252659999998</v>
      </c>
      <c r="AG69" s="125">
        <f>SUM(AG70:AG72)</f>
        <v>-12615</v>
      </c>
      <c r="AH69" s="125">
        <f t="shared" ref="AH69:AJ69" si="67">SUM(AH70:AH72)</f>
        <v>-24609</v>
      </c>
      <c r="AI69" s="125">
        <f t="shared" si="67"/>
        <v>-22978</v>
      </c>
      <c r="AJ69" s="125">
        <f t="shared" si="67"/>
        <v>270145</v>
      </c>
      <c r="AK69" s="148">
        <f t="shared" si="61"/>
        <v>209943</v>
      </c>
      <c r="AL69" s="337">
        <f>SUM(AL70:AL72)</f>
        <v>5390</v>
      </c>
      <c r="AM69" s="337">
        <f t="shared" ref="AM69:AN69" si="68">SUM(AM70:AM72)</f>
        <v>-28716</v>
      </c>
      <c r="AN69" s="337">
        <f t="shared" si="68"/>
        <v>-29728</v>
      </c>
      <c r="AO69" s="337">
        <f>SUM(AO70:AO72)</f>
        <v>-26361</v>
      </c>
      <c r="AP69" s="148">
        <f t="shared" si="62"/>
        <v>-79415</v>
      </c>
      <c r="AQ69" s="337">
        <v>-33923</v>
      </c>
      <c r="AR69" s="337">
        <v>-27176</v>
      </c>
      <c r="AS69" s="337">
        <v>49340</v>
      </c>
      <c r="AT69" s="125">
        <v>-30617</v>
      </c>
      <c r="AU69" s="148">
        <f t="shared" si="63"/>
        <v>-42376</v>
      </c>
      <c r="AV69" s="125">
        <f t="shared" ref="AV69:AY69" si="69">SUM(AV70:AV72)</f>
        <v>-36677.684399999998</v>
      </c>
      <c r="AW69" s="125">
        <f t="shared" si="69"/>
        <v>-33460.940560000003</v>
      </c>
      <c r="AX69" s="125">
        <f t="shared" si="69"/>
        <v>-37857.447459999996</v>
      </c>
      <c r="AY69" s="125">
        <f t="shared" si="69"/>
        <v>-34230.217560000012</v>
      </c>
      <c r="AZ69" s="148">
        <f t="shared" si="65"/>
        <v>-142226.28998</v>
      </c>
      <c r="BA69" s="125">
        <f t="shared" ref="BA69" si="70">SUM(BA70:BA72)</f>
        <v>-42805.399860000005</v>
      </c>
      <c r="BB69" s="1"/>
      <c r="BC69" s="1"/>
      <c r="BD69" s="1"/>
      <c r="BE69" s="1"/>
    </row>
    <row r="70" spans="1:57" ht="19.5" customHeight="1" thickBot="1">
      <c r="A70" s="58"/>
      <c r="B70" s="539" t="s">
        <v>311</v>
      </c>
      <c r="C70" s="540">
        <v>-2216.6877699999995</v>
      </c>
      <c r="D70" s="540">
        <v>-4126.8672299999998</v>
      </c>
      <c r="E70" s="540">
        <v>-6310.178469999998</v>
      </c>
      <c r="F70" s="541">
        <v>-9359.9636399999981</v>
      </c>
      <c r="G70" s="542">
        <v>-22013.697109999994</v>
      </c>
      <c r="H70" s="543">
        <v>-6669.2848099999983</v>
      </c>
      <c r="I70" s="540">
        <v>-7482.5691600000036</v>
      </c>
      <c r="J70" s="540">
        <v>-8903.9532499999932</v>
      </c>
      <c r="K70" s="541">
        <v>-15634.739829999995</v>
      </c>
      <c r="L70" s="542">
        <v>-38690.547049999994</v>
      </c>
      <c r="M70" s="543">
        <v>-8155.6838599999992</v>
      </c>
      <c r="N70" s="540">
        <v>-10933.564439999995</v>
      </c>
      <c r="O70" s="540">
        <v>-14467.978350000012</v>
      </c>
      <c r="P70" s="541">
        <v>-13158.086229999997</v>
      </c>
      <c r="Q70" s="542">
        <v>-38690.547049999994</v>
      </c>
      <c r="R70" s="543">
        <v>-10460.7711</v>
      </c>
      <c r="S70" s="540">
        <v>-11110.768909999995</v>
      </c>
      <c r="T70" s="540">
        <v>-12026.777290000004</v>
      </c>
      <c r="U70" s="541">
        <v>-11909.429629999995</v>
      </c>
      <c r="V70" s="542">
        <v>-38690.547049999994</v>
      </c>
      <c r="W70" s="543">
        <v>-16810.195630000002</v>
      </c>
      <c r="X70" s="540">
        <v>-11807.021240000002</v>
      </c>
      <c r="Y70" s="540">
        <v>-12318.089829999999</v>
      </c>
      <c r="Z70" s="541">
        <v>-14215.174809999995</v>
      </c>
      <c r="AA70" s="542">
        <v>-38690.547049999994</v>
      </c>
      <c r="AB70" s="540">
        <v>-13137.83628</v>
      </c>
      <c r="AC70" s="540">
        <v>-18937.28773</v>
      </c>
      <c r="AD70" s="540">
        <v>-14776.066740000002</v>
      </c>
      <c r="AE70" s="540">
        <v>-13919</v>
      </c>
      <c r="AF70" s="542">
        <v>-38690.547049999994</v>
      </c>
      <c r="AG70" s="540">
        <v>-18908</v>
      </c>
      <c r="AH70" s="540">
        <v>-21004</v>
      </c>
      <c r="AI70" s="540">
        <v>-19473</v>
      </c>
      <c r="AJ70" s="540">
        <v>-22462</v>
      </c>
      <c r="AK70" s="542">
        <f t="shared" si="61"/>
        <v>-81847</v>
      </c>
      <c r="AL70" s="540">
        <v>-20822</v>
      </c>
      <c r="AM70" s="540">
        <v>-24104</v>
      </c>
      <c r="AN70" s="540">
        <v>-25591</v>
      </c>
      <c r="AO70" s="540">
        <v>-21825</v>
      </c>
      <c r="AP70" s="542">
        <f t="shared" si="62"/>
        <v>-92342</v>
      </c>
      <c r="AQ70" s="121">
        <v>-28773</v>
      </c>
      <c r="AR70" s="540">
        <v>-25710</v>
      </c>
      <c r="AS70" s="540">
        <v>-23886</v>
      </c>
      <c r="AT70" s="540">
        <v>-22605</v>
      </c>
      <c r="AU70" s="542">
        <f t="shared" si="63"/>
        <v>-100974</v>
      </c>
      <c r="AV70" s="540">
        <v>-29449.077309999997</v>
      </c>
      <c r="AW70" s="540">
        <v>-28602.43634</v>
      </c>
      <c r="AX70" s="540">
        <v>-32478.447459999996</v>
      </c>
      <c r="AY70" s="540">
        <f>'DRE CAIXA SEGURIDADE CONTABIL'!AY70</f>
        <v>-26856.826140000001</v>
      </c>
      <c r="AZ70" s="542">
        <f t="shared" si="65"/>
        <v>-117386.78724999999</v>
      </c>
      <c r="BA70" s="547">
        <v>-37980.320490000006</v>
      </c>
      <c r="BB70" s="1"/>
      <c r="BC70" s="1"/>
      <c r="BD70" s="1"/>
      <c r="BE70" s="1"/>
    </row>
    <row r="71" spans="1:57" ht="15" customHeight="1" thickBot="1">
      <c r="A71" s="58"/>
      <c r="B71" s="539" t="s">
        <v>313</v>
      </c>
      <c r="C71" s="540">
        <v>-10236</v>
      </c>
      <c r="D71" s="540">
        <v>-9201</v>
      </c>
      <c r="E71" s="540">
        <v>-11298</v>
      </c>
      <c r="F71" s="541">
        <v>-11358</v>
      </c>
      <c r="G71" s="542">
        <v>-42093</v>
      </c>
      <c r="H71" s="543">
        <v>-14341.066120000001</v>
      </c>
      <c r="I71" s="540">
        <v>-13100.862879999999</v>
      </c>
      <c r="J71" s="540">
        <v>-13727.869769999994</v>
      </c>
      <c r="K71" s="541">
        <v>-11542.481050000006</v>
      </c>
      <c r="L71" s="542">
        <v>-52712.279819999996</v>
      </c>
      <c r="M71" s="543">
        <v>-19953.096559999998</v>
      </c>
      <c r="N71" s="540">
        <v>-15502.619029999994</v>
      </c>
      <c r="O71" s="540">
        <v>-14914.997260000004</v>
      </c>
      <c r="P71" s="541">
        <v>-17269.655770000012</v>
      </c>
      <c r="Q71" s="542">
        <v>-52712.279819999996</v>
      </c>
      <c r="R71" s="543">
        <v>-17532</v>
      </c>
      <c r="S71" s="540">
        <v>-18115</v>
      </c>
      <c r="T71" s="540">
        <v>-19342</v>
      </c>
      <c r="U71" s="541">
        <v>-12115.037850000008</v>
      </c>
      <c r="V71" s="542">
        <v>-52712.279819999996</v>
      </c>
      <c r="W71" s="543">
        <v>-13301</v>
      </c>
      <c r="X71" s="540">
        <v>-15986</v>
      </c>
      <c r="Y71" s="540">
        <v>-31220</v>
      </c>
      <c r="Z71" s="541">
        <v>-22827</v>
      </c>
      <c r="AA71" s="542">
        <v>-52712.279819999996</v>
      </c>
      <c r="AB71" s="540">
        <v>-7332</v>
      </c>
      <c r="AC71" s="540">
        <v>-4911.7217199999996</v>
      </c>
      <c r="AD71" s="540">
        <v>-4222.9824199999985</v>
      </c>
      <c r="AE71" s="540">
        <v>-1721</v>
      </c>
      <c r="AF71" s="542">
        <v>-52712.279819999996</v>
      </c>
      <c r="AG71" s="540">
        <v>-5152</v>
      </c>
      <c r="AH71" s="540">
        <v>-3605</v>
      </c>
      <c r="AI71" s="540">
        <v>-3509</v>
      </c>
      <c r="AJ71" s="540">
        <v>-4125</v>
      </c>
      <c r="AK71" s="542">
        <f t="shared" si="61"/>
        <v>-16391</v>
      </c>
      <c r="AL71" s="540">
        <v>-4469</v>
      </c>
      <c r="AM71" s="540">
        <v>-4613</v>
      </c>
      <c r="AN71" s="540">
        <v>-4137</v>
      </c>
      <c r="AO71" s="540">
        <v>-4536</v>
      </c>
      <c r="AP71" s="542">
        <f t="shared" si="62"/>
        <v>-17755</v>
      </c>
      <c r="AQ71" s="121">
        <v>-5151</v>
      </c>
      <c r="AR71" s="540">
        <v>-4572</v>
      </c>
      <c r="AS71" s="540">
        <v>-16707</v>
      </c>
      <c r="AT71" s="540">
        <v>-8012</v>
      </c>
      <c r="AU71" s="542">
        <f t="shared" si="63"/>
        <v>-34442</v>
      </c>
      <c r="AV71" s="540">
        <v>-6844.8950100000002</v>
      </c>
      <c r="AW71" s="540">
        <v>-5244.3588599999994</v>
      </c>
      <c r="AX71" s="540">
        <v>-5379</v>
      </c>
      <c r="AY71" s="540">
        <v>-7374.1541900000093</v>
      </c>
      <c r="AZ71" s="542">
        <f t="shared" si="65"/>
        <v>-24842.408060000009</v>
      </c>
      <c r="BA71" s="547">
        <v>-4825.0793700000004</v>
      </c>
      <c r="BB71" s="1"/>
      <c r="BC71" s="1"/>
      <c r="BD71" s="1"/>
      <c r="BE71" s="1"/>
    </row>
    <row r="72" spans="1:57" ht="15" customHeight="1" thickBot="1">
      <c r="A72" s="58"/>
      <c r="B72" s="539" t="s">
        <v>372</v>
      </c>
      <c r="C72" s="544">
        <v>0</v>
      </c>
      <c r="D72" s="540">
        <v>-1249</v>
      </c>
      <c r="E72" s="540">
        <v>-65.646679999999932</v>
      </c>
      <c r="F72" s="541">
        <v>-1.3533200000000676</v>
      </c>
      <c r="G72" s="542">
        <v>-1316</v>
      </c>
      <c r="H72" s="545">
        <v>0</v>
      </c>
      <c r="I72" s="540">
        <v>0</v>
      </c>
      <c r="J72" s="540">
        <v>0</v>
      </c>
      <c r="K72" s="541">
        <v>0</v>
      </c>
      <c r="L72" s="542">
        <v>0</v>
      </c>
      <c r="M72" s="545">
        <v>0</v>
      </c>
      <c r="N72" s="540">
        <v>0</v>
      </c>
      <c r="O72" s="540"/>
      <c r="P72" s="541">
        <v>30261.016889999995</v>
      </c>
      <c r="Q72" s="542">
        <v>0</v>
      </c>
      <c r="R72" s="545">
        <v>0</v>
      </c>
      <c r="S72" s="540">
        <v>0</v>
      </c>
      <c r="T72" s="540">
        <v>0</v>
      </c>
      <c r="U72" s="541">
        <v>-22.79496</v>
      </c>
      <c r="V72" s="542">
        <v>0</v>
      </c>
      <c r="W72" s="545">
        <v>0</v>
      </c>
      <c r="X72" s="540">
        <v>-10</v>
      </c>
      <c r="Y72" s="540">
        <v>-29</v>
      </c>
      <c r="Z72" s="541">
        <v>2</v>
      </c>
      <c r="AA72" s="542">
        <v>0</v>
      </c>
      <c r="AB72" s="540">
        <v>0</v>
      </c>
      <c r="AC72" s="540">
        <v>1809.0078899999999</v>
      </c>
      <c r="AD72" s="540">
        <v>5934.6343400000005</v>
      </c>
      <c r="AE72" s="540">
        <v>0</v>
      </c>
      <c r="AF72" s="542">
        <v>0</v>
      </c>
      <c r="AG72" s="540">
        <v>11445</v>
      </c>
      <c r="AH72" s="540">
        <v>0</v>
      </c>
      <c r="AI72" s="540">
        <v>4</v>
      </c>
      <c r="AJ72" s="540">
        <v>296732</v>
      </c>
      <c r="AK72" s="542">
        <f t="shared" si="61"/>
        <v>308181</v>
      </c>
      <c r="AL72" s="540">
        <v>30681</v>
      </c>
      <c r="AM72" s="540">
        <v>1</v>
      </c>
      <c r="AN72" s="540">
        <v>0</v>
      </c>
      <c r="AO72" s="540">
        <v>0</v>
      </c>
      <c r="AP72" s="542">
        <f t="shared" si="62"/>
        <v>30682</v>
      </c>
      <c r="AQ72" s="121">
        <v>1</v>
      </c>
      <c r="AR72" s="540">
        <v>3106</v>
      </c>
      <c r="AS72" s="540">
        <v>89933</v>
      </c>
      <c r="AT72" s="547">
        <v>0</v>
      </c>
      <c r="AU72" s="542">
        <f t="shared" si="63"/>
        <v>93040</v>
      </c>
      <c r="AV72" s="547">
        <v>-383.71208000000001</v>
      </c>
      <c r="AW72" s="547">
        <v>385.85464000000013</v>
      </c>
      <c r="AX72" s="547">
        <v>-3.7834979593753813E-13</v>
      </c>
      <c r="AY72" s="547">
        <v>0.76277000000000394</v>
      </c>
      <c r="AZ72" s="542">
        <f t="shared" si="65"/>
        <v>2.9053299999997426</v>
      </c>
      <c r="BA72" s="547">
        <v>0</v>
      </c>
      <c r="BB72" s="1"/>
      <c r="BC72" s="1"/>
      <c r="BD72" s="1"/>
      <c r="BE72" s="1"/>
    </row>
    <row r="73" spans="1:57" ht="15" customHeight="1">
      <c r="A73" s="54"/>
      <c r="B73" s="54" t="s">
        <v>317</v>
      </c>
      <c r="C73" s="130">
        <v>294182.72104546329</v>
      </c>
      <c r="D73" s="130">
        <v>259730.79346622509</v>
      </c>
      <c r="E73" s="130">
        <v>280839.60390123504</v>
      </c>
      <c r="F73" s="130">
        <v>301200.71532074158</v>
      </c>
      <c r="G73" s="148">
        <v>1135953.8337336651</v>
      </c>
      <c r="H73" s="130">
        <v>342417.83639039088</v>
      </c>
      <c r="I73" s="130">
        <v>359825.50122195488</v>
      </c>
      <c r="J73" s="130">
        <v>333768.30886662286</v>
      </c>
      <c r="K73" s="130">
        <v>336067.03690319869</v>
      </c>
      <c r="L73" s="148">
        <v>1372078.6833821675</v>
      </c>
      <c r="M73" s="130">
        <v>407074.1280629852</v>
      </c>
      <c r="N73" s="130">
        <v>349046.26425234054</v>
      </c>
      <c r="O73" s="130">
        <v>381411.42347789096</v>
      </c>
      <c r="P73" s="130">
        <v>456090.88854609331</v>
      </c>
      <c r="Q73" s="148">
        <v>1593622.7043393101</v>
      </c>
      <c r="R73" s="125">
        <v>420103.19373686204</v>
      </c>
      <c r="S73" s="125">
        <v>411244.88342320477</v>
      </c>
      <c r="T73" s="125">
        <v>465069.86385084997</v>
      </c>
      <c r="U73" s="125">
        <v>350837.28337149334</v>
      </c>
      <c r="V73" s="148">
        <v>1647255.2243824103</v>
      </c>
      <c r="W73" s="125">
        <v>442290.03704340296</v>
      </c>
      <c r="X73" s="125">
        <v>414923.29306291486</v>
      </c>
      <c r="Y73" s="125">
        <v>591478.12199499994</v>
      </c>
      <c r="Z73" s="125">
        <v>503124.04735315335</v>
      </c>
      <c r="AA73" s="148">
        <v>1951815.499454471</v>
      </c>
      <c r="AB73" s="125">
        <v>425087.16372000001</v>
      </c>
      <c r="AC73" s="125">
        <v>405331.59093463002</v>
      </c>
      <c r="AD73" s="125">
        <v>471894.64196624997</v>
      </c>
      <c r="AE73" s="125">
        <v>538583.75512531004</v>
      </c>
      <c r="AF73" s="148">
        <v>1840897.1517461902</v>
      </c>
      <c r="AG73" s="125">
        <f t="shared" ref="AG73:AN73" si="71">AG64+AG69</f>
        <v>540413</v>
      </c>
      <c r="AH73" s="125">
        <f t="shared" si="71"/>
        <v>661617</v>
      </c>
      <c r="AI73" s="125">
        <f t="shared" si="71"/>
        <v>757919</v>
      </c>
      <c r="AJ73" s="125">
        <f t="shared" si="71"/>
        <v>1039241</v>
      </c>
      <c r="AK73" s="148">
        <f t="shared" si="61"/>
        <v>2999190</v>
      </c>
      <c r="AL73" s="125">
        <f t="shared" si="71"/>
        <v>855199</v>
      </c>
      <c r="AM73" s="125">
        <f t="shared" si="71"/>
        <v>816218</v>
      </c>
      <c r="AN73" s="125">
        <f t="shared" si="71"/>
        <v>911960</v>
      </c>
      <c r="AO73" s="125">
        <f>AO64+AO69</f>
        <v>915539</v>
      </c>
      <c r="AP73" s="148">
        <f t="shared" si="62"/>
        <v>3498916</v>
      </c>
      <c r="AQ73" s="125">
        <f t="shared" ref="AQ73:AY73" si="72">AQ64+AQ69</f>
        <v>947877</v>
      </c>
      <c r="AR73" s="125">
        <f t="shared" si="72"/>
        <v>773028.61630000011</v>
      </c>
      <c r="AS73" s="125">
        <f t="shared" si="72"/>
        <v>998748.67113999999</v>
      </c>
      <c r="AT73" s="125">
        <f t="shared" si="72"/>
        <v>1056643.56174</v>
      </c>
      <c r="AU73" s="148">
        <f t="shared" si="63"/>
        <v>3776297.8491799999</v>
      </c>
      <c r="AV73" s="125">
        <f t="shared" si="72"/>
        <v>1007637.0450999999</v>
      </c>
      <c r="AW73" s="125">
        <f t="shared" si="72"/>
        <v>1027327.2252</v>
      </c>
      <c r="AX73" s="125">
        <f t="shared" si="72"/>
        <v>1122230.0504300001</v>
      </c>
      <c r="AY73" s="125">
        <f t="shared" si="72"/>
        <v>1109511.8056100011</v>
      </c>
      <c r="AZ73" s="148">
        <f t="shared" si="65"/>
        <v>4266706.1263400009</v>
      </c>
      <c r="BA73" s="125">
        <f t="shared" ref="BA73" si="73">BA64+BA69</f>
        <v>1135011.87577</v>
      </c>
      <c r="BB73" s="1"/>
      <c r="BC73" s="1"/>
      <c r="BD73" s="1"/>
      <c r="BE73" s="1"/>
    </row>
    <row r="74" spans="1:57" ht="15" customHeight="1">
      <c r="A74" s="56"/>
      <c r="B74" s="56"/>
      <c r="C74" s="136"/>
      <c r="D74" s="136"/>
      <c r="E74" s="136"/>
      <c r="F74" s="136"/>
      <c r="G74" s="150"/>
      <c r="H74" s="136"/>
      <c r="I74" s="136"/>
      <c r="J74" s="136"/>
      <c r="K74" s="136"/>
      <c r="L74" s="150"/>
      <c r="M74" s="136"/>
      <c r="N74" s="136"/>
      <c r="O74" s="136"/>
      <c r="P74" s="136"/>
      <c r="Q74" s="150"/>
      <c r="R74" s="136"/>
      <c r="S74" s="136"/>
      <c r="T74" s="136"/>
      <c r="U74" s="136"/>
      <c r="V74" s="150"/>
      <c r="W74" s="136"/>
      <c r="X74" s="136"/>
      <c r="Y74" s="136"/>
      <c r="Z74" s="136"/>
      <c r="AA74" s="150"/>
      <c r="AB74" s="136"/>
      <c r="AC74" s="136"/>
      <c r="AD74" s="136"/>
      <c r="AE74" s="136"/>
      <c r="AF74" s="150"/>
      <c r="AG74" s="136"/>
      <c r="AH74" s="136"/>
      <c r="AI74" s="136"/>
      <c r="AJ74" s="136">
        <v>0</v>
      </c>
      <c r="AK74" s="150">
        <f t="shared" si="61"/>
        <v>0</v>
      </c>
      <c r="AL74" s="136"/>
      <c r="AM74" s="214"/>
      <c r="AN74" s="136"/>
      <c r="AO74" s="136"/>
      <c r="AP74" s="150">
        <f t="shared" si="62"/>
        <v>0</v>
      </c>
      <c r="AQ74" s="136"/>
      <c r="AR74" s="214"/>
      <c r="AS74" s="136"/>
      <c r="AT74" s="136"/>
      <c r="AU74" s="150">
        <f t="shared" si="63"/>
        <v>0</v>
      </c>
      <c r="AV74" s="136"/>
      <c r="AW74" s="136"/>
      <c r="AX74" s="136"/>
      <c r="AY74" s="136"/>
      <c r="AZ74" s="150">
        <f t="shared" si="65"/>
        <v>0</v>
      </c>
      <c r="BA74" s="136"/>
      <c r="BB74" s="1"/>
      <c r="BC74" s="1"/>
      <c r="BD74" s="1"/>
      <c r="BE74" s="1"/>
    </row>
    <row r="75" spans="1:57" ht="15" customHeight="1">
      <c r="A75" s="54"/>
      <c r="B75" s="54" t="s">
        <v>319</v>
      </c>
      <c r="C75" s="130">
        <v>-1418</v>
      </c>
      <c r="D75" s="130">
        <v>2676</v>
      </c>
      <c r="E75" s="130">
        <v>5838.2842000000046</v>
      </c>
      <c r="F75" s="130">
        <v>7007.7157999999954</v>
      </c>
      <c r="G75" s="148">
        <v>14104</v>
      </c>
      <c r="H75" s="130">
        <v>4216.8194699999985</v>
      </c>
      <c r="I75" s="130">
        <v>7007.4345200000016</v>
      </c>
      <c r="J75" s="130">
        <v>6577.1029199999975</v>
      </c>
      <c r="K75" s="130">
        <v>6446.7443500000008</v>
      </c>
      <c r="L75" s="148">
        <v>24248.101259999999</v>
      </c>
      <c r="M75" s="130">
        <v>2721.3223500000004</v>
      </c>
      <c r="N75" s="130">
        <v>6622.0339199999999</v>
      </c>
      <c r="O75" s="130">
        <v>6138.9531700000007</v>
      </c>
      <c r="P75" s="130">
        <v>6936.0473200000015</v>
      </c>
      <c r="Q75" s="148">
        <v>22418.356760000002</v>
      </c>
      <c r="R75" s="125">
        <v>3200</v>
      </c>
      <c r="S75" s="125">
        <v>12044</v>
      </c>
      <c r="T75" s="125">
        <v>11193</v>
      </c>
      <c r="U75" s="125">
        <v>4181.4627</v>
      </c>
      <c r="V75" s="148">
        <v>30618.4627</v>
      </c>
      <c r="W75" s="125">
        <v>3377</v>
      </c>
      <c r="X75" s="125">
        <v>4825</v>
      </c>
      <c r="Y75" s="125">
        <v>3084</v>
      </c>
      <c r="Z75" s="125">
        <v>5491</v>
      </c>
      <c r="AA75" s="148">
        <v>16777</v>
      </c>
      <c r="AB75" s="125">
        <v>-282</v>
      </c>
      <c r="AC75" s="125">
        <v>1725.7324400000002</v>
      </c>
      <c r="AD75" s="125">
        <v>2625.8871799999997</v>
      </c>
      <c r="AE75" s="125">
        <v>1006</v>
      </c>
      <c r="AF75" s="148">
        <v>5075.6196199999995</v>
      </c>
      <c r="AG75" s="125">
        <f>SUM(AG76:AG77)</f>
        <v>5255</v>
      </c>
      <c r="AH75" s="125">
        <f t="shared" ref="AH75:AN75" si="74">SUM(AH76:AH77)</f>
        <v>10266</v>
      </c>
      <c r="AI75" s="125">
        <f t="shared" si="74"/>
        <v>8706</v>
      </c>
      <c r="AJ75" s="125">
        <f t="shared" si="74"/>
        <v>20205</v>
      </c>
      <c r="AK75" s="148">
        <f t="shared" si="61"/>
        <v>44432</v>
      </c>
      <c r="AL75" s="125">
        <f t="shared" si="74"/>
        <v>1038</v>
      </c>
      <c r="AM75" s="125">
        <f t="shared" si="74"/>
        <v>14613</v>
      </c>
      <c r="AN75" s="125">
        <f t="shared" si="74"/>
        <v>12435</v>
      </c>
      <c r="AO75" s="125">
        <f>SUM(AO76:AO77)</f>
        <v>17611</v>
      </c>
      <c r="AP75" s="148">
        <f t="shared" si="62"/>
        <v>45697</v>
      </c>
      <c r="AQ75" s="125">
        <f>SUM(AQ76:AQ77)</f>
        <v>-25469</v>
      </c>
      <c r="AR75" s="125">
        <f t="shared" ref="AR75:AT75" si="75">SUM(AR76:AR77)</f>
        <v>2760</v>
      </c>
      <c r="AS75" s="125">
        <f t="shared" si="75"/>
        <v>56621</v>
      </c>
      <c r="AT75" s="125">
        <f t="shared" si="75"/>
        <v>23181</v>
      </c>
      <c r="AU75" s="148">
        <f>SUM(AQ75:AT75)</f>
        <v>57093</v>
      </c>
      <c r="AV75" s="125">
        <f>SUM(AV76:AV77)</f>
        <v>13716</v>
      </c>
      <c r="AW75" s="125">
        <f t="shared" ref="AW75:AY75" si="76">SUM(AW76:AW77)</f>
        <v>26528.123449999992</v>
      </c>
      <c r="AX75" s="125">
        <f t="shared" si="76"/>
        <v>30214.252930000002</v>
      </c>
      <c r="AY75" s="125">
        <f t="shared" si="76"/>
        <v>37156.027000000002</v>
      </c>
      <c r="AZ75" s="148">
        <f>SUM(AV75:AY75)</f>
        <v>107614.40338</v>
      </c>
      <c r="BA75" s="125">
        <f t="shared" ref="BA75" si="77">SUM(BA76:BA77)</f>
        <v>12849.577449999997</v>
      </c>
      <c r="BB75" s="1"/>
      <c r="BC75" s="1"/>
      <c r="BD75" s="1"/>
      <c r="BE75" s="1"/>
    </row>
    <row r="76" spans="1:57" ht="15" customHeight="1">
      <c r="A76" s="59"/>
      <c r="B76" s="546" t="s">
        <v>321</v>
      </c>
      <c r="C76" s="540">
        <v>2717</v>
      </c>
      <c r="D76" s="540">
        <v>4731</v>
      </c>
      <c r="E76" s="540">
        <v>5838.2842000000046</v>
      </c>
      <c r="F76" s="541">
        <v>6827.7157999999954</v>
      </c>
      <c r="G76" s="542">
        <v>20114</v>
      </c>
      <c r="H76" s="543">
        <v>8481.8989499999989</v>
      </c>
      <c r="I76" s="540">
        <v>8232.1099600000016</v>
      </c>
      <c r="J76" s="540">
        <v>6577.1029199999975</v>
      </c>
      <c r="K76" s="541">
        <v>6446.7443500000008</v>
      </c>
      <c r="L76" s="542">
        <v>20114</v>
      </c>
      <c r="M76" s="543">
        <v>7038.64678</v>
      </c>
      <c r="N76" s="540">
        <v>8256.1182200000003</v>
      </c>
      <c r="O76" s="540">
        <v>6138.9531700000007</v>
      </c>
      <c r="P76" s="541">
        <v>6936.0473200000015</v>
      </c>
      <c r="Q76" s="542">
        <v>20114</v>
      </c>
      <c r="R76" s="543">
        <v>3567</v>
      </c>
      <c r="S76" s="540">
        <v>12171</v>
      </c>
      <c r="T76" s="540">
        <v>11193</v>
      </c>
      <c r="U76" s="541">
        <v>4181.712950000001</v>
      </c>
      <c r="V76" s="542">
        <v>20114</v>
      </c>
      <c r="W76" s="543">
        <v>4217</v>
      </c>
      <c r="X76" s="540">
        <v>4826</v>
      </c>
      <c r="Y76" s="540">
        <v>3084</v>
      </c>
      <c r="Z76" s="541">
        <v>5491</v>
      </c>
      <c r="AA76" s="542">
        <v>20114</v>
      </c>
      <c r="AB76" s="540">
        <v>724</v>
      </c>
      <c r="AC76" s="540">
        <v>1726.0098700000003</v>
      </c>
      <c r="AD76" s="540">
        <v>3181.0507999999995</v>
      </c>
      <c r="AE76" s="540">
        <v>2436</v>
      </c>
      <c r="AF76" s="542">
        <v>20114</v>
      </c>
      <c r="AG76" s="540">
        <v>5453</v>
      </c>
      <c r="AH76" s="540">
        <v>10266</v>
      </c>
      <c r="AI76" s="540">
        <v>8706</v>
      </c>
      <c r="AJ76" s="540">
        <v>20205</v>
      </c>
      <c r="AK76" s="542">
        <f t="shared" si="61"/>
        <v>44630</v>
      </c>
      <c r="AL76" s="540">
        <v>23698</v>
      </c>
      <c r="AM76" s="540">
        <v>23062</v>
      </c>
      <c r="AN76" s="540">
        <v>12435</v>
      </c>
      <c r="AO76" s="540">
        <v>17630</v>
      </c>
      <c r="AP76" s="542">
        <f t="shared" si="62"/>
        <v>76825</v>
      </c>
      <c r="AQ76" s="540">
        <v>7759</v>
      </c>
      <c r="AR76" s="540">
        <v>17091</v>
      </c>
      <c r="AS76" s="547">
        <v>56575</v>
      </c>
      <c r="AT76" s="540">
        <v>23181</v>
      </c>
      <c r="AU76" s="542">
        <f t="shared" si="63"/>
        <v>104606</v>
      </c>
      <c r="AV76" s="540">
        <v>19418</v>
      </c>
      <c r="AW76" s="540">
        <v>26714.099119999992</v>
      </c>
      <c r="AX76" s="540">
        <v>30616.388850000003</v>
      </c>
      <c r="AY76" s="540">
        <f>'DRE CAIXA SEGURIDADE CONTABIL'!AY76</f>
        <v>37545</v>
      </c>
      <c r="AZ76" s="542">
        <f>SUM(AV76:AY76)</f>
        <v>114293.48796999999</v>
      </c>
      <c r="BA76" s="547">
        <v>20104.972859999998</v>
      </c>
      <c r="BB76" s="1"/>
      <c r="BC76" s="1"/>
      <c r="BD76" s="1"/>
      <c r="BE76" s="1"/>
    </row>
    <row r="77" spans="1:57" ht="15" customHeight="1">
      <c r="A77" s="59"/>
      <c r="B77" s="546" t="s">
        <v>323</v>
      </c>
      <c r="C77" s="544">
        <v>-4135</v>
      </c>
      <c r="D77" s="540">
        <v>-2055</v>
      </c>
      <c r="E77" s="540">
        <v>0</v>
      </c>
      <c r="F77" s="541">
        <v>180</v>
      </c>
      <c r="G77" s="542">
        <v>-6010</v>
      </c>
      <c r="H77" s="545">
        <v>-4265.0794800000003</v>
      </c>
      <c r="I77" s="540">
        <v>-1224.67544</v>
      </c>
      <c r="J77" s="540">
        <v>0</v>
      </c>
      <c r="K77" s="541">
        <v>0</v>
      </c>
      <c r="L77" s="542">
        <v>-6010</v>
      </c>
      <c r="M77" s="545">
        <v>-4317.3244299999997</v>
      </c>
      <c r="N77" s="540">
        <v>-1634.0843000000004</v>
      </c>
      <c r="O77" s="540">
        <v>0</v>
      </c>
      <c r="P77" s="541">
        <v>0</v>
      </c>
      <c r="Q77" s="542">
        <v>-6010</v>
      </c>
      <c r="R77" s="545">
        <v>-367</v>
      </c>
      <c r="S77" s="540">
        <v>-127</v>
      </c>
      <c r="T77" s="540">
        <v>0</v>
      </c>
      <c r="U77" s="541">
        <v>-0.25024999999999409</v>
      </c>
      <c r="V77" s="542">
        <v>-6010</v>
      </c>
      <c r="W77" s="545">
        <v>-840</v>
      </c>
      <c r="X77" s="544">
        <v>-1</v>
      </c>
      <c r="Y77" s="540">
        <v>0</v>
      </c>
      <c r="Z77" s="541">
        <v>0</v>
      </c>
      <c r="AA77" s="542">
        <v>-6010</v>
      </c>
      <c r="AB77" s="540">
        <v>-1006</v>
      </c>
      <c r="AC77" s="540">
        <v>-0.27743000000009488</v>
      </c>
      <c r="AD77" s="540">
        <v>-555.16362000000004</v>
      </c>
      <c r="AE77" s="540">
        <v>-1430</v>
      </c>
      <c r="AF77" s="542">
        <v>-6010</v>
      </c>
      <c r="AG77" s="540">
        <v>-198</v>
      </c>
      <c r="AH77" s="540">
        <v>0</v>
      </c>
      <c r="AI77" s="540">
        <v>0</v>
      </c>
      <c r="AJ77" s="540">
        <v>0</v>
      </c>
      <c r="AK77" s="542">
        <f t="shared" si="61"/>
        <v>-198</v>
      </c>
      <c r="AL77" s="540">
        <v>-22660</v>
      </c>
      <c r="AM77" s="540">
        <v>-8449</v>
      </c>
      <c r="AN77" s="547">
        <v>0</v>
      </c>
      <c r="AO77" s="540">
        <v>-19</v>
      </c>
      <c r="AP77" s="542">
        <f t="shared" si="62"/>
        <v>-31128</v>
      </c>
      <c r="AQ77" s="540">
        <v>-33228</v>
      </c>
      <c r="AR77" s="540">
        <v>-14331</v>
      </c>
      <c r="AS77" s="547">
        <v>46</v>
      </c>
      <c r="AT77" s="540">
        <v>0</v>
      </c>
      <c r="AU77" s="542">
        <f t="shared" si="63"/>
        <v>-47513</v>
      </c>
      <c r="AV77" s="540">
        <v>-5702</v>
      </c>
      <c r="AW77" s="540">
        <v>-185.97566999999998</v>
      </c>
      <c r="AX77" s="540">
        <v>-402.13592000000006</v>
      </c>
      <c r="AY77" s="540">
        <v>-388.97300000000001</v>
      </c>
      <c r="AZ77" s="542">
        <f t="shared" si="65"/>
        <v>-6679.0845899999995</v>
      </c>
      <c r="BA77" s="547">
        <v>-7255.3954100000001</v>
      </c>
      <c r="BB77" s="1"/>
      <c r="BC77" s="1"/>
      <c r="BD77" s="1"/>
      <c r="BE77" s="1"/>
    </row>
    <row r="78" spans="1:57" ht="15" customHeight="1">
      <c r="A78" s="54"/>
      <c r="B78" s="54" t="s">
        <v>373</v>
      </c>
      <c r="C78" s="130">
        <v>292764.72104546329</v>
      </c>
      <c r="D78" s="130">
        <v>262406.79346622509</v>
      </c>
      <c r="E78" s="130">
        <v>286677.88810123503</v>
      </c>
      <c r="F78" s="130">
        <v>308208.43112074159</v>
      </c>
      <c r="G78" s="148">
        <v>1150057.8337336651</v>
      </c>
      <c r="H78" s="130">
        <v>346634.65586039086</v>
      </c>
      <c r="I78" s="130">
        <v>366832.93574195489</v>
      </c>
      <c r="J78" s="130">
        <v>340345.41178662283</v>
      </c>
      <c r="K78" s="130">
        <v>342513.78125319869</v>
      </c>
      <c r="L78" s="148">
        <v>1396326.7846421672</v>
      </c>
      <c r="M78" s="130">
        <v>409795.45041298517</v>
      </c>
      <c r="N78" s="130">
        <v>355668.29817234055</v>
      </c>
      <c r="O78" s="130">
        <v>387550.37664789095</v>
      </c>
      <c r="P78" s="130">
        <v>463026.93586609332</v>
      </c>
      <c r="Q78" s="148">
        <v>1616041.0610993099</v>
      </c>
      <c r="R78" s="125">
        <v>423303.19373686204</v>
      </c>
      <c r="S78" s="125">
        <v>423288.88342320477</v>
      </c>
      <c r="T78" s="125">
        <v>476262.86385084997</v>
      </c>
      <c r="U78" s="125">
        <v>355018.74607149331</v>
      </c>
      <c r="V78" s="148">
        <v>1677873.6870824101</v>
      </c>
      <c r="W78" s="125">
        <v>445667.03704340296</v>
      </c>
      <c r="X78" s="125">
        <v>419748.29306291486</v>
      </c>
      <c r="Y78" s="125">
        <v>594562.12199499994</v>
      </c>
      <c r="Z78" s="125">
        <v>508615.04735315335</v>
      </c>
      <c r="AA78" s="148">
        <v>1968592.499454471</v>
      </c>
      <c r="AB78" s="125">
        <v>424805.16372000001</v>
      </c>
      <c r="AC78" s="125">
        <v>407057.32337463001</v>
      </c>
      <c r="AD78" s="125">
        <v>474520.52914624999</v>
      </c>
      <c r="AE78" s="125">
        <v>539589.75512531004</v>
      </c>
      <c r="AF78" s="148">
        <v>1845972.7713661899</v>
      </c>
      <c r="AG78" s="125">
        <f>AG73+AG75</f>
        <v>545668</v>
      </c>
      <c r="AH78" s="125">
        <f t="shared" ref="AH78:AL78" si="78">AH73+AH75</f>
        <v>671883</v>
      </c>
      <c r="AI78" s="125">
        <f t="shared" si="78"/>
        <v>766625</v>
      </c>
      <c r="AJ78" s="125">
        <f t="shared" si="78"/>
        <v>1059446</v>
      </c>
      <c r="AK78" s="148">
        <f t="shared" si="61"/>
        <v>3043622</v>
      </c>
      <c r="AL78" s="337">
        <f t="shared" si="78"/>
        <v>856237</v>
      </c>
      <c r="AM78" s="337">
        <f>AM73+AM75</f>
        <v>830831</v>
      </c>
      <c r="AN78" s="337">
        <f>AN73+AN75</f>
        <v>924395</v>
      </c>
      <c r="AO78" s="337">
        <f>AO73+AO75</f>
        <v>933150</v>
      </c>
      <c r="AP78" s="148">
        <f t="shared" si="62"/>
        <v>3544613</v>
      </c>
      <c r="AQ78" s="125">
        <f>AQ73+AQ75</f>
        <v>922408</v>
      </c>
      <c r="AR78" s="125">
        <f t="shared" ref="AR78:AT78" si="79">AR73+AR75</f>
        <v>775788.61630000011</v>
      </c>
      <c r="AS78" s="125">
        <f t="shared" si="79"/>
        <v>1055369.67114</v>
      </c>
      <c r="AT78" s="125">
        <f t="shared" si="79"/>
        <v>1079824.56174</v>
      </c>
      <c r="AU78" s="148">
        <f t="shared" si="63"/>
        <v>3833390.8491799999</v>
      </c>
      <c r="AV78" s="125">
        <f>AV73+AV75</f>
        <v>1021353.0450999999</v>
      </c>
      <c r="AW78" s="125">
        <f t="shared" ref="AW78:AY78" si="80">AW73+AW75</f>
        <v>1053855.3486500001</v>
      </c>
      <c r="AX78" s="125">
        <f t="shared" si="80"/>
        <v>1152444.30336</v>
      </c>
      <c r="AY78" s="125">
        <f t="shared" si="80"/>
        <v>1146667.8326100011</v>
      </c>
      <c r="AZ78" s="148">
        <f t="shared" si="65"/>
        <v>4374320.5297200009</v>
      </c>
      <c r="BA78" s="125">
        <f t="shared" ref="BA78" si="81">BA73+BA75</f>
        <v>1147861.45322</v>
      </c>
      <c r="BB78" s="1"/>
      <c r="BC78" s="1"/>
      <c r="BD78" s="1"/>
      <c r="BE78" s="1"/>
    </row>
    <row r="79" spans="1:57" ht="15" customHeight="1">
      <c r="A79" s="60"/>
      <c r="B79" s="548"/>
      <c r="C79" s="549"/>
      <c r="D79" s="550"/>
      <c r="E79" s="550"/>
      <c r="F79" s="550"/>
      <c r="G79" s="551"/>
      <c r="H79" s="549"/>
      <c r="I79" s="550"/>
      <c r="J79" s="550"/>
      <c r="K79" s="550"/>
      <c r="L79" s="551"/>
      <c r="M79" s="549"/>
      <c r="N79" s="550"/>
      <c r="O79" s="550"/>
      <c r="P79" s="550"/>
      <c r="Q79" s="551"/>
      <c r="R79" s="549"/>
      <c r="S79" s="550"/>
      <c r="T79" s="550"/>
      <c r="U79" s="550"/>
      <c r="V79" s="551"/>
      <c r="W79" s="549"/>
      <c r="X79" s="549"/>
      <c r="Y79" s="549"/>
      <c r="Z79" s="549"/>
      <c r="AA79" s="551"/>
      <c r="AB79" s="549"/>
      <c r="AC79" s="549"/>
      <c r="AD79" s="549"/>
      <c r="AE79" s="549"/>
      <c r="AF79" s="551"/>
      <c r="AG79" s="549"/>
      <c r="AH79" s="549"/>
      <c r="AI79" s="549"/>
      <c r="AJ79" s="549"/>
      <c r="AK79" s="551"/>
      <c r="AL79" s="549">
        <v>0</v>
      </c>
      <c r="AM79" s="549"/>
      <c r="AN79" s="549"/>
      <c r="AO79" s="549"/>
      <c r="AP79" s="551"/>
      <c r="AQ79" s="549"/>
      <c r="AR79" s="549"/>
      <c r="AS79" s="549"/>
      <c r="AT79" s="549"/>
      <c r="AU79" s="551"/>
      <c r="AV79" s="549"/>
      <c r="AW79" s="549"/>
      <c r="AX79" s="549"/>
      <c r="AY79" s="549"/>
      <c r="AZ79" s="551"/>
      <c r="BA79" s="549"/>
      <c r="BB79" s="1"/>
      <c r="BC79" s="1"/>
      <c r="BD79" s="1"/>
      <c r="BE79" s="1"/>
    </row>
    <row r="80" spans="1:57">
      <c r="A80" s="9"/>
      <c r="B80" s="9" t="s">
        <v>327</v>
      </c>
      <c r="C80" s="552">
        <v>-32439</v>
      </c>
      <c r="D80" s="552">
        <v>-28799</v>
      </c>
      <c r="E80" s="552">
        <v>-36557</v>
      </c>
      <c r="F80" s="552">
        <v>-36156</v>
      </c>
      <c r="G80" s="553">
        <v>-133951</v>
      </c>
      <c r="H80" s="552">
        <v>-46997.737649999995</v>
      </c>
      <c r="I80" s="552">
        <v>-42474.80287</v>
      </c>
      <c r="J80" s="552">
        <v>-43847.089710000015</v>
      </c>
      <c r="K80" s="552">
        <v>-34561.75</v>
      </c>
      <c r="L80" s="553">
        <v>-133951</v>
      </c>
      <c r="M80" s="552">
        <v>-65004.31222</v>
      </c>
      <c r="N80" s="552">
        <v>-48469.541620000011</v>
      </c>
      <c r="O80" s="552">
        <v>-44719.645709999975</v>
      </c>
      <c r="P80" s="552">
        <v>-53222.824780000003</v>
      </c>
      <c r="Q80" s="553">
        <v>-133951</v>
      </c>
      <c r="R80" s="552">
        <v>-55399</v>
      </c>
      <c r="S80" s="552">
        <v>-58656</v>
      </c>
      <c r="T80" s="552">
        <v>-61051</v>
      </c>
      <c r="U80" s="552">
        <v>-25767.687760000001</v>
      </c>
      <c r="V80" s="553">
        <v>-133951</v>
      </c>
      <c r="W80" s="552">
        <v>-51474</v>
      </c>
      <c r="X80" s="552">
        <v>-47064</v>
      </c>
      <c r="Y80" s="552">
        <v>-100457</v>
      </c>
      <c r="Z80" s="552">
        <v>-72379</v>
      </c>
      <c r="AA80" s="553">
        <v>-133951</v>
      </c>
      <c r="AB80" s="552">
        <v>-19763.92223</v>
      </c>
      <c r="AC80" s="552">
        <v>-9103.2044999999998</v>
      </c>
      <c r="AD80" s="552">
        <v>-9222.9093300000022</v>
      </c>
      <c r="AE80" s="552">
        <v>-1316</v>
      </c>
      <c r="AF80" s="553">
        <v>-133951</v>
      </c>
      <c r="AG80" s="552">
        <f t="shared" ref="AG80:AJ80" si="82">AG81</f>
        <v>-14051</v>
      </c>
      <c r="AH80" s="552">
        <f t="shared" si="82"/>
        <v>-6052</v>
      </c>
      <c r="AI80" s="552">
        <f t="shared" si="82"/>
        <v>-6560</v>
      </c>
      <c r="AJ80" s="552">
        <f t="shared" si="82"/>
        <v>-111014</v>
      </c>
      <c r="AK80" s="553">
        <f t="shared" si="61"/>
        <v>-137677</v>
      </c>
      <c r="AL80" s="552">
        <f>AL81+AL84+AL85</f>
        <v>-15867</v>
      </c>
      <c r="AM80" s="552">
        <f>AM81+AM84+AM85</f>
        <v>-8253</v>
      </c>
      <c r="AN80" s="552">
        <f>AN81+AN84+AN85</f>
        <v>-7821</v>
      </c>
      <c r="AO80" s="552">
        <f>AO81+AO84+AO85</f>
        <v>-10737</v>
      </c>
      <c r="AP80" s="553">
        <f t="shared" ref="AP80:AP86" si="83">SUM(AL80:AO80)</f>
        <v>-42678</v>
      </c>
      <c r="AQ80" s="552">
        <f>AQ81+AQ84+AQ85</f>
        <v>1934</v>
      </c>
      <c r="AR80" s="552">
        <f t="shared" ref="AR80:AT80" si="84">AR81+AR84+AR85</f>
        <v>-5489</v>
      </c>
      <c r="AS80" s="552">
        <f t="shared" si="84"/>
        <v>-50053</v>
      </c>
      <c r="AT80" s="552">
        <f t="shared" si="84"/>
        <v>-23001</v>
      </c>
      <c r="AU80" s="553">
        <f>SUM(AQ80:AT80)</f>
        <v>-76609</v>
      </c>
      <c r="AV80" s="552">
        <f>AV81+AV84+AV85</f>
        <v>-12030.838719999998</v>
      </c>
      <c r="AW80" s="552">
        <f t="shared" ref="AW80:AY80" si="85">AW81+AW84+AW85</f>
        <v>-12270.20105</v>
      </c>
      <c r="AX80" s="552">
        <f t="shared" si="85"/>
        <v>-12284.70141</v>
      </c>
      <c r="AY80" s="552">
        <f t="shared" si="85"/>
        <v>-21842.49152</v>
      </c>
      <c r="AZ80" s="553">
        <f>SUM(AV80:AY80)</f>
        <v>-58428.232699999993</v>
      </c>
      <c r="BA80" s="552">
        <f t="shared" ref="BA80" si="86">BA81+BA84+BA85</f>
        <v>-4886.1674600000006</v>
      </c>
      <c r="BB80" s="1"/>
      <c r="BC80" s="1"/>
      <c r="BD80" s="1"/>
      <c r="BE80" s="1"/>
    </row>
    <row r="81" spans="1:57">
      <c r="A81" s="73"/>
      <c r="B81" s="73" t="s">
        <v>329</v>
      </c>
      <c r="C81" s="120"/>
      <c r="D81" s="120"/>
      <c r="E81" s="120"/>
      <c r="F81" s="120"/>
      <c r="G81" s="142"/>
      <c r="H81" s="120"/>
      <c r="I81" s="120"/>
      <c r="J81" s="120"/>
      <c r="K81" s="120"/>
      <c r="L81" s="142"/>
      <c r="M81" s="120"/>
      <c r="N81" s="120"/>
      <c r="O81" s="120"/>
      <c r="P81" s="120"/>
      <c r="Q81" s="142"/>
      <c r="R81" s="120"/>
      <c r="S81" s="120"/>
      <c r="T81" s="120"/>
      <c r="U81" s="120"/>
      <c r="V81" s="142"/>
      <c r="W81" s="120"/>
      <c r="X81" s="120"/>
      <c r="Y81" s="120"/>
      <c r="Z81" s="120"/>
      <c r="AA81" s="142"/>
      <c r="AB81" s="120">
        <v>-19763.92223</v>
      </c>
      <c r="AC81" s="120">
        <v>-9103.2044999999998</v>
      </c>
      <c r="AD81" s="120">
        <v>-9222.9093300000022</v>
      </c>
      <c r="AE81" s="120">
        <v>-1316</v>
      </c>
      <c r="AF81" s="142"/>
      <c r="AG81" s="120">
        <v>-14051</v>
      </c>
      <c r="AH81" s="120">
        <v>-6052</v>
      </c>
      <c r="AI81" s="120">
        <v>-6560</v>
      </c>
      <c r="AJ81" s="120">
        <v>-111014</v>
      </c>
      <c r="AK81" s="142">
        <f t="shared" si="61"/>
        <v>-137677</v>
      </c>
      <c r="AL81" s="120">
        <v>-15869</v>
      </c>
      <c r="AM81" s="121">
        <v>-8250</v>
      </c>
      <c r="AN81" s="120">
        <v>-7821</v>
      </c>
      <c r="AO81" s="120">
        <v>-10745</v>
      </c>
      <c r="AP81" s="142">
        <f t="shared" si="83"/>
        <v>-42685</v>
      </c>
      <c r="AQ81" s="120">
        <v>0</v>
      </c>
      <c r="AR81" s="121">
        <v>-3758</v>
      </c>
      <c r="AS81" s="121">
        <v>-49998</v>
      </c>
      <c r="AT81" s="120">
        <v>-22821</v>
      </c>
      <c r="AU81" s="142">
        <f t="shared" ref="AU81:AU86" si="87">SUM(AQ81:AT81)</f>
        <v>-76577</v>
      </c>
      <c r="AV81" s="120">
        <v>-12207.975789999999</v>
      </c>
      <c r="AW81" s="120">
        <v>-12260</v>
      </c>
      <c r="AX81" s="120">
        <v>-12099</v>
      </c>
      <c r="AY81" s="120">
        <f>AY82+AY83</f>
        <v>-21587.49152</v>
      </c>
      <c r="AZ81" s="142">
        <f>SUM(AV81:AY81)</f>
        <v>-58154.467309999993</v>
      </c>
      <c r="BA81" s="120">
        <f>BA82+BA83</f>
        <v>-4876.9885300000005</v>
      </c>
      <c r="BB81" s="1"/>
      <c r="BC81" s="1"/>
      <c r="BD81" s="1"/>
      <c r="BE81" s="1"/>
    </row>
    <row r="82" spans="1:57">
      <c r="A82" s="11"/>
      <c r="B82" s="11" t="s">
        <v>331</v>
      </c>
      <c r="C82" s="120"/>
      <c r="D82" s="120"/>
      <c r="E82" s="121"/>
      <c r="F82" s="120"/>
      <c r="G82" s="142"/>
      <c r="H82" s="120"/>
      <c r="I82" s="120"/>
      <c r="J82" s="121"/>
      <c r="K82" s="120"/>
      <c r="L82" s="142"/>
      <c r="M82" s="120"/>
      <c r="N82" s="120"/>
      <c r="O82" s="121"/>
      <c r="P82" s="120"/>
      <c r="Q82" s="142"/>
      <c r="R82" s="120"/>
      <c r="S82" s="120"/>
      <c r="T82" s="123"/>
      <c r="U82" s="120"/>
      <c r="V82" s="142"/>
      <c r="W82" s="120"/>
      <c r="X82" s="120"/>
      <c r="Y82" s="120"/>
      <c r="Z82" s="120"/>
      <c r="AA82" s="142"/>
      <c r="AB82" s="120">
        <v>-14530.70752</v>
      </c>
      <c r="AC82" s="120">
        <v>-6746.7872900000002</v>
      </c>
      <c r="AD82" s="120">
        <v>-6731.5672000000013</v>
      </c>
      <c r="AE82" s="120">
        <v>-1065.7824299999993</v>
      </c>
      <c r="AF82" s="142"/>
      <c r="AG82" s="120">
        <v>-10353</v>
      </c>
      <c r="AH82" s="120">
        <v>-4449</v>
      </c>
      <c r="AI82" s="120">
        <v>-4822</v>
      </c>
      <c r="AJ82" s="120">
        <v>-81781</v>
      </c>
      <c r="AK82" s="142">
        <f t="shared" si="61"/>
        <v>-101405</v>
      </c>
      <c r="AL82" s="120">
        <v>-11658</v>
      </c>
      <c r="AM82" s="121">
        <v>-6073</v>
      </c>
      <c r="AN82" s="120">
        <v>-5912</v>
      </c>
      <c r="AO82" s="120">
        <v>-7899</v>
      </c>
      <c r="AP82" s="142">
        <f t="shared" si="83"/>
        <v>-31542</v>
      </c>
      <c r="AQ82" s="120">
        <v>0</v>
      </c>
      <c r="AR82" s="121">
        <v>-2760</v>
      </c>
      <c r="AS82" s="120">
        <v>-36762</v>
      </c>
      <c r="AT82" s="120">
        <v>-16916</v>
      </c>
      <c r="AU82" s="142">
        <f t="shared" si="87"/>
        <v>-56438</v>
      </c>
      <c r="AV82" s="120">
        <v>-8974.8645500000002</v>
      </c>
      <c r="AW82" s="120">
        <v>-9012.7148799999995</v>
      </c>
      <c r="AX82" s="120">
        <v>-8895.1372400000018</v>
      </c>
      <c r="AY82" s="120">
        <v>-16053.37703</v>
      </c>
      <c r="AZ82" s="142">
        <f t="shared" ref="AZ82:AZ87" si="88">SUM(AV82:AY82)</f>
        <v>-42936.093699999998</v>
      </c>
      <c r="BA82" s="547">
        <v>-3584.4327400000002</v>
      </c>
      <c r="BB82" s="1"/>
      <c r="BC82" s="1"/>
      <c r="BD82" s="1"/>
      <c r="BE82" s="1"/>
    </row>
    <row r="83" spans="1:57">
      <c r="A83" s="11"/>
      <c r="B83" s="11" t="s">
        <v>333</v>
      </c>
      <c r="C83" s="120"/>
      <c r="D83" s="120"/>
      <c r="E83" s="121"/>
      <c r="F83" s="120"/>
      <c r="G83" s="142"/>
      <c r="H83" s="120"/>
      <c r="I83" s="120"/>
      <c r="J83" s="121"/>
      <c r="K83" s="120"/>
      <c r="L83" s="142"/>
      <c r="M83" s="120"/>
      <c r="N83" s="120"/>
      <c r="O83" s="121"/>
      <c r="P83" s="120"/>
      <c r="Q83" s="142"/>
      <c r="R83" s="120"/>
      <c r="S83" s="120"/>
      <c r="T83" s="123"/>
      <c r="U83" s="120"/>
      <c r="V83" s="142"/>
      <c r="W83" s="120"/>
      <c r="X83" s="120"/>
      <c r="Y83" s="120"/>
      <c r="Z83" s="120"/>
      <c r="AA83" s="142"/>
      <c r="AB83" s="120">
        <v>-5233.2147100000002</v>
      </c>
      <c r="AC83" s="120">
        <v>-2356.4172099999996</v>
      </c>
      <c r="AD83" s="120">
        <v>-2491.3421300000009</v>
      </c>
      <c r="AE83" s="120">
        <v>-250.53384000000005</v>
      </c>
      <c r="AF83" s="142"/>
      <c r="AG83" s="120">
        <v>-3699</v>
      </c>
      <c r="AH83" s="120">
        <v>-1603</v>
      </c>
      <c r="AI83" s="120">
        <v>-1738</v>
      </c>
      <c r="AJ83" s="120">
        <v>-29235</v>
      </c>
      <c r="AK83" s="142">
        <f t="shared" si="61"/>
        <v>-36275</v>
      </c>
      <c r="AL83" s="120">
        <v>-4211</v>
      </c>
      <c r="AM83" s="121">
        <v>-2177</v>
      </c>
      <c r="AN83" s="120">
        <v>-1909</v>
      </c>
      <c r="AO83" s="120">
        <v>-2846</v>
      </c>
      <c r="AP83" s="142">
        <f t="shared" si="83"/>
        <v>-11143</v>
      </c>
      <c r="AQ83" s="120">
        <v>0</v>
      </c>
      <c r="AR83" s="121">
        <v>-998</v>
      </c>
      <c r="AS83" s="120">
        <v>-13236</v>
      </c>
      <c r="AT83" s="120">
        <v>-5905</v>
      </c>
      <c r="AU83" s="142">
        <f t="shared" si="87"/>
        <v>-20139</v>
      </c>
      <c r="AV83" s="120">
        <v>-3233.1112400000002</v>
      </c>
      <c r="AW83" s="120">
        <v>-3246.7373499999994</v>
      </c>
      <c r="AX83" s="120">
        <v>-3204.4094100000011</v>
      </c>
      <c r="AY83" s="120">
        <v>-5534.1144899999999</v>
      </c>
      <c r="AZ83" s="142">
        <f t="shared" si="88"/>
        <v>-15218.372490000002</v>
      </c>
      <c r="BA83" s="547">
        <v>-1292.5557900000001</v>
      </c>
      <c r="BB83" s="1"/>
      <c r="BC83" s="1"/>
      <c r="BD83" s="1"/>
      <c r="BE83" s="1"/>
    </row>
    <row r="84" spans="1:57">
      <c r="A84" s="73"/>
      <c r="B84" s="73" t="s">
        <v>335</v>
      </c>
      <c r="C84" s="120"/>
      <c r="D84" s="120"/>
      <c r="E84" s="120"/>
      <c r="F84" s="120"/>
      <c r="G84" s="142"/>
      <c r="H84" s="120"/>
      <c r="I84" s="120"/>
      <c r="J84" s="120"/>
      <c r="K84" s="120"/>
      <c r="L84" s="142"/>
      <c r="M84" s="120"/>
      <c r="N84" s="120"/>
      <c r="O84" s="120"/>
      <c r="P84" s="120"/>
      <c r="Q84" s="142"/>
      <c r="R84" s="120"/>
      <c r="S84" s="120"/>
      <c r="T84" s="120"/>
      <c r="U84" s="120"/>
      <c r="V84" s="142"/>
      <c r="W84" s="120"/>
      <c r="X84" s="120"/>
      <c r="Y84" s="120"/>
      <c r="Z84" s="120"/>
      <c r="AA84" s="142"/>
      <c r="AB84" s="120">
        <v>0</v>
      </c>
      <c r="AC84" s="120">
        <v>0</v>
      </c>
      <c r="AD84" s="120">
        <v>0</v>
      </c>
      <c r="AE84" s="120">
        <v>0</v>
      </c>
      <c r="AF84" s="142"/>
      <c r="AG84" s="120">
        <v>0</v>
      </c>
      <c r="AH84" s="120">
        <v>0</v>
      </c>
      <c r="AI84" s="120">
        <v>0</v>
      </c>
      <c r="AJ84" s="120">
        <v>0</v>
      </c>
      <c r="AK84" s="142">
        <f t="shared" si="61"/>
        <v>0</v>
      </c>
      <c r="AL84" s="120">
        <v>0</v>
      </c>
      <c r="AM84" s="121">
        <v>-3</v>
      </c>
      <c r="AN84" s="120">
        <v>0</v>
      </c>
      <c r="AO84" s="120">
        <v>8</v>
      </c>
      <c r="AP84" s="142">
        <f t="shared" si="83"/>
        <v>5</v>
      </c>
      <c r="AQ84" s="120">
        <v>1934</v>
      </c>
      <c r="AR84" s="121">
        <v>-1731</v>
      </c>
      <c r="AS84" s="120">
        <v>-55</v>
      </c>
      <c r="AT84" s="120">
        <v>-180</v>
      </c>
      <c r="AU84" s="142">
        <f t="shared" si="87"/>
        <v>-32</v>
      </c>
      <c r="AV84" s="120">
        <v>177.13706999999999</v>
      </c>
      <c r="AW84" s="120">
        <v>-10.201050000000279</v>
      </c>
      <c r="AX84" s="120">
        <v>-185.70141000000015</v>
      </c>
      <c r="AY84" s="120">
        <f>'DRE CAIXA SEGURIDADE CONTABIL'!AY84</f>
        <v>-255</v>
      </c>
      <c r="AZ84" s="142">
        <f t="shared" si="88"/>
        <v>-273.76539000000048</v>
      </c>
      <c r="BA84" s="547">
        <v>-9.1789299999997009</v>
      </c>
      <c r="BB84" s="1"/>
      <c r="BC84" s="1"/>
      <c r="BD84" s="1"/>
      <c r="BE84" s="1"/>
    </row>
    <row r="85" spans="1:57">
      <c r="A85" s="73"/>
      <c r="B85" s="73" t="s">
        <v>375</v>
      </c>
      <c r="C85" s="560">
        <v>0</v>
      </c>
      <c r="D85" s="560">
        <v>0</v>
      </c>
      <c r="E85" s="560">
        <v>0</v>
      </c>
      <c r="F85" s="561">
        <v>-807</v>
      </c>
      <c r="G85" s="562">
        <f>SUM(C85:F85)</f>
        <v>-807</v>
      </c>
      <c r="H85" s="560">
        <v>0</v>
      </c>
      <c r="I85" s="560">
        <v>0</v>
      </c>
      <c r="J85" s="560">
        <v>0</v>
      </c>
      <c r="K85" s="561">
        <v>-858</v>
      </c>
      <c r="L85" s="562">
        <f>SUM(H85:K85)</f>
        <v>-858</v>
      </c>
      <c r="M85" s="560">
        <v>0</v>
      </c>
      <c r="N85" s="560">
        <v>0</v>
      </c>
      <c r="O85" s="560">
        <v>0</v>
      </c>
      <c r="P85" s="561">
        <v>-1211</v>
      </c>
      <c r="Q85" s="562">
        <f>SUM(M85:P85)</f>
        <v>-1211</v>
      </c>
      <c r="R85" s="560">
        <v>0</v>
      </c>
      <c r="S85" s="560">
        <v>0</v>
      </c>
      <c r="T85" s="561">
        <v>-334</v>
      </c>
      <c r="U85" s="561">
        <v>-635</v>
      </c>
      <c r="V85" s="562">
        <f>SUM(R85:U85)</f>
        <v>-969</v>
      </c>
      <c r="W85" s="563">
        <v>-24</v>
      </c>
      <c r="X85" s="560">
        <v>0</v>
      </c>
      <c r="Y85" s="560">
        <v>0</v>
      </c>
      <c r="Z85" s="563">
        <v>-1021</v>
      </c>
      <c r="AA85" s="562">
        <f>SUM(W85:Z85)</f>
        <v>-1045</v>
      </c>
      <c r="AB85" s="560">
        <v>0</v>
      </c>
      <c r="AC85" s="560">
        <v>0</v>
      </c>
      <c r="AD85" s="560">
        <v>0</v>
      </c>
      <c r="AE85" s="560">
        <v>0.18190833333333334</v>
      </c>
      <c r="AF85" s="562">
        <f>SUM(AB85:AE85)</f>
        <v>0.18190833333333334</v>
      </c>
      <c r="AG85" s="560">
        <v>0</v>
      </c>
      <c r="AH85" s="560">
        <v>0</v>
      </c>
      <c r="AI85" s="560">
        <v>0</v>
      </c>
      <c r="AJ85" s="560">
        <v>0</v>
      </c>
      <c r="AK85" s="562">
        <f t="shared" si="61"/>
        <v>0</v>
      </c>
      <c r="AL85" s="157">
        <v>2</v>
      </c>
      <c r="AM85" s="157"/>
      <c r="AN85" s="120"/>
      <c r="AO85" s="120"/>
      <c r="AP85" s="142">
        <f>SUM(AL85:AO85)</f>
        <v>2</v>
      </c>
      <c r="AQ85" s="120"/>
      <c r="AR85" s="157"/>
      <c r="AS85" s="120"/>
      <c r="AT85" s="120"/>
      <c r="AU85" s="142">
        <f>SUM(AQ85:AT85)</f>
        <v>0</v>
      </c>
      <c r="AV85" s="120"/>
      <c r="AW85" s="120"/>
      <c r="AX85" s="120"/>
      <c r="AY85" s="120"/>
      <c r="AZ85" s="142">
        <f t="shared" si="88"/>
        <v>0</v>
      </c>
      <c r="BA85" s="547"/>
      <c r="BB85" s="1"/>
      <c r="BC85" s="1"/>
      <c r="BD85" s="1"/>
      <c r="BE85" s="1"/>
    </row>
    <row r="86" spans="1:57">
      <c r="A86" s="15"/>
      <c r="B86" s="15" t="s">
        <v>367</v>
      </c>
      <c r="C86" s="140">
        <v>260325.72104546329</v>
      </c>
      <c r="D86" s="140">
        <v>233607.79346622509</v>
      </c>
      <c r="E86" s="140">
        <v>250120.88810123503</v>
      </c>
      <c r="F86" s="140">
        <v>271245.43112074159</v>
      </c>
      <c r="G86" s="273">
        <v>1015299.8337336651</v>
      </c>
      <c r="H86" s="140">
        <v>299636.91821039084</v>
      </c>
      <c r="I86" s="140">
        <v>324358.13287195488</v>
      </c>
      <c r="J86" s="140">
        <v>296498.3220766228</v>
      </c>
      <c r="K86" s="140">
        <v>307094.03125319869</v>
      </c>
      <c r="L86" s="273">
        <v>1227587.4044121671</v>
      </c>
      <c r="M86" s="140">
        <v>344791.13819298515</v>
      </c>
      <c r="N86" s="140">
        <v>307198.75655234052</v>
      </c>
      <c r="O86" s="140">
        <v>342830.730937891</v>
      </c>
      <c r="P86" s="140">
        <v>408593.1110860933</v>
      </c>
      <c r="Q86" s="273">
        <v>1403413.73676931</v>
      </c>
      <c r="R86" s="140">
        <v>367904.19373686204</v>
      </c>
      <c r="S86" s="140">
        <v>364632.88342320477</v>
      </c>
      <c r="T86" s="140">
        <v>414877.86385084997</v>
      </c>
      <c r="U86" s="140">
        <v>328616.05831149331</v>
      </c>
      <c r="V86" s="273">
        <v>1476030.9993224102</v>
      </c>
      <c r="W86" s="140">
        <v>394169.03704340296</v>
      </c>
      <c r="X86" s="140">
        <v>372684.29306291486</v>
      </c>
      <c r="Y86" s="140">
        <v>494105.12199499994</v>
      </c>
      <c r="Z86" s="140">
        <v>435215.04735315335</v>
      </c>
      <c r="AA86" s="273">
        <v>1696173.499454471</v>
      </c>
      <c r="AB86" s="140">
        <v>405041.24148999999</v>
      </c>
      <c r="AC86" s="140">
        <v>397954.11887463002</v>
      </c>
      <c r="AD86" s="140">
        <v>465297.61981624999</v>
      </c>
      <c r="AE86" s="140">
        <v>538273.75512531004</v>
      </c>
      <c r="AF86" s="273">
        <v>1806566.7353061901</v>
      </c>
      <c r="AG86" s="140">
        <f t="shared" ref="AG86:AL86" si="89">AG78+AG80</f>
        <v>531617</v>
      </c>
      <c r="AH86" s="140">
        <f t="shared" si="89"/>
        <v>665831</v>
      </c>
      <c r="AI86" s="140">
        <f t="shared" si="89"/>
        <v>760065</v>
      </c>
      <c r="AJ86" s="140">
        <f t="shared" si="89"/>
        <v>948432</v>
      </c>
      <c r="AK86" s="273">
        <f t="shared" si="61"/>
        <v>2905945</v>
      </c>
      <c r="AL86" s="140">
        <f t="shared" si="89"/>
        <v>840370</v>
      </c>
      <c r="AM86" s="140">
        <f>AM78+AM80</f>
        <v>822578</v>
      </c>
      <c r="AN86" s="140">
        <f>AN78+AN80</f>
        <v>916574</v>
      </c>
      <c r="AO86" s="140">
        <f>AO78+AO80</f>
        <v>922413</v>
      </c>
      <c r="AP86" s="273">
        <f t="shared" si="83"/>
        <v>3501935</v>
      </c>
      <c r="AQ86" s="140">
        <f>AQ78+AQ80</f>
        <v>924342</v>
      </c>
      <c r="AR86" s="140">
        <f t="shared" ref="AR86:AT86" si="90">AR78+AR80</f>
        <v>770299.61630000011</v>
      </c>
      <c r="AS86" s="140">
        <f t="shared" si="90"/>
        <v>1005316.67114</v>
      </c>
      <c r="AT86" s="140">
        <f t="shared" si="90"/>
        <v>1056823.56174</v>
      </c>
      <c r="AU86" s="273">
        <f t="shared" si="87"/>
        <v>3756781.8491799999</v>
      </c>
      <c r="AV86" s="140">
        <f>AV78+AV80</f>
        <v>1009322.2063799999</v>
      </c>
      <c r="AW86" s="140">
        <f>AW78+AW80</f>
        <v>1041585.1476</v>
      </c>
      <c r="AX86" s="140">
        <f t="shared" ref="AX86:AY86" si="91">AX78+AX80</f>
        <v>1140159.60195</v>
      </c>
      <c r="AY86" s="140">
        <f t="shared" si="91"/>
        <v>1124825.3410900012</v>
      </c>
      <c r="AZ86" s="273">
        <f>SUM(AV86:AY86)</f>
        <v>4315892.2970200013</v>
      </c>
      <c r="BA86" s="140">
        <f t="shared" ref="BA86" si="92">BA78+BA80</f>
        <v>1142975.2857600001</v>
      </c>
      <c r="BB86" s="1"/>
      <c r="BC86" s="1"/>
      <c r="BD86" s="1"/>
      <c r="BE86" s="1"/>
    </row>
    <row r="87" spans="1:57">
      <c r="A87" s="9"/>
      <c r="B87" s="9" t="s">
        <v>368</v>
      </c>
      <c r="C87" s="274">
        <v>18187.27895453672</v>
      </c>
      <c r="D87" s="274">
        <v>20656.206533774923</v>
      </c>
      <c r="E87" s="274">
        <v>20856.749418764994</v>
      </c>
      <c r="F87" s="274">
        <v>14592.931359258419</v>
      </c>
      <c r="G87" s="275">
        <v>74293.166266335058</v>
      </c>
      <c r="H87" s="274">
        <v>21592.651269609149</v>
      </c>
      <c r="I87" s="274">
        <v>15983.778238045166</v>
      </c>
      <c r="J87" s="274">
        <v>18152.455953377219</v>
      </c>
      <c r="K87" s="274">
        <v>15533.790506801284</v>
      </c>
      <c r="L87" s="275">
        <v>71262.675967832824</v>
      </c>
      <c r="M87" s="274">
        <v>25355.829697014771</v>
      </c>
      <c r="N87" s="274">
        <v>16255.212067659457</v>
      </c>
      <c r="O87" s="274">
        <v>15983.445532108901</v>
      </c>
      <c r="P87" s="274">
        <v>16599.470323906869</v>
      </c>
      <c r="Q87" s="275">
        <v>74193.957620689995</v>
      </c>
      <c r="R87" s="274">
        <v>27532.806263137943</v>
      </c>
      <c r="S87" s="274">
        <v>19014.116576795255</v>
      </c>
      <c r="T87" s="274">
        <v>22232.136149150007</v>
      </c>
      <c r="U87" s="274">
        <v>-8753.3329314933217</v>
      </c>
      <c r="V87" s="275">
        <v>60025.726057589884</v>
      </c>
      <c r="W87" s="274">
        <v>19760.962956597043</v>
      </c>
      <c r="X87" s="274">
        <v>21253.706937085131</v>
      </c>
      <c r="Y87" s="274">
        <v>14024.878005000122</v>
      </c>
      <c r="Z87" s="274">
        <v>18199.952646846628</v>
      </c>
      <c r="AA87" s="275">
        <v>73239.500545528921</v>
      </c>
      <c r="AB87" s="274">
        <v>26616</v>
      </c>
      <c r="AC87" s="274">
        <v>28679.30739537</v>
      </c>
      <c r="AD87" s="274">
        <v>26839.053043750002</v>
      </c>
      <c r="AE87" s="274">
        <v>7451.24487469</v>
      </c>
      <c r="AF87" s="275">
        <v>89585.605313810011</v>
      </c>
      <c r="AG87" s="274">
        <v>25420.512500000001</v>
      </c>
      <c r="AH87" s="274">
        <v>14955.57</v>
      </c>
      <c r="AI87" s="274">
        <v>6184.6849999999995</v>
      </c>
      <c r="AJ87" s="274">
        <v>334.3725</v>
      </c>
      <c r="AK87" s="275">
        <f>SUM(AG87:AJ87)</f>
        <v>46895.14</v>
      </c>
      <c r="AL87" s="274">
        <v>0</v>
      </c>
      <c r="AM87" s="342">
        <v>0</v>
      </c>
      <c r="AN87" s="274">
        <v>0</v>
      </c>
      <c r="AO87" s="274">
        <v>0</v>
      </c>
      <c r="AP87" s="275">
        <f>SUM(AL87:AO87)</f>
        <v>0</v>
      </c>
      <c r="AQ87" s="274"/>
      <c r="AR87" s="342"/>
      <c r="AS87" s="274"/>
      <c r="AT87" s="274"/>
      <c r="AU87" s="275">
        <f>SUM(AQ87:AT87)</f>
        <v>0</v>
      </c>
      <c r="AV87" s="274"/>
      <c r="AW87" s="274"/>
      <c r="AX87" s="274"/>
      <c r="AY87" s="274"/>
      <c r="AZ87" s="275">
        <f t="shared" si="88"/>
        <v>0</v>
      </c>
      <c r="BA87" s="274"/>
      <c r="BB87" s="1"/>
      <c r="BC87" s="1"/>
      <c r="BD87" s="1"/>
      <c r="BE87" s="1"/>
    </row>
    <row r="88" spans="1:57" ht="15.75" thickBot="1">
      <c r="A88" s="15"/>
      <c r="B88" s="15" t="s">
        <v>369</v>
      </c>
      <c r="C88" s="140">
        <v>278513</v>
      </c>
      <c r="D88" s="140">
        <v>254264</v>
      </c>
      <c r="E88" s="140">
        <v>270977.63752000005</v>
      </c>
      <c r="F88" s="140">
        <v>285838.36248000001</v>
      </c>
      <c r="G88" s="292">
        <v>1089593</v>
      </c>
      <c r="H88" s="140">
        <v>321229.56948000001</v>
      </c>
      <c r="I88" s="140">
        <v>340341.91111000004</v>
      </c>
      <c r="J88" s="140">
        <v>314650.77803000004</v>
      </c>
      <c r="K88" s="140">
        <v>322627.82175999996</v>
      </c>
      <c r="L88" s="292">
        <v>1298850.0803800002</v>
      </c>
      <c r="M88" s="140">
        <v>370146.96788999991</v>
      </c>
      <c r="N88" s="140">
        <v>323453.96862</v>
      </c>
      <c r="O88" s="140">
        <v>358814.17646999989</v>
      </c>
      <c r="P88" s="140">
        <v>425192.58141000016</v>
      </c>
      <c r="Q88" s="292">
        <v>1477607.6943899998</v>
      </c>
      <c r="R88" s="140">
        <v>395437</v>
      </c>
      <c r="S88" s="140">
        <v>383647</v>
      </c>
      <c r="T88" s="140">
        <v>437110</v>
      </c>
      <c r="U88" s="140">
        <v>319862.72537999996</v>
      </c>
      <c r="V88" s="292">
        <v>1536056.72538</v>
      </c>
      <c r="W88" s="140">
        <v>413930</v>
      </c>
      <c r="X88" s="140">
        <v>393938</v>
      </c>
      <c r="Y88" s="140">
        <v>508130.00000000006</v>
      </c>
      <c r="Z88" s="140">
        <v>453415</v>
      </c>
      <c r="AA88" s="292">
        <v>1769413</v>
      </c>
      <c r="AB88" s="140">
        <v>431657.24148999999</v>
      </c>
      <c r="AC88" s="140">
        <v>426633.42627</v>
      </c>
      <c r="AD88" s="140">
        <v>492136.67285999999</v>
      </c>
      <c r="AE88" s="140">
        <v>545725</v>
      </c>
      <c r="AF88" s="292">
        <v>1896152.3406199999</v>
      </c>
      <c r="AG88" s="140">
        <f t="shared" ref="AG88:AL88" si="93">AG86+AG87</f>
        <v>557037.51249999995</v>
      </c>
      <c r="AH88" s="140">
        <f t="shared" si="93"/>
        <v>680786.57</v>
      </c>
      <c r="AI88" s="140">
        <f t="shared" si="93"/>
        <v>766249.68500000006</v>
      </c>
      <c r="AJ88" s="140">
        <f t="shared" si="93"/>
        <v>948766.37250000006</v>
      </c>
      <c r="AK88" s="292">
        <f t="shared" ref="AK88" si="94">SUM(AG88:AJ88)</f>
        <v>2952840.14</v>
      </c>
      <c r="AL88" s="140">
        <f t="shared" si="93"/>
        <v>840370</v>
      </c>
      <c r="AM88" s="140">
        <f>AM86+AM87</f>
        <v>822578</v>
      </c>
      <c r="AN88" s="140">
        <f>AN86+AN87</f>
        <v>916574</v>
      </c>
      <c r="AO88" s="140">
        <f>AO86+AO87</f>
        <v>922413</v>
      </c>
      <c r="AP88" s="292">
        <f t="shared" ref="AP88" si="95">SUM(AL88:AO88)</f>
        <v>3501935</v>
      </c>
      <c r="AQ88" s="140">
        <f t="shared" ref="AQ88:AV88" si="96">AQ86+AQ87</f>
        <v>924342</v>
      </c>
      <c r="AR88" s="140">
        <f t="shared" si="96"/>
        <v>770299.61630000011</v>
      </c>
      <c r="AS88" s="140">
        <f t="shared" si="96"/>
        <v>1005316.67114</v>
      </c>
      <c r="AT88" s="140">
        <f t="shared" si="96"/>
        <v>1056823.56174</v>
      </c>
      <c r="AU88" s="292">
        <f t="shared" ref="AU88" si="97">SUM(AQ88:AT88)</f>
        <v>3756781.8491799999</v>
      </c>
      <c r="AV88" s="140">
        <f t="shared" si="96"/>
        <v>1009322.2063799999</v>
      </c>
      <c r="AW88" s="140">
        <f>AW86+AW87</f>
        <v>1041585.1476</v>
      </c>
      <c r="AX88" s="140">
        <f>AX86+AX87</f>
        <v>1140159.60195</v>
      </c>
      <c r="AY88" s="140">
        <f>AY86+AY87</f>
        <v>1124825.3410900012</v>
      </c>
      <c r="AZ88" s="292">
        <f>AZ86+AZ87</f>
        <v>4315892.2970200013</v>
      </c>
      <c r="BA88" s="140">
        <f>BA86+BA87</f>
        <v>1142975.2857600001</v>
      </c>
      <c r="BB88" s="1"/>
      <c r="BC88" s="1"/>
      <c r="BD88" s="1"/>
      <c r="BE88" s="1"/>
    </row>
    <row r="89" spans="1:57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</row>
    <row r="90" spans="1:57">
      <c r="A90" s="284"/>
      <c r="B90" s="284" t="s">
        <v>377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283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8"/>
      <c r="AN90" s="52"/>
      <c r="AO90" s="52"/>
      <c r="AP90" s="52"/>
      <c r="AQ90" s="52"/>
      <c r="AR90" s="8"/>
      <c r="AS90" s="52"/>
      <c r="AT90" s="52"/>
      <c r="AU90" s="52"/>
      <c r="AV90" s="52"/>
      <c r="AW90" s="52"/>
      <c r="AX90" s="52"/>
      <c r="AY90" s="52"/>
      <c r="AZ90" s="52"/>
      <c r="BA90" s="52"/>
    </row>
    <row r="91" spans="1:57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</row>
    <row r="92" spans="1:57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</row>
    <row r="93" spans="1:57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>
        <f>AG83+AG82</f>
        <v>-14052</v>
      </c>
      <c r="AH93" s="52">
        <f>AH83+AH82</f>
        <v>-6052</v>
      </c>
      <c r="AI93" s="52">
        <f>AI83+AI82</f>
        <v>-6560</v>
      </c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</row>
    <row r="94" spans="1:57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</row>
  </sheetData>
  <phoneticPr fontId="18" type="noConversion"/>
  <conditionalFormatting sqref="BB7:BF60 BB61:BC63 BB64:BE88">
    <cfRule type="cellIs" dxfId="165" priority="1" operator="lessThan">
      <formula>-1</formula>
    </cfRule>
    <cfRule type="cellIs" dxfId="164" priority="2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89F5-3222-487F-A43A-6B55AB2993B5}">
  <dimension ref="A1:CK104"/>
  <sheetViews>
    <sheetView showGridLines="0" showRowColHeaders="0" zoomScale="75" zoomScaleNormal="75" workbookViewId="0">
      <pane xSplit="2" ySplit="6" topLeftCell="AV7" activePane="bottomRight" state="frozen"/>
      <selection activeCell="M8" sqref="M8"/>
      <selection pane="topRight" activeCell="M8" sqref="M8"/>
      <selection pane="bottomLeft" activeCell="M8" sqref="M8"/>
      <selection pane="bottomRight" activeCell="A4" sqref="A4"/>
    </sheetView>
  </sheetViews>
  <sheetFormatPr defaultRowHeight="15" outlineLevelCol="1"/>
  <cols>
    <col min="1" max="1" width="2.5703125" customWidth="1"/>
    <col min="2" max="2" width="70.7109375" customWidth="1"/>
    <col min="3" max="6" width="10.42578125" hidden="1" customWidth="1" outlineLevel="1"/>
    <col min="7" max="7" width="11.5703125" customWidth="1" collapsed="1"/>
    <col min="8" max="11" width="10.42578125" hidden="1" customWidth="1" outlineLevel="1"/>
    <col min="12" max="12" width="11.42578125" customWidth="1" collapsed="1"/>
    <col min="13" max="16" width="10.42578125" hidden="1" customWidth="1" outlineLevel="1"/>
    <col min="17" max="17" width="11.5703125" customWidth="1" collapsed="1"/>
    <col min="18" max="21" width="10.42578125" hidden="1" customWidth="1" outlineLevel="1"/>
    <col min="22" max="22" width="11.42578125" customWidth="1" collapsed="1"/>
    <col min="23" max="26" width="10.42578125" hidden="1" customWidth="1" outlineLevel="1"/>
    <col min="27" max="27" width="12" customWidth="1" collapsed="1"/>
    <col min="28" max="28" width="12.5703125" hidden="1" customWidth="1" outlineLevel="1"/>
    <col min="29" max="31" width="11.5703125" hidden="1" customWidth="1" outlineLevel="1"/>
    <col min="32" max="32" width="11.42578125" customWidth="1" collapsed="1"/>
    <col min="33" max="36" width="11.5703125" hidden="1" customWidth="1" outlineLevel="1"/>
    <col min="37" max="37" width="12" customWidth="1" collapsed="1"/>
    <col min="38" max="41" width="12.42578125" hidden="1" customWidth="1" outlineLevel="1"/>
    <col min="42" max="42" width="12" customWidth="1" collapsed="1"/>
    <col min="43" max="43" width="13.5703125" hidden="1" customWidth="1" outlineLevel="1"/>
    <col min="44" max="44" width="12.5703125" hidden="1" customWidth="1" outlineLevel="1"/>
    <col min="45" max="46" width="12.42578125" hidden="1" customWidth="1" outlineLevel="1"/>
    <col min="47" max="47" width="12" customWidth="1" collapsed="1"/>
    <col min="48" max="51" width="12.5703125" customWidth="1" outlineLevel="1"/>
    <col min="52" max="52" width="15.28515625" bestFit="1" customWidth="1"/>
    <col min="53" max="53" width="12.42578125" bestFit="1" customWidth="1"/>
  </cols>
  <sheetData>
    <row r="1" spans="1:89" ht="15" customHeight="1">
      <c r="A1" s="619"/>
      <c r="B1" s="619"/>
      <c r="C1" s="663" t="e">
        <f>VALUE(RIGHT(#REF!,2)&amp;LEFT(C6,1))</f>
        <v>#REF!</v>
      </c>
      <c r="D1" s="663" t="e">
        <f>VALUE(RIGHT(#REF!,2)&amp;LEFT(D6,1))</f>
        <v>#REF!</v>
      </c>
      <c r="E1" s="663" t="e">
        <f>VALUE(RIGHT(#REF!,2)&amp;LEFT(E6,1))</f>
        <v>#REF!</v>
      </c>
      <c r="F1" s="663" t="e">
        <f>VALUE(RIGHT(#REF!,2)&amp;LEFT(F6,1))</f>
        <v>#REF!</v>
      </c>
      <c r="G1" s="663"/>
      <c r="H1" s="663" t="e">
        <f>VALUE(RIGHT(#REF!,2)&amp;LEFT(H6,1))</f>
        <v>#REF!</v>
      </c>
      <c r="I1" s="663" t="e">
        <f>VALUE(RIGHT(#REF!,2)&amp;LEFT(I6,1))</f>
        <v>#REF!</v>
      </c>
      <c r="J1" s="663" t="e">
        <f>VALUE(RIGHT(#REF!,2)&amp;LEFT(J6,1))</f>
        <v>#REF!</v>
      </c>
      <c r="K1" s="663" t="e">
        <f>VALUE(RIGHT(#REF!,2)&amp;LEFT(K6,1))</f>
        <v>#REF!</v>
      </c>
      <c r="L1" s="663"/>
      <c r="M1" s="663" t="e">
        <f>VALUE(RIGHT(#REF!,2)&amp;LEFT(M6,1))</f>
        <v>#REF!</v>
      </c>
      <c r="N1" s="663" t="e">
        <f>VALUE(RIGHT(#REF!,2)&amp;LEFT(N6,1))</f>
        <v>#REF!</v>
      </c>
      <c r="O1" s="663" t="e">
        <f>VALUE(RIGHT(#REF!,2)&amp;LEFT(O6,1))</f>
        <v>#REF!</v>
      </c>
      <c r="P1" s="663" t="e">
        <f>VALUE(RIGHT(#REF!,2)&amp;LEFT(P6,1))</f>
        <v>#REF!</v>
      </c>
      <c r="Q1" s="663"/>
      <c r="R1" s="663" t="e">
        <f>VALUE(RIGHT(#REF!,2)&amp;LEFT(R6,1))</f>
        <v>#REF!</v>
      </c>
      <c r="S1" s="663" t="e">
        <f>VALUE(RIGHT(#REF!,2)&amp;LEFT(S6,1))</f>
        <v>#REF!</v>
      </c>
      <c r="T1" s="663" t="e">
        <f>VALUE(RIGHT(#REF!,2)&amp;LEFT(T6,1))</f>
        <v>#REF!</v>
      </c>
      <c r="U1" s="663" t="e">
        <f>VALUE(RIGHT(#REF!,2)&amp;LEFT(U6,1))</f>
        <v>#REF!</v>
      </c>
      <c r="V1" s="619"/>
      <c r="W1" s="663" t="e">
        <f>VALUE(RIGHT(#REF!,2)&amp;LEFT(W6,1))</f>
        <v>#REF!</v>
      </c>
      <c r="X1" s="663" t="e">
        <f>VALUE(RIGHT(#REF!,2)&amp;LEFT(X6,1))</f>
        <v>#REF!</v>
      </c>
      <c r="Y1" s="663" t="e">
        <f>VALUE(RIGHT(#REF!,2)&amp;LEFT(Y6,1))</f>
        <v>#REF!</v>
      </c>
      <c r="Z1" s="663" t="e">
        <f>VALUE(RIGHT(#REF!,2)&amp;LEFT(Z6,1))</f>
        <v>#REF!</v>
      </c>
      <c r="AA1" s="619"/>
      <c r="AB1" s="663" t="e">
        <f>VALUE(RIGHT(#REF!,2)&amp;LEFT(AB6,1))</f>
        <v>#REF!</v>
      </c>
      <c r="AC1" s="663" t="e">
        <f>VALUE(RIGHT(#REF!,2)&amp;LEFT(AC6,1))</f>
        <v>#REF!</v>
      </c>
      <c r="AD1" s="663" t="e">
        <f>VALUE(RIGHT(#REF!,2)&amp;LEFT(AD6,1))</f>
        <v>#REF!</v>
      </c>
      <c r="AE1" s="663" t="e">
        <f>VALUE(RIGHT(#REF!,2)&amp;LEFT(AE6,1))</f>
        <v>#REF!</v>
      </c>
      <c r="AF1" s="619"/>
      <c r="AG1" s="663"/>
      <c r="AH1" s="663"/>
      <c r="AI1" s="663"/>
      <c r="AJ1" s="663"/>
      <c r="AK1" s="619"/>
      <c r="AL1" s="663"/>
      <c r="AM1" s="663"/>
      <c r="AN1" s="663"/>
      <c r="AO1" s="663"/>
      <c r="AP1" s="619"/>
      <c r="AQ1" s="663"/>
      <c r="AR1" s="663"/>
      <c r="AS1" s="663"/>
      <c r="AT1" s="663"/>
      <c r="AU1" s="619"/>
      <c r="AV1" s="663"/>
      <c r="AW1" s="663"/>
      <c r="AX1" s="663"/>
      <c r="AY1" s="663"/>
      <c r="AZ1" s="631"/>
      <c r="BA1" s="630"/>
    </row>
    <row r="2" spans="1:89" ht="15" customHeight="1">
      <c r="A2" s="619"/>
      <c r="B2" s="619"/>
      <c r="C2" s="622">
        <f t="shared" ref="C2:S2" si="0">LEFT(C6,1)*3</f>
        <v>3</v>
      </c>
      <c r="D2" s="622">
        <f t="shared" si="0"/>
        <v>6</v>
      </c>
      <c r="E2" s="622">
        <f t="shared" si="0"/>
        <v>9</v>
      </c>
      <c r="F2" s="622">
        <f t="shared" si="0"/>
        <v>12</v>
      </c>
      <c r="G2" s="622"/>
      <c r="H2" s="622">
        <f t="shared" si="0"/>
        <v>3</v>
      </c>
      <c r="I2" s="622">
        <f t="shared" si="0"/>
        <v>6</v>
      </c>
      <c r="J2" s="622">
        <f t="shared" si="0"/>
        <v>9</v>
      </c>
      <c r="K2" s="622">
        <f t="shared" si="0"/>
        <v>12</v>
      </c>
      <c r="L2" s="622"/>
      <c r="M2" s="622">
        <f t="shared" si="0"/>
        <v>3</v>
      </c>
      <c r="N2" s="622">
        <f t="shared" si="0"/>
        <v>6</v>
      </c>
      <c r="O2" s="622">
        <f t="shared" si="0"/>
        <v>9</v>
      </c>
      <c r="P2" s="622">
        <f t="shared" si="0"/>
        <v>12</v>
      </c>
      <c r="Q2" s="622"/>
      <c r="R2" s="622">
        <f t="shared" si="0"/>
        <v>3</v>
      </c>
      <c r="S2" s="622">
        <f t="shared" si="0"/>
        <v>6</v>
      </c>
      <c r="T2" s="622">
        <f>LEFT(T6,1)*3</f>
        <v>9</v>
      </c>
      <c r="U2" s="622">
        <f>LEFT(U6,1)*3</f>
        <v>12</v>
      </c>
      <c r="V2" s="621"/>
      <c r="W2" s="622">
        <f t="shared" ref="W2:Z2" si="1">LEFT(W6,1)*3</f>
        <v>3</v>
      </c>
      <c r="X2" s="622">
        <f t="shared" si="1"/>
        <v>6</v>
      </c>
      <c r="Y2" s="622">
        <f t="shared" si="1"/>
        <v>9</v>
      </c>
      <c r="Z2" s="622">
        <f t="shared" si="1"/>
        <v>12</v>
      </c>
      <c r="AA2" s="621"/>
      <c r="AB2" s="622">
        <f t="shared" ref="AB2:AD2" si="2">LEFT(AB6,1)*3</f>
        <v>3</v>
      </c>
      <c r="AC2" s="622">
        <f t="shared" si="2"/>
        <v>6</v>
      </c>
      <c r="AD2" s="622">
        <f t="shared" si="2"/>
        <v>9</v>
      </c>
      <c r="AE2" s="622">
        <v>12</v>
      </c>
      <c r="AF2" s="621"/>
      <c r="AG2" s="622"/>
      <c r="AH2" s="622"/>
      <c r="AI2" s="622"/>
      <c r="AJ2" s="622"/>
      <c r="AK2" s="621"/>
      <c r="AL2" s="622"/>
      <c r="AM2" s="622"/>
      <c r="AN2" s="622"/>
      <c r="AO2" s="622"/>
      <c r="AP2" s="621"/>
      <c r="AQ2" s="622"/>
      <c r="AR2" s="622"/>
      <c r="AS2" s="622"/>
      <c r="AT2" s="622"/>
      <c r="AU2" s="621"/>
      <c r="AV2" s="622"/>
      <c r="AW2" s="622"/>
      <c r="AX2" s="622"/>
      <c r="AY2" s="622"/>
      <c r="AZ2" s="632"/>
      <c r="BA2" s="630"/>
    </row>
    <row r="3" spans="1:89" ht="50.1" customHeight="1">
      <c r="A3" s="635"/>
      <c r="B3" s="766" t="s">
        <v>378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63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89" ht="5.0999999999999996" customHeight="1"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</row>
    <row r="5" spans="1:89" ht="5.0999999999999996" customHeight="1" thickBot="1"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>
        <v>564293.25</v>
      </c>
      <c r="AM5" s="112">
        <v>558819</v>
      </c>
      <c r="AN5" s="112">
        <v>641590</v>
      </c>
      <c r="AO5" s="112">
        <v>625312</v>
      </c>
      <c r="AP5" s="112"/>
      <c r="AQ5" s="112">
        <v>1.249819</v>
      </c>
      <c r="AR5" s="112"/>
      <c r="AS5" s="112"/>
      <c r="AT5" s="112"/>
      <c r="AU5" s="112"/>
      <c r="AV5" s="112"/>
      <c r="AW5" s="112"/>
      <c r="AX5" s="112"/>
      <c r="AY5" s="112"/>
      <c r="AZ5" s="112"/>
      <c r="BA5" s="112"/>
    </row>
    <row r="6" spans="1:89" s="30" customFormat="1" ht="24.4" customHeight="1">
      <c r="A6" s="625"/>
      <c r="B6" s="625" t="s">
        <v>379</v>
      </c>
      <c r="C6" s="626" t="s">
        <v>224</v>
      </c>
      <c r="D6" s="626" t="s">
        <v>225</v>
      </c>
      <c r="E6" s="626" t="s">
        <v>226</v>
      </c>
      <c r="F6" s="626" t="s">
        <v>227</v>
      </c>
      <c r="G6" s="652">
        <v>2016</v>
      </c>
      <c r="H6" s="626" t="s">
        <v>228</v>
      </c>
      <c r="I6" s="626" t="s">
        <v>229</v>
      </c>
      <c r="J6" s="626" t="s">
        <v>230</v>
      </c>
      <c r="K6" s="626" t="s">
        <v>231</v>
      </c>
      <c r="L6" s="652">
        <v>2017</v>
      </c>
      <c r="M6" s="626" t="s">
        <v>232</v>
      </c>
      <c r="N6" s="626" t="s">
        <v>233</v>
      </c>
      <c r="O6" s="626" t="s">
        <v>234</v>
      </c>
      <c r="P6" s="626" t="s">
        <v>235</v>
      </c>
      <c r="Q6" s="652">
        <v>2018</v>
      </c>
      <c r="R6" s="626" t="s">
        <v>236</v>
      </c>
      <c r="S6" s="626" t="s">
        <v>237</v>
      </c>
      <c r="T6" s="626" t="s">
        <v>238</v>
      </c>
      <c r="U6" s="626" t="s">
        <v>239</v>
      </c>
      <c r="V6" s="652">
        <v>2019</v>
      </c>
      <c r="W6" s="626" t="s">
        <v>240</v>
      </c>
      <c r="X6" s="626" t="s">
        <v>241</v>
      </c>
      <c r="Y6" s="626" t="s">
        <v>242</v>
      </c>
      <c r="Z6" s="626" t="s">
        <v>243</v>
      </c>
      <c r="AA6" s="652">
        <v>2020</v>
      </c>
      <c r="AB6" s="626" t="s">
        <v>244</v>
      </c>
      <c r="AC6" s="626" t="s">
        <v>245</v>
      </c>
      <c r="AD6" s="626" t="s">
        <v>246</v>
      </c>
      <c r="AE6" s="626" t="s">
        <v>247</v>
      </c>
      <c r="AF6" s="652">
        <v>2021</v>
      </c>
      <c r="AG6" s="626" t="s">
        <v>248</v>
      </c>
      <c r="AH6" s="626" t="s">
        <v>249</v>
      </c>
      <c r="AI6" s="626" t="s">
        <v>250</v>
      </c>
      <c r="AJ6" s="626" t="s">
        <v>251</v>
      </c>
      <c r="AK6" s="652">
        <v>2022</v>
      </c>
      <c r="AL6" s="626" t="s">
        <v>252</v>
      </c>
      <c r="AM6" s="626" t="s">
        <v>253</v>
      </c>
      <c r="AN6" s="626" t="s">
        <v>254</v>
      </c>
      <c r="AO6" s="626" t="s">
        <v>255</v>
      </c>
      <c r="AP6" s="652">
        <v>2023</v>
      </c>
      <c r="AQ6" s="626" t="s">
        <v>223</v>
      </c>
      <c r="AR6" s="626" t="s">
        <v>256</v>
      </c>
      <c r="AS6" s="626" t="s">
        <v>357</v>
      </c>
      <c r="AT6" s="626" t="s">
        <v>358</v>
      </c>
      <c r="AU6" s="652">
        <v>2024</v>
      </c>
      <c r="AV6" s="626" t="s">
        <v>359</v>
      </c>
      <c r="AW6" s="626" t="s">
        <v>1115</v>
      </c>
      <c r="AX6" s="626" t="s">
        <v>1116</v>
      </c>
      <c r="AY6" s="626" t="s">
        <v>1117</v>
      </c>
      <c r="AZ6" s="653">
        <v>2025</v>
      </c>
      <c r="BA6" s="645" t="s">
        <v>1124</v>
      </c>
    </row>
    <row r="7" spans="1:89">
      <c r="A7" s="9"/>
      <c r="B7" s="9" t="s">
        <v>259</v>
      </c>
      <c r="C7" s="10">
        <v>293155.2338972927</v>
      </c>
      <c r="D7" s="10">
        <v>274306.7512371731</v>
      </c>
      <c r="E7" s="10">
        <v>298515.75263123499</v>
      </c>
      <c r="F7" s="10">
        <v>321110.40095796413</v>
      </c>
      <c r="G7" s="39">
        <f t="shared" ref="G7" si="3">SUM(C7:F7)</f>
        <v>1187088.1387236649</v>
      </c>
      <c r="H7" s="10">
        <v>349803.39588039089</v>
      </c>
      <c r="I7" s="10">
        <v>380408.93326195487</v>
      </c>
      <c r="J7" s="10">
        <v>356399.13188662275</v>
      </c>
      <c r="K7" s="10">
        <v>372620.93646319874</v>
      </c>
      <c r="L7" s="39">
        <f t="shared" ref="L7" si="4">SUM(H7:K7)</f>
        <v>1459232.3974921671</v>
      </c>
      <c r="M7" s="10">
        <v>350607.40147298522</v>
      </c>
      <c r="N7" s="10">
        <v>372958.0910123405</v>
      </c>
      <c r="O7" s="10">
        <v>410314.94054789108</v>
      </c>
      <c r="P7" s="10">
        <v>463585.47318609315</v>
      </c>
      <c r="Q7" s="39">
        <f t="shared" ref="Q7" si="5">SUM(M7:P7)</f>
        <v>1597465.9062193099</v>
      </c>
      <c r="R7" s="10">
        <v>429440.21516686206</v>
      </c>
      <c r="S7" s="10">
        <v>443928.21781320474</v>
      </c>
      <c r="T7" s="10">
        <v>501237.82600084989</v>
      </c>
      <c r="U7" s="10">
        <v>571799.84445149335</v>
      </c>
      <c r="V7" s="39">
        <f t="shared" ref="V7" si="6">SUM(R7:U7)</f>
        <v>1946406.1034324102</v>
      </c>
      <c r="W7" s="10">
        <v>472999.15802340291</v>
      </c>
      <c r="X7" s="10">
        <v>443355.76378291484</v>
      </c>
      <c r="Y7" s="10">
        <v>635864.27365499991</v>
      </c>
      <c r="Z7" s="10">
        <v>539882.51923315332</v>
      </c>
      <c r="AA7" s="39">
        <f t="shared" ref="AA7" si="7">SUM(W7:Z7)</f>
        <v>2092101.7146944711</v>
      </c>
      <c r="AB7" s="10">
        <v>496488.51129999995</v>
      </c>
      <c r="AC7" s="10">
        <v>512782.96380000003</v>
      </c>
      <c r="AD7" s="10">
        <v>632880.05135000008</v>
      </c>
      <c r="AE7" s="10">
        <v>719861.62354000006</v>
      </c>
      <c r="AF7" s="39">
        <f t="shared" ref="AF7" si="8">SUM(AB7:AE7)</f>
        <v>2362013.1499899998</v>
      </c>
      <c r="AG7" s="10">
        <v>701557</v>
      </c>
      <c r="AH7" s="10">
        <v>888340</v>
      </c>
      <c r="AI7" s="10">
        <v>1046151</v>
      </c>
      <c r="AJ7" s="10">
        <v>989519</v>
      </c>
      <c r="AK7" s="39">
        <f t="shared" ref="AK7" si="9">SUM(AG7:AJ7)</f>
        <v>3625567</v>
      </c>
      <c r="AL7" s="10">
        <v>1086873.25</v>
      </c>
      <c r="AM7" s="10">
        <v>1085672</v>
      </c>
      <c r="AN7" s="76">
        <v>1202901</v>
      </c>
      <c r="AO7" s="76">
        <v>1208265</v>
      </c>
      <c r="AP7" s="39">
        <f t="shared" ref="AP7" si="10">SUM(AL7:AO7)</f>
        <v>4583711.25</v>
      </c>
      <c r="AQ7" s="76">
        <v>1249819</v>
      </c>
      <c r="AR7" s="76">
        <v>1076009.1520799999</v>
      </c>
      <c r="AS7" s="76">
        <v>1329035.0375848541</v>
      </c>
      <c r="AT7" s="76">
        <v>1426984.1952</v>
      </c>
      <c r="AU7" s="39">
        <f t="shared" ref="AU7" si="11">SUM(AQ7:AT7)</f>
        <v>5081847.3848648537</v>
      </c>
      <c r="AV7" s="76">
        <f t="shared" ref="AV7:AW7" si="12">AV8+AV18+AV26</f>
        <v>1381345.73679</v>
      </c>
      <c r="AW7" s="76">
        <f t="shared" si="12"/>
        <v>1382340.28354</v>
      </c>
      <c r="AX7" s="76">
        <f t="shared" ref="AX7:BA7" si="13">AX8+AX18+AX26</f>
        <v>1509988.3875699998</v>
      </c>
      <c r="AY7" s="76">
        <f t="shared" si="13"/>
        <v>1487926.2085000009</v>
      </c>
      <c r="AZ7" s="39">
        <f t="shared" ref="AZ7:AZ45" si="14">SUM(AV7:AY7)</f>
        <v>5761600.6164000006</v>
      </c>
      <c r="BA7" s="76">
        <f t="shared" si="13"/>
        <v>1523738.19909</v>
      </c>
    </row>
    <row r="8" spans="1:89">
      <c r="A8" s="5"/>
      <c r="B8" s="5" t="s">
        <v>261</v>
      </c>
      <c r="C8" s="34">
        <v>218068.18025729267</v>
      </c>
      <c r="D8" s="34">
        <v>204924.82363717307</v>
      </c>
      <c r="E8" s="34">
        <v>218016.97780123501</v>
      </c>
      <c r="F8" s="34">
        <v>231474.28320796415</v>
      </c>
      <c r="G8" s="113">
        <f t="shared" ref="G8:G45" si="15">SUM(C8:F8)</f>
        <v>872484.26490366494</v>
      </c>
      <c r="H8" s="34">
        <v>225814.80685039086</v>
      </c>
      <c r="I8" s="34">
        <v>253499.91484195483</v>
      </c>
      <c r="J8" s="34">
        <v>223444.97083662276</v>
      </c>
      <c r="K8" s="34">
        <v>263613.12988319877</v>
      </c>
      <c r="L8" s="113">
        <f t="shared" ref="L8:L45" si="16">SUM(H8:K8)</f>
        <v>966372.82241216721</v>
      </c>
      <c r="M8" s="34">
        <v>232408.56226298524</v>
      </c>
      <c r="N8" s="34">
        <v>219542.65458234053</v>
      </c>
      <c r="O8" s="34">
        <v>257454.62589789109</v>
      </c>
      <c r="P8" s="34">
        <v>308738.47648609313</v>
      </c>
      <c r="Q8" s="113">
        <f t="shared" ref="Q8:Q45" si="17">SUM(M8:P8)</f>
        <v>1018144.31922931</v>
      </c>
      <c r="R8" s="34">
        <v>265590.93042686209</v>
      </c>
      <c r="S8" s="34">
        <v>259512.84920320474</v>
      </c>
      <c r="T8" s="34">
        <v>304987.43214084994</v>
      </c>
      <c r="U8" s="34">
        <v>377312.75994149328</v>
      </c>
      <c r="V8" s="113">
        <f t="shared" ref="V8:V45" si="18">SUM(R8:U8)</f>
        <v>1207403.97171241</v>
      </c>
      <c r="W8" s="34">
        <v>299932.46758340293</v>
      </c>
      <c r="X8" s="34">
        <v>286275.38978291483</v>
      </c>
      <c r="Y8" s="34">
        <v>309163.23565499991</v>
      </c>
      <c r="Z8" s="34">
        <v>302040.74950315332</v>
      </c>
      <c r="AA8" s="113">
        <f t="shared" ref="AA8:AA45" si="19">SUM(W8:Z8)</f>
        <v>1197411.842524471</v>
      </c>
      <c r="AB8" s="119">
        <v>301546.54121</v>
      </c>
      <c r="AC8" s="119">
        <v>298520.54684000002</v>
      </c>
      <c r="AD8" s="119">
        <v>278990.35178999999</v>
      </c>
      <c r="AE8" s="119">
        <v>359096.59004000004</v>
      </c>
      <c r="AF8" s="113">
        <f t="shared" ref="AF8:AF45" si="20">SUM(AB8:AE8)</f>
        <v>1238154.02988</v>
      </c>
      <c r="AG8" s="119">
        <v>374565</v>
      </c>
      <c r="AH8" s="119">
        <v>477539</v>
      </c>
      <c r="AI8" s="119">
        <v>513021</v>
      </c>
      <c r="AJ8" s="119">
        <v>573000</v>
      </c>
      <c r="AK8" s="113">
        <f t="shared" ref="AK8:AK45" si="21">SUM(AG8:AJ8)</f>
        <v>1938125</v>
      </c>
      <c r="AL8" s="119">
        <v>613372.25</v>
      </c>
      <c r="AM8" s="119">
        <v>604716</v>
      </c>
      <c r="AN8" s="119">
        <v>692046</v>
      </c>
      <c r="AO8" s="119">
        <v>679007</v>
      </c>
      <c r="AP8" s="113">
        <f t="shared" ref="AP8:AP45" si="22">SUM(AL8:AO8)</f>
        <v>2589141.25</v>
      </c>
      <c r="AQ8" s="119">
        <v>706644</v>
      </c>
      <c r="AR8" s="119">
        <v>530701.15208000003</v>
      </c>
      <c r="AS8" s="119">
        <v>755894.03758485406</v>
      </c>
      <c r="AT8" s="119">
        <v>758594.19519999996</v>
      </c>
      <c r="AU8" s="113">
        <f t="shared" ref="AU8:AU45" si="23">SUM(AQ8:AT8)</f>
        <v>2751833.3848648537</v>
      </c>
      <c r="AV8" s="119">
        <f t="shared" ref="AV8:AW8" si="24">SUM(AV9:AV17)</f>
        <v>766768.7975799999</v>
      </c>
      <c r="AW8" s="119">
        <f t="shared" si="24"/>
        <v>797206.77116000012</v>
      </c>
      <c r="AX8" s="119">
        <f t="shared" ref="AX8" si="25">SUM(AX9:AX17)</f>
        <v>874899.35850999993</v>
      </c>
      <c r="AY8" s="119">
        <f>SUM(AY9:AY17)</f>
        <v>865371.14068000077</v>
      </c>
      <c r="AZ8" s="113">
        <f t="shared" si="14"/>
        <v>3304246.0679300004</v>
      </c>
      <c r="BA8" s="119">
        <f>SUM(BA9:BA17)</f>
        <v>903051.40730999992</v>
      </c>
    </row>
    <row r="9" spans="1:89">
      <c r="A9" s="11"/>
      <c r="B9" s="11" t="s">
        <v>262</v>
      </c>
      <c r="C9" s="13">
        <v>205928.60085017027</v>
      </c>
      <c r="D9" s="13">
        <v>193301.22333676607</v>
      </c>
      <c r="E9" s="13">
        <v>208700.72586123503</v>
      </c>
      <c r="F9" s="13">
        <v>236010.46787549357</v>
      </c>
      <c r="G9" s="41">
        <f t="shared" si="15"/>
        <v>843941.017923665</v>
      </c>
      <c r="H9" s="13">
        <v>214028.75715039085</v>
      </c>
      <c r="I9" s="13">
        <v>243694.72966195483</v>
      </c>
      <c r="J9" s="13">
        <v>213268.78855662278</v>
      </c>
      <c r="K9" s="13">
        <v>242113.22219319872</v>
      </c>
      <c r="L9" s="41">
        <f t="shared" si="16"/>
        <v>913105.49756216723</v>
      </c>
      <c r="M9" s="13">
        <v>216667.09510298524</v>
      </c>
      <c r="N9" s="13">
        <v>209048.60740234054</v>
      </c>
      <c r="O9" s="13">
        <v>245748.8221778911</v>
      </c>
      <c r="P9" s="13">
        <v>288835.23492609314</v>
      </c>
      <c r="Q9" s="41">
        <f t="shared" si="17"/>
        <v>960299.75960930996</v>
      </c>
      <c r="R9" s="13">
        <v>252704.55294686207</v>
      </c>
      <c r="S9" s="13">
        <v>242710.97243320473</v>
      </c>
      <c r="T9" s="13">
        <v>286877.93122084998</v>
      </c>
      <c r="U9" s="13">
        <v>344148.47302149329</v>
      </c>
      <c r="V9" s="41">
        <f t="shared" si="18"/>
        <v>1126441.9296224101</v>
      </c>
      <c r="W9" s="13">
        <v>288437.10982340295</v>
      </c>
      <c r="X9" s="13">
        <v>272412.71835291485</v>
      </c>
      <c r="Y9" s="13">
        <v>296666.25223499991</v>
      </c>
      <c r="Z9" s="13">
        <v>276811.38236315333</v>
      </c>
      <c r="AA9" s="41">
        <f t="shared" si="19"/>
        <v>1134327.4627744709</v>
      </c>
      <c r="AB9" s="13">
        <v>102353.31213999999</v>
      </c>
      <c r="AC9" s="13">
        <v>97747.342810000002</v>
      </c>
      <c r="AD9" s="13">
        <v>70903.211729999995</v>
      </c>
      <c r="AE9" s="13">
        <v>104435.68768</v>
      </c>
      <c r="AF9" s="41">
        <f t="shared" si="20"/>
        <v>375439.55435999995</v>
      </c>
      <c r="AG9" s="13">
        <v>101280</v>
      </c>
      <c r="AH9" s="13">
        <v>89536</v>
      </c>
      <c r="AI9" s="13">
        <v>112269</v>
      </c>
      <c r="AJ9" s="13">
        <v>153901</v>
      </c>
      <c r="AK9" s="41">
        <f t="shared" si="21"/>
        <v>456986</v>
      </c>
      <c r="AL9" s="13">
        <v>118543</v>
      </c>
      <c r="AM9" s="13">
        <v>112679</v>
      </c>
      <c r="AN9" s="13">
        <v>144463</v>
      </c>
      <c r="AO9" s="13">
        <v>142368</v>
      </c>
      <c r="AP9" s="41">
        <f t="shared" si="22"/>
        <v>518053</v>
      </c>
      <c r="AQ9" s="13">
        <v>118213</v>
      </c>
      <c r="AR9" s="13">
        <v>85294.214430000007</v>
      </c>
      <c r="AS9" s="13">
        <v>122179.04358</v>
      </c>
      <c r="AT9" s="13">
        <v>120117.23793999999</v>
      </c>
      <c r="AU9" s="41">
        <f t="shared" si="23"/>
        <v>445803.49595000001</v>
      </c>
      <c r="AV9" s="13">
        <f>'DRE CAIXA SEG_CONTAB_IFRS4'!AV9</f>
        <v>102459.55097000001</v>
      </c>
      <c r="AW9" s="13">
        <f>'DRE CAIXA SEG_CONTAB_IFRS4'!AW9</f>
        <v>113241.78522000001</v>
      </c>
      <c r="AX9" s="13">
        <f>'DRE CAIXA SEG_CONTAB_IFRS4'!AX9</f>
        <v>116971.74971999999</v>
      </c>
      <c r="AY9" s="13">
        <v>128111.21147000001</v>
      </c>
      <c r="AZ9" s="41">
        <f t="shared" si="14"/>
        <v>460784.29738</v>
      </c>
      <c r="BA9" s="1">
        <v>117098.58534000001</v>
      </c>
      <c r="CF9" s="298"/>
      <c r="CG9" s="298"/>
      <c r="CH9" s="298"/>
      <c r="CJ9" s="298"/>
      <c r="CK9" s="298"/>
    </row>
    <row r="10" spans="1:89">
      <c r="A10" s="11"/>
      <c r="B10" s="11" t="s">
        <v>263</v>
      </c>
      <c r="C10" s="13">
        <v>0</v>
      </c>
      <c r="D10" s="13">
        <v>0</v>
      </c>
      <c r="E10" s="13">
        <v>0</v>
      </c>
      <c r="F10" s="13">
        <v>0</v>
      </c>
      <c r="G10" s="41">
        <f t="shared" si="15"/>
        <v>0</v>
      </c>
      <c r="H10" s="13">
        <v>0</v>
      </c>
      <c r="I10" s="13">
        <v>0</v>
      </c>
      <c r="J10" s="13">
        <v>0</v>
      </c>
      <c r="K10" s="13">
        <v>0</v>
      </c>
      <c r="L10" s="41">
        <f t="shared" si="16"/>
        <v>0</v>
      </c>
      <c r="M10" s="13">
        <v>0</v>
      </c>
      <c r="N10" s="13">
        <v>0</v>
      </c>
      <c r="O10" s="13">
        <v>0</v>
      </c>
      <c r="P10" s="13">
        <v>0</v>
      </c>
      <c r="Q10" s="41">
        <f t="shared" si="17"/>
        <v>0</v>
      </c>
      <c r="R10" s="13">
        <v>0</v>
      </c>
      <c r="S10" s="13">
        <v>0</v>
      </c>
      <c r="T10" s="13">
        <v>0</v>
      </c>
      <c r="U10" s="13">
        <v>0</v>
      </c>
      <c r="V10" s="41">
        <f t="shared" si="18"/>
        <v>0</v>
      </c>
      <c r="W10" s="13">
        <v>0</v>
      </c>
      <c r="X10" s="13">
        <v>0</v>
      </c>
      <c r="Y10" s="13">
        <v>55.539000000000001</v>
      </c>
      <c r="Z10" s="13">
        <v>442.16998000000001</v>
      </c>
      <c r="AA10" s="41">
        <f t="shared" si="19"/>
        <v>497.70898</v>
      </c>
      <c r="AB10" s="13">
        <v>207267.38247000001</v>
      </c>
      <c r="AC10" s="13">
        <v>204071.52911999996</v>
      </c>
      <c r="AD10" s="13">
        <v>200938.49518999999</v>
      </c>
      <c r="AE10" s="13">
        <v>224796.31309000004</v>
      </c>
      <c r="AF10" s="41">
        <f t="shared" si="20"/>
        <v>837073.71987000003</v>
      </c>
      <c r="AG10" s="13">
        <v>221744</v>
      </c>
      <c r="AH10" s="13">
        <v>314715</v>
      </c>
      <c r="AI10" s="13">
        <v>291565</v>
      </c>
      <c r="AJ10" s="13">
        <v>289806</v>
      </c>
      <c r="AK10" s="41">
        <f t="shared" si="21"/>
        <v>1117830</v>
      </c>
      <c r="AL10" s="13">
        <v>337257</v>
      </c>
      <c r="AM10" s="13">
        <v>330715</v>
      </c>
      <c r="AN10" s="13">
        <v>353416</v>
      </c>
      <c r="AO10" s="13">
        <v>328923</v>
      </c>
      <c r="AP10" s="41">
        <f t="shared" si="22"/>
        <v>1350311</v>
      </c>
      <c r="AQ10" s="13">
        <v>359377</v>
      </c>
      <c r="AR10" s="13">
        <v>225094.60947999998</v>
      </c>
      <c r="AS10" s="13">
        <v>363218.28548485402</v>
      </c>
      <c r="AT10" s="13">
        <v>374623.80388000002</v>
      </c>
      <c r="AU10" s="41">
        <f t="shared" si="23"/>
        <v>1322313.698844854</v>
      </c>
      <c r="AV10" s="13">
        <f>'DRE CAIXA SEG_CONTAB_IFRS4'!AV10</f>
        <v>357376.75735999993</v>
      </c>
      <c r="AW10" s="13">
        <f>'DRE CAIXA SEG_CONTAB_IFRS4'!AW10</f>
        <v>357319.62336999999</v>
      </c>
      <c r="AX10" s="13">
        <f>'DRE CAIXA SEG_CONTAB_IFRS4'!AX10</f>
        <v>397469.34869000007</v>
      </c>
      <c r="AY10" s="13">
        <v>403124.35963000002</v>
      </c>
      <c r="AZ10" s="41">
        <f t="shared" si="14"/>
        <v>1515290.0890500001</v>
      </c>
      <c r="BA10" s="1">
        <v>394905.29534999997</v>
      </c>
      <c r="CF10" s="298"/>
      <c r="CG10" s="298"/>
      <c r="CH10" s="298"/>
      <c r="CJ10" s="298"/>
      <c r="CK10" s="298"/>
    </row>
    <row r="11" spans="1:89">
      <c r="A11" s="11"/>
      <c r="B11" s="11" t="s">
        <v>264</v>
      </c>
      <c r="C11" s="13">
        <v>0</v>
      </c>
      <c r="D11" s="13">
        <v>0</v>
      </c>
      <c r="E11" s="13">
        <v>0</v>
      </c>
      <c r="F11" s="13">
        <v>0</v>
      </c>
      <c r="G11" s="41">
        <f t="shared" si="15"/>
        <v>0</v>
      </c>
      <c r="H11" s="13">
        <v>0</v>
      </c>
      <c r="I11" s="13">
        <v>0</v>
      </c>
      <c r="J11" s="13">
        <v>0</v>
      </c>
      <c r="K11" s="13">
        <v>0</v>
      </c>
      <c r="L11" s="41">
        <f t="shared" si="16"/>
        <v>0</v>
      </c>
      <c r="M11" s="13">
        <v>0</v>
      </c>
      <c r="N11" s="13">
        <v>0</v>
      </c>
      <c r="O11" s="13">
        <v>0</v>
      </c>
      <c r="P11" s="13">
        <v>0</v>
      </c>
      <c r="Q11" s="41">
        <f t="shared" si="17"/>
        <v>0</v>
      </c>
      <c r="R11" s="13">
        <v>0</v>
      </c>
      <c r="S11" s="13">
        <v>0</v>
      </c>
      <c r="T11" s="13">
        <v>0</v>
      </c>
      <c r="U11" s="13">
        <v>0</v>
      </c>
      <c r="V11" s="41">
        <f t="shared" si="18"/>
        <v>0</v>
      </c>
      <c r="W11" s="13">
        <v>0</v>
      </c>
      <c r="X11" s="13">
        <v>0</v>
      </c>
      <c r="Y11" s="13">
        <v>0</v>
      </c>
      <c r="Z11" s="13">
        <v>0</v>
      </c>
      <c r="AA11" s="41">
        <f t="shared" si="19"/>
        <v>0</v>
      </c>
      <c r="AB11" s="13">
        <v>-26142.165929999999</v>
      </c>
      <c r="AC11" s="13">
        <v>-15890.276809999999</v>
      </c>
      <c r="AD11" s="13">
        <v>-1194.7964499999955</v>
      </c>
      <c r="AE11" s="13">
        <v>9820.5491499999989</v>
      </c>
      <c r="AF11" s="41">
        <f t="shared" si="20"/>
        <v>-33406.690039999994</v>
      </c>
      <c r="AG11" s="13">
        <v>21438</v>
      </c>
      <c r="AH11" s="13">
        <v>38583</v>
      </c>
      <c r="AI11" s="13">
        <v>43588</v>
      </c>
      <c r="AJ11" s="13">
        <v>47342</v>
      </c>
      <c r="AK11" s="41">
        <f t="shared" si="21"/>
        <v>150951</v>
      </c>
      <c r="AL11" s="13">
        <v>60504</v>
      </c>
      <c r="AM11" s="13">
        <v>65667</v>
      </c>
      <c r="AN11" s="13">
        <v>79855</v>
      </c>
      <c r="AO11" s="13">
        <v>80651</v>
      </c>
      <c r="AP11" s="41">
        <f t="shared" si="22"/>
        <v>286677</v>
      </c>
      <c r="AQ11" s="13">
        <v>87528</v>
      </c>
      <c r="AR11" s="13">
        <v>82340.471750000026</v>
      </c>
      <c r="AS11" s="13">
        <v>108919.53276</v>
      </c>
      <c r="AT11" s="13">
        <v>111709.41759000003</v>
      </c>
      <c r="AU11" s="41">
        <f t="shared" si="23"/>
        <v>390497.42210000003</v>
      </c>
      <c r="AV11" s="13">
        <f>'DRE CAIXA SEG_CONTAB_IFRS4'!AV11</f>
        <v>129154.85290000009</v>
      </c>
      <c r="AW11" s="13">
        <f>'DRE CAIXA SEG_CONTAB_IFRS4'!AW11</f>
        <v>134272.98635999998</v>
      </c>
      <c r="AX11" s="13">
        <f>'DRE CAIXA SEG_CONTAB_IFRS4'!AX11</f>
        <v>149979.05123000001</v>
      </c>
      <c r="AY11" s="13">
        <v>157177.21138000028</v>
      </c>
      <c r="AZ11" s="41">
        <f t="shared" si="14"/>
        <v>570584.10187000036</v>
      </c>
      <c r="BA11" s="1">
        <v>175038.25928999996</v>
      </c>
      <c r="CF11" s="298"/>
      <c r="CG11" s="298"/>
      <c r="CH11" s="298"/>
      <c r="CJ11" s="298"/>
      <c r="CK11" s="298"/>
    </row>
    <row r="12" spans="1:89">
      <c r="A12" s="11"/>
      <c r="B12" s="11" t="s">
        <v>265</v>
      </c>
      <c r="C12" s="13">
        <v>0</v>
      </c>
      <c r="D12" s="13">
        <v>0</v>
      </c>
      <c r="E12" s="13">
        <v>0</v>
      </c>
      <c r="F12" s="13">
        <v>0</v>
      </c>
      <c r="G12" s="41">
        <f t="shared" si="15"/>
        <v>0</v>
      </c>
      <c r="H12" s="13">
        <v>0</v>
      </c>
      <c r="I12" s="13">
        <v>0</v>
      </c>
      <c r="J12" s="13">
        <v>0</v>
      </c>
      <c r="K12" s="13">
        <v>0</v>
      </c>
      <c r="L12" s="41">
        <f t="shared" si="16"/>
        <v>0</v>
      </c>
      <c r="M12" s="13">
        <v>0</v>
      </c>
      <c r="N12" s="13">
        <v>0</v>
      </c>
      <c r="O12" s="13">
        <v>0</v>
      </c>
      <c r="P12" s="13">
        <v>0</v>
      </c>
      <c r="Q12" s="41">
        <f t="shared" si="17"/>
        <v>0</v>
      </c>
      <c r="R12" s="13">
        <v>0</v>
      </c>
      <c r="S12" s="13">
        <v>0</v>
      </c>
      <c r="T12" s="13">
        <v>0</v>
      </c>
      <c r="U12" s="13">
        <v>0</v>
      </c>
      <c r="V12" s="41">
        <f t="shared" si="18"/>
        <v>0</v>
      </c>
      <c r="W12" s="13">
        <v>0</v>
      </c>
      <c r="X12" s="13">
        <v>0</v>
      </c>
      <c r="Y12" s="13">
        <v>0</v>
      </c>
      <c r="Z12" s="13">
        <v>0</v>
      </c>
      <c r="AA12" s="41">
        <f t="shared" si="19"/>
        <v>0</v>
      </c>
      <c r="AB12" s="13">
        <v>30.243200000000002</v>
      </c>
      <c r="AC12" s="13">
        <v>-703.26945999999998</v>
      </c>
      <c r="AD12" s="13">
        <v>2635.4137600000004</v>
      </c>
      <c r="AE12" s="13">
        <v>1172.3518700000004</v>
      </c>
      <c r="AF12" s="41">
        <f t="shared" si="20"/>
        <v>3134.7393700000007</v>
      </c>
      <c r="AG12" s="13">
        <v>11614</v>
      </c>
      <c r="AH12" s="13">
        <v>14022</v>
      </c>
      <c r="AI12" s="13">
        <v>27860</v>
      </c>
      <c r="AJ12" s="13">
        <v>23730</v>
      </c>
      <c r="AK12" s="41">
        <f t="shared" si="21"/>
        <v>77226</v>
      </c>
      <c r="AL12" s="13">
        <v>31345</v>
      </c>
      <c r="AM12" s="13">
        <v>26555</v>
      </c>
      <c r="AN12" s="13">
        <v>33691</v>
      </c>
      <c r="AO12" s="13">
        <v>34448</v>
      </c>
      <c r="AP12" s="41">
        <f t="shared" si="22"/>
        <v>126039</v>
      </c>
      <c r="AQ12" s="13">
        <v>36643</v>
      </c>
      <c r="AR12" s="13">
        <v>37166.929939999995</v>
      </c>
      <c r="AS12" s="13">
        <v>38393</v>
      </c>
      <c r="AT12" s="13">
        <v>42347.553019999999</v>
      </c>
      <c r="AU12" s="41">
        <f t="shared" si="23"/>
        <v>154550.48295999999</v>
      </c>
      <c r="AV12" s="13">
        <f>'DRE CAIXA SEG_CONTAB_IFRS4'!AV12</f>
        <v>51663.607490000002</v>
      </c>
      <c r="AW12" s="13">
        <f>'DRE CAIXA SEG_CONTAB_IFRS4'!AW12</f>
        <v>47591.004400000034</v>
      </c>
      <c r="AX12" s="13">
        <f>'DRE CAIXA SEG_CONTAB_IFRS4'!AX12</f>
        <v>52132.567649999917</v>
      </c>
      <c r="AY12" s="13">
        <f>'DRE CAIXA SEGURIDADE CONTABIL'!AY12</f>
        <v>51181.920330000015</v>
      </c>
      <c r="AZ12" s="41">
        <f t="shared" si="14"/>
        <v>202569.09986999998</v>
      </c>
      <c r="BA12" s="1">
        <v>60969.213029999999</v>
      </c>
      <c r="CF12" s="298"/>
      <c r="CG12" s="298"/>
      <c r="CH12" s="298"/>
      <c r="CJ12" s="298"/>
      <c r="CK12" s="298"/>
    </row>
    <row r="13" spans="1:89">
      <c r="A13" s="11"/>
      <c r="B13" s="11" t="s">
        <v>266</v>
      </c>
      <c r="C13" s="13">
        <v>0</v>
      </c>
      <c r="D13" s="13">
        <v>0</v>
      </c>
      <c r="E13" s="13">
        <v>0</v>
      </c>
      <c r="F13" s="13">
        <v>0</v>
      </c>
      <c r="G13" s="41">
        <f t="shared" si="15"/>
        <v>0</v>
      </c>
      <c r="H13" s="13">
        <v>0</v>
      </c>
      <c r="I13" s="13">
        <v>0</v>
      </c>
      <c r="J13" s="13">
        <v>0</v>
      </c>
      <c r="K13" s="13">
        <v>0</v>
      </c>
      <c r="L13" s="41">
        <f t="shared" si="16"/>
        <v>0</v>
      </c>
      <c r="M13" s="13">
        <v>0</v>
      </c>
      <c r="N13" s="13">
        <v>0</v>
      </c>
      <c r="O13" s="13">
        <v>0</v>
      </c>
      <c r="P13" s="13">
        <v>0</v>
      </c>
      <c r="Q13" s="41">
        <f t="shared" si="17"/>
        <v>0</v>
      </c>
      <c r="R13" s="13">
        <v>0</v>
      </c>
      <c r="S13" s="13">
        <v>0</v>
      </c>
      <c r="T13" s="13">
        <v>0</v>
      </c>
      <c r="U13" s="13">
        <v>0</v>
      </c>
      <c r="V13" s="41">
        <f t="shared" si="18"/>
        <v>0</v>
      </c>
      <c r="W13" s="13">
        <v>0</v>
      </c>
      <c r="X13" s="13">
        <v>0</v>
      </c>
      <c r="Y13" s="13">
        <v>0</v>
      </c>
      <c r="Z13" s="13">
        <v>0</v>
      </c>
      <c r="AA13" s="41">
        <f t="shared" si="19"/>
        <v>0</v>
      </c>
      <c r="AB13" s="13">
        <v>0</v>
      </c>
      <c r="AC13" s="13">
        <v>-1111.2993100000001</v>
      </c>
      <c r="AD13" s="13">
        <v>-1499.4540499999998</v>
      </c>
      <c r="AE13" s="13">
        <v>-3068.3097600000001</v>
      </c>
      <c r="AF13" s="41">
        <f t="shared" si="20"/>
        <v>-5679.0631199999998</v>
      </c>
      <c r="AG13" s="13">
        <v>-1990</v>
      </c>
      <c r="AH13" s="13">
        <v>-1578</v>
      </c>
      <c r="AI13" s="13">
        <v>2245</v>
      </c>
      <c r="AJ13" s="13">
        <v>19722</v>
      </c>
      <c r="AK13" s="41">
        <f t="shared" si="21"/>
        <v>18399</v>
      </c>
      <c r="AL13" s="13">
        <v>13978</v>
      </c>
      <c r="AM13" s="1">
        <v>18672</v>
      </c>
      <c r="AN13" s="13">
        <v>24969</v>
      </c>
      <c r="AO13" s="13">
        <v>33686</v>
      </c>
      <c r="AP13" s="41">
        <f t="shared" si="22"/>
        <v>91305</v>
      </c>
      <c r="AQ13" s="13">
        <v>36302</v>
      </c>
      <c r="AR13" s="13">
        <v>41918.485099999998</v>
      </c>
      <c r="AS13" s="13">
        <v>52097</v>
      </c>
      <c r="AT13" s="13">
        <v>40152.85772</v>
      </c>
      <c r="AU13" s="41">
        <f t="shared" si="23"/>
        <v>170470.34281999999</v>
      </c>
      <c r="AV13" s="13">
        <f>'DRE CAIXA SEG_CONTAB_IFRS4'!AV13</f>
        <v>53691.729760000002</v>
      </c>
      <c r="AW13" s="13">
        <f>'DRE CAIXA SEG_CONTAB_IFRS4'!AW13</f>
        <v>72541.702689999991</v>
      </c>
      <c r="AX13" s="13">
        <f>'DRE CAIXA SEG_CONTAB_IFRS4'!AX13</f>
        <v>72866.110220000002</v>
      </c>
      <c r="AY13" s="13">
        <f>'DRE CAIXA SEGURIDADE CONTABIL'!AY13</f>
        <v>61477.365250000003</v>
      </c>
      <c r="AZ13" s="41">
        <f t="shared" si="14"/>
        <v>260576.90792</v>
      </c>
      <c r="BA13" s="1">
        <v>61259.506780000003</v>
      </c>
      <c r="CF13" s="298"/>
      <c r="CG13" s="298"/>
      <c r="CH13" s="298"/>
      <c r="CJ13" s="298"/>
      <c r="CK13" s="298"/>
    </row>
    <row r="14" spans="1:89">
      <c r="A14" s="11"/>
      <c r="B14" s="11" t="s">
        <v>268</v>
      </c>
      <c r="C14" s="13">
        <v>0</v>
      </c>
      <c r="D14" s="13">
        <v>0</v>
      </c>
      <c r="E14" s="13">
        <v>0</v>
      </c>
      <c r="F14" s="13">
        <v>0</v>
      </c>
      <c r="G14" s="41">
        <f t="shared" si="15"/>
        <v>0</v>
      </c>
      <c r="H14" s="13">
        <v>0</v>
      </c>
      <c r="I14" s="13">
        <v>0</v>
      </c>
      <c r="J14" s="13">
        <v>0</v>
      </c>
      <c r="K14" s="13">
        <v>0</v>
      </c>
      <c r="L14" s="41">
        <f t="shared" si="16"/>
        <v>0</v>
      </c>
      <c r="M14" s="13">
        <v>0</v>
      </c>
      <c r="N14" s="13">
        <v>0</v>
      </c>
      <c r="O14" s="13">
        <v>0</v>
      </c>
      <c r="P14" s="13">
        <v>0</v>
      </c>
      <c r="Q14" s="41">
        <f t="shared" si="17"/>
        <v>0</v>
      </c>
      <c r="R14" s="13">
        <v>0</v>
      </c>
      <c r="S14" s="13">
        <v>0</v>
      </c>
      <c r="T14" s="13">
        <v>0</v>
      </c>
      <c r="U14" s="13">
        <v>0</v>
      </c>
      <c r="V14" s="41">
        <f t="shared" si="18"/>
        <v>0</v>
      </c>
      <c r="W14" s="13">
        <v>0</v>
      </c>
      <c r="X14" s="13">
        <v>0</v>
      </c>
      <c r="Y14" s="13">
        <v>0</v>
      </c>
      <c r="Z14" s="13">
        <v>0</v>
      </c>
      <c r="AA14" s="41">
        <f t="shared" si="19"/>
        <v>0</v>
      </c>
      <c r="AB14" s="13">
        <v>-124.48341000000001</v>
      </c>
      <c r="AC14" s="13">
        <v>-265.90536000000003</v>
      </c>
      <c r="AD14" s="13">
        <v>-633.96879999999987</v>
      </c>
      <c r="AE14" s="13">
        <v>-952.80201000000011</v>
      </c>
      <c r="AF14" s="41">
        <f t="shared" si="20"/>
        <v>-1977.15958</v>
      </c>
      <c r="AG14" s="13">
        <v>-73</v>
      </c>
      <c r="AH14" s="13">
        <v>249</v>
      </c>
      <c r="AI14" s="13">
        <v>1017</v>
      </c>
      <c r="AJ14" s="13">
        <v>2223</v>
      </c>
      <c r="AK14" s="41">
        <f t="shared" si="21"/>
        <v>3416</v>
      </c>
      <c r="AL14" s="13">
        <v>2666.25</v>
      </c>
      <c r="AM14" s="13">
        <v>4531</v>
      </c>
      <c r="AN14" s="13">
        <v>5196</v>
      </c>
      <c r="AO14" s="13">
        <v>5236</v>
      </c>
      <c r="AP14" s="41">
        <f t="shared" si="22"/>
        <v>17629.25</v>
      </c>
      <c r="AQ14" s="13">
        <v>5161</v>
      </c>
      <c r="AR14" s="13">
        <v>4120.5923200000007</v>
      </c>
      <c r="AS14" s="13">
        <v>5634</v>
      </c>
      <c r="AT14" s="13">
        <v>8321.27232</v>
      </c>
      <c r="AU14" s="41">
        <f t="shared" si="23"/>
        <v>23236.86464</v>
      </c>
      <c r="AV14" s="13">
        <f>'DRE CAIXA SEG_CONTAB_IFRS4'!AV14</f>
        <v>8415.2405299999991</v>
      </c>
      <c r="AW14" s="13">
        <f>'DRE CAIXA SEG_CONTAB_IFRS4'!AW14</f>
        <v>9807.4060399999998</v>
      </c>
      <c r="AX14" s="13">
        <f>'DRE CAIXA SEG_CONTAB_IFRS4'!AX14</f>
        <v>11274.421759999999</v>
      </c>
      <c r="AY14" s="13">
        <f>'DRE CAIXA SEGURIDADE CONTABIL'!AY14</f>
        <v>7647.4294600000003</v>
      </c>
      <c r="AZ14" s="41">
        <f t="shared" si="14"/>
        <v>37144.497789999994</v>
      </c>
      <c r="BA14" s="1">
        <v>7113.7056599999996</v>
      </c>
      <c r="CF14" s="298"/>
      <c r="CG14" s="298"/>
      <c r="CH14" s="298"/>
      <c r="CJ14" s="298"/>
      <c r="CK14" s="298"/>
    </row>
    <row r="15" spans="1:89">
      <c r="A15" s="11"/>
      <c r="B15" s="11" t="s">
        <v>269</v>
      </c>
      <c r="C15" s="13">
        <v>10879.326935822401</v>
      </c>
      <c r="D15" s="13">
        <v>10156.355570206999</v>
      </c>
      <c r="E15" s="13">
        <v>8493.8030400000025</v>
      </c>
      <c r="F15" s="13">
        <v>-4734.9436560294016</v>
      </c>
      <c r="G15" s="41">
        <f t="shared" si="15"/>
        <v>24794.54189</v>
      </c>
      <c r="H15" s="13">
        <v>9884.6331099999989</v>
      </c>
      <c r="I15" s="13">
        <v>8570.107170000003</v>
      </c>
      <c r="J15" s="13">
        <v>9116.4090699999979</v>
      </c>
      <c r="K15" s="13">
        <v>20355.67669</v>
      </c>
      <c r="L15" s="41">
        <f t="shared" si="16"/>
        <v>47926.82604</v>
      </c>
      <c r="M15" s="13">
        <v>14238.89248</v>
      </c>
      <c r="N15" s="13">
        <v>9331.6300500000016</v>
      </c>
      <c r="O15" s="13">
        <v>10434.51382</v>
      </c>
      <c r="P15" s="13">
        <v>18606.603039999995</v>
      </c>
      <c r="Q15" s="41">
        <f t="shared" si="17"/>
        <v>52611.639389999997</v>
      </c>
      <c r="R15" s="13">
        <v>11259.94118</v>
      </c>
      <c r="S15" s="13">
        <v>9930.3495700000003</v>
      </c>
      <c r="T15" s="13">
        <v>10077.425780000001</v>
      </c>
      <c r="U15" s="13">
        <v>23188.290010000001</v>
      </c>
      <c r="V15" s="41">
        <f t="shared" si="18"/>
        <v>54456.006540000002</v>
      </c>
      <c r="W15" s="13">
        <v>6992.8752500000001</v>
      </c>
      <c r="X15" s="13">
        <v>10779.93607</v>
      </c>
      <c r="Y15" s="13">
        <v>7565.4977399999989</v>
      </c>
      <c r="Z15" s="13">
        <v>17143.477029999995</v>
      </c>
      <c r="AA15" s="41">
        <f t="shared" si="19"/>
        <v>42481.786089999994</v>
      </c>
      <c r="AB15" s="13">
        <v>11128.263289999999</v>
      </c>
      <c r="AC15" s="13">
        <v>8173.9680499999995</v>
      </c>
      <c r="AD15" s="13">
        <v>3266.4812699999998</v>
      </c>
      <c r="AE15" s="13">
        <v>17534.295980000003</v>
      </c>
      <c r="AF15" s="41">
        <f t="shared" si="20"/>
        <v>40103.008589999998</v>
      </c>
      <c r="AG15" s="13">
        <v>15649</v>
      </c>
      <c r="AH15" s="13">
        <v>16475</v>
      </c>
      <c r="AI15" s="13">
        <v>28331</v>
      </c>
      <c r="AJ15" s="13">
        <v>46363</v>
      </c>
      <c r="AK15" s="41">
        <f t="shared" si="21"/>
        <v>106818</v>
      </c>
      <c r="AL15" s="13">
        <v>41926</v>
      </c>
      <c r="AM15" s="13">
        <v>39306</v>
      </c>
      <c r="AN15" s="13">
        <v>43672</v>
      </c>
      <c r="AO15" s="13">
        <v>44518</v>
      </c>
      <c r="AP15" s="41">
        <f t="shared" si="22"/>
        <v>169422</v>
      </c>
      <c r="AQ15" s="13">
        <v>54600</v>
      </c>
      <c r="AR15" s="13">
        <v>50353.665869999997</v>
      </c>
      <c r="AS15" s="13">
        <v>61099.79752</v>
      </c>
      <c r="AT15" s="13">
        <v>56783.275179999931</v>
      </c>
      <c r="AU15" s="41">
        <f t="shared" si="23"/>
        <v>222836.73856999993</v>
      </c>
      <c r="AV15" s="13">
        <f>'DRE CAIXA SEG_CONTAB_IFRS4'!AV15</f>
        <v>58413.554600000003</v>
      </c>
      <c r="AW15" s="13">
        <f>'DRE CAIXA SEG_CONTAB_IFRS4'!AW15</f>
        <v>56233.532920000041</v>
      </c>
      <c r="AX15" s="13">
        <f>'DRE CAIXA SEG_CONTAB_IFRS4'!AX15</f>
        <v>67739.607619999879</v>
      </c>
      <c r="AY15" s="13">
        <v>48327.604140000403</v>
      </c>
      <c r="AZ15" s="41">
        <f t="shared" si="14"/>
        <v>230714.29928000033</v>
      </c>
      <c r="BA15" s="1">
        <v>79606.112720000019</v>
      </c>
      <c r="CF15" s="298"/>
      <c r="CG15" s="298"/>
      <c r="CH15" s="298"/>
      <c r="CJ15" s="298"/>
      <c r="CK15" s="298"/>
    </row>
    <row r="16" spans="1:89">
      <c r="A16" s="11"/>
      <c r="B16" s="11" t="s">
        <v>270</v>
      </c>
      <c r="C16" s="13">
        <v>1260.2524713</v>
      </c>
      <c r="D16" s="13">
        <v>1467.2447301999998</v>
      </c>
      <c r="E16" s="13">
        <v>822.44889999999987</v>
      </c>
      <c r="F16" s="13">
        <v>198.75898850000067</v>
      </c>
      <c r="G16" s="41">
        <f t="shared" si="15"/>
        <v>3748.7050900000004</v>
      </c>
      <c r="H16" s="13">
        <v>1901.41659</v>
      </c>
      <c r="I16" s="13">
        <v>1235.0780099999999</v>
      </c>
      <c r="J16" s="13">
        <v>1059.7732099999994</v>
      </c>
      <c r="K16" s="13">
        <v>1144.2309999999998</v>
      </c>
      <c r="L16" s="41">
        <f t="shared" si="16"/>
        <v>5340.4988099999991</v>
      </c>
      <c r="M16" s="13">
        <v>1502.5746799999999</v>
      </c>
      <c r="N16" s="13">
        <v>1162.41713</v>
      </c>
      <c r="O16" s="13">
        <v>1271.2898999999998</v>
      </c>
      <c r="P16" s="13">
        <v>1296.63852</v>
      </c>
      <c r="Q16" s="41">
        <f t="shared" si="17"/>
        <v>5232.9202299999997</v>
      </c>
      <c r="R16" s="13">
        <v>1626.4363000000001</v>
      </c>
      <c r="S16" s="13">
        <v>6871.5271999999995</v>
      </c>
      <c r="T16" s="13">
        <v>8032.075139999999</v>
      </c>
      <c r="U16" s="13">
        <v>9975.9969100000017</v>
      </c>
      <c r="V16" s="41">
        <f t="shared" si="18"/>
        <v>26506.035550000001</v>
      </c>
      <c r="W16" s="13">
        <v>4502.4825099999998</v>
      </c>
      <c r="X16" s="13">
        <v>3082.7353600000006</v>
      </c>
      <c r="Y16" s="13">
        <v>4875.9466800000009</v>
      </c>
      <c r="Z16" s="13">
        <v>7643.7201299999979</v>
      </c>
      <c r="AA16" s="41">
        <f t="shared" si="19"/>
        <v>20104.884679999999</v>
      </c>
      <c r="AB16" s="13">
        <v>7033.98945</v>
      </c>
      <c r="AC16" s="13">
        <v>6498.4577999999992</v>
      </c>
      <c r="AD16" s="13">
        <v>4574.9691400000002</v>
      </c>
      <c r="AE16" s="13">
        <v>5358.5040399999989</v>
      </c>
      <c r="AF16" s="41">
        <f t="shared" si="20"/>
        <v>23465.920429999998</v>
      </c>
      <c r="AG16" s="13">
        <v>4903</v>
      </c>
      <c r="AH16" s="13">
        <v>5537</v>
      </c>
      <c r="AI16" s="13">
        <v>6146</v>
      </c>
      <c r="AJ16" s="13">
        <v>6819</v>
      </c>
      <c r="AK16" s="41">
        <f t="shared" si="21"/>
        <v>23405</v>
      </c>
      <c r="AL16" s="13">
        <v>7153</v>
      </c>
      <c r="AM16" s="13">
        <v>6591</v>
      </c>
      <c r="AN16" s="13">
        <v>6784</v>
      </c>
      <c r="AO16" s="13">
        <v>9177</v>
      </c>
      <c r="AP16" s="41">
        <f t="shared" si="22"/>
        <v>29705</v>
      </c>
      <c r="AQ16" s="13">
        <v>8820</v>
      </c>
      <c r="AR16" s="13">
        <v>4412.1831899999943</v>
      </c>
      <c r="AS16" s="13">
        <v>4353.37824</v>
      </c>
      <c r="AT16" s="13">
        <v>4538.7775500000007</v>
      </c>
      <c r="AU16" s="41">
        <f t="shared" si="23"/>
        <v>22124.338979999993</v>
      </c>
      <c r="AV16" s="13">
        <f>'DRE CAIXA SEG_CONTAB_IFRS4'!AV16</f>
        <v>5593.5039700000025</v>
      </c>
      <c r="AW16" s="13">
        <f>'DRE CAIXA SEG_CONTAB_IFRS4'!AW16</f>
        <v>6198.7301599999973</v>
      </c>
      <c r="AX16" s="13">
        <f>'DRE CAIXA SEG_CONTAB_IFRS4'!AX16</f>
        <v>6466.5016199999973</v>
      </c>
      <c r="AY16" s="13">
        <f>'DRE CAIXA SEGURIDADE CONTABIL'!AY16</f>
        <v>8324.0390200000038</v>
      </c>
      <c r="AZ16" s="41">
        <f t="shared" si="14"/>
        <v>26582.774770000004</v>
      </c>
      <c r="BA16" s="1">
        <v>7060.7291400000004</v>
      </c>
      <c r="CF16" s="298"/>
      <c r="CG16" s="298"/>
      <c r="CH16" s="298"/>
      <c r="CJ16" s="298"/>
      <c r="CK16" s="298"/>
    </row>
    <row r="17" spans="1:89">
      <c r="A17" s="11"/>
      <c r="B17" s="11" t="s">
        <v>271</v>
      </c>
      <c r="C17" s="13"/>
      <c r="D17" s="13"/>
      <c r="E17" s="13"/>
      <c r="F17" s="13"/>
      <c r="G17" s="41">
        <f t="shared" si="15"/>
        <v>0</v>
      </c>
      <c r="H17" s="13"/>
      <c r="I17" s="13"/>
      <c r="J17" s="13"/>
      <c r="K17" s="13"/>
      <c r="L17" s="41">
        <f t="shared" si="16"/>
        <v>0</v>
      </c>
      <c r="M17" s="13"/>
      <c r="N17" s="13"/>
      <c r="O17" s="13"/>
      <c r="P17" s="13"/>
      <c r="Q17" s="41">
        <f t="shared" si="17"/>
        <v>0</v>
      </c>
      <c r="R17" s="13"/>
      <c r="S17" s="13"/>
      <c r="T17" s="13"/>
      <c r="U17" s="13"/>
      <c r="V17" s="41">
        <f t="shared" si="18"/>
        <v>0</v>
      </c>
      <c r="W17" s="13"/>
      <c r="X17" s="13"/>
      <c r="Y17" s="13"/>
      <c r="Z17" s="13"/>
      <c r="AA17" s="41">
        <f t="shared" si="19"/>
        <v>0</v>
      </c>
      <c r="AB17" s="13"/>
      <c r="AC17" s="13"/>
      <c r="AD17" s="13"/>
      <c r="AE17" s="13"/>
      <c r="AF17" s="41">
        <f t="shared" si="20"/>
        <v>0</v>
      </c>
      <c r="AG17" s="13"/>
      <c r="AH17" s="13"/>
      <c r="AI17" s="13"/>
      <c r="AJ17" s="13">
        <v>-16906</v>
      </c>
      <c r="AK17" s="41">
        <f t="shared" si="21"/>
        <v>-16906</v>
      </c>
      <c r="AL17" s="13">
        <v>0</v>
      </c>
      <c r="AM17" s="13">
        <v>0</v>
      </c>
      <c r="AN17" s="13">
        <v>0</v>
      </c>
      <c r="AO17" s="13">
        <v>0</v>
      </c>
      <c r="AP17" s="41">
        <f t="shared" si="22"/>
        <v>0</v>
      </c>
      <c r="AQ17" s="13">
        <v>0</v>
      </c>
      <c r="AR17" s="13">
        <v>0</v>
      </c>
      <c r="AS17" s="13">
        <v>0</v>
      </c>
      <c r="AT17" s="13"/>
      <c r="AU17" s="41">
        <f t="shared" si="23"/>
        <v>0</v>
      </c>
      <c r="AV17" s="13">
        <f>'DRE CAIXA SEG_CONTAB_IFRS4'!AV17</f>
        <v>0</v>
      </c>
      <c r="AW17" s="13">
        <f>'DRE CAIXA SEG_CONTAB_IFRS4'!AW17</f>
        <v>0</v>
      </c>
      <c r="AX17" s="13">
        <f>'DRE CAIXA SEG_CONTAB_IFRS4'!AX17</f>
        <v>0</v>
      </c>
      <c r="AY17" s="13">
        <v>0</v>
      </c>
      <c r="AZ17" s="41">
        <f t="shared" si="14"/>
        <v>0</v>
      </c>
      <c r="BA17" s="1">
        <v>0</v>
      </c>
      <c r="CF17" s="298"/>
      <c r="CG17" s="298"/>
      <c r="CH17" s="298"/>
      <c r="CJ17" s="298"/>
      <c r="CK17" s="298"/>
    </row>
    <row r="18" spans="1:89">
      <c r="A18" s="5"/>
      <c r="B18" s="5" t="s">
        <v>273</v>
      </c>
      <c r="C18" s="34">
        <v>75087.053640000027</v>
      </c>
      <c r="D18" s="34">
        <v>69381.927600000025</v>
      </c>
      <c r="E18" s="34">
        <v>80498.774829999966</v>
      </c>
      <c r="F18" s="34">
        <v>89636.117749999947</v>
      </c>
      <c r="G18" s="113">
        <f t="shared" si="15"/>
        <v>314603.87381999998</v>
      </c>
      <c r="H18" s="34">
        <v>123988.58903</v>
      </c>
      <c r="I18" s="34">
        <v>126909.01842000002</v>
      </c>
      <c r="J18" s="34">
        <v>132954.16104999997</v>
      </c>
      <c r="K18" s="34">
        <v>109007.80658</v>
      </c>
      <c r="L18" s="113">
        <f t="shared" si="16"/>
        <v>492859.57507999998</v>
      </c>
      <c r="M18" s="34">
        <v>118198.83920999999</v>
      </c>
      <c r="N18" s="34">
        <v>153415.43643</v>
      </c>
      <c r="O18" s="34">
        <v>152860.31465000001</v>
      </c>
      <c r="P18" s="34">
        <v>154846.99670000002</v>
      </c>
      <c r="Q18" s="113">
        <f t="shared" si="17"/>
        <v>579321.58698999998</v>
      </c>
      <c r="R18" s="34">
        <v>163849.28473999997</v>
      </c>
      <c r="S18" s="34">
        <v>184415.36861</v>
      </c>
      <c r="T18" s="34">
        <v>196250.39385999995</v>
      </c>
      <c r="U18" s="34">
        <v>194487.08451000004</v>
      </c>
      <c r="V18" s="113">
        <f t="shared" si="18"/>
        <v>739002.13172000006</v>
      </c>
      <c r="W18" s="34">
        <v>173066.69043999998</v>
      </c>
      <c r="X18" s="34">
        <v>157080.37400000001</v>
      </c>
      <c r="Y18" s="34">
        <v>326701.038</v>
      </c>
      <c r="Z18" s="34">
        <v>237841.76973</v>
      </c>
      <c r="AA18" s="113">
        <f t="shared" si="19"/>
        <v>894689.8721700001</v>
      </c>
      <c r="AB18" s="34">
        <v>78898.343970000002</v>
      </c>
      <c r="AC18" s="34">
        <v>46476.66502</v>
      </c>
      <c r="AD18" s="34">
        <v>38120.106820000008</v>
      </c>
      <c r="AE18" s="34">
        <v>17383.04105</v>
      </c>
      <c r="AF18" s="113">
        <f t="shared" si="20"/>
        <v>180878.15686000002</v>
      </c>
      <c r="AG18" s="34">
        <v>41505</v>
      </c>
      <c r="AH18" s="34">
        <v>32137</v>
      </c>
      <c r="AI18" s="34">
        <v>33560</v>
      </c>
      <c r="AJ18" s="34">
        <v>34445</v>
      </c>
      <c r="AK18" s="113">
        <f t="shared" si="21"/>
        <v>141647</v>
      </c>
      <c r="AL18" s="34">
        <v>40329</v>
      </c>
      <c r="AM18" s="34">
        <v>38282</v>
      </c>
      <c r="AN18" s="34">
        <v>38471</v>
      </c>
      <c r="AO18" s="34">
        <v>40167</v>
      </c>
      <c r="AP18" s="113">
        <f t="shared" si="22"/>
        <v>157249</v>
      </c>
      <c r="AQ18" s="34">
        <v>51791</v>
      </c>
      <c r="AR18" s="34">
        <v>40830</v>
      </c>
      <c r="AS18" s="34">
        <v>41233</v>
      </c>
      <c r="AT18" s="34">
        <v>74958</v>
      </c>
      <c r="AU18" s="113">
        <f t="shared" si="23"/>
        <v>208812</v>
      </c>
      <c r="AV18" s="34">
        <f t="shared" ref="AV18:BA18" si="26">SUM(AV19:AV25)</f>
        <v>55910.636000000006</v>
      </c>
      <c r="AW18" s="34">
        <v>43266.521679999998</v>
      </c>
      <c r="AX18" s="34">
        <f t="shared" si="26"/>
        <v>42754.726429999995</v>
      </c>
      <c r="AY18" s="34">
        <f t="shared" si="26"/>
        <v>60846.292809999999</v>
      </c>
      <c r="AZ18" s="113">
        <f t="shared" si="14"/>
        <v>202778.17692</v>
      </c>
      <c r="BA18" s="34">
        <f t="shared" si="26"/>
        <v>41891.174060000005</v>
      </c>
      <c r="CF18" s="298"/>
      <c r="CG18" s="298"/>
      <c r="CH18" s="298"/>
      <c r="CJ18" s="298"/>
      <c r="CK18" s="298"/>
    </row>
    <row r="19" spans="1:89">
      <c r="A19" s="11"/>
      <c r="B19" s="11" t="s">
        <v>275</v>
      </c>
      <c r="C19" s="13">
        <v>2647.0067100000001</v>
      </c>
      <c r="D19" s="13">
        <v>1952.4398799999994</v>
      </c>
      <c r="E19" s="13">
        <v>2407.896020000001</v>
      </c>
      <c r="F19" s="13">
        <v>3315.3241000000007</v>
      </c>
      <c r="G19" s="41">
        <f t="shared" si="15"/>
        <v>10322.666710000001</v>
      </c>
      <c r="H19" s="13">
        <v>4176.1040299999995</v>
      </c>
      <c r="I19" s="13">
        <v>3162.8367600000001</v>
      </c>
      <c r="J19" s="13">
        <v>3505.1761800000013</v>
      </c>
      <c r="K19" s="13">
        <v>1963.8138999999974</v>
      </c>
      <c r="L19" s="41">
        <f t="shared" si="16"/>
        <v>12807.930869999998</v>
      </c>
      <c r="M19" s="13">
        <v>3304.5078399999998</v>
      </c>
      <c r="N19" s="13">
        <v>3253.8506100000009</v>
      </c>
      <c r="O19" s="13">
        <v>5337.9667099999997</v>
      </c>
      <c r="P19" s="13">
        <v>5233.4943700000003</v>
      </c>
      <c r="Q19" s="41">
        <f t="shared" si="17"/>
        <v>17129.819530000001</v>
      </c>
      <c r="R19" s="13">
        <v>3301.2249200000001</v>
      </c>
      <c r="S19" s="13">
        <v>5259.4952200000007</v>
      </c>
      <c r="T19" s="13">
        <v>6234.6843599999993</v>
      </c>
      <c r="U19" s="13">
        <v>4465.9845800000003</v>
      </c>
      <c r="V19" s="41">
        <f t="shared" si="18"/>
        <v>19261.389080000001</v>
      </c>
      <c r="W19" s="13">
        <v>1703.64267</v>
      </c>
      <c r="X19" s="13">
        <v>3467.6972700000006</v>
      </c>
      <c r="Y19" s="13">
        <v>1797.0754999999999</v>
      </c>
      <c r="Z19" s="13">
        <v>1574.3457599999983</v>
      </c>
      <c r="AA19" s="41">
        <f t="shared" si="19"/>
        <v>8542.761199999999</v>
      </c>
      <c r="AB19" s="13">
        <v>1704.3182099999999</v>
      </c>
      <c r="AC19" s="13">
        <v>1410.9515200000001</v>
      </c>
      <c r="AD19" s="13">
        <v>150.92835000000008</v>
      </c>
      <c r="AE19" s="13">
        <v>0</v>
      </c>
      <c r="AF19" s="41">
        <f t="shared" si="20"/>
        <v>3266.1980800000001</v>
      </c>
      <c r="AG19" s="13">
        <v>0</v>
      </c>
      <c r="AH19" s="13">
        <v>0</v>
      </c>
      <c r="AI19" s="13">
        <v>0</v>
      </c>
      <c r="AJ19" s="13">
        <v>0</v>
      </c>
      <c r="AK19" s="41">
        <f t="shared" si="21"/>
        <v>0</v>
      </c>
      <c r="AL19" s="13">
        <v>0</v>
      </c>
      <c r="AM19" s="13">
        <v>0</v>
      </c>
      <c r="AN19" s="13">
        <v>0</v>
      </c>
      <c r="AO19" s="13">
        <v>0</v>
      </c>
      <c r="AP19" s="41">
        <f t="shared" si="22"/>
        <v>0</v>
      </c>
      <c r="AQ19" s="13">
        <v>0</v>
      </c>
      <c r="AR19" s="13">
        <v>0</v>
      </c>
      <c r="AS19" s="13">
        <v>0</v>
      </c>
      <c r="AT19" s="13">
        <v>0</v>
      </c>
      <c r="AU19" s="41">
        <f t="shared" si="23"/>
        <v>0</v>
      </c>
      <c r="AV19" s="13">
        <f>'DRE CAIXA SEG_CONTAB_IFRS4'!AV19</f>
        <v>0</v>
      </c>
      <c r="AW19" s="13">
        <f>'DRE CAIXA SEG_CONTAB_IFRS4'!AW19</f>
        <v>0</v>
      </c>
      <c r="AX19" s="13">
        <f>'DRE CAIXA SEG_CONTAB_IFRS4'!AX19</f>
        <v>0</v>
      </c>
      <c r="AY19" s="13">
        <v>0</v>
      </c>
      <c r="AZ19" s="41">
        <f t="shared" si="14"/>
        <v>0</v>
      </c>
      <c r="BA19" s="1">
        <v>0</v>
      </c>
      <c r="CF19" s="298"/>
      <c r="CG19" s="298"/>
      <c r="CH19" s="298"/>
      <c r="CJ19" s="298"/>
      <c r="CK19" s="298"/>
    </row>
    <row r="20" spans="1:89">
      <c r="A20" s="11"/>
      <c r="B20" s="11" t="s">
        <v>277</v>
      </c>
      <c r="C20" s="13">
        <v>4285.8790399999989</v>
      </c>
      <c r="D20" s="13">
        <v>4691.1730400000006</v>
      </c>
      <c r="E20" s="13">
        <v>5568.6564500000022</v>
      </c>
      <c r="F20" s="13">
        <v>3208.0919199999971</v>
      </c>
      <c r="G20" s="41">
        <f t="shared" si="15"/>
        <v>17753.800449999999</v>
      </c>
      <c r="H20" s="13">
        <v>5934.3816799999995</v>
      </c>
      <c r="I20" s="13">
        <v>6516.12799</v>
      </c>
      <c r="J20" s="13">
        <v>6664.3183199999985</v>
      </c>
      <c r="K20" s="13">
        <v>4843.2561200000018</v>
      </c>
      <c r="L20" s="41">
        <f t="shared" si="16"/>
        <v>23958.08411</v>
      </c>
      <c r="M20" s="13">
        <v>3594.8093799999997</v>
      </c>
      <c r="N20" s="13">
        <v>6440.9302399999988</v>
      </c>
      <c r="O20" s="13">
        <v>6855.6991100000032</v>
      </c>
      <c r="P20" s="13">
        <v>5554.7249999999985</v>
      </c>
      <c r="Q20" s="41">
        <f t="shared" si="17"/>
        <v>22446.16373</v>
      </c>
      <c r="R20" s="13">
        <v>4537.7527599999994</v>
      </c>
      <c r="S20" s="13">
        <v>7374.7725000000009</v>
      </c>
      <c r="T20" s="13">
        <v>8317.0072400000008</v>
      </c>
      <c r="U20" s="13">
        <v>7673.1602299999977</v>
      </c>
      <c r="V20" s="41">
        <f t="shared" si="18"/>
        <v>27902.692729999999</v>
      </c>
      <c r="W20" s="13">
        <v>7522.6654600000002</v>
      </c>
      <c r="X20" s="13">
        <v>5522.9755499999992</v>
      </c>
      <c r="Y20" s="13">
        <v>2932.4690900000005</v>
      </c>
      <c r="Z20" s="13">
        <v>3191.3905000000032</v>
      </c>
      <c r="AA20" s="41">
        <f t="shared" si="19"/>
        <v>19169.500600000003</v>
      </c>
      <c r="AB20" s="13">
        <v>1828.2783700000002</v>
      </c>
      <c r="AC20" s="13">
        <v>1886.86608</v>
      </c>
      <c r="AD20" s="13">
        <v>1465.4596200000001</v>
      </c>
      <c r="AE20" s="13">
        <v>207.5212399999993</v>
      </c>
      <c r="AF20" s="41">
        <f t="shared" si="20"/>
        <v>5388.1253099999994</v>
      </c>
      <c r="AG20" s="13">
        <v>0</v>
      </c>
      <c r="AH20" s="13">
        <v>0</v>
      </c>
      <c r="AI20" s="13">
        <v>0</v>
      </c>
      <c r="AJ20" s="13">
        <v>1</v>
      </c>
      <c r="AK20" s="41">
        <f t="shared" si="21"/>
        <v>1</v>
      </c>
      <c r="AL20" s="13">
        <v>0</v>
      </c>
      <c r="AM20" s="13">
        <v>0</v>
      </c>
      <c r="AN20" s="13">
        <v>0</v>
      </c>
      <c r="AO20" s="13">
        <v>0</v>
      </c>
      <c r="AP20" s="41">
        <f t="shared" si="22"/>
        <v>0</v>
      </c>
      <c r="AQ20" s="13">
        <v>0</v>
      </c>
      <c r="AR20" s="13">
        <v>0</v>
      </c>
      <c r="AS20" s="13">
        <v>0</v>
      </c>
      <c r="AT20" s="13">
        <v>0</v>
      </c>
      <c r="AU20" s="41">
        <f t="shared" si="23"/>
        <v>0</v>
      </c>
      <c r="AV20" s="13">
        <f>'DRE CAIXA SEG_CONTAB_IFRS4'!AV20</f>
        <v>0</v>
      </c>
      <c r="AW20" s="13">
        <f>'DRE CAIXA SEG_CONTAB_IFRS4'!AW20</f>
        <v>0</v>
      </c>
      <c r="AX20" s="13">
        <f>'DRE CAIXA SEG_CONTAB_IFRS4'!AX20</f>
        <v>0</v>
      </c>
      <c r="AY20" s="13">
        <v>0</v>
      </c>
      <c r="AZ20" s="41">
        <f t="shared" si="14"/>
        <v>0</v>
      </c>
      <c r="BA20" s="1">
        <v>0</v>
      </c>
      <c r="CF20" s="298"/>
      <c r="CG20" s="298"/>
      <c r="CH20" s="298"/>
      <c r="CJ20" s="298"/>
      <c r="CK20" s="298"/>
    </row>
    <row r="21" spans="1:89">
      <c r="A21" s="11"/>
      <c r="B21" s="11" t="s">
        <v>279</v>
      </c>
      <c r="C21" s="13">
        <v>9361.4164399999972</v>
      </c>
      <c r="D21" s="13">
        <v>9111.0661300000029</v>
      </c>
      <c r="E21" s="13">
        <v>11235.22236</v>
      </c>
      <c r="F21" s="13">
        <v>5881.2237400000013</v>
      </c>
      <c r="G21" s="41">
        <f t="shared" si="15"/>
        <v>35588.928670000001</v>
      </c>
      <c r="H21" s="13">
        <v>13263.41056</v>
      </c>
      <c r="I21" s="13">
        <v>14628.899679999999</v>
      </c>
      <c r="J21" s="13">
        <v>16625.004560000001</v>
      </c>
      <c r="K21" s="13">
        <v>14212.879179999996</v>
      </c>
      <c r="L21" s="41">
        <f t="shared" si="16"/>
        <v>58730.193979999996</v>
      </c>
      <c r="M21" s="13">
        <v>16806.66678</v>
      </c>
      <c r="N21" s="13">
        <v>19265.73403</v>
      </c>
      <c r="O21" s="13">
        <v>17745.830250000006</v>
      </c>
      <c r="P21" s="13">
        <v>21413.88562999999</v>
      </c>
      <c r="Q21" s="41">
        <f t="shared" si="17"/>
        <v>75232.116689999995</v>
      </c>
      <c r="R21" s="13">
        <v>21932.11764</v>
      </c>
      <c r="S21" s="13">
        <v>25230.2582</v>
      </c>
      <c r="T21" s="13">
        <v>25964.108329999995</v>
      </c>
      <c r="U21" s="13">
        <v>28797.415659999999</v>
      </c>
      <c r="V21" s="41">
        <f t="shared" si="18"/>
        <v>101923.89982999999</v>
      </c>
      <c r="W21" s="13">
        <v>21301.937030000001</v>
      </c>
      <c r="X21" s="13">
        <v>16936.89991</v>
      </c>
      <c r="Y21" s="13">
        <v>32964.355299999988</v>
      </c>
      <c r="Z21" s="13">
        <v>31465.817230000015</v>
      </c>
      <c r="AA21" s="41">
        <f t="shared" si="19"/>
        <v>102669.00947</v>
      </c>
      <c r="AB21" s="13">
        <v>12644.4887</v>
      </c>
      <c r="AC21" s="13">
        <v>14225.909539999999</v>
      </c>
      <c r="AD21" s="13">
        <v>12723.674129999999</v>
      </c>
      <c r="AE21" s="13">
        <v>12770.426940000005</v>
      </c>
      <c r="AF21" s="41">
        <f t="shared" si="20"/>
        <v>52364.499309999999</v>
      </c>
      <c r="AG21" s="13">
        <v>12829</v>
      </c>
      <c r="AH21" s="13">
        <v>11573</v>
      </c>
      <c r="AI21" s="13">
        <v>10914</v>
      </c>
      <c r="AJ21" s="13">
        <v>10135</v>
      </c>
      <c r="AK21" s="41">
        <f t="shared" si="21"/>
        <v>45451</v>
      </c>
      <c r="AL21" s="13">
        <v>9835</v>
      </c>
      <c r="AM21" s="13">
        <v>9894</v>
      </c>
      <c r="AN21" s="13">
        <v>9455</v>
      </c>
      <c r="AO21" s="13">
        <v>9191</v>
      </c>
      <c r="AP21" s="41">
        <f t="shared" si="22"/>
        <v>38375</v>
      </c>
      <c r="AQ21" s="13">
        <v>8653</v>
      </c>
      <c r="AR21" s="13">
        <v>8433</v>
      </c>
      <c r="AS21" s="13">
        <v>8426</v>
      </c>
      <c r="AT21" s="13">
        <v>8327</v>
      </c>
      <c r="AU21" s="41">
        <f t="shared" si="23"/>
        <v>33839</v>
      </c>
      <c r="AV21" s="13">
        <f>'DRE CAIXA SEG_CONTAB_IFRS4'!AV21</f>
        <v>7875.9269499999991</v>
      </c>
      <c r="AW21" s="13">
        <f>'DRE CAIXA SEG_CONTAB_IFRS4'!AW21</f>
        <v>7511.0418399999999</v>
      </c>
      <c r="AX21" s="13">
        <v>7278</v>
      </c>
      <c r="AY21" s="13">
        <v>7056.0540700000001</v>
      </c>
      <c r="AZ21" s="41">
        <f t="shared" si="14"/>
        <v>29721.022859999997</v>
      </c>
      <c r="BA21" s="1">
        <v>6759.0730400000002</v>
      </c>
      <c r="CF21" s="298"/>
      <c r="CG21" s="298"/>
      <c r="CH21" s="298"/>
      <c r="CJ21" s="298"/>
      <c r="CK21" s="298"/>
    </row>
    <row r="22" spans="1:89">
      <c r="A22" s="11"/>
      <c r="B22" s="11" t="s">
        <v>281</v>
      </c>
      <c r="C22" s="13">
        <v>26125</v>
      </c>
      <c r="D22" s="13">
        <v>22866.000000000007</v>
      </c>
      <c r="E22" s="13">
        <v>22500.000000000007</v>
      </c>
      <c r="F22" s="13">
        <v>19684.368059999993</v>
      </c>
      <c r="G22" s="41">
        <f t="shared" si="15"/>
        <v>91175.368060000008</v>
      </c>
      <c r="H22" s="13">
        <v>29851.235389999998</v>
      </c>
      <c r="I22" s="13">
        <v>26250.789220000002</v>
      </c>
      <c r="J22" s="13">
        <v>26755.961690000004</v>
      </c>
      <c r="K22" s="13">
        <v>26975.38513000001</v>
      </c>
      <c r="L22" s="41">
        <f t="shared" si="16"/>
        <v>109833.37143000001</v>
      </c>
      <c r="M22" s="13">
        <v>27957.785030000003</v>
      </c>
      <c r="N22" s="13">
        <v>29093.127759999999</v>
      </c>
      <c r="O22" s="13">
        <v>27761.318029999995</v>
      </c>
      <c r="P22" s="13">
        <v>25639.407749999998</v>
      </c>
      <c r="Q22" s="41">
        <f t="shared" si="17"/>
        <v>110451.63857</v>
      </c>
      <c r="R22" s="13">
        <v>26772.866249999999</v>
      </c>
      <c r="S22" s="13">
        <v>27887.497800000005</v>
      </c>
      <c r="T22" s="13">
        <v>27291.314809999982</v>
      </c>
      <c r="U22" s="13">
        <v>27691.930960000012</v>
      </c>
      <c r="V22" s="41">
        <f t="shared" si="18"/>
        <v>109643.60982</v>
      </c>
      <c r="W22" s="13">
        <v>29050.265769999998</v>
      </c>
      <c r="X22" s="13">
        <v>29131.783630000005</v>
      </c>
      <c r="Y22" s="13">
        <v>29096.444869999992</v>
      </c>
      <c r="Z22" s="13">
        <v>29172.094370000006</v>
      </c>
      <c r="AA22" s="41">
        <f t="shared" si="19"/>
        <v>116450.58864</v>
      </c>
      <c r="AB22" s="13">
        <v>34602.20938</v>
      </c>
      <c r="AC22" s="13">
        <v>30231.405919999997</v>
      </c>
      <c r="AD22" s="13">
        <v>30370.021090000002</v>
      </c>
      <c r="AE22" s="13">
        <v>30618.520860000001</v>
      </c>
      <c r="AF22" s="41">
        <f t="shared" si="20"/>
        <v>125822.15725</v>
      </c>
      <c r="AG22" s="13">
        <v>31384</v>
      </c>
      <c r="AH22" s="13">
        <v>30628</v>
      </c>
      <c r="AI22" s="13">
        <v>31475</v>
      </c>
      <c r="AJ22" s="13">
        <v>31581</v>
      </c>
      <c r="AK22" s="41">
        <f t="shared" si="21"/>
        <v>125068</v>
      </c>
      <c r="AL22" s="13">
        <v>33341</v>
      </c>
      <c r="AM22" s="13">
        <v>31736</v>
      </c>
      <c r="AN22" s="13">
        <v>31689</v>
      </c>
      <c r="AO22" s="13">
        <v>32024</v>
      </c>
      <c r="AP22" s="41">
        <f t="shared" si="22"/>
        <v>128790</v>
      </c>
      <c r="AQ22" s="13">
        <v>43119</v>
      </c>
      <c r="AR22" s="13">
        <v>32230</v>
      </c>
      <c r="AS22" s="13">
        <v>32139</v>
      </c>
      <c r="AT22" s="13">
        <v>66940</v>
      </c>
      <c r="AU22" s="41">
        <f t="shared" si="23"/>
        <v>174428</v>
      </c>
      <c r="AV22" s="13">
        <f>'DRE CAIXA SEG_CONTAB_IFRS4'!AV22</f>
        <v>46526.735690000009</v>
      </c>
      <c r="AW22" s="13">
        <f>'DRE CAIXA SEG_CONTAB_IFRS4'!AW22</f>
        <v>34549.634159999994</v>
      </c>
      <c r="AX22" s="13">
        <f>'DRE CAIXA SEG_CONTAB_IFRS4'!AX22</f>
        <v>34158.559029999997</v>
      </c>
      <c r="AY22" s="13">
        <v>52660.007640000003</v>
      </c>
      <c r="AZ22" s="41">
        <f t="shared" si="14"/>
        <v>167894.93651999999</v>
      </c>
      <c r="BA22" s="1">
        <v>33899.89978</v>
      </c>
      <c r="CF22" s="298"/>
      <c r="CG22" s="298"/>
      <c r="CH22" s="298"/>
      <c r="CJ22" s="298"/>
      <c r="CK22" s="298"/>
    </row>
    <row r="23" spans="1:89">
      <c r="A23" s="11"/>
      <c r="B23" s="11" t="s">
        <v>283</v>
      </c>
      <c r="C23" s="13">
        <v>28265.000000000004</v>
      </c>
      <c r="D23" s="13">
        <v>27732.000000000025</v>
      </c>
      <c r="E23" s="13">
        <v>35462.999999999956</v>
      </c>
      <c r="F23" s="13">
        <v>53717.819041525494</v>
      </c>
      <c r="G23" s="41">
        <f t="shared" si="15"/>
        <v>145177.81904152548</v>
      </c>
      <c r="H23" s="13">
        <v>67159.019610000003</v>
      </c>
      <c r="I23" s="13">
        <v>72317.752950000009</v>
      </c>
      <c r="J23" s="13">
        <v>73247.401939999982</v>
      </c>
      <c r="K23" s="13">
        <v>52474.558749999997</v>
      </c>
      <c r="L23" s="41">
        <f t="shared" si="16"/>
        <v>265198.73324999999</v>
      </c>
      <c r="M23" s="13">
        <v>61590.879689999994</v>
      </c>
      <c r="N23" s="13">
        <v>86143.474319999979</v>
      </c>
      <c r="O23" s="13">
        <v>87810.210380000004</v>
      </c>
      <c r="P23" s="13">
        <v>86925.616560000024</v>
      </c>
      <c r="Q23" s="41">
        <f t="shared" si="17"/>
        <v>322470.18095000001</v>
      </c>
      <c r="R23" s="13">
        <v>100659.71281</v>
      </c>
      <c r="S23" s="13">
        <v>108968.95843</v>
      </c>
      <c r="T23" s="13">
        <v>116132.95714999997</v>
      </c>
      <c r="U23" s="13">
        <v>112010.06149000005</v>
      </c>
      <c r="V23" s="41">
        <f t="shared" si="18"/>
        <v>437771.68988000002</v>
      </c>
      <c r="W23" s="13">
        <v>106793.66065999999</v>
      </c>
      <c r="X23" s="13">
        <v>95081.823250000016</v>
      </c>
      <c r="Y23" s="13">
        <v>235299.88245999999</v>
      </c>
      <c r="Z23" s="13">
        <v>149988.01143999997</v>
      </c>
      <c r="AA23" s="41">
        <f t="shared" si="19"/>
        <v>587163.37780999998</v>
      </c>
      <c r="AB23" s="13">
        <v>21981.241460000001</v>
      </c>
      <c r="AC23" s="13">
        <v>-2296.3428400000012</v>
      </c>
      <c r="AD23" s="13">
        <v>-7818.3075499999986</v>
      </c>
      <c r="AE23" s="13">
        <v>-27347.608170000003</v>
      </c>
      <c r="AF23" s="41">
        <f t="shared" si="20"/>
        <v>-15481.017100000001</v>
      </c>
      <c r="AG23" s="13">
        <v>-8907</v>
      </c>
      <c r="AH23" s="13">
        <v>-11274</v>
      </c>
      <c r="AI23" s="13">
        <v>-9961</v>
      </c>
      <c r="AJ23" s="13">
        <v>-8569</v>
      </c>
      <c r="AK23" s="41">
        <f t="shared" si="21"/>
        <v>-38711</v>
      </c>
      <c r="AL23" s="13">
        <v>-4155</v>
      </c>
      <c r="AM23" s="13">
        <v>-4215</v>
      </c>
      <c r="AN23" s="13">
        <v>-3979</v>
      </c>
      <c r="AO23" s="13">
        <v>-2332</v>
      </c>
      <c r="AP23" s="41">
        <f t="shared" si="22"/>
        <v>-14681</v>
      </c>
      <c r="AQ23" s="13">
        <v>-1190</v>
      </c>
      <c r="AR23" s="13">
        <v>-1033</v>
      </c>
      <c r="AS23" s="13">
        <v>-508</v>
      </c>
      <c r="AT23" s="13">
        <v>-1463</v>
      </c>
      <c r="AU23" s="41">
        <f t="shared" si="23"/>
        <v>-4194</v>
      </c>
      <c r="AV23" s="13">
        <f>'DRE CAIXA SEG_CONTAB_IFRS4'!AV23</f>
        <v>440.55829999999997</v>
      </c>
      <c r="AW23" s="13">
        <f>'DRE CAIXA SEG_CONTAB_IFRS4'!AW23</f>
        <v>157.10453999999999</v>
      </c>
      <c r="AX23" s="13">
        <f>'DRE CAIXA SEG_CONTAB_IFRS4'!AX23</f>
        <v>269.18612000000002</v>
      </c>
      <c r="AY23" s="13">
        <v>96.749260000000007</v>
      </c>
      <c r="AZ23" s="41">
        <f t="shared" si="14"/>
        <v>963.59822000000008</v>
      </c>
      <c r="BA23" s="1">
        <v>162.20124000000001</v>
      </c>
      <c r="CF23" s="298"/>
      <c r="CG23" s="298"/>
      <c r="CH23" s="298"/>
      <c r="CJ23" s="298"/>
      <c r="CK23" s="298"/>
    </row>
    <row r="24" spans="1:89">
      <c r="A24" s="11"/>
      <c r="B24" s="11" t="s">
        <v>285</v>
      </c>
      <c r="C24" s="13">
        <v>4402.7514500000179</v>
      </c>
      <c r="D24" s="13">
        <v>3029.2485499999848</v>
      </c>
      <c r="E24" s="13">
        <v>3323.9999999999955</v>
      </c>
      <c r="F24" s="13">
        <v>3829.2908884744666</v>
      </c>
      <c r="G24" s="41">
        <f t="shared" si="15"/>
        <v>14585.290888474465</v>
      </c>
      <c r="H24" s="13">
        <v>3604.4377599999998</v>
      </c>
      <c r="I24" s="13">
        <v>4032.6118200000001</v>
      </c>
      <c r="J24" s="13">
        <v>6156.2983599999998</v>
      </c>
      <c r="K24" s="13">
        <v>8537.9135000000024</v>
      </c>
      <c r="L24" s="41">
        <f t="shared" si="16"/>
        <v>22331.261440000002</v>
      </c>
      <c r="M24" s="13">
        <v>4944.19049</v>
      </c>
      <c r="N24" s="13">
        <v>9218.3194700000022</v>
      </c>
      <c r="O24" s="13">
        <v>7349.2901699999984</v>
      </c>
      <c r="P24" s="13">
        <v>10079.867389999999</v>
      </c>
      <c r="Q24" s="41">
        <f t="shared" si="17"/>
        <v>31591.667520000003</v>
      </c>
      <c r="R24" s="13">
        <v>6645.6103600000006</v>
      </c>
      <c r="S24" s="13">
        <v>9694.3864599999997</v>
      </c>
      <c r="T24" s="13">
        <v>12310.321969999997</v>
      </c>
      <c r="U24" s="13">
        <v>13848.531589999999</v>
      </c>
      <c r="V24" s="41">
        <f t="shared" si="18"/>
        <v>42498.850379999996</v>
      </c>
      <c r="W24" s="13">
        <v>6694.5188499999995</v>
      </c>
      <c r="X24" s="13">
        <v>6939.1943900000015</v>
      </c>
      <c r="Y24" s="13">
        <v>24610.810780000003</v>
      </c>
      <c r="Z24" s="13">
        <v>22450.110430000001</v>
      </c>
      <c r="AA24" s="41">
        <f t="shared" si="19"/>
        <v>60694.634450000005</v>
      </c>
      <c r="AB24" s="13">
        <v>6137.8078499999992</v>
      </c>
      <c r="AC24" s="13">
        <v>1017.8748000000014</v>
      </c>
      <c r="AD24" s="13">
        <v>1228.3311799999997</v>
      </c>
      <c r="AE24" s="13">
        <v>1134.1801799999996</v>
      </c>
      <c r="AF24" s="41">
        <f t="shared" si="20"/>
        <v>9518.1940099999993</v>
      </c>
      <c r="AG24" s="13">
        <v>6199</v>
      </c>
      <c r="AH24" s="13">
        <v>1210</v>
      </c>
      <c r="AI24" s="13">
        <v>1132</v>
      </c>
      <c r="AJ24" s="13">
        <v>1297</v>
      </c>
      <c r="AK24" s="41">
        <f t="shared" si="21"/>
        <v>9838</v>
      </c>
      <c r="AL24" s="13">
        <v>1308</v>
      </c>
      <c r="AM24" s="13">
        <v>867</v>
      </c>
      <c r="AN24" s="13">
        <v>1306</v>
      </c>
      <c r="AO24" s="13">
        <v>1284</v>
      </c>
      <c r="AP24" s="41">
        <f t="shared" si="22"/>
        <v>4765</v>
      </c>
      <c r="AQ24" s="13">
        <v>1209</v>
      </c>
      <c r="AR24" s="13">
        <v>1200</v>
      </c>
      <c r="AS24" s="13">
        <v>1176</v>
      </c>
      <c r="AT24" s="13">
        <v>1154</v>
      </c>
      <c r="AU24" s="41">
        <f t="shared" si="23"/>
        <v>4739</v>
      </c>
      <c r="AV24" s="13">
        <f>'DRE CAIXA SEG_CONTAB_IFRS4'!AV24</f>
        <v>1067.4150600000003</v>
      </c>
      <c r="AW24" s="13">
        <f>'DRE CAIXA SEG_CONTAB_IFRS4'!AW24</f>
        <v>1048.7411400000001</v>
      </c>
      <c r="AX24" s="13">
        <f>'DRE CAIXA SEG_CONTAB_IFRS4'!AX24</f>
        <v>1048.9812800000002</v>
      </c>
      <c r="AY24" s="13">
        <v>1033.4818400000001</v>
      </c>
      <c r="AZ24" s="41">
        <f t="shared" si="14"/>
        <v>4198.6193200000007</v>
      </c>
      <c r="BA24" s="1">
        <f>'DRE CAIXA SEGURIDADE CONTABIL'!BA24</f>
        <v>1070</v>
      </c>
      <c r="CF24" s="298"/>
      <c r="CG24" s="298"/>
      <c r="CH24" s="298"/>
      <c r="CJ24" s="298"/>
      <c r="CK24" s="298"/>
    </row>
    <row r="25" spans="1:89">
      <c r="A25" s="11"/>
      <c r="B25" s="11" t="s">
        <v>286</v>
      </c>
      <c r="C25" s="13">
        <v>0</v>
      </c>
      <c r="D25" s="13">
        <v>0</v>
      </c>
      <c r="E25" s="13">
        <v>0</v>
      </c>
      <c r="F25" s="13">
        <v>0</v>
      </c>
      <c r="G25" s="41">
        <f t="shared" si="15"/>
        <v>0</v>
      </c>
      <c r="H25" s="13">
        <v>0</v>
      </c>
      <c r="I25" s="13">
        <v>0</v>
      </c>
      <c r="J25" s="13">
        <v>0</v>
      </c>
      <c r="K25" s="13">
        <v>0</v>
      </c>
      <c r="L25" s="41">
        <f t="shared" si="16"/>
        <v>0</v>
      </c>
      <c r="M25" s="13">
        <v>0</v>
      </c>
      <c r="N25" s="13">
        <v>0</v>
      </c>
      <c r="O25" s="13">
        <v>0</v>
      </c>
      <c r="P25" s="13">
        <v>0</v>
      </c>
      <c r="Q25" s="41">
        <f t="shared" si="17"/>
        <v>0</v>
      </c>
      <c r="R25" s="13">
        <v>0</v>
      </c>
      <c r="S25" s="13">
        <v>0</v>
      </c>
      <c r="T25" s="13">
        <v>0</v>
      </c>
      <c r="U25" s="13">
        <v>0</v>
      </c>
      <c r="V25" s="41">
        <f t="shared" si="18"/>
        <v>0</v>
      </c>
      <c r="W25" s="13">
        <v>0</v>
      </c>
      <c r="X25" s="13">
        <v>0</v>
      </c>
      <c r="Y25" s="13">
        <v>0</v>
      </c>
      <c r="Z25" s="13">
        <v>0</v>
      </c>
      <c r="AA25" s="41">
        <f t="shared" si="19"/>
        <v>0</v>
      </c>
      <c r="AB25" s="13">
        <v>0</v>
      </c>
      <c r="AC25" s="13">
        <v>0</v>
      </c>
      <c r="AD25" s="13">
        <v>0</v>
      </c>
      <c r="AE25" s="13">
        <v>0</v>
      </c>
      <c r="AF25" s="41">
        <f t="shared" si="20"/>
        <v>0</v>
      </c>
      <c r="AG25" s="13">
        <v>0</v>
      </c>
      <c r="AH25" s="13">
        <v>0</v>
      </c>
      <c r="AI25" s="13">
        <v>0</v>
      </c>
      <c r="AJ25" s="13">
        <v>0</v>
      </c>
      <c r="AK25" s="41">
        <f t="shared" si="21"/>
        <v>0</v>
      </c>
      <c r="AL25" s="13">
        <v>0</v>
      </c>
      <c r="AM25" s="13">
        <v>0</v>
      </c>
      <c r="AN25" s="13">
        <v>0</v>
      </c>
      <c r="AO25" s="13">
        <v>0</v>
      </c>
      <c r="AP25" s="41">
        <f t="shared" si="22"/>
        <v>0</v>
      </c>
      <c r="AQ25" s="13">
        <v>0</v>
      </c>
      <c r="AR25" s="13">
        <v>0</v>
      </c>
      <c r="AS25" s="13">
        <v>0</v>
      </c>
      <c r="AT25" s="13">
        <v>0</v>
      </c>
      <c r="AU25" s="41">
        <f t="shared" si="23"/>
        <v>0</v>
      </c>
      <c r="AV25" s="13">
        <f>'DRE CAIXA SEG_CONTAB_IFRS4'!AV25</f>
        <v>0</v>
      </c>
      <c r="AW25" s="13">
        <f>'DRE CAIXA SEG_CONTAB_IFRS4'!AW25</f>
        <v>0</v>
      </c>
      <c r="AX25" s="13">
        <f>'DRE CAIXA SEG_CONTAB_IFRS4'!AX25</f>
        <v>0</v>
      </c>
      <c r="AY25" s="13">
        <v>0</v>
      </c>
      <c r="AZ25" s="41">
        <f t="shared" si="14"/>
        <v>0</v>
      </c>
      <c r="BA25" s="1">
        <v>0</v>
      </c>
      <c r="CF25" s="298"/>
      <c r="CG25" s="298"/>
      <c r="CH25" s="298"/>
      <c r="CJ25" s="298"/>
      <c r="CK25" s="298"/>
    </row>
    <row r="26" spans="1:89">
      <c r="A26" s="5"/>
      <c r="B26" s="5" t="s">
        <v>288</v>
      </c>
      <c r="C26" s="34">
        <v>0</v>
      </c>
      <c r="D26" s="34">
        <v>0</v>
      </c>
      <c r="E26" s="34">
        <v>0</v>
      </c>
      <c r="F26" s="34">
        <v>0</v>
      </c>
      <c r="G26" s="113">
        <f t="shared" si="15"/>
        <v>0</v>
      </c>
      <c r="H26" s="34">
        <v>0</v>
      </c>
      <c r="I26" s="34">
        <v>0</v>
      </c>
      <c r="J26" s="34">
        <v>0</v>
      </c>
      <c r="K26" s="34">
        <v>0</v>
      </c>
      <c r="L26" s="113">
        <f t="shared" si="16"/>
        <v>0</v>
      </c>
      <c r="M26" s="34">
        <v>0</v>
      </c>
      <c r="N26" s="34">
        <v>0</v>
      </c>
      <c r="O26" s="34">
        <v>0</v>
      </c>
      <c r="P26" s="34">
        <v>0</v>
      </c>
      <c r="Q26" s="113">
        <f t="shared" si="17"/>
        <v>0</v>
      </c>
      <c r="R26" s="34">
        <v>0</v>
      </c>
      <c r="S26" s="34">
        <v>0</v>
      </c>
      <c r="T26" s="34">
        <v>0</v>
      </c>
      <c r="U26" s="34">
        <v>0</v>
      </c>
      <c r="V26" s="113">
        <f t="shared" si="18"/>
        <v>0</v>
      </c>
      <c r="W26" s="34">
        <v>0</v>
      </c>
      <c r="X26" s="34">
        <v>0</v>
      </c>
      <c r="Y26" s="34">
        <v>0</v>
      </c>
      <c r="Z26" s="34">
        <v>0</v>
      </c>
      <c r="AA26" s="113">
        <f t="shared" si="19"/>
        <v>0</v>
      </c>
      <c r="AB26" s="34">
        <v>116043.62611999999</v>
      </c>
      <c r="AC26" s="34">
        <v>167785.75193999999</v>
      </c>
      <c r="AD26" s="34">
        <v>315769.59274000005</v>
      </c>
      <c r="AE26" s="34">
        <v>343381.99244999996</v>
      </c>
      <c r="AF26" s="113">
        <f t="shared" si="20"/>
        <v>942980.96325000003</v>
      </c>
      <c r="AG26" s="34">
        <v>285487</v>
      </c>
      <c r="AH26" s="34">
        <v>378664</v>
      </c>
      <c r="AI26" s="34">
        <v>499570</v>
      </c>
      <c r="AJ26" s="34">
        <v>382074</v>
      </c>
      <c r="AK26" s="113">
        <f t="shared" si="21"/>
        <v>1545795</v>
      </c>
      <c r="AL26" s="34">
        <v>433172</v>
      </c>
      <c r="AM26" s="34">
        <v>442674</v>
      </c>
      <c r="AN26" s="34">
        <v>472384</v>
      </c>
      <c r="AO26" s="34">
        <v>489091</v>
      </c>
      <c r="AP26" s="113">
        <f t="shared" si="22"/>
        <v>1837321</v>
      </c>
      <c r="AQ26" s="34">
        <v>491384</v>
      </c>
      <c r="AR26" s="34">
        <v>504478</v>
      </c>
      <c r="AS26" s="34">
        <v>531908</v>
      </c>
      <c r="AT26" s="34">
        <v>593432</v>
      </c>
      <c r="AU26" s="113">
        <f t="shared" si="23"/>
        <v>2121202</v>
      </c>
      <c r="AV26" s="34">
        <f t="shared" ref="AV26:AX26" si="27">SUM(AV27:AV37)</f>
        <v>558666.30320999993</v>
      </c>
      <c r="AW26" s="34">
        <f t="shared" si="27"/>
        <v>541866.99069999985</v>
      </c>
      <c r="AX26" s="34">
        <f t="shared" si="27"/>
        <v>592334.3026299997</v>
      </c>
      <c r="AY26" s="34">
        <f>SUM(AY27:AY37)</f>
        <v>561708.7750100001</v>
      </c>
      <c r="AZ26" s="113">
        <f t="shared" si="14"/>
        <v>2254576.3715499993</v>
      </c>
      <c r="BA26" s="34">
        <f>SUM(BA27:BA37)</f>
        <v>578795.6177200001</v>
      </c>
      <c r="CF26" s="298"/>
      <c r="CG26" s="298"/>
      <c r="CH26" s="298"/>
      <c r="CJ26" s="298"/>
      <c r="CK26" s="298"/>
    </row>
    <row r="27" spans="1:89">
      <c r="A27" s="11"/>
      <c r="B27" s="11" t="s">
        <v>290</v>
      </c>
      <c r="C27" s="13">
        <v>0</v>
      </c>
      <c r="D27" s="13">
        <v>0</v>
      </c>
      <c r="E27" s="13">
        <v>0</v>
      </c>
      <c r="F27" s="13">
        <v>0</v>
      </c>
      <c r="G27" s="41">
        <f t="shared" si="15"/>
        <v>0</v>
      </c>
      <c r="H27" s="13">
        <v>0</v>
      </c>
      <c r="I27" s="13">
        <v>0</v>
      </c>
      <c r="J27" s="13">
        <v>0</v>
      </c>
      <c r="K27" s="13">
        <v>0</v>
      </c>
      <c r="L27" s="41">
        <f t="shared" si="16"/>
        <v>0</v>
      </c>
      <c r="M27" s="13">
        <v>0</v>
      </c>
      <c r="N27" s="13">
        <v>0</v>
      </c>
      <c r="O27" s="13">
        <v>0</v>
      </c>
      <c r="P27" s="13">
        <v>0</v>
      </c>
      <c r="Q27" s="41">
        <f t="shared" si="17"/>
        <v>0</v>
      </c>
      <c r="R27" s="13">
        <v>0</v>
      </c>
      <c r="S27" s="13">
        <v>0</v>
      </c>
      <c r="T27" s="13">
        <v>0</v>
      </c>
      <c r="U27" s="13">
        <v>0</v>
      </c>
      <c r="V27" s="41">
        <f t="shared" si="18"/>
        <v>0</v>
      </c>
      <c r="W27" s="13">
        <v>0</v>
      </c>
      <c r="X27" s="13">
        <v>0</v>
      </c>
      <c r="Y27" s="13">
        <v>0</v>
      </c>
      <c r="Z27" s="13">
        <v>0</v>
      </c>
      <c r="AA27" s="41">
        <f t="shared" si="19"/>
        <v>0</v>
      </c>
      <c r="AB27" s="13">
        <v>9996.3251700000001</v>
      </c>
      <c r="AC27" s="13">
        <v>15800.894779999999</v>
      </c>
      <c r="AD27" s="13">
        <v>25326.226529999996</v>
      </c>
      <c r="AE27" s="13">
        <v>30358.872930000001</v>
      </c>
      <c r="AF27" s="41">
        <f t="shared" si="20"/>
        <v>81482.319409999996</v>
      </c>
      <c r="AG27" s="13">
        <v>27615</v>
      </c>
      <c r="AH27" s="13">
        <v>26089</v>
      </c>
      <c r="AI27" s="13">
        <v>38791</v>
      </c>
      <c r="AJ27" s="13">
        <v>32576</v>
      </c>
      <c r="AK27" s="41">
        <f t="shared" si="21"/>
        <v>125071</v>
      </c>
      <c r="AL27" s="13">
        <v>38093</v>
      </c>
      <c r="AM27" s="13">
        <v>44789</v>
      </c>
      <c r="AN27" s="13">
        <v>40333</v>
      </c>
      <c r="AO27" s="13">
        <v>45235</v>
      </c>
      <c r="AP27" s="41">
        <f t="shared" si="22"/>
        <v>168450</v>
      </c>
      <c r="AQ27" s="13">
        <v>39941</v>
      </c>
      <c r="AR27" s="13">
        <v>40512</v>
      </c>
      <c r="AS27" s="13">
        <v>43097</v>
      </c>
      <c r="AT27" s="13">
        <v>44430</v>
      </c>
      <c r="AU27" s="41">
        <f t="shared" si="23"/>
        <v>167980</v>
      </c>
      <c r="AV27" s="13">
        <f>'DRE CAIXA SEG_CONTAB_IFRS4'!AV27</f>
        <v>39124.469149999983</v>
      </c>
      <c r="AW27" s="13">
        <f>'DRE CAIXA SEG_CONTAB_IFRS4'!AW27</f>
        <v>45199.96103000002</v>
      </c>
      <c r="AX27" s="13">
        <v>47257</v>
      </c>
      <c r="AY27" s="13">
        <f>'DRE CAIXA SEGURIDADE CONTABIL'!AY27</f>
        <v>44977</v>
      </c>
      <c r="AZ27" s="41">
        <f t="shared" si="14"/>
        <v>176558.43018</v>
      </c>
      <c r="BA27" s="1">
        <v>40123.412959999972</v>
      </c>
      <c r="CF27" s="298"/>
      <c r="CG27" s="298"/>
      <c r="CH27" s="298"/>
      <c r="CJ27" s="298"/>
      <c r="CK27" s="298"/>
    </row>
    <row r="28" spans="1:89">
      <c r="A28" s="11"/>
      <c r="B28" s="11" t="s">
        <v>292</v>
      </c>
      <c r="C28" s="13">
        <v>0</v>
      </c>
      <c r="D28" s="13">
        <v>0</v>
      </c>
      <c r="E28" s="13">
        <v>0</v>
      </c>
      <c r="F28" s="13">
        <v>0</v>
      </c>
      <c r="G28" s="41">
        <f t="shared" si="15"/>
        <v>0</v>
      </c>
      <c r="H28" s="13">
        <v>0</v>
      </c>
      <c r="I28" s="13">
        <v>0</v>
      </c>
      <c r="J28" s="13">
        <v>0</v>
      </c>
      <c r="K28" s="13">
        <v>0</v>
      </c>
      <c r="L28" s="41">
        <f t="shared" si="16"/>
        <v>0</v>
      </c>
      <c r="M28" s="13">
        <v>0</v>
      </c>
      <c r="N28" s="13">
        <v>0</v>
      </c>
      <c r="O28" s="13">
        <v>0</v>
      </c>
      <c r="P28" s="13">
        <v>0</v>
      </c>
      <c r="Q28" s="41">
        <f t="shared" si="17"/>
        <v>0</v>
      </c>
      <c r="R28" s="13">
        <v>0</v>
      </c>
      <c r="S28" s="13">
        <v>0</v>
      </c>
      <c r="T28" s="13">
        <v>0</v>
      </c>
      <c r="U28" s="13">
        <v>0</v>
      </c>
      <c r="V28" s="41">
        <f t="shared" si="18"/>
        <v>0</v>
      </c>
      <c r="W28" s="13">
        <v>0</v>
      </c>
      <c r="X28" s="13">
        <v>0</v>
      </c>
      <c r="Y28" s="13">
        <v>0</v>
      </c>
      <c r="Z28" s="13">
        <v>0</v>
      </c>
      <c r="AA28" s="41">
        <f t="shared" si="19"/>
        <v>0</v>
      </c>
      <c r="AB28" s="13">
        <v>77995.33941</v>
      </c>
      <c r="AC28" s="13">
        <v>100105.40303999999</v>
      </c>
      <c r="AD28" s="13">
        <v>209429.62568</v>
      </c>
      <c r="AE28" s="13">
        <v>202800.24335000003</v>
      </c>
      <c r="AF28" s="41">
        <f t="shared" si="20"/>
        <v>590330.61147999996</v>
      </c>
      <c r="AG28" s="13">
        <v>129927</v>
      </c>
      <c r="AH28" s="13">
        <v>177505</v>
      </c>
      <c r="AI28" s="13">
        <v>234232</v>
      </c>
      <c r="AJ28" s="13">
        <v>130471</v>
      </c>
      <c r="AK28" s="41">
        <f t="shared" si="21"/>
        <v>672135</v>
      </c>
      <c r="AL28" s="13">
        <v>171652</v>
      </c>
      <c r="AM28" s="13">
        <v>159849</v>
      </c>
      <c r="AN28" s="13">
        <v>160439</v>
      </c>
      <c r="AO28" s="13">
        <v>164411</v>
      </c>
      <c r="AP28" s="41">
        <f t="shared" si="22"/>
        <v>656351</v>
      </c>
      <c r="AQ28" s="13">
        <v>165631</v>
      </c>
      <c r="AR28" s="13">
        <v>177764</v>
      </c>
      <c r="AS28" s="13">
        <v>165395</v>
      </c>
      <c r="AT28" s="13">
        <v>185509</v>
      </c>
      <c r="AU28" s="41">
        <f t="shared" si="23"/>
        <v>694299</v>
      </c>
      <c r="AV28" s="13">
        <f>'DRE CAIXA SEG_CONTAB_IFRS4'!AV28</f>
        <v>116019.78047000003</v>
      </c>
      <c r="AW28" s="13">
        <f>'DRE CAIXA SEG_CONTAB_IFRS4'!AW28</f>
        <v>101661.70065000007</v>
      </c>
      <c r="AX28" s="13">
        <v>113307</v>
      </c>
      <c r="AY28" s="13">
        <f>'DRE CAIXA SEGURIDADE CONTABIL'!AY28</f>
        <v>70076</v>
      </c>
      <c r="AZ28" s="41">
        <f t="shared" si="14"/>
        <v>401064.48112000013</v>
      </c>
      <c r="BA28" s="1">
        <v>91493.824120000005</v>
      </c>
      <c r="CF28" s="298"/>
      <c r="CG28" s="298"/>
      <c r="CH28" s="298"/>
      <c r="CJ28" s="298"/>
      <c r="CK28" s="298"/>
    </row>
    <row r="29" spans="1:89">
      <c r="A29" s="11"/>
      <c r="B29" s="11" t="s">
        <v>279</v>
      </c>
      <c r="C29" s="13">
        <v>0</v>
      </c>
      <c r="D29" s="13">
        <v>0</v>
      </c>
      <c r="E29" s="13">
        <v>0</v>
      </c>
      <c r="F29" s="13">
        <v>0</v>
      </c>
      <c r="G29" s="41">
        <f t="shared" si="15"/>
        <v>0</v>
      </c>
      <c r="H29" s="13">
        <v>0</v>
      </c>
      <c r="I29" s="13">
        <v>0</v>
      </c>
      <c r="J29" s="13">
        <v>0</v>
      </c>
      <c r="K29" s="13">
        <v>0</v>
      </c>
      <c r="L29" s="41">
        <f t="shared" si="16"/>
        <v>0</v>
      </c>
      <c r="M29" s="13">
        <v>0</v>
      </c>
      <c r="N29" s="13">
        <v>0</v>
      </c>
      <c r="O29" s="13">
        <v>0</v>
      </c>
      <c r="P29" s="13">
        <v>0</v>
      </c>
      <c r="Q29" s="41">
        <f t="shared" si="17"/>
        <v>0</v>
      </c>
      <c r="R29" s="13">
        <v>0</v>
      </c>
      <c r="S29" s="13">
        <v>0</v>
      </c>
      <c r="T29" s="13">
        <v>0</v>
      </c>
      <c r="U29" s="13">
        <v>0</v>
      </c>
      <c r="V29" s="41">
        <f t="shared" si="18"/>
        <v>0</v>
      </c>
      <c r="W29" s="13">
        <v>0</v>
      </c>
      <c r="X29" s="13">
        <v>0</v>
      </c>
      <c r="Y29" s="13">
        <v>0</v>
      </c>
      <c r="Z29" s="13">
        <v>0</v>
      </c>
      <c r="AA29" s="41">
        <f t="shared" si="19"/>
        <v>0</v>
      </c>
      <c r="AB29" s="13">
        <v>13344.21117</v>
      </c>
      <c r="AC29" s="13">
        <v>16520.48747</v>
      </c>
      <c r="AD29" s="13">
        <v>18838.53082</v>
      </c>
      <c r="AE29" s="13">
        <v>23199.461979999996</v>
      </c>
      <c r="AF29" s="41">
        <f t="shared" si="20"/>
        <v>71902.691439999995</v>
      </c>
      <c r="AG29" s="13">
        <v>22337</v>
      </c>
      <c r="AH29" s="13">
        <v>23211</v>
      </c>
      <c r="AI29" s="13">
        <v>23352</v>
      </c>
      <c r="AJ29" s="13">
        <v>16344</v>
      </c>
      <c r="AK29" s="41">
        <f t="shared" si="21"/>
        <v>85244</v>
      </c>
      <c r="AL29" s="13">
        <v>17835</v>
      </c>
      <c r="AM29" s="13">
        <v>18739</v>
      </c>
      <c r="AN29" s="13">
        <v>19307</v>
      </c>
      <c r="AO29" s="13">
        <v>18420</v>
      </c>
      <c r="AP29" s="41">
        <f t="shared" si="22"/>
        <v>74301</v>
      </c>
      <c r="AQ29" s="13">
        <v>19693</v>
      </c>
      <c r="AR29" s="13">
        <v>18827</v>
      </c>
      <c r="AS29" s="13">
        <v>20726</v>
      </c>
      <c r="AT29" s="13">
        <v>22967</v>
      </c>
      <c r="AU29" s="41">
        <f t="shared" si="23"/>
        <v>82213</v>
      </c>
      <c r="AV29" s="13">
        <f>'DRE CAIXA SEG_CONTAB_IFRS4'!AV29</f>
        <v>22028.667459999997</v>
      </c>
      <c r="AW29" s="13">
        <f>'DRE CAIXA SEG_CONTAB_IFRS4'!AW29</f>
        <v>18810.136640000059</v>
      </c>
      <c r="AX29" s="13">
        <f>'DRE CAIXA SEG_CONTAB_IFRS4'!AX29</f>
        <v>22882.110709999943</v>
      </c>
      <c r="AY29" s="13">
        <f>'DRE CAIXA SEGURIDADE CONTABIL'!AY29</f>
        <v>20692.988209999989</v>
      </c>
      <c r="AZ29" s="41">
        <f t="shared" si="14"/>
        <v>84413.903019999983</v>
      </c>
      <c r="BA29" s="1">
        <v>21913.263159999959</v>
      </c>
      <c r="CF29" s="298"/>
      <c r="CG29" s="298"/>
      <c r="CH29" s="298"/>
      <c r="CJ29" s="298"/>
      <c r="CK29" s="298"/>
    </row>
    <row r="30" spans="1:89">
      <c r="A30" s="11"/>
      <c r="B30" s="11" t="s">
        <v>294</v>
      </c>
      <c r="C30" s="13">
        <v>0</v>
      </c>
      <c r="D30" s="13">
        <v>0</v>
      </c>
      <c r="E30" s="13">
        <v>0</v>
      </c>
      <c r="F30" s="13">
        <v>0</v>
      </c>
      <c r="G30" s="41">
        <f t="shared" si="15"/>
        <v>0</v>
      </c>
      <c r="H30" s="13">
        <v>0</v>
      </c>
      <c r="I30" s="13">
        <v>0</v>
      </c>
      <c r="J30" s="13">
        <v>0</v>
      </c>
      <c r="K30" s="13">
        <v>0</v>
      </c>
      <c r="L30" s="41">
        <f t="shared" si="16"/>
        <v>0</v>
      </c>
      <c r="M30" s="13">
        <v>0</v>
      </c>
      <c r="N30" s="13">
        <v>0</v>
      </c>
      <c r="O30" s="13">
        <v>0</v>
      </c>
      <c r="P30" s="13">
        <v>0</v>
      </c>
      <c r="Q30" s="41">
        <f t="shared" si="17"/>
        <v>0</v>
      </c>
      <c r="R30" s="13">
        <v>0</v>
      </c>
      <c r="S30" s="13">
        <v>0</v>
      </c>
      <c r="T30" s="13">
        <v>0</v>
      </c>
      <c r="U30" s="13">
        <v>0</v>
      </c>
      <c r="V30" s="41">
        <f t="shared" si="18"/>
        <v>0</v>
      </c>
      <c r="W30" s="13">
        <v>0</v>
      </c>
      <c r="X30" s="13">
        <v>0</v>
      </c>
      <c r="Y30" s="13">
        <v>0</v>
      </c>
      <c r="Z30" s="13">
        <v>0</v>
      </c>
      <c r="AA30" s="41">
        <f t="shared" si="19"/>
        <v>0</v>
      </c>
      <c r="AB30" s="13">
        <v>0</v>
      </c>
      <c r="AC30" s="13">
        <v>1115.6157800000001</v>
      </c>
      <c r="AD30" s="13">
        <v>5017.2139999999999</v>
      </c>
      <c r="AE30" s="13">
        <v>6475.7491800000007</v>
      </c>
      <c r="AF30" s="41">
        <f t="shared" si="20"/>
        <v>12608.578960000001</v>
      </c>
      <c r="AG30" s="13">
        <v>9623</v>
      </c>
      <c r="AH30" s="13">
        <v>12207</v>
      </c>
      <c r="AI30" s="13">
        <v>15800</v>
      </c>
      <c r="AJ30" s="13">
        <v>19698</v>
      </c>
      <c r="AK30" s="41">
        <f t="shared" si="21"/>
        <v>57328</v>
      </c>
      <c r="AL30" s="13">
        <v>26198</v>
      </c>
      <c r="AM30" s="13">
        <v>38694</v>
      </c>
      <c r="AN30" s="13">
        <v>44278</v>
      </c>
      <c r="AO30" s="13">
        <v>51072</v>
      </c>
      <c r="AP30" s="41">
        <f t="shared" si="22"/>
        <v>160242</v>
      </c>
      <c r="AQ30" s="13">
        <v>56156</v>
      </c>
      <c r="AR30" s="13">
        <v>63839</v>
      </c>
      <c r="AS30" s="13">
        <v>72598</v>
      </c>
      <c r="AT30" s="13">
        <v>78998</v>
      </c>
      <c r="AU30" s="41">
        <f t="shared" si="23"/>
        <v>271591</v>
      </c>
      <c r="AV30" s="13">
        <f>'DRE CAIXA SEG_CONTAB_IFRS4'!AV30</f>
        <v>84273.190220000033</v>
      </c>
      <c r="AW30" s="13">
        <f>'DRE CAIXA SEG_CONTAB_IFRS4'!AW30</f>
        <v>90383.776269999886</v>
      </c>
      <c r="AX30" s="13">
        <f>'DRE CAIXA SEG_CONTAB_IFRS4'!AX30</f>
        <v>97483.76940999979</v>
      </c>
      <c r="AY30" s="13">
        <f>'DRE CAIXA SEGURIDADE CONTABIL'!AY30</f>
        <v>104389</v>
      </c>
      <c r="AZ30" s="41">
        <f t="shared" si="14"/>
        <v>376529.73589999968</v>
      </c>
      <c r="BA30" s="1">
        <v>114766.98335000018</v>
      </c>
      <c r="CF30" s="298"/>
      <c r="CG30" s="298"/>
      <c r="CH30" s="298"/>
      <c r="CJ30" s="298"/>
      <c r="CK30" s="298"/>
    </row>
    <row r="31" spans="1:89">
      <c r="A31" s="11"/>
      <c r="B31" s="11" t="s">
        <v>296</v>
      </c>
      <c r="C31" s="13">
        <v>0</v>
      </c>
      <c r="D31" s="13">
        <v>0</v>
      </c>
      <c r="E31" s="13">
        <v>0</v>
      </c>
      <c r="F31" s="13">
        <v>0</v>
      </c>
      <c r="G31" s="41">
        <f t="shared" si="15"/>
        <v>0</v>
      </c>
      <c r="H31" s="13">
        <v>0</v>
      </c>
      <c r="I31" s="13">
        <v>0</v>
      </c>
      <c r="J31" s="13">
        <v>0</v>
      </c>
      <c r="K31" s="13">
        <v>0</v>
      </c>
      <c r="L31" s="41">
        <f t="shared" si="16"/>
        <v>0</v>
      </c>
      <c r="M31" s="13">
        <v>0</v>
      </c>
      <c r="N31" s="13">
        <v>0</v>
      </c>
      <c r="O31" s="13">
        <v>0</v>
      </c>
      <c r="P31" s="13">
        <v>0</v>
      </c>
      <c r="Q31" s="41">
        <f t="shared" si="17"/>
        <v>0</v>
      </c>
      <c r="R31" s="13">
        <v>0</v>
      </c>
      <c r="S31" s="13">
        <v>0</v>
      </c>
      <c r="T31" s="13">
        <v>0</v>
      </c>
      <c r="U31" s="13">
        <v>0</v>
      </c>
      <c r="V31" s="41">
        <f t="shared" si="18"/>
        <v>0</v>
      </c>
      <c r="W31" s="13">
        <v>0</v>
      </c>
      <c r="X31" s="13">
        <v>0</v>
      </c>
      <c r="Y31" s="13">
        <v>0</v>
      </c>
      <c r="Z31" s="13">
        <v>0</v>
      </c>
      <c r="AA31" s="41">
        <f t="shared" si="19"/>
        <v>0</v>
      </c>
      <c r="AB31" s="13">
        <v>14707.75037</v>
      </c>
      <c r="AC31" s="13">
        <v>34243.350870000002</v>
      </c>
      <c r="AD31" s="13">
        <v>50129.761829999989</v>
      </c>
      <c r="AE31" s="13">
        <v>63928.733469999999</v>
      </c>
      <c r="AF31" s="41">
        <f t="shared" si="20"/>
        <v>163009.59654</v>
      </c>
      <c r="AG31" s="13">
        <v>56926</v>
      </c>
      <c r="AH31" s="13">
        <v>63794</v>
      </c>
      <c r="AI31" s="13">
        <v>79334</v>
      </c>
      <c r="AJ31" s="13">
        <v>69331</v>
      </c>
      <c r="AK31" s="41">
        <f t="shared" si="21"/>
        <v>269385</v>
      </c>
      <c r="AL31" s="13">
        <v>64879</v>
      </c>
      <c r="AM31" s="13">
        <v>60889</v>
      </c>
      <c r="AN31" s="13">
        <v>66844</v>
      </c>
      <c r="AO31" s="13">
        <v>66360</v>
      </c>
      <c r="AP31" s="41">
        <f t="shared" si="22"/>
        <v>258972</v>
      </c>
      <c r="AQ31" s="13">
        <v>66076</v>
      </c>
      <c r="AR31" s="13">
        <v>73378</v>
      </c>
      <c r="AS31" s="13">
        <v>77935</v>
      </c>
      <c r="AT31" s="13">
        <v>78506</v>
      </c>
      <c r="AU31" s="41">
        <f t="shared" si="23"/>
        <v>295895</v>
      </c>
      <c r="AV31" s="13">
        <f>'DRE CAIXA SEG_CONTAB_IFRS4'!AV31</f>
        <v>86528.731709999935</v>
      </c>
      <c r="AW31" s="13">
        <f>'DRE CAIXA SEG_CONTAB_IFRS4'!AW31</f>
        <v>91456.468859999979</v>
      </c>
      <c r="AX31" s="13">
        <f>'DRE CAIXA SEG_CONTAB_IFRS4'!AX31</f>
        <v>100909.94935000045</v>
      </c>
      <c r="AY31" s="13">
        <f>'DRE CAIXA SEGURIDADE CONTABIL'!AY31</f>
        <v>98962.065449999995</v>
      </c>
      <c r="AZ31" s="41">
        <f t="shared" si="14"/>
        <v>377857.21537000034</v>
      </c>
      <c r="BA31" s="1">
        <v>93676.687010000096</v>
      </c>
      <c r="CF31" s="298"/>
      <c r="CG31" s="298"/>
      <c r="CH31" s="298"/>
      <c r="CJ31" s="298"/>
      <c r="CK31" s="298"/>
    </row>
    <row r="32" spans="1:89">
      <c r="A32" s="11"/>
      <c r="B32" s="11" t="s">
        <v>275</v>
      </c>
      <c r="C32" s="13">
        <v>0</v>
      </c>
      <c r="D32" s="13">
        <v>0</v>
      </c>
      <c r="E32" s="13">
        <v>0</v>
      </c>
      <c r="F32" s="13">
        <v>0</v>
      </c>
      <c r="G32" s="41">
        <f t="shared" si="15"/>
        <v>0</v>
      </c>
      <c r="H32" s="13">
        <v>0</v>
      </c>
      <c r="I32" s="13">
        <v>0</v>
      </c>
      <c r="J32" s="13">
        <v>0</v>
      </c>
      <c r="K32" s="13">
        <v>0</v>
      </c>
      <c r="L32" s="41">
        <f t="shared" si="16"/>
        <v>0</v>
      </c>
      <c r="M32" s="13">
        <v>0</v>
      </c>
      <c r="N32" s="13">
        <v>0</v>
      </c>
      <c r="O32" s="13">
        <v>0</v>
      </c>
      <c r="P32" s="13">
        <v>0</v>
      </c>
      <c r="Q32" s="41">
        <f t="shared" si="17"/>
        <v>0</v>
      </c>
      <c r="R32" s="13">
        <v>0</v>
      </c>
      <c r="S32" s="13">
        <v>0</v>
      </c>
      <c r="T32" s="13">
        <v>0</v>
      </c>
      <c r="U32" s="13">
        <v>0</v>
      </c>
      <c r="V32" s="41">
        <f t="shared" si="18"/>
        <v>0</v>
      </c>
      <c r="W32" s="13">
        <v>0</v>
      </c>
      <c r="X32" s="13">
        <v>0</v>
      </c>
      <c r="Y32" s="13">
        <v>0</v>
      </c>
      <c r="Z32" s="13">
        <v>0</v>
      </c>
      <c r="AA32" s="41">
        <f t="shared" si="19"/>
        <v>0</v>
      </c>
      <c r="AB32" s="13">
        <v>0</v>
      </c>
      <c r="AC32" s="13">
        <v>0</v>
      </c>
      <c r="AD32" s="13">
        <v>6379.6751800000002</v>
      </c>
      <c r="AE32" s="13">
        <v>8454.2459299999991</v>
      </c>
      <c r="AF32" s="41">
        <f t="shared" si="20"/>
        <v>14833.921109999999</v>
      </c>
      <c r="AG32" s="13">
        <v>6028</v>
      </c>
      <c r="AH32" s="13">
        <v>13727</v>
      </c>
      <c r="AI32" s="13">
        <v>20491</v>
      </c>
      <c r="AJ32" s="13">
        <v>14749</v>
      </c>
      <c r="AK32" s="41">
        <f t="shared" si="21"/>
        <v>54995</v>
      </c>
      <c r="AL32" s="13">
        <v>21581</v>
      </c>
      <c r="AM32" s="13">
        <v>23032</v>
      </c>
      <c r="AN32" s="13">
        <v>30344</v>
      </c>
      <c r="AO32" s="13">
        <v>28879</v>
      </c>
      <c r="AP32" s="41">
        <f t="shared" si="22"/>
        <v>103836</v>
      </c>
      <c r="AQ32" s="13">
        <v>28589</v>
      </c>
      <c r="AR32" s="13">
        <v>24483</v>
      </c>
      <c r="AS32" s="13">
        <v>26014</v>
      </c>
      <c r="AT32" s="13">
        <v>28803</v>
      </c>
      <c r="AU32" s="41">
        <f t="shared" si="23"/>
        <v>107889</v>
      </c>
      <c r="AV32" s="13">
        <f>'DRE CAIXA SEG_CONTAB_IFRS4'!AV32</f>
        <v>30113.047650000008</v>
      </c>
      <c r="AW32" s="13">
        <f>'DRE CAIXA SEG_CONTAB_IFRS4'!AW32</f>
        <v>31461.441709999955</v>
      </c>
      <c r="AX32" s="13">
        <f>'DRE CAIXA SEG_CONTAB_IFRS4'!AX32</f>
        <v>35996.749250000088</v>
      </c>
      <c r="AY32" s="13">
        <f>'DRE CAIXA SEGURIDADE CONTABIL'!AY32</f>
        <v>38459.375310000003</v>
      </c>
      <c r="AZ32" s="41">
        <f t="shared" si="14"/>
        <v>136030.61392000006</v>
      </c>
      <c r="BA32" s="1">
        <v>39250.16120999994</v>
      </c>
      <c r="CF32" s="298"/>
      <c r="CG32" s="298"/>
      <c r="CH32" s="298"/>
      <c r="CJ32" s="298"/>
      <c r="CK32" s="298"/>
    </row>
    <row r="33" spans="1:89">
      <c r="A33" s="11"/>
      <c r="B33" s="11" t="s">
        <v>277</v>
      </c>
      <c r="C33" s="13">
        <v>0</v>
      </c>
      <c r="D33" s="13">
        <v>0</v>
      </c>
      <c r="E33" s="13">
        <v>0</v>
      </c>
      <c r="F33" s="13">
        <v>0</v>
      </c>
      <c r="G33" s="41">
        <f t="shared" si="15"/>
        <v>0</v>
      </c>
      <c r="H33" s="13">
        <v>0</v>
      </c>
      <c r="I33" s="13">
        <v>0</v>
      </c>
      <c r="J33" s="13">
        <v>0</v>
      </c>
      <c r="K33" s="13">
        <v>0</v>
      </c>
      <c r="L33" s="41">
        <f t="shared" si="16"/>
        <v>0</v>
      </c>
      <c r="M33" s="13">
        <v>0</v>
      </c>
      <c r="N33" s="13">
        <v>0</v>
      </c>
      <c r="O33" s="13">
        <v>0</v>
      </c>
      <c r="P33" s="13">
        <v>0</v>
      </c>
      <c r="Q33" s="41">
        <f t="shared" si="17"/>
        <v>0</v>
      </c>
      <c r="R33" s="13">
        <v>0</v>
      </c>
      <c r="S33" s="13">
        <v>0</v>
      </c>
      <c r="T33" s="13">
        <v>0</v>
      </c>
      <c r="U33" s="13">
        <v>0</v>
      </c>
      <c r="V33" s="41">
        <f t="shared" si="18"/>
        <v>0</v>
      </c>
      <c r="W33" s="13">
        <v>0</v>
      </c>
      <c r="X33" s="13">
        <v>0</v>
      </c>
      <c r="Y33" s="13">
        <v>0</v>
      </c>
      <c r="Z33" s="13">
        <v>0</v>
      </c>
      <c r="AA33" s="41">
        <f t="shared" si="19"/>
        <v>0</v>
      </c>
      <c r="AB33" s="13">
        <v>0</v>
      </c>
      <c r="AC33" s="13">
        <v>0</v>
      </c>
      <c r="AD33" s="13">
        <v>625.17274999999995</v>
      </c>
      <c r="AE33" s="13">
        <v>7527.6387500000001</v>
      </c>
      <c r="AF33" s="41">
        <f t="shared" si="20"/>
        <v>8152.8114999999998</v>
      </c>
      <c r="AG33" s="13">
        <v>29931</v>
      </c>
      <c r="AH33" s="13">
        <v>56516</v>
      </c>
      <c r="AI33" s="13">
        <v>78055</v>
      </c>
      <c r="AJ33" s="13">
        <v>90656</v>
      </c>
      <c r="AK33" s="41">
        <f t="shared" si="21"/>
        <v>255158</v>
      </c>
      <c r="AL33" s="13">
        <v>84791</v>
      </c>
      <c r="AM33" s="13">
        <v>85412</v>
      </c>
      <c r="AN33" s="13">
        <v>101694</v>
      </c>
      <c r="AO33" s="13">
        <v>106181</v>
      </c>
      <c r="AP33" s="41">
        <f t="shared" si="22"/>
        <v>378078</v>
      </c>
      <c r="AQ33" s="13">
        <v>101221</v>
      </c>
      <c r="AR33" s="13">
        <v>92460</v>
      </c>
      <c r="AS33" s="13">
        <v>108665</v>
      </c>
      <c r="AT33" s="13">
        <v>137759</v>
      </c>
      <c r="AU33" s="41">
        <f t="shared" si="23"/>
        <v>440105</v>
      </c>
      <c r="AV33" s="13">
        <f>'DRE CAIXA SEG_CONTAB_IFRS4'!AV33</f>
        <v>160925.92279999997</v>
      </c>
      <c r="AW33" s="13">
        <f>'DRE CAIXA SEG_CONTAB_IFRS4'!AW33</f>
        <v>143328.89731999984</v>
      </c>
      <c r="AX33" s="13">
        <f>'DRE CAIXA SEG_CONTAB_IFRS4'!AX33</f>
        <v>152423.9001399994</v>
      </c>
      <c r="AY33" s="13">
        <f>'DRE CAIXA SEGURIDADE CONTABIL'!AY33</f>
        <v>160613.83526000005</v>
      </c>
      <c r="AZ33" s="41">
        <f t="shared" si="14"/>
        <v>617292.55551999924</v>
      </c>
      <c r="BA33" s="1">
        <v>156273.66565999994</v>
      </c>
      <c r="CF33" s="298"/>
      <c r="CG33" s="298"/>
      <c r="CH33" s="298"/>
      <c r="CJ33" s="298"/>
      <c r="CK33" s="298"/>
    </row>
    <row r="34" spans="1:89">
      <c r="A34" s="11"/>
      <c r="B34" s="11" t="s">
        <v>298</v>
      </c>
      <c r="C34" s="13">
        <v>0</v>
      </c>
      <c r="D34" s="13">
        <v>0</v>
      </c>
      <c r="E34" s="13">
        <v>0</v>
      </c>
      <c r="F34" s="13">
        <v>0</v>
      </c>
      <c r="G34" s="41">
        <f t="shared" si="15"/>
        <v>0</v>
      </c>
      <c r="H34" s="13">
        <v>0</v>
      </c>
      <c r="I34" s="13">
        <v>0</v>
      </c>
      <c r="J34" s="13">
        <v>0</v>
      </c>
      <c r="K34" s="13">
        <v>0</v>
      </c>
      <c r="L34" s="41">
        <f t="shared" si="16"/>
        <v>0</v>
      </c>
      <c r="M34" s="13">
        <v>0</v>
      </c>
      <c r="N34" s="13">
        <v>0</v>
      </c>
      <c r="O34" s="13">
        <v>0</v>
      </c>
      <c r="P34" s="13">
        <v>0</v>
      </c>
      <c r="Q34" s="41">
        <f t="shared" si="17"/>
        <v>0</v>
      </c>
      <c r="R34" s="13">
        <v>0</v>
      </c>
      <c r="S34" s="13">
        <v>0</v>
      </c>
      <c r="T34" s="13">
        <v>0</v>
      </c>
      <c r="U34" s="13">
        <v>0</v>
      </c>
      <c r="V34" s="41">
        <f t="shared" si="18"/>
        <v>0</v>
      </c>
      <c r="W34" s="13">
        <v>0</v>
      </c>
      <c r="X34" s="13">
        <v>0</v>
      </c>
      <c r="Y34" s="13">
        <v>0</v>
      </c>
      <c r="Z34" s="13">
        <v>0</v>
      </c>
      <c r="AA34" s="41">
        <f t="shared" si="19"/>
        <v>0</v>
      </c>
      <c r="AB34" s="13">
        <v>0</v>
      </c>
      <c r="AC34" s="13">
        <v>0</v>
      </c>
      <c r="AD34" s="13">
        <v>0</v>
      </c>
      <c r="AE34" s="13">
        <v>14.02482</v>
      </c>
      <c r="AF34" s="41">
        <f t="shared" si="20"/>
        <v>14.02482</v>
      </c>
      <c r="AG34" s="13">
        <v>1993</v>
      </c>
      <c r="AH34" s="13">
        <v>3351</v>
      </c>
      <c r="AI34" s="13">
        <v>6410</v>
      </c>
      <c r="AJ34" s="13">
        <v>4734</v>
      </c>
      <c r="AK34" s="41">
        <f t="shared" si="21"/>
        <v>16488</v>
      </c>
      <c r="AL34" s="13">
        <v>6119</v>
      </c>
      <c r="AM34" s="13">
        <v>8626</v>
      </c>
      <c r="AN34" s="13">
        <v>6395</v>
      </c>
      <c r="AO34" s="13">
        <v>5407</v>
      </c>
      <c r="AP34" s="41">
        <f t="shared" si="22"/>
        <v>26547</v>
      </c>
      <c r="AQ34" s="13">
        <v>11014</v>
      </c>
      <c r="AR34" s="13">
        <v>9694</v>
      </c>
      <c r="AS34" s="13">
        <v>13666</v>
      </c>
      <c r="AT34" s="13">
        <v>11841</v>
      </c>
      <c r="AU34" s="41">
        <f t="shared" si="23"/>
        <v>46215</v>
      </c>
      <c r="AV34" s="13">
        <f>'DRE CAIXA SEG_CONTAB_IFRS4'!AV34</f>
        <v>15500.804850000006</v>
      </c>
      <c r="AW34" s="13">
        <f>'DRE CAIXA SEG_CONTAB_IFRS4'!AW34</f>
        <v>15614.302859999996</v>
      </c>
      <c r="AX34" s="13">
        <f>'DRE CAIXA SEG_CONTAB_IFRS4'!AX34</f>
        <v>17533.692030000024</v>
      </c>
      <c r="AY34" s="13">
        <f>'DRE CAIXA SEGURIDADE CONTABIL'!AY34</f>
        <v>17965.293389999992</v>
      </c>
      <c r="AZ34" s="41">
        <f t="shared" si="14"/>
        <v>66614.093130000023</v>
      </c>
      <c r="BA34" s="1">
        <v>16084.741489999997</v>
      </c>
    </row>
    <row r="35" spans="1:89">
      <c r="A35" s="11"/>
      <c r="B35" s="11" t="s">
        <v>299</v>
      </c>
      <c r="C35" s="13">
        <v>0</v>
      </c>
      <c r="D35" s="13">
        <v>0</v>
      </c>
      <c r="E35" s="13">
        <v>0</v>
      </c>
      <c r="F35" s="13">
        <v>0</v>
      </c>
      <c r="G35" s="41">
        <f t="shared" si="15"/>
        <v>0</v>
      </c>
      <c r="H35" s="13">
        <v>0</v>
      </c>
      <c r="I35" s="13">
        <v>0</v>
      </c>
      <c r="J35" s="13">
        <v>0</v>
      </c>
      <c r="K35" s="13">
        <v>0</v>
      </c>
      <c r="L35" s="41">
        <f t="shared" si="16"/>
        <v>0</v>
      </c>
      <c r="M35" s="13">
        <v>0</v>
      </c>
      <c r="N35" s="13">
        <v>0</v>
      </c>
      <c r="O35" s="13">
        <v>0</v>
      </c>
      <c r="P35" s="13">
        <v>0</v>
      </c>
      <c r="Q35" s="41">
        <f t="shared" si="17"/>
        <v>0</v>
      </c>
      <c r="R35" s="13">
        <v>0</v>
      </c>
      <c r="S35" s="13">
        <v>0</v>
      </c>
      <c r="T35" s="13">
        <v>0</v>
      </c>
      <c r="U35" s="13">
        <v>0</v>
      </c>
      <c r="V35" s="41">
        <f t="shared" si="18"/>
        <v>0</v>
      </c>
      <c r="W35" s="13">
        <v>0</v>
      </c>
      <c r="X35" s="13">
        <v>0</v>
      </c>
      <c r="Y35" s="13">
        <v>0</v>
      </c>
      <c r="Z35" s="13">
        <v>0</v>
      </c>
      <c r="AA35" s="41">
        <f t="shared" si="19"/>
        <v>0</v>
      </c>
      <c r="AB35" s="13">
        <v>0</v>
      </c>
      <c r="AC35" s="13">
        <v>0</v>
      </c>
      <c r="AD35" s="13">
        <v>23.385950000000005</v>
      </c>
      <c r="AE35" s="13">
        <v>623.02203999999983</v>
      </c>
      <c r="AF35" s="41">
        <f t="shared" si="20"/>
        <v>646.40798999999981</v>
      </c>
      <c r="AG35" s="13">
        <v>1083</v>
      </c>
      <c r="AH35" s="13">
        <v>2180</v>
      </c>
      <c r="AI35" s="13">
        <v>2996</v>
      </c>
      <c r="AJ35" s="13">
        <v>3332</v>
      </c>
      <c r="AK35" s="41">
        <f t="shared" si="21"/>
        <v>9591</v>
      </c>
      <c r="AL35" s="13">
        <v>1776</v>
      </c>
      <c r="AM35" s="13">
        <v>2350</v>
      </c>
      <c r="AN35" s="13">
        <v>2447</v>
      </c>
      <c r="AO35" s="13">
        <v>2708</v>
      </c>
      <c r="AP35" s="41">
        <f t="shared" si="22"/>
        <v>9281</v>
      </c>
      <c r="AQ35" s="13">
        <v>2580</v>
      </c>
      <c r="AR35" s="13">
        <v>3091</v>
      </c>
      <c r="AS35" s="13">
        <v>3304</v>
      </c>
      <c r="AT35" s="13">
        <v>4124</v>
      </c>
      <c r="AU35" s="41">
        <f t="shared" si="23"/>
        <v>13099</v>
      </c>
      <c r="AV35" s="13">
        <f>'DRE CAIXA SEG_CONTAB_IFRS4'!AV35</f>
        <v>3631.1754800000003</v>
      </c>
      <c r="AW35" s="13">
        <f>'DRE CAIXA SEG_CONTAB_IFRS4'!AW35</f>
        <v>3704.9399800000069</v>
      </c>
      <c r="AX35" s="13">
        <f>'DRE CAIXA SEG_CONTAB_IFRS4'!AX35</f>
        <v>4072.3702900000089</v>
      </c>
      <c r="AY35" s="13">
        <f>'DRE CAIXA SEGURIDADE CONTABIL'!AY35</f>
        <v>4974</v>
      </c>
      <c r="AZ35" s="41">
        <f t="shared" si="14"/>
        <v>16382.485750000016</v>
      </c>
      <c r="BA35" s="1">
        <v>4421.0251199999893</v>
      </c>
    </row>
    <row r="36" spans="1:89">
      <c r="A36" s="11"/>
      <c r="B36" s="11" t="s">
        <v>301</v>
      </c>
      <c r="C36" s="120"/>
      <c r="D36" s="120"/>
      <c r="E36" s="120"/>
      <c r="F36" s="120"/>
      <c r="G36" s="142">
        <f t="shared" si="15"/>
        <v>0</v>
      </c>
      <c r="H36" s="120"/>
      <c r="I36" s="120"/>
      <c r="J36" s="120"/>
      <c r="K36" s="120"/>
      <c r="L36" s="142">
        <f t="shared" si="16"/>
        <v>0</v>
      </c>
      <c r="M36" s="120"/>
      <c r="N36" s="120"/>
      <c r="O36" s="120"/>
      <c r="P36" s="120"/>
      <c r="Q36" s="142">
        <f t="shared" si="17"/>
        <v>0</v>
      </c>
      <c r="R36" s="120"/>
      <c r="S36" s="120"/>
      <c r="T36" s="120"/>
      <c r="U36" s="120"/>
      <c r="V36" s="142">
        <f t="shared" si="18"/>
        <v>0</v>
      </c>
      <c r="W36" s="120"/>
      <c r="X36" s="120"/>
      <c r="Y36" s="120"/>
      <c r="Z36" s="120"/>
      <c r="AA36" s="142">
        <f t="shared" si="19"/>
        <v>0</v>
      </c>
      <c r="AB36" s="120"/>
      <c r="AC36" s="120"/>
      <c r="AD36" s="120"/>
      <c r="AE36" s="120"/>
      <c r="AF36" s="142">
        <f t="shared" si="20"/>
        <v>0</v>
      </c>
      <c r="AG36" s="120">
        <v>24</v>
      </c>
      <c r="AH36" s="120">
        <v>84</v>
      </c>
      <c r="AI36" s="120">
        <v>98</v>
      </c>
      <c r="AJ36" s="120">
        <v>169</v>
      </c>
      <c r="AK36" s="142">
        <f t="shared" si="21"/>
        <v>375</v>
      </c>
      <c r="AL36" s="120">
        <v>235</v>
      </c>
      <c r="AM36" s="13">
        <v>285</v>
      </c>
      <c r="AN36" s="13">
        <v>294</v>
      </c>
      <c r="AO36" s="13">
        <v>407</v>
      </c>
      <c r="AP36" s="142">
        <f t="shared" si="22"/>
        <v>1221</v>
      </c>
      <c r="AQ36" s="120">
        <v>475</v>
      </c>
      <c r="AR36" s="13">
        <v>423</v>
      </c>
      <c r="AS36" s="13">
        <v>500</v>
      </c>
      <c r="AT36" s="13">
        <v>489</v>
      </c>
      <c r="AU36" s="142">
        <f t="shared" si="23"/>
        <v>1887</v>
      </c>
      <c r="AV36" s="13">
        <f>'DRE CAIXA SEG_CONTAB_IFRS4'!AV36</f>
        <v>516.43579999999963</v>
      </c>
      <c r="AW36" s="13">
        <f>'DRE CAIXA SEG_CONTAB_IFRS4'!AW36</f>
        <v>242.06335000000112</v>
      </c>
      <c r="AX36" s="13">
        <f>'DRE CAIXA SEG_CONTAB_IFRS4'!AX36</f>
        <v>464.74354999999866</v>
      </c>
      <c r="AY36" s="13">
        <f>'DRE CAIXA SEGURIDADE CONTABIL'!AY36</f>
        <v>596.50519999999972</v>
      </c>
      <c r="AZ36" s="142">
        <f t="shared" si="14"/>
        <v>1819.7478999999989</v>
      </c>
      <c r="BA36" s="1">
        <v>789.39063000000147</v>
      </c>
    </row>
    <row r="37" spans="1:89">
      <c r="A37" s="11"/>
      <c r="B37" s="11" t="s">
        <v>303</v>
      </c>
      <c r="C37" s="120"/>
      <c r="D37" s="120"/>
      <c r="E37" s="120"/>
      <c r="F37" s="120"/>
      <c r="G37" s="142">
        <f t="shared" si="15"/>
        <v>0</v>
      </c>
      <c r="H37" s="120"/>
      <c r="I37" s="120"/>
      <c r="J37" s="120"/>
      <c r="K37" s="120"/>
      <c r="L37" s="142">
        <f t="shared" si="16"/>
        <v>0</v>
      </c>
      <c r="M37" s="120"/>
      <c r="N37" s="120"/>
      <c r="O37" s="120"/>
      <c r="P37" s="120"/>
      <c r="Q37" s="142">
        <f t="shared" si="17"/>
        <v>0</v>
      </c>
      <c r="R37" s="120"/>
      <c r="S37" s="120"/>
      <c r="T37" s="120"/>
      <c r="U37" s="120"/>
      <c r="V37" s="142">
        <f t="shared" si="18"/>
        <v>0</v>
      </c>
      <c r="W37" s="120"/>
      <c r="X37" s="120"/>
      <c r="Y37" s="120"/>
      <c r="Z37" s="120"/>
      <c r="AA37" s="142">
        <f t="shared" si="19"/>
        <v>0</v>
      </c>
      <c r="AB37" s="120"/>
      <c r="AC37" s="120"/>
      <c r="AD37" s="120"/>
      <c r="AE37" s="120"/>
      <c r="AF37" s="142">
        <f t="shared" si="20"/>
        <v>0</v>
      </c>
      <c r="AG37" s="120">
        <v>0</v>
      </c>
      <c r="AH37" s="120">
        <v>0</v>
      </c>
      <c r="AI37" s="120">
        <v>11</v>
      </c>
      <c r="AJ37" s="120">
        <v>14</v>
      </c>
      <c r="AK37" s="142">
        <f t="shared" si="21"/>
        <v>25</v>
      </c>
      <c r="AL37" s="120">
        <v>13</v>
      </c>
      <c r="AM37" s="13">
        <v>9</v>
      </c>
      <c r="AN37" s="13">
        <v>9</v>
      </c>
      <c r="AO37" s="13">
        <v>11</v>
      </c>
      <c r="AP37" s="142">
        <f t="shared" si="22"/>
        <v>42</v>
      </c>
      <c r="AQ37" s="120">
        <v>8</v>
      </c>
      <c r="AR37" s="13">
        <v>7</v>
      </c>
      <c r="AS37" s="13">
        <v>8</v>
      </c>
      <c r="AT37" s="13">
        <v>6</v>
      </c>
      <c r="AU37" s="142">
        <f t="shared" si="23"/>
        <v>29</v>
      </c>
      <c r="AV37" s="13">
        <f>'DRE CAIXA SEG_CONTAB_IFRS4'!AV37</f>
        <v>4.0776199999999996</v>
      </c>
      <c r="AW37" s="13">
        <f>'DRE CAIXA SEG_CONTAB_IFRS4'!AW37</f>
        <v>3.3020300000000051</v>
      </c>
      <c r="AX37" s="13">
        <f>'DRE CAIXA SEG_CONTAB_IFRS4'!AX37</f>
        <v>3.0178999999999938</v>
      </c>
      <c r="AY37" s="13">
        <f>'DRE CAIXA SEGURIDADE CONTABIL'!AY37</f>
        <v>2.7121900000000014</v>
      </c>
      <c r="AZ37" s="142">
        <f t="shared" si="14"/>
        <v>13.10974</v>
      </c>
      <c r="BA37" s="1">
        <v>2.4630099999999993</v>
      </c>
    </row>
    <row r="38" spans="1:89">
      <c r="A38" s="9"/>
      <c r="B38" s="9" t="s">
        <v>305</v>
      </c>
      <c r="C38" s="31"/>
      <c r="D38" s="31"/>
      <c r="E38" s="31"/>
      <c r="F38" s="31"/>
      <c r="G38" s="42">
        <f t="shared" si="15"/>
        <v>0</v>
      </c>
      <c r="H38" s="31"/>
      <c r="I38" s="31"/>
      <c r="J38" s="31"/>
      <c r="K38" s="31"/>
      <c r="L38" s="42">
        <f t="shared" si="16"/>
        <v>0</v>
      </c>
      <c r="M38" s="31"/>
      <c r="N38" s="31"/>
      <c r="O38" s="31"/>
      <c r="P38" s="31"/>
      <c r="Q38" s="42">
        <f t="shared" si="17"/>
        <v>0</v>
      </c>
      <c r="R38" s="31"/>
      <c r="S38" s="31"/>
      <c r="T38" s="31"/>
      <c r="U38" s="31"/>
      <c r="V38" s="42">
        <f t="shared" si="18"/>
        <v>0</v>
      </c>
      <c r="W38" s="31"/>
      <c r="X38" s="31"/>
      <c r="Y38" s="31"/>
      <c r="Z38" s="31"/>
      <c r="AA38" s="42">
        <f t="shared" si="19"/>
        <v>0</v>
      </c>
      <c r="AB38" s="31">
        <v>-1781.4667399999998</v>
      </c>
      <c r="AC38" s="31">
        <v>-21658.209200000001</v>
      </c>
      <c r="AD38" s="31">
        <v>-24240.573229999995</v>
      </c>
      <c r="AE38" s="31">
        <v>-27746.284649999998</v>
      </c>
      <c r="AF38" s="42">
        <f t="shared" si="20"/>
        <v>-75426.533819999997</v>
      </c>
      <c r="AG38" s="31">
        <v>-46700</v>
      </c>
      <c r="AH38" s="31">
        <v>-70176</v>
      </c>
      <c r="AI38" s="31">
        <v>-96249</v>
      </c>
      <c r="AJ38" s="31">
        <v>-92070</v>
      </c>
      <c r="AK38" s="42">
        <f t="shared" si="21"/>
        <v>-305195</v>
      </c>
      <c r="AL38" s="31">
        <v>-87829</v>
      </c>
      <c r="AM38" s="31">
        <v>-90149</v>
      </c>
      <c r="AN38" s="31">
        <v>-104196</v>
      </c>
      <c r="AO38" s="31">
        <v>-103636</v>
      </c>
      <c r="AP38" s="42">
        <f t="shared" si="22"/>
        <v>-385810</v>
      </c>
      <c r="AQ38" s="31">
        <v>-98747</v>
      </c>
      <c r="AR38" s="31">
        <v>-103142</v>
      </c>
      <c r="AS38" s="31">
        <v>-120386</v>
      </c>
      <c r="AT38" s="31">
        <v>-138170.89696000001</v>
      </c>
      <c r="AU38" s="42">
        <f t="shared" si="23"/>
        <v>-460445.89696000004</v>
      </c>
      <c r="AV38" s="31">
        <f>'DRE CAIXA SEG_CONTAB_IFRS4'!AV38</f>
        <v>-154125.67618000001</v>
      </c>
      <c r="AW38" s="31">
        <f>'DRE CAIXA SEG_CONTAB_IFRS4'!AW38</f>
        <v>-147177.04013999994</v>
      </c>
      <c r="AX38" s="31">
        <f>'DRE CAIXA SEG_CONTAB_IFRS4'!AX38</f>
        <v>-154725.89739000003</v>
      </c>
      <c r="AY38" s="31">
        <f>'DRE CAIXA SEGURIDADE CONTABIL'!AY38</f>
        <v>-162480</v>
      </c>
      <c r="AZ38" s="42">
        <f t="shared" si="14"/>
        <v>-618508.61370999995</v>
      </c>
      <c r="BA38" s="31">
        <v>-154110.35391000001</v>
      </c>
    </row>
    <row r="39" spans="1:89">
      <c r="A39" s="11"/>
      <c r="B39" s="11"/>
      <c r="C39" s="13"/>
      <c r="D39" s="13"/>
      <c r="E39" s="13"/>
      <c r="F39" s="13"/>
      <c r="G39" s="41">
        <f t="shared" si="15"/>
        <v>0</v>
      </c>
      <c r="H39" s="13"/>
      <c r="I39" s="13"/>
      <c r="J39" s="13"/>
      <c r="K39" s="13"/>
      <c r="L39" s="41">
        <f t="shared" si="16"/>
        <v>0</v>
      </c>
      <c r="M39" s="13"/>
      <c r="N39" s="13"/>
      <c r="O39" s="13"/>
      <c r="P39" s="13"/>
      <c r="Q39" s="41">
        <f t="shared" si="17"/>
        <v>0</v>
      </c>
      <c r="R39" s="13"/>
      <c r="S39" s="13"/>
      <c r="T39" s="13"/>
      <c r="U39" s="13"/>
      <c r="V39" s="41">
        <f t="shared" si="18"/>
        <v>0</v>
      </c>
      <c r="W39" s="13"/>
      <c r="X39" s="115"/>
      <c r="Y39" s="13"/>
      <c r="Z39" s="13"/>
      <c r="AA39" s="41">
        <f t="shared" si="19"/>
        <v>0</v>
      </c>
      <c r="AB39" s="115">
        <v>0.12112435247974636</v>
      </c>
      <c r="AC39" s="114">
        <v>0.61252381650129473</v>
      </c>
      <c r="AD39" s="115">
        <v>0.38987521462434643</v>
      </c>
      <c r="AE39" s="115">
        <v>0.31883700390587943</v>
      </c>
      <c r="AF39" s="41">
        <f t="shared" si="20"/>
        <v>1.4423603875112669</v>
      </c>
      <c r="AG39" s="115"/>
      <c r="AH39" s="115"/>
      <c r="AI39" s="115"/>
      <c r="AJ39" s="115"/>
      <c r="AK39" s="41">
        <f t="shared" si="21"/>
        <v>0</v>
      </c>
      <c r="AL39" s="115"/>
      <c r="AM39" s="115"/>
      <c r="AN39" s="115"/>
      <c r="AO39" s="115"/>
      <c r="AP39" s="41">
        <f t="shared" si="22"/>
        <v>0</v>
      </c>
      <c r="AQ39" s="115"/>
      <c r="AR39" s="115"/>
      <c r="AS39" s="115"/>
      <c r="AT39" s="115"/>
      <c r="AU39" s="41"/>
      <c r="AV39" s="115"/>
      <c r="AW39" s="115"/>
      <c r="AX39" s="115"/>
      <c r="AY39" s="115"/>
      <c r="AZ39" s="41"/>
      <c r="BA39" s="1"/>
    </row>
    <row r="40" spans="1:89">
      <c r="A40" s="9"/>
      <c r="B40" s="9" t="s">
        <v>307</v>
      </c>
      <c r="C40" s="31">
        <v>-11206.133216375001</v>
      </c>
      <c r="D40" s="31">
        <v>-13327.701679999998</v>
      </c>
      <c r="E40" s="31">
        <v>-17608.093830000002</v>
      </c>
      <c r="F40" s="31">
        <v>-20717.561589999998</v>
      </c>
      <c r="G40" s="42">
        <f t="shared" si="15"/>
        <v>-62859.490316374999</v>
      </c>
      <c r="H40" s="31">
        <v>-19750.060062050001</v>
      </c>
      <c r="I40" s="31">
        <v>-20583.432040000003</v>
      </c>
      <c r="J40" s="31">
        <v>-22631.823019999989</v>
      </c>
      <c r="K40" s="31">
        <v>-29543.228969999996</v>
      </c>
      <c r="L40" s="42">
        <f t="shared" si="16"/>
        <v>-92508.544092049997</v>
      </c>
      <c r="M40" s="31">
        <v>-20292.245869899998</v>
      </c>
      <c r="N40" s="31">
        <v>-26203.933441599991</v>
      </c>
      <c r="O40" s="31">
        <v>-29415.879860000019</v>
      </c>
      <c r="P40" s="31">
        <v>-29523.258123</v>
      </c>
      <c r="Q40" s="42">
        <f t="shared" si="17"/>
        <v>-105435.31729450001</v>
      </c>
      <c r="R40" s="31">
        <v>-26365.988598674998</v>
      </c>
      <c r="S40" s="31">
        <v>-30255.89972999999</v>
      </c>
      <c r="T40" s="31">
        <v>-32212.213794650004</v>
      </c>
      <c r="U40" s="31">
        <v>-34282.304858324991</v>
      </c>
      <c r="V40" s="42">
        <f t="shared" si="18"/>
        <v>-123116.40698164998</v>
      </c>
      <c r="W40" s="31">
        <v>-30500.919940000003</v>
      </c>
      <c r="X40" s="31">
        <v>-28159.054629999999</v>
      </c>
      <c r="Y40" s="31">
        <v>-43884.79458999999</v>
      </c>
      <c r="Z40" s="31">
        <v>-37313.735299999971</v>
      </c>
      <c r="AA40" s="42">
        <f t="shared" si="19"/>
        <v>-139858.50445999997</v>
      </c>
      <c r="AB40" s="31">
        <v>-34651.087630000002</v>
      </c>
      <c r="AC40" s="31">
        <v>-42476.204289999994</v>
      </c>
      <c r="AD40" s="31">
        <v>-50963.072759999995</v>
      </c>
      <c r="AE40" s="31">
        <v>-62417.958160000009</v>
      </c>
      <c r="AF40" s="42">
        <f t="shared" si="20"/>
        <v>-190508.32283999998</v>
      </c>
      <c r="AG40" s="31">
        <v>-50558</v>
      </c>
      <c r="AH40" s="31">
        <v>-74233</v>
      </c>
      <c r="AI40" s="31">
        <v>-89069</v>
      </c>
      <c r="AJ40" s="31">
        <v>-81813</v>
      </c>
      <c r="AK40" s="42">
        <f t="shared" si="21"/>
        <v>-295673</v>
      </c>
      <c r="AL40" s="31">
        <v>-84529</v>
      </c>
      <c r="AM40" s="31">
        <v>-89489</v>
      </c>
      <c r="AN40" s="31">
        <v>-94269</v>
      </c>
      <c r="AO40" s="31">
        <v>-89379</v>
      </c>
      <c r="AP40" s="42">
        <f t="shared" si="22"/>
        <v>-357666</v>
      </c>
      <c r="AQ40" s="31">
        <v>-102838</v>
      </c>
      <c r="AR40" s="31">
        <v>-93930</v>
      </c>
      <c r="AS40" s="31">
        <v>-100798.71480789993</v>
      </c>
      <c r="AT40" s="31">
        <v>-110188</v>
      </c>
      <c r="AU40" s="42">
        <f t="shared" si="23"/>
        <v>-407754.7148078999</v>
      </c>
      <c r="AV40" s="31">
        <f t="shared" ref="AV40:AW40" si="28">SUM(AV41:AV44)</f>
        <v>-115649.5682199998</v>
      </c>
      <c r="AW40" s="31">
        <f t="shared" si="28"/>
        <v>-109458.11362000137</v>
      </c>
      <c r="AX40" s="31">
        <f t="shared" ref="AX40" si="29">SUM(AX41:AX44)</f>
        <v>-123247.70356000101</v>
      </c>
      <c r="AY40" s="31">
        <f>SUM(AY41:AY44)</f>
        <v>-122811.88757000001</v>
      </c>
      <c r="AZ40" s="42">
        <f t="shared" si="14"/>
        <v>-471167.2729700022</v>
      </c>
      <c r="BA40" s="31">
        <f>SUM(BA41:BA44)</f>
        <v>-125198.40306999991</v>
      </c>
    </row>
    <row r="41" spans="1:89">
      <c r="A41" s="11"/>
      <c r="B41" s="11" t="s">
        <v>309</v>
      </c>
      <c r="C41" s="13">
        <v>0</v>
      </c>
      <c r="D41" s="13">
        <v>0</v>
      </c>
      <c r="E41" s="13">
        <v>0</v>
      </c>
      <c r="F41" s="13">
        <v>0</v>
      </c>
      <c r="G41" s="41">
        <f t="shared" si="15"/>
        <v>0</v>
      </c>
      <c r="H41" s="13">
        <v>0</v>
      </c>
      <c r="I41" s="13">
        <v>0</v>
      </c>
      <c r="J41" s="13">
        <v>0</v>
      </c>
      <c r="K41" s="13">
        <v>0</v>
      </c>
      <c r="L41" s="41">
        <f t="shared" si="16"/>
        <v>0</v>
      </c>
      <c r="M41" s="13">
        <v>0</v>
      </c>
      <c r="N41" s="13">
        <v>0.56599999999999995</v>
      </c>
      <c r="O41" s="13">
        <v>0.16358000000000006</v>
      </c>
      <c r="P41" s="13">
        <v>236.88291000000208</v>
      </c>
      <c r="Q41" s="41">
        <f t="shared" si="17"/>
        <v>237.61249000000208</v>
      </c>
      <c r="R41" s="13">
        <v>0</v>
      </c>
      <c r="S41" s="13">
        <v>0</v>
      </c>
      <c r="T41" s="13">
        <v>5.6900000000000006E-3</v>
      </c>
      <c r="U41" s="13">
        <v>0</v>
      </c>
      <c r="V41" s="41">
        <f t="shared" si="18"/>
        <v>5.6900000000000006E-3</v>
      </c>
      <c r="W41" s="13">
        <v>0</v>
      </c>
      <c r="X41" s="13">
        <v>0</v>
      </c>
      <c r="Y41" s="13">
        <v>0</v>
      </c>
      <c r="Z41" s="13">
        <v>1.8731800000000001</v>
      </c>
      <c r="AA41" s="41">
        <f t="shared" si="19"/>
        <v>1.8731800000000001</v>
      </c>
      <c r="AB41" s="13">
        <v>0</v>
      </c>
      <c r="AC41" s="13">
        <v>1809.0078899999999</v>
      </c>
      <c r="AD41" s="13">
        <v>5934.6343400000005</v>
      </c>
      <c r="AE41" s="13">
        <v>6.7999999970197672E-4</v>
      </c>
      <c r="AF41" s="41">
        <f t="shared" si="20"/>
        <v>7743.6429100000005</v>
      </c>
      <c r="AG41" s="13">
        <v>11445</v>
      </c>
      <c r="AH41" s="13">
        <v>0</v>
      </c>
      <c r="AI41" s="13">
        <v>5</v>
      </c>
      <c r="AJ41" s="13">
        <v>10</v>
      </c>
      <c r="AK41" s="41">
        <f t="shared" si="21"/>
        <v>11460</v>
      </c>
      <c r="AL41" s="13">
        <v>0</v>
      </c>
      <c r="AM41" s="13">
        <v>1</v>
      </c>
      <c r="AN41" s="13">
        <v>8</v>
      </c>
      <c r="AO41" s="13">
        <v>0</v>
      </c>
      <c r="AP41" s="41">
        <f t="shared" si="22"/>
        <v>9</v>
      </c>
      <c r="AQ41" s="13">
        <v>5</v>
      </c>
      <c r="AR41" s="13">
        <v>5614</v>
      </c>
      <c r="AS41" s="13">
        <v>-98.591905999928713</v>
      </c>
      <c r="AT41" s="13">
        <v>12</v>
      </c>
      <c r="AU41" s="41">
        <f t="shared" si="23"/>
        <v>5532.4080940000713</v>
      </c>
      <c r="AV41" s="13">
        <f>'DRE CAIXA SEG_CONTAB_IFRS4'!AV44</f>
        <v>1.8789499999997898</v>
      </c>
      <c r="AW41" s="13">
        <f>'DRE CAIXA SEG_CONTAB_IFRS4'!AW44</f>
        <v>1.3178800000003426</v>
      </c>
      <c r="AX41" s="13">
        <f>'DRE CAIXA SEG_CONTAB_IFRS4'!AX44</f>
        <v>1.3445700000000316</v>
      </c>
      <c r="AY41" s="13">
        <f>'DRE CAIXA SEGURIDADE CONTABIL'!AY44</f>
        <v>0.78239000000000902</v>
      </c>
      <c r="AZ41" s="41">
        <f t="shared" si="14"/>
        <v>5.3237900000001739</v>
      </c>
      <c r="BA41" s="1">
        <v>4.9380000000563098E-2</v>
      </c>
    </row>
    <row r="42" spans="1:89">
      <c r="A42" s="11"/>
      <c r="B42" s="11" t="s">
        <v>311</v>
      </c>
      <c r="C42" s="13">
        <v>-2216.6877699999995</v>
      </c>
      <c r="D42" s="13">
        <v>-4126.8672299999998</v>
      </c>
      <c r="E42" s="13">
        <v>-6310.178469999998</v>
      </c>
      <c r="F42" s="13">
        <v>-9359.9636400000036</v>
      </c>
      <c r="G42" s="41">
        <f t="shared" si="15"/>
        <v>-22013.697110000001</v>
      </c>
      <c r="H42" s="13">
        <v>-6669.2848099999983</v>
      </c>
      <c r="I42" s="13">
        <v>-7482.5691600000036</v>
      </c>
      <c r="J42" s="13">
        <v>-8903.9532499999932</v>
      </c>
      <c r="K42" s="13">
        <v>-15634.739829999999</v>
      </c>
      <c r="L42" s="41">
        <f t="shared" si="16"/>
        <v>-38690.547049999994</v>
      </c>
      <c r="M42" s="13">
        <v>-8155.6838599999992</v>
      </c>
      <c r="N42" s="13">
        <v>-10933.564439999993</v>
      </c>
      <c r="O42" s="13">
        <v>-14467.978350000012</v>
      </c>
      <c r="P42" s="13">
        <v>-13158.086230000001</v>
      </c>
      <c r="Q42" s="41">
        <f t="shared" si="17"/>
        <v>-46715.312880000005</v>
      </c>
      <c r="R42" s="13">
        <v>-10460.7711</v>
      </c>
      <c r="S42" s="13">
        <v>-11110.768909999993</v>
      </c>
      <c r="T42" s="13">
        <v>-12026.777290000002</v>
      </c>
      <c r="U42" s="13">
        <v>-11909.429629999999</v>
      </c>
      <c r="V42" s="41">
        <f t="shared" si="18"/>
        <v>-45507.746929999994</v>
      </c>
      <c r="W42" s="13">
        <v>-16810.195630000006</v>
      </c>
      <c r="X42" s="13">
        <v>-11807.021239999998</v>
      </c>
      <c r="Y42" s="13">
        <v>-12318.089829999997</v>
      </c>
      <c r="Z42" s="13">
        <v>-14215.174809999997</v>
      </c>
      <c r="AA42" s="41">
        <f t="shared" si="19"/>
        <v>-55150.481509999998</v>
      </c>
      <c r="AB42" s="13">
        <v>-13579.38731</v>
      </c>
      <c r="AC42" s="13">
        <v>-19664.983889999996</v>
      </c>
      <c r="AD42" s="13">
        <v>-15965.393460000008</v>
      </c>
      <c r="AE42" s="13">
        <v>-20353.055479999981</v>
      </c>
      <c r="AF42" s="41">
        <f t="shared" si="20"/>
        <v>-69562.820139999982</v>
      </c>
      <c r="AG42" s="13">
        <v>-22135</v>
      </c>
      <c r="AH42" s="13">
        <v>-24184</v>
      </c>
      <c r="AI42" s="13">
        <v>-24124</v>
      </c>
      <c r="AJ42" s="13">
        <v>-29860</v>
      </c>
      <c r="AK42" s="41">
        <f t="shared" si="21"/>
        <v>-100303</v>
      </c>
      <c r="AL42" s="13">
        <v>-26198</v>
      </c>
      <c r="AM42" s="13">
        <v>-29655</v>
      </c>
      <c r="AN42" s="13">
        <v>-30628</v>
      </c>
      <c r="AO42" s="13">
        <v>-23555</v>
      </c>
      <c r="AP42" s="41">
        <f t="shared" si="22"/>
        <v>-110036</v>
      </c>
      <c r="AQ42" s="13">
        <v>-36006</v>
      </c>
      <c r="AR42" s="13">
        <v>-32228</v>
      </c>
      <c r="AS42" s="13">
        <v>-29870</v>
      </c>
      <c r="AT42" s="13">
        <v>-28513</v>
      </c>
      <c r="AU42" s="41">
        <f t="shared" si="23"/>
        <v>-126617</v>
      </c>
      <c r="AV42" s="13">
        <f>'DRE CAIXA SEG_CONTAB_IFRS4'!AV41</f>
        <v>-37474.24568</v>
      </c>
      <c r="AW42" s="13">
        <v>-35135.463770000002</v>
      </c>
      <c r="AX42" s="13">
        <f>'DRE CAIXA SEG_CONTAB_IFRS4'!AX41</f>
        <v>-38770.367610000038</v>
      </c>
      <c r="AY42" s="13">
        <f>'DRE CAIXA SEGURIDADE CONTABIL'!AY41</f>
        <v>-38041</v>
      </c>
      <c r="AZ42" s="41">
        <f t="shared" si="14"/>
        <v>-149421.07706000004</v>
      </c>
      <c r="BA42" s="13">
        <v>-45932.407810000004</v>
      </c>
    </row>
    <row r="43" spans="1:89">
      <c r="A43" s="11"/>
      <c r="B43" s="11" t="s">
        <v>313</v>
      </c>
      <c r="C43" s="13">
        <v>-8989.4454463750008</v>
      </c>
      <c r="D43" s="13">
        <v>-9200.8344499999985</v>
      </c>
      <c r="E43" s="13">
        <v>-11297.915360000003</v>
      </c>
      <c r="F43" s="13">
        <v>-11357.597949999996</v>
      </c>
      <c r="G43" s="41">
        <f t="shared" si="15"/>
        <v>-40845.793206374998</v>
      </c>
      <c r="H43" s="13">
        <v>-13080.775252050002</v>
      </c>
      <c r="I43" s="13">
        <v>-13100.862879999999</v>
      </c>
      <c r="J43" s="13">
        <v>-13727.869769999998</v>
      </c>
      <c r="K43" s="13">
        <v>-13908.489139999998</v>
      </c>
      <c r="L43" s="41">
        <f t="shared" si="16"/>
        <v>-53817.997042049996</v>
      </c>
      <c r="M43" s="13">
        <v>-12136.562009900001</v>
      </c>
      <c r="N43" s="13">
        <v>-15270.935001599999</v>
      </c>
      <c r="O43" s="13">
        <v>-14948.065090000007</v>
      </c>
      <c r="P43" s="13">
        <v>-16602.054802999999</v>
      </c>
      <c r="Q43" s="41">
        <f t="shared" si="17"/>
        <v>-58957.616904500006</v>
      </c>
      <c r="R43" s="13">
        <v>-15905.217498674998</v>
      </c>
      <c r="S43" s="13">
        <v>-19145.130819999998</v>
      </c>
      <c r="T43" s="13">
        <v>-20175.696204650005</v>
      </c>
      <c r="U43" s="13">
        <v>-22359.820568324991</v>
      </c>
      <c r="V43" s="41">
        <f t="shared" si="18"/>
        <v>-77585.86509164999</v>
      </c>
      <c r="W43" s="13">
        <v>-13690.724309999998</v>
      </c>
      <c r="X43" s="13">
        <v>-16342.020769999999</v>
      </c>
      <c r="Y43" s="13">
        <v>-31538.01727</v>
      </c>
      <c r="Z43" s="13">
        <v>-23100.433669999977</v>
      </c>
      <c r="AA43" s="41">
        <f t="shared" si="19"/>
        <v>-84671.196019999974</v>
      </c>
      <c r="AB43" s="13">
        <v>-21071.70032</v>
      </c>
      <c r="AC43" s="13">
        <v>-24620.228290000003</v>
      </c>
      <c r="AD43" s="13">
        <v>-40932.313639999986</v>
      </c>
      <c r="AE43" s="13">
        <v>-42064.903360000026</v>
      </c>
      <c r="AF43" s="41">
        <f t="shared" si="20"/>
        <v>-128689.14561000001</v>
      </c>
      <c r="AG43" s="13">
        <v>-39868</v>
      </c>
      <c r="AH43" s="13">
        <v>-50049</v>
      </c>
      <c r="AI43" s="13">
        <v>-64950</v>
      </c>
      <c r="AJ43" s="13">
        <v>-51963</v>
      </c>
      <c r="AK43" s="41">
        <f t="shared" si="21"/>
        <v>-206830</v>
      </c>
      <c r="AL43" s="13">
        <v>-58331</v>
      </c>
      <c r="AM43" s="13">
        <v>-59835</v>
      </c>
      <c r="AN43" s="13">
        <v>-63421</v>
      </c>
      <c r="AO43" s="13">
        <v>-65582</v>
      </c>
      <c r="AP43" s="41">
        <f t="shared" si="22"/>
        <v>-247169</v>
      </c>
      <c r="AQ43" s="13">
        <v>-66646</v>
      </c>
      <c r="AR43" s="13">
        <v>-66956</v>
      </c>
      <c r="AS43" s="13">
        <v>-70591.122901900002</v>
      </c>
      <c r="AT43" s="13">
        <v>-81424</v>
      </c>
      <c r="AU43" s="41">
        <f t="shared" si="23"/>
        <v>-285617.12290189997</v>
      </c>
      <c r="AV43" s="13">
        <f>'DRE CAIXA SEG_CONTAB_IFRS4'!AV42</f>
        <v>-77378.850609999805</v>
      </c>
      <c r="AW43" s="13">
        <f>'DRE CAIXA SEG_CONTAB_IFRS4'!AW42</f>
        <v>-73568.192340001377</v>
      </c>
      <c r="AX43" s="13">
        <f>'DRE CAIXA SEG_CONTAB_IFRS4'!AX42</f>
        <v>-79807.932950000963</v>
      </c>
      <c r="AY43" s="13">
        <f>'DRE CAIXA SEG_CONTAB_IFRS4'!AY42</f>
        <v>-78652</v>
      </c>
      <c r="AZ43" s="41">
        <f t="shared" si="14"/>
        <v>-309406.97590000217</v>
      </c>
      <c r="BA43" s="13">
        <v>-78331.854639999903</v>
      </c>
    </row>
    <row r="44" spans="1:89">
      <c r="A44" s="11"/>
      <c r="B44" s="11" t="s">
        <v>315</v>
      </c>
      <c r="C44" s="13">
        <v>0</v>
      </c>
      <c r="D44" s="13">
        <v>0</v>
      </c>
      <c r="E44" s="13">
        <v>0</v>
      </c>
      <c r="F44" s="13">
        <v>0</v>
      </c>
      <c r="G44" s="41">
        <f t="shared" si="15"/>
        <v>0</v>
      </c>
      <c r="H44" s="13">
        <v>0</v>
      </c>
      <c r="I44" s="13">
        <v>0</v>
      </c>
      <c r="J44" s="13">
        <v>0</v>
      </c>
      <c r="K44" s="13">
        <v>0</v>
      </c>
      <c r="L44" s="41">
        <f t="shared" si="16"/>
        <v>0</v>
      </c>
      <c r="M44" s="13">
        <v>0</v>
      </c>
      <c r="N44" s="13">
        <v>0</v>
      </c>
      <c r="O44" s="13">
        <v>0</v>
      </c>
      <c r="P44" s="13">
        <v>0</v>
      </c>
      <c r="Q44" s="41">
        <f t="shared" si="17"/>
        <v>0</v>
      </c>
      <c r="R44" s="13">
        <v>0</v>
      </c>
      <c r="S44" s="13">
        <v>0</v>
      </c>
      <c r="T44" s="13">
        <v>-9.745989999999999</v>
      </c>
      <c r="U44" s="13">
        <v>-13.054660000000002</v>
      </c>
      <c r="V44" s="41">
        <f t="shared" si="18"/>
        <v>-22.800650000000001</v>
      </c>
      <c r="W44" s="13">
        <v>0</v>
      </c>
      <c r="X44" s="13">
        <v>-10.01262</v>
      </c>
      <c r="Y44" s="13">
        <v>-28.687490000000004</v>
      </c>
      <c r="Z44" s="13">
        <v>0</v>
      </c>
      <c r="AA44" s="41">
        <f t="shared" si="19"/>
        <v>-38.700110000000002</v>
      </c>
      <c r="AB44" s="13">
        <v>0</v>
      </c>
      <c r="AC44" s="13">
        <v>0</v>
      </c>
      <c r="AD44" s="13">
        <v>0</v>
      </c>
      <c r="AE44" s="13">
        <v>0</v>
      </c>
      <c r="AF44" s="41">
        <f t="shared" si="20"/>
        <v>0</v>
      </c>
      <c r="AG44" s="13">
        <v>0</v>
      </c>
      <c r="AH44" s="13">
        <v>0</v>
      </c>
      <c r="AI44" s="13">
        <v>0</v>
      </c>
      <c r="AJ44" s="13">
        <v>0</v>
      </c>
      <c r="AK44" s="41">
        <f t="shared" si="21"/>
        <v>0</v>
      </c>
      <c r="AL44" s="13">
        <v>0</v>
      </c>
      <c r="AM44" s="13">
        <v>0</v>
      </c>
      <c r="AN44" s="13">
        <v>-227</v>
      </c>
      <c r="AO44" s="13">
        <v>-241</v>
      </c>
      <c r="AP44" s="41">
        <f t="shared" si="22"/>
        <v>-468</v>
      </c>
      <c r="AQ44" s="13">
        <v>-191</v>
      </c>
      <c r="AR44" s="13">
        <v>-360</v>
      </c>
      <c r="AS44" s="13">
        <v>-239</v>
      </c>
      <c r="AT44" s="13">
        <v>-263</v>
      </c>
      <c r="AU44" s="41">
        <f t="shared" si="23"/>
        <v>-1053</v>
      </c>
      <c r="AV44" s="13">
        <f>'DRE CAIXA SEG_CONTAB_IFRS4'!AV43</f>
        <v>-798.35087999999996</v>
      </c>
      <c r="AW44" s="13">
        <f>'DRE CAIXA SEG_CONTAB_IFRS4'!AW43</f>
        <v>-755.77539000000229</v>
      </c>
      <c r="AX44" s="13">
        <f>'DRE CAIXA SEG_CONTAB_IFRS4'!AX43</f>
        <v>-4670.7475700000041</v>
      </c>
      <c r="AY44" s="13">
        <f>'DRE CAIXA SEG_CONTAB_IFRS4'!AY43</f>
        <v>-6119.6699600000102</v>
      </c>
      <c r="AZ44" s="41">
        <f t="shared" si="14"/>
        <v>-12344.543800000018</v>
      </c>
      <c r="BA44" s="13">
        <v>-934.19</v>
      </c>
    </row>
    <row r="45" spans="1:89">
      <c r="A45" s="9"/>
      <c r="B45" s="9" t="s">
        <v>317</v>
      </c>
      <c r="C45" s="32">
        <v>281949.10068091768</v>
      </c>
      <c r="D45" s="32">
        <v>260979.0495571731</v>
      </c>
      <c r="E45" s="32">
        <v>280907.65880123497</v>
      </c>
      <c r="F45" s="32">
        <v>300392.83936796413</v>
      </c>
      <c r="G45" s="43">
        <f t="shared" si="15"/>
        <v>1124228.6484072898</v>
      </c>
      <c r="H45" s="32">
        <v>330053.33581834089</v>
      </c>
      <c r="I45" s="32">
        <v>359825.50122195488</v>
      </c>
      <c r="J45" s="32">
        <v>333767.30886662274</v>
      </c>
      <c r="K45" s="32">
        <v>343077.70749319874</v>
      </c>
      <c r="L45" s="43">
        <f t="shared" si="16"/>
        <v>1366723.8534001173</v>
      </c>
      <c r="M45" s="32">
        <v>330315.15560308524</v>
      </c>
      <c r="N45" s="32">
        <v>346754.1575707405</v>
      </c>
      <c r="O45" s="32">
        <v>380899.06068789103</v>
      </c>
      <c r="P45" s="32">
        <v>434062.21506309317</v>
      </c>
      <c r="Q45" s="43">
        <f t="shared" si="17"/>
        <v>1492030.5889248101</v>
      </c>
      <c r="R45" s="32">
        <v>403074.22656818706</v>
      </c>
      <c r="S45" s="32">
        <v>413672.31808320474</v>
      </c>
      <c r="T45" s="32">
        <v>469025.6122061999</v>
      </c>
      <c r="U45" s="32">
        <v>537517.5395931683</v>
      </c>
      <c r="V45" s="43">
        <f t="shared" si="18"/>
        <v>1823289.6964507599</v>
      </c>
      <c r="W45" s="32">
        <v>442498.23808340292</v>
      </c>
      <c r="X45" s="32">
        <v>415196.70915291482</v>
      </c>
      <c r="Y45" s="32">
        <v>591979.47906499996</v>
      </c>
      <c r="Z45" s="32">
        <v>502568.78393315338</v>
      </c>
      <c r="AA45" s="43">
        <f t="shared" si="19"/>
        <v>1952243.2102344711</v>
      </c>
      <c r="AB45" s="32">
        <v>460055.95692999993</v>
      </c>
      <c r="AC45" s="32">
        <v>448648.55031000008</v>
      </c>
      <c r="AD45" s="32">
        <v>557676.40536000009</v>
      </c>
      <c r="AE45" s="32">
        <v>629697.38072999998</v>
      </c>
      <c r="AF45" s="43">
        <f t="shared" si="20"/>
        <v>2096078.2933299998</v>
      </c>
      <c r="AG45" s="32">
        <v>604299</v>
      </c>
      <c r="AH45" s="32">
        <v>743931</v>
      </c>
      <c r="AI45" s="32">
        <v>860833</v>
      </c>
      <c r="AJ45" s="32">
        <v>815636</v>
      </c>
      <c r="AK45" s="43">
        <f t="shared" si="21"/>
        <v>3024699</v>
      </c>
      <c r="AL45" s="32">
        <v>914515.25</v>
      </c>
      <c r="AM45" s="32">
        <v>906034</v>
      </c>
      <c r="AN45" s="32">
        <v>1004436</v>
      </c>
      <c r="AO45" s="32">
        <v>1015250</v>
      </c>
      <c r="AP45" s="43">
        <f t="shared" si="22"/>
        <v>3840235.25</v>
      </c>
      <c r="AQ45" s="32">
        <v>1048234</v>
      </c>
      <c r="AR45" s="32">
        <v>878937.15207999991</v>
      </c>
      <c r="AS45" s="32">
        <v>1107850.3227769542</v>
      </c>
      <c r="AT45" s="32">
        <v>1178625.2982399999</v>
      </c>
      <c r="AU45" s="43">
        <f t="shared" si="23"/>
        <v>4213646.7730969545</v>
      </c>
      <c r="AV45" s="32">
        <f t="shared" ref="AV45:AW45" si="30">AV7+AV38+AV40</f>
        <v>1111570.4923900003</v>
      </c>
      <c r="AW45" s="32">
        <f t="shared" si="30"/>
        <v>1125705.1297799987</v>
      </c>
      <c r="AX45" s="32">
        <f t="shared" ref="AX45" si="31">AX7+AX38+AX40</f>
        <v>1232014.7866199987</v>
      </c>
      <c r="AY45" s="32">
        <f>AY7+AY38+AY40</f>
        <v>1202634.3209300009</v>
      </c>
      <c r="AZ45" s="43">
        <f t="shared" si="14"/>
        <v>4671924.7297199983</v>
      </c>
      <c r="BA45" s="32">
        <f>BA7+BA38+BA40</f>
        <v>1244429.4421099999</v>
      </c>
    </row>
    <row r="46" spans="1:89">
      <c r="A46" s="11"/>
      <c r="B46" s="11"/>
      <c r="C46" s="14"/>
      <c r="D46" s="14"/>
      <c r="E46" s="14"/>
      <c r="F46" s="14"/>
      <c r="G46" s="41"/>
      <c r="H46" s="14"/>
      <c r="I46" s="14"/>
      <c r="J46" s="14"/>
      <c r="K46" s="14"/>
      <c r="L46" s="41"/>
      <c r="M46" s="14"/>
      <c r="N46" s="14"/>
      <c r="O46" s="14"/>
      <c r="P46" s="14"/>
      <c r="Q46" s="41"/>
      <c r="R46" s="14"/>
      <c r="S46" s="14"/>
      <c r="T46" s="14"/>
      <c r="U46" s="14"/>
      <c r="V46" s="41"/>
      <c r="W46" s="14"/>
      <c r="X46" s="14"/>
      <c r="Y46" s="14"/>
      <c r="Z46" s="14"/>
      <c r="AA46" s="41"/>
      <c r="AB46" s="14"/>
      <c r="AC46" s="14"/>
      <c r="AD46" s="14"/>
      <c r="AE46" s="14"/>
      <c r="AF46" s="41"/>
      <c r="AG46" s="14"/>
      <c r="AH46" s="14"/>
      <c r="AI46" s="14"/>
      <c r="AJ46" s="14"/>
      <c r="AK46" s="41"/>
      <c r="AL46" s="14"/>
      <c r="AM46" s="14"/>
      <c r="AN46" s="14"/>
      <c r="AO46" s="14"/>
      <c r="AP46" s="41"/>
      <c r="AQ46" s="14"/>
      <c r="AR46" s="14"/>
      <c r="AS46" s="14"/>
      <c r="AT46" s="14"/>
      <c r="AU46" s="41"/>
      <c r="AV46" s="14"/>
      <c r="AW46" s="14"/>
      <c r="AX46" s="14"/>
      <c r="AY46" s="14"/>
      <c r="AZ46" s="41"/>
      <c r="BA46" s="698"/>
    </row>
    <row r="47" spans="1:89">
      <c r="A47" s="9"/>
      <c r="B47" s="9" t="s">
        <v>319</v>
      </c>
      <c r="C47" s="32">
        <v>-1418.2734300000006</v>
      </c>
      <c r="D47" s="32">
        <v>2677.4463700000006</v>
      </c>
      <c r="E47" s="32">
        <v>5837.2842000000046</v>
      </c>
      <c r="F47" s="32">
        <v>7006.9743999999992</v>
      </c>
      <c r="G47" s="43">
        <f t="shared" ref="G47:G57" si="32">SUM(C47:F47)</f>
        <v>14103.431540000003</v>
      </c>
      <c r="H47" s="32">
        <v>4216.8447699999997</v>
      </c>
      <c r="I47" s="32">
        <v>7007.4345200000016</v>
      </c>
      <c r="J47" s="32">
        <v>6577.1029199999975</v>
      </c>
      <c r="K47" s="32">
        <v>6447.4069500000005</v>
      </c>
      <c r="L47" s="43">
        <f t="shared" ref="L47:L57" si="33">SUM(H47:K47)</f>
        <v>24248.78916</v>
      </c>
      <c r="M47" s="32">
        <v>2733.1374600000008</v>
      </c>
      <c r="N47" s="32">
        <v>6629.2316099999989</v>
      </c>
      <c r="O47" s="32">
        <v>6872.5647300000001</v>
      </c>
      <c r="P47" s="32">
        <v>7660.6280699999998</v>
      </c>
      <c r="Q47" s="43">
        <f t="shared" ref="Q47:Q57" si="34">SUM(M47:P47)</f>
        <v>23895.561870000001</v>
      </c>
      <c r="R47" s="32">
        <v>4140.2438900000006</v>
      </c>
      <c r="S47" s="32">
        <v>13237.845399999997</v>
      </c>
      <c r="T47" s="32">
        <v>12215.334070000001</v>
      </c>
      <c r="U47" s="32">
        <v>5350.0509500000044</v>
      </c>
      <c r="V47" s="43">
        <f t="shared" ref="V47:V57" si="35">SUM(R47:U47)</f>
        <v>34943.474310000005</v>
      </c>
      <c r="W47" s="32">
        <v>4646.90798</v>
      </c>
      <c r="X47" s="32">
        <v>5911.9798900000005</v>
      </c>
      <c r="Y47" s="32">
        <v>3741.4539599999989</v>
      </c>
      <c r="Z47" s="32">
        <v>6040.7381800000003</v>
      </c>
      <c r="AA47" s="43">
        <f t="shared" ref="AA47:AA57" si="36">SUM(W47:Z47)</f>
        <v>20341.080009999998</v>
      </c>
      <c r="AB47" s="32">
        <v>-179.89427000000001</v>
      </c>
      <c r="AC47" s="32">
        <v>2444.45082</v>
      </c>
      <c r="AD47" s="32">
        <v>5011.8135200000006</v>
      </c>
      <c r="AE47" s="32">
        <v>3295.3234499999994</v>
      </c>
      <c r="AF47" s="43">
        <f t="shared" ref="AF47:AF57" si="37">SUM(AB47:AE47)</f>
        <v>10571.693520000001</v>
      </c>
      <c r="AG47" s="32">
        <v>14034</v>
      </c>
      <c r="AH47" s="32">
        <v>21273</v>
      </c>
      <c r="AI47" s="32">
        <v>28936</v>
      </c>
      <c r="AJ47" s="32">
        <v>33445</v>
      </c>
      <c r="AK47" s="43">
        <f t="shared" ref="AK47:AK57" si="38">SUM(AG47:AJ47)</f>
        <v>97688</v>
      </c>
      <c r="AL47" s="32">
        <v>15189</v>
      </c>
      <c r="AM47" s="32">
        <v>31847</v>
      </c>
      <c r="AN47" s="32">
        <v>31653</v>
      </c>
      <c r="AO47" s="32">
        <v>35178</v>
      </c>
      <c r="AP47" s="43">
        <f t="shared" ref="AP47:AP57" si="39">SUM(AL47:AO47)</f>
        <v>113867</v>
      </c>
      <c r="AQ47" s="32">
        <v>-7282</v>
      </c>
      <c r="AR47" s="32">
        <v>17758</v>
      </c>
      <c r="AS47" s="32">
        <v>29256</v>
      </c>
      <c r="AT47" s="32">
        <v>35122</v>
      </c>
      <c r="AU47" s="43">
        <f t="shared" ref="AU47:AU57" si="40">SUM(AQ47:AT47)</f>
        <v>74854</v>
      </c>
      <c r="AV47" s="32">
        <f t="shared" ref="AV47:AW47" si="41">SUM(AV48:AV50)</f>
        <v>28696.215400000001</v>
      </c>
      <c r="AW47" s="32">
        <f t="shared" si="41"/>
        <v>45475.789109998972</v>
      </c>
      <c r="AX47" s="32">
        <f t="shared" ref="AX47" si="42">SUM(AX48:AX50)</f>
        <v>51095.31436999888</v>
      </c>
      <c r="AY47" s="32">
        <f>SUM(AY48:AY50)</f>
        <v>56928.721039998898</v>
      </c>
      <c r="AZ47" s="43">
        <f>SUM(AV47:AY47)</f>
        <v>182196.03991999675</v>
      </c>
      <c r="BA47" s="32">
        <f>SUM(BA48:BA50)</f>
        <v>28667.213849999891</v>
      </c>
    </row>
    <row r="48" spans="1:89">
      <c r="A48" s="11"/>
      <c r="B48" s="11" t="s">
        <v>321</v>
      </c>
      <c r="C48" s="13">
        <v>2717.0130299999996</v>
      </c>
      <c r="D48" s="13">
        <v>4754.5504600000004</v>
      </c>
      <c r="E48" s="13">
        <v>5634.9898000000039</v>
      </c>
      <c r="F48" s="13">
        <v>7006.9743999999992</v>
      </c>
      <c r="G48" s="41">
        <f t="shared" si="32"/>
        <v>20113.527690000003</v>
      </c>
      <c r="H48" s="13">
        <v>8481.92425</v>
      </c>
      <c r="I48" s="13">
        <v>8232.1099600000016</v>
      </c>
      <c r="J48" s="13">
        <v>6577.1029199999975</v>
      </c>
      <c r="K48" s="13">
        <v>6447.4069500000005</v>
      </c>
      <c r="L48" s="41">
        <f t="shared" si="33"/>
        <v>29738.54408</v>
      </c>
      <c r="M48" s="13">
        <v>7050.4618900000005</v>
      </c>
      <c r="N48" s="13">
        <v>8263.3159099999993</v>
      </c>
      <c r="O48" s="13">
        <v>6872.5947500000002</v>
      </c>
      <c r="P48" s="13">
        <v>7660.7134499999993</v>
      </c>
      <c r="Q48" s="41">
        <f t="shared" si="34"/>
        <v>29847.085999999999</v>
      </c>
      <c r="R48" s="13">
        <v>4506.8492100000003</v>
      </c>
      <c r="S48" s="13">
        <v>13365.335369999997</v>
      </c>
      <c r="T48" s="13">
        <v>12215.489030000001</v>
      </c>
      <c r="U48" s="13">
        <v>5350.0509500000044</v>
      </c>
      <c r="V48" s="41">
        <f t="shared" si="35"/>
        <v>35437.724560000002</v>
      </c>
      <c r="W48" s="13">
        <v>5487.2420899999997</v>
      </c>
      <c r="X48" s="13">
        <v>5913.1763800000008</v>
      </c>
      <c r="Y48" s="13">
        <v>3741.4574999999986</v>
      </c>
      <c r="Z48" s="13">
        <v>6040.7746800000004</v>
      </c>
      <c r="AA48" s="41">
        <f t="shared" si="36"/>
        <v>21182.65065</v>
      </c>
      <c r="AB48" s="13">
        <v>841.82868999999994</v>
      </c>
      <c r="AC48" s="13">
        <v>2444.4508300000002</v>
      </c>
      <c r="AD48" s="13">
        <v>5568.4585800000004</v>
      </c>
      <c r="AE48" s="13">
        <v>6728.4127999999992</v>
      </c>
      <c r="AF48" s="41">
        <f t="shared" si="37"/>
        <v>15583.150900000001</v>
      </c>
      <c r="AG48" s="13">
        <v>14232</v>
      </c>
      <c r="AH48" s="13">
        <v>21274</v>
      </c>
      <c r="AI48" s="13">
        <v>29104</v>
      </c>
      <c r="AJ48" s="13">
        <v>33572</v>
      </c>
      <c r="AK48" s="41">
        <f t="shared" si="38"/>
        <v>98182</v>
      </c>
      <c r="AL48" s="13">
        <v>37870</v>
      </c>
      <c r="AM48" s="13">
        <v>40296</v>
      </c>
      <c r="AN48" s="13">
        <v>32508</v>
      </c>
      <c r="AO48" s="13">
        <v>37138</v>
      </c>
      <c r="AP48" s="41">
        <f t="shared" si="39"/>
        <v>147812</v>
      </c>
      <c r="AQ48" s="13">
        <v>26552</v>
      </c>
      <c r="AR48" s="13">
        <v>36217</v>
      </c>
      <c r="AS48" s="13">
        <v>31356</v>
      </c>
      <c r="AT48" s="13">
        <v>39512</v>
      </c>
      <c r="AU48" s="41">
        <f t="shared" si="40"/>
        <v>133637</v>
      </c>
      <c r="AV48" s="13">
        <v>35449</v>
      </c>
      <c r="AW48" s="13">
        <f>'DRE CAIXA SEG_CONTAB_IFRS4'!AW48</f>
        <v>47213.19347999891</v>
      </c>
      <c r="AX48" s="13">
        <f>'DRE CAIXA SEG_CONTAB_IFRS4'!AX48</f>
        <v>52282.243309998892</v>
      </c>
      <c r="AY48" s="13">
        <f>'DRE CAIXA SEG_CONTAB_IFRS4'!AY48</f>
        <v>58149.395389998899</v>
      </c>
      <c r="AZ48" s="41">
        <f>SUM(AV48:AY48)</f>
        <v>193093.83217999671</v>
      </c>
      <c r="BA48" s="121">
        <v>36847.471299999903</v>
      </c>
    </row>
    <row r="49" spans="1:53">
      <c r="A49" s="11"/>
      <c r="B49" s="11" t="s">
        <v>323</v>
      </c>
      <c r="C49" s="13">
        <v>-4135.2864600000003</v>
      </c>
      <c r="D49" s="13">
        <v>-2077.1040899999998</v>
      </c>
      <c r="E49" s="13">
        <v>202.29440000000068</v>
      </c>
      <c r="F49" s="13">
        <v>0</v>
      </c>
      <c r="G49" s="41">
        <f t="shared" si="32"/>
        <v>-6010.0961499999994</v>
      </c>
      <c r="H49" s="13">
        <v>-4265.0794800000003</v>
      </c>
      <c r="I49" s="13">
        <v>-1224.67544</v>
      </c>
      <c r="J49" s="13">
        <v>0</v>
      </c>
      <c r="K49" s="13">
        <v>0</v>
      </c>
      <c r="L49" s="41">
        <f t="shared" si="33"/>
        <v>-5489.7549200000003</v>
      </c>
      <c r="M49" s="13">
        <v>-4317.3244299999997</v>
      </c>
      <c r="N49" s="13">
        <v>-1634.0843000000004</v>
      </c>
      <c r="O49" s="13">
        <v>-3.0020000000149594E-2</v>
      </c>
      <c r="P49" s="13">
        <v>-8.5379999999531719E-2</v>
      </c>
      <c r="Q49" s="41">
        <f t="shared" si="34"/>
        <v>-5951.5241299999998</v>
      </c>
      <c r="R49" s="13">
        <v>-366.60532000000001</v>
      </c>
      <c r="S49" s="13">
        <v>-127.48996999999997</v>
      </c>
      <c r="T49" s="13">
        <v>-0.15496000000001686</v>
      </c>
      <c r="U49" s="13">
        <v>0</v>
      </c>
      <c r="V49" s="41">
        <f t="shared" si="35"/>
        <v>-494.25024999999999</v>
      </c>
      <c r="W49" s="13">
        <v>-840.3341099999999</v>
      </c>
      <c r="X49" s="13">
        <v>-1.1964900000000398</v>
      </c>
      <c r="Y49" s="13">
        <v>-3.5399999999299325E-3</v>
      </c>
      <c r="Z49" s="13">
        <v>-3.6500000000046384E-2</v>
      </c>
      <c r="AA49" s="41">
        <f t="shared" si="36"/>
        <v>-841.57063999999991</v>
      </c>
      <c r="AB49" s="13">
        <v>-1021.7229599999999</v>
      </c>
      <c r="AC49" s="13">
        <v>-9.9999999747524271E-6</v>
      </c>
      <c r="AD49" s="13">
        <v>-556.64506000000006</v>
      </c>
      <c r="AE49" s="13">
        <v>-3433.0893499999997</v>
      </c>
      <c r="AF49" s="41">
        <f t="shared" si="37"/>
        <v>-5011.4573799999998</v>
      </c>
      <c r="AG49" s="13">
        <v>-198</v>
      </c>
      <c r="AH49" s="13">
        <v>-1</v>
      </c>
      <c r="AI49" s="13">
        <v>-168</v>
      </c>
      <c r="AJ49" s="13">
        <v>-127</v>
      </c>
      <c r="AK49" s="41">
        <f t="shared" si="38"/>
        <v>-494</v>
      </c>
      <c r="AL49" s="13">
        <v>-22681</v>
      </c>
      <c r="AM49" s="13">
        <v>-8449</v>
      </c>
      <c r="AN49" s="13">
        <v>-855</v>
      </c>
      <c r="AO49" s="13">
        <v>-1960</v>
      </c>
      <c r="AP49" s="41">
        <f t="shared" si="39"/>
        <v>-33945</v>
      </c>
      <c r="AQ49" s="13">
        <v>-33834</v>
      </c>
      <c r="AR49" s="13">
        <v>-18459</v>
      </c>
      <c r="AS49" s="13">
        <v>-2100</v>
      </c>
      <c r="AT49" s="13">
        <v>-4390</v>
      </c>
      <c r="AU49" s="41">
        <f t="shared" si="40"/>
        <v>-58783</v>
      </c>
      <c r="AV49" s="13">
        <v>-6752.7846</v>
      </c>
      <c r="AW49" s="13">
        <v>-1737.4043699999399</v>
      </c>
      <c r="AX49" s="13">
        <f>'DRE CAIXA SEG_CONTAB_IFRS4'!AX49</f>
        <v>-1186.9289400000137</v>
      </c>
      <c r="AY49" s="13">
        <f>'DRE CAIXA SEG_CONTAB_IFRS4'!AY49</f>
        <v>-1220.67435</v>
      </c>
      <c r="AZ49" s="41">
        <f>SUM(AV49:AY49)</f>
        <v>-10897.792259999953</v>
      </c>
      <c r="BA49" s="110">
        <v>-8180.2574500000101</v>
      </c>
    </row>
    <row r="50" spans="1:53">
      <c r="A50" s="11"/>
      <c r="B50" s="11"/>
      <c r="C50" s="13"/>
      <c r="D50" s="13"/>
      <c r="E50" s="13"/>
      <c r="F50" s="13"/>
      <c r="G50" s="41"/>
      <c r="H50" s="13"/>
      <c r="I50" s="13"/>
      <c r="J50" s="13"/>
      <c r="K50" s="13"/>
      <c r="L50" s="41"/>
      <c r="M50" s="13"/>
      <c r="N50" s="13"/>
      <c r="O50" s="13"/>
      <c r="P50" s="13"/>
      <c r="Q50" s="41"/>
      <c r="R50" s="13"/>
      <c r="S50" s="13"/>
      <c r="T50" s="13"/>
      <c r="U50" s="13"/>
      <c r="V50" s="41"/>
      <c r="W50" s="13"/>
      <c r="X50" s="13"/>
      <c r="Y50" s="13"/>
      <c r="Z50" s="13"/>
      <c r="AA50" s="41"/>
      <c r="AB50" s="13"/>
      <c r="AC50" s="13"/>
      <c r="AD50" s="13"/>
      <c r="AE50" s="13"/>
      <c r="AF50" s="41"/>
      <c r="AG50" s="13"/>
      <c r="AH50" s="13">
        <v>0</v>
      </c>
      <c r="AI50" s="13">
        <v>0</v>
      </c>
      <c r="AJ50" s="13"/>
      <c r="AK50" s="41"/>
      <c r="AL50" s="13">
        <v>0</v>
      </c>
      <c r="AM50" s="13"/>
      <c r="AN50" s="13"/>
      <c r="AO50" s="13"/>
      <c r="AP50" s="41"/>
      <c r="AQ50" s="13"/>
      <c r="AR50" s="13"/>
      <c r="AS50" s="13"/>
      <c r="AT50" s="13"/>
      <c r="AU50" s="41"/>
      <c r="AV50" s="13"/>
      <c r="AW50" s="13"/>
      <c r="AX50" s="13"/>
      <c r="AY50" s="13"/>
      <c r="AZ50" s="41"/>
      <c r="BA50" s="1"/>
    </row>
    <row r="51" spans="1:53">
      <c r="A51" s="9"/>
      <c r="B51" s="9" t="s">
        <v>325</v>
      </c>
      <c r="C51" s="32">
        <v>280530.82725091767</v>
      </c>
      <c r="D51" s="32">
        <v>263656.49592717312</v>
      </c>
      <c r="E51" s="32">
        <v>286744.94300123496</v>
      </c>
      <c r="F51" s="32">
        <v>307399.81376796414</v>
      </c>
      <c r="G51" s="43">
        <f t="shared" si="32"/>
        <v>1138332.07994729</v>
      </c>
      <c r="H51" s="32">
        <v>334270.18058834091</v>
      </c>
      <c r="I51" s="32">
        <v>366832.93574195489</v>
      </c>
      <c r="J51" s="32">
        <v>340344.41178662272</v>
      </c>
      <c r="K51" s="32">
        <v>349525.11444319872</v>
      </c>
      <c r="L51" s="43">
        <f t="shared" si="33"/>
        <v>1390972.6425601172</v>
      </c>
      <c r="M51" s="32">
        <v>333048.29306308524</v>
      </c>
      <c r="N51" s="32">
        <v>353383.38918074052</v>
      </c>
      <c r="O51" s="32">
        <v>387771.62541789102</v>
      </c>
      <c r="P51" s="32">
        <v>441722.84313309315</v>
      </c>
      <c r="Q51" s="43">
        <f t="shared" si="34"/>
        <v>1515926.1507948099</v>
      </c>
      <c r="R51" s="32">
        <v>407214.47045818705</v>
      </c>
      <c r="S51" s="32">
        <v>426910.16348320473</v>
      </c>
      <c r="T51" s="32">
        <v>481240.94627619989</v>
      </c>
      <c r="U51" s="32">
        <v>542867.59054316836</v>
      </c>
      <c r="V51" s="43">
        <f t="shared" si="35"/>
        <v>1858233.1707607599</v>
      </c>
      <c r="W51" s="32">
        <v>447145.14606340294</v>
      </c>
      <c r="X51" s="32">
        <v>421108.68904291483</v>
      </c>
      <c r="Y51" s="32">
        <v>595720.93302499992</v>
      </c>
      <c r="Z51" s="32">
        <v>508609.52211315336</v>
      </c>
      <c r="AA51" s="43">
        <f t="shared" si="36"/>
        <v>1972584.2902444708</v>
      </c>
      <c r="AB51" s="32">
        <v>459876.06265999994</v>
      </c>
      <c r="AC51" s="32">
        <v>451093.00113000011</v>
      </c>
      <c r="AD51" s="32">
        <v>562688.21888000006</v>
      </c>
      <c r="AE51" s="32">
        <v>632992.70418</v>
      </c>
      <c r="AF51" s="43">
        <f t="shared" si="37"/>
        <v>2106649.98685</v>
      </c>
      <c r="AG51" s="32">
        <v>618333</v>
      </c>
      <c r="AH51" s="32">
        <v>765204</v>
      </c>
      <c r="AI51" s="32">
        <v>889769</v>
      </c>
      <c r="AJ51" s="32">
        <v>849081</v>
      </c>
      <c r="AK51" s="43">
        <f t="shared" si="38"/>
        <v>3122387</v>
      </c>
      <c r="AL51" s="32">
        <v>929704.25</v>
      </c>
      <c r="AM51" s="32">
        <v>937881</v>
      </c>
      <c r="AN51" s="32">
        <v>1036089</v>
      </c>
      <c r="AO51" s="32">
        <v>1050428</v>
      </c>
      <c r="AP51" s="43">
        <f t="shared" si="39"/>
        <v>3954102.25</v>
      </c>
      <c r="AQ51" s="32">
        <v>1040952</v>
      </c>
      <c r="AR51" s="32">
        <v>896695.15207999991</v>
      </c>
      <c r="AS51" s="32">
        <v>1137106.3227769542</v>
      </c>
      <c r="AT51" s="32">
        <v>1213747.2982399999</v>
      </c>
      <c r="AU51" s="43">
        <f t="shared" si="40"/>
        <v>4288500.7730969545</v>
      </c>
      <c r="AV51" s="32">
        <f t="shared" ref="AV51:AW51" si="43">AV45+AV47</f>
        <v>1140266.7077900004</v>
      </c>
      <c r="AW51" s="32">
        <f t="shared" si="43"/>
        <v>1171180.9188899978</v>
      </c>
      <c r="AX51" s="32">
        <f t="shared" ref="AX51" si="44">AX45+AX47</f>
        <v>1283110.1009899976</v>
      </c>
      <c r="AY51" s="32">
        <f>AY45+AY47</f>
        <v>1259563.0419699997</v>
      </c>
      <c r="AZ51" s="43">
        <f t="shared" ref="AZ51:AZ57" si="45">SUM(AV51:AY51)</f>
        <v>4854120.7696399949</v>
      </c>
      <c r="BA51" s="32">
        <f>BA45+BA47</f>
        <v>1273096.6559599999</v>
      </c>
    </row>
    <row r="52" spans="1:53">
      <c r="G52" s="41">
        <f t="shared" si="32"/>
        <v>0</v>
      </c>
      <c r="L52" s="41">
        <f t="shared" si="33"/>
        <v>0</v>
      </c>
      <c r="Q52" s="41">
        <f t="shared" si="34"/>
        <v>0</v>
      </c>
      <c r="V52" s="41">
        <f t="shared" si="35"/>
        <v>0</v>
      </c>
      <c r="AA52" s="41">
        <f t="shared" si="36"/>
        <v>0</v>
      </c>
      <c r="AF52" s="41">
        <f t="shared" si="37"/>
        <v>0</v>
      </c>
      <c r="AK52" s="41">
        <f t="shared" si="38"/>
        <v>0</v>
      </c>
      <c r="AP52" s="41">
        <f t="shared" si="39"/>
        <v>0</v>
      </c>
      <c r="AU52" s="41">
        <f t="shared" si="40"/>
        <v>0</v>
      </c>
      <c r="AZ52" s="41">
        <f t="shared" si="45"/>
        <v>0</v>
      </c>
    </row>
    <row r="53" spans="1:53">
      <c r="A53" s="9"/>
      <c r="B53" s="9" t="s">
        <v>327</v>
      </c>
      <c r="C53" s="31">
        <v>-28279.598763032503</v>
      </c>
      <c r="D53" s="31">
        <v>-28799.083560000006</v>
      </c>
      <c r="E53" s="31">
        <v>-36556.443429999992</v>
      </c>
      <c r="F53" s="31">
        <v>-36155.890209999998</v>
      </c>
      <c r="G53" s="42">
        <f t="shared" si="32"/>
        <v>-129791.01596303251</v>
      </c>
      <c r="H53" s="31">
        <v>-42793.816057502998</v>
      </c>
      <c r="I53" s="31">
        <v>-42474.80287</v>
      </c>
      <c r="J53" s="31">
        <v>-43847.089709999993</v>
      </c>
      <c r="K53" s="31">
        <v>-42429.774840000005</v>
      </c>
      <c r="L53" s="42">
        <f t="shared" si="33"/>
        <v>-171545.483477503</v>
      </c>
      <c r="M53" s="31">
        <v>-38911.268523034007</v>
      </c>
      <c r="N53" s="31">
        <v>-47693.894319056002</v>
      </c>
      <c r="O53" s="31">
        <v>-44940.490500000014</v>
      </c>
      <c r="P53" s="31">
        <v>-51112.451852379978</v>
      </c>
      <c r="Q53" s="42">
        <f t="shared" si="34"/>
        <v>-182658.10519447</v>
      </c>
      <c r="R53" s="31">
        <v>-50125.4878968505</v>
      </c>
      <c r="S53" s="31">
        <v>-62276.76455</v>
      </c>
      <c r="T53" s="31">
        <v>-63990.277498219024</v>
      </c>
      <c r="U53" s="31">
        <v>-60152.375450369495</v>
      </c>
      <c r="V53" s="42">
        <f t="shared" si="35"/>
        <v>-236544.90539543901</v>
      </c>
      <c r="W53" s="31">
        <v>-52976.324219999995</v>
      </c>
      <c r="X53" s="31">
        <v>-48424.392359999998</v>
      </c>
      <c r="Y53" s="31">
        <v>-101615.43473000002</v>
      </c>
      <c r="Z53" s="31">
        <v>-73394.194679999986</v>
      </c>
      <c r="AA53" s="42">
        <f t="shared" si="36"/>
        <v>-276410.34599</v>
      </c>
      <c r="AB53" s="31">
        <v>-54834.664099999995</v>
      </c>
      <c r="AC53" s="31">
        <v>-53138.731930000002</v>
      </c>
      <c r="AD53" s="31">
        <v>-97389.546019999994</v>
      </c>
      <c r="AE53" s="31">
        <v>-94720.263690000007</v>
      </c>
      <c r="AF53" s="42">
        <f t="shared" si="37"/>
        <v>-300083.20574</v>
      </c>
      <c r="AG53" s="31">
        <v>-86716</v>
      </c>
      <c r="AH53" s="31">
        <v>-99372</v>
      </c>
      <c r="AI53" s="31">
        <v>-129704</v>
      </c>
      <c r="AJ53" s="31">
        <v>-96486</v>
      </c>
      <c r="AK53" s="42">
        <f t="shared" si="38"/>
        <v>-412278</v>
      </c>
      <c r="AL53" s="31">
        <v>-109585</v>
      </c>
      <c r="AM53" s="31">
        <v>-115303</v>
      </c>
      <c r="AN53" s="31">
        <v>-119515</v>
      </c>
      <c r="AO53" s="31">
        <v>-128015</v>
      </c>
      <c r="AP53" s="42">
        <f t="shared" si="39"/>
        <v>-472418</v>
      </c>
      <c r="AQ53" s="31">
        <v>-116610</v>
      </c>
      <c r="AR53" s="31">
        <v>-126395</v>
      </c>
      <c r="AS53" s="31">
        <v>-131789.762022954</v>
      </c>
      <c r="AT53" s="31">
        <v>-156922</v>
      </c>
      <c r="AU53" s="42">
        <f t="shared" si="40"/>
        <v>-531716.76202295395</v>
      </c>
      <c r="AV53" s="31">
        <f t="shared" ref="AV53:AW53" si="46">AV54+AV57</f>
        <v>-130945.05796999999</v>
      </c>
      <c r="AW53" s="31">
        <f t="shared" si="46"/>
        <v>-129595.55239999993</v>
      </c>
      <c r="AX53" s="31">
        <f t="shared" ref="AX53:AY53" si="47">AX54+AX57</f>
        <v>-142949.86468999946</v>
      </c>
      <c r="AY53" s="31">
        <f t="shared" si="47"/>
        <v>-134738.10753999994</v>
      </c>
      <c r="AZ53" s="42">
        <f t="shared" si="45"/>
        <v>-538228.58259999938</v>
      </c>
      <c r="BA53" s="31">
        <f>BA54+BA57</f>
        <v>-130122.03846000001</v>
      </c>
    </row>
    <row r="54" spans="1:53">
      <c r="A54" s="73"/>
      <c r="B54" s="73" t="s">
        <v>329</v>
      </c>
      <c r="C54" s="13">
        <v>-28282.357293032503</v>
      </c>
      <c r="D54" s="13">
        <v>-28801.603500000005</v>
      </c>
      <c r="E54" s="13">
        <v>-36557.502709999993</v>
      </c>
      <c r="F54" s="13">
        <v>-36151.750959999998</v>
      </c>
      <c r="G54" s="41">
        <f t="shared" si="32"/>
        <v>-129793.21446303249</v>
      </c>
      <c r="H54" s="13">
        <v>-42793.104297503</v>
      </c>
      <c r="I54" s="13">
        <v>-42473.316129999999</v>
      </c>
      <c r="J54" s="13">
        <v>-43876.885589999991</v>
      </c>
      <c r="K54" s="13">
        <v>-42436.152100000007</v>
      </c>
      <c r="L54" s="41">
        <f t="shared" si="33"/>
        <v>-171579.458117503</v>
      </c>
      <c r="M54" s="13">
        <v>-38849.198733034005</v>
      </c>
      <c r="N54" s="13">
        <v>-47693.894319056002</v>
      </c>
      <c r="O54" s="13">
        <v>-44940.490500000014</v>
      </c>
      <c r="P54" s="13">
        <v>-51112.451852379978</v>
      </c>
      <c r="Q54" s="41">
        <f t="shared" si="34"/>
        <v>-182596.03540446999</v>
      </c>
      <c r="R54" s="13">
        <v>-50123.362136850497</v>
      </c>
      <c r="S54" s="13">
        <v>-59037.532789999997</v>
      </c>
      <c r="T54" s="13">
        <v>-62598.791878219025</v>
      </c>
      <c r="U54" s="13">
        <v>-64783.092830369496</v>
      </c>
      <c r="V54" s="41">
        <f t="shared" si="35"/>
        <v>-236542.77963543899</v>
      </c>
      <c r="W54" s="13">
        <v>-51879.784719999996</v>
      </c>
      <c r="X54" s="13">
        <v>-47410.502759999996</v>
      </c>
      <c r="Y54" s="13">
        <v>-100662.87559000003</v>
      </c>
      <c r="Z54" s="13">
        <v>-76457.182919999992</v>
      </c>
      <c r="AA54" s="41">
        <f t="shared" si="36"/>
        <v>-276410.34599</v>
      </c>
      <c r="AB54" s="13">
        <v>-53910.889759999998</v>
      </c>
      <c r="AC54" s="13">
        <v>-52168.189290000002</v>
      </c>
      <c r="AD54" s="13">
        <v>-96361.813859999995</v>
      </c>
      <c r="AE54" s="13">
        <v>-97642.31283000001</v>
      </c>
      <c r="AF54" s="41">
        <f t="shared" si="37"/>
        <v>-300083.20574</v>
      </c>
      <c r="AG54" s="13">
        <v>-85447</v>
      </c>
      <c r="AH54" s="13">
        <v>-97948</v>
      </c>
      <c r="AI54" s="13">
        <v>-128240</v>
      </c>
      <c r="AJ54" s="13">
        <v>-100685</v>
      </c>
      <c r="AK54" s="41">
        <f t="shared" si="38"/>
        <v>-412320</v>
      </c>
      <c r="AL54" s="13">
        <v>-107694</v>
      </c>
      <c r="AM54" s="13">
        <v>-113450</v>
      </c>
      <c r="AN54" s="13">
        <v>-117756</v>
      </c>
      <c r="AO54" s="13">
        <v>-133477</v>
      </c>
      <c r="AP54" s="41">
        <f t="shared" si="39"/>
        <v>-472377</v>
      </c>
      <c r="AQ54" s="13">
        <v>-116728</v>
      </c>
      <c r="AR54" s="13">
        <v>-122744</v>
      </c>
      <c r="AS54" s="13">
        <v>-129682.762022954</v>
      </c>
      <c r="AT54" s="13">
        <v>-162445</v>
      </c>
      <c r="AU54" s="41">
        <f t="shared" si="40"/>
        <v>-531599.76202295395</v>
      </c>
      <c r="AV54" s="13">
        <v>-128636</v>
      </c>
      <c r="AW54" s="13">
        <f>'DRE CAIXA SEG_CONTAB_IFRS4'!AW54</f>
        <v>-127563.96564999993</v>
      </c>
      <c r="AX54" s="13">
        <f>'DRE CAIXA SEG_CONTAB_IFRS4'!AX54</f>
        <v>-140661.80385999952</v>
      </c>
      <c r="AY54" s="13">
        <f>'DRE CAIXA SEGURIDADE CONTABIL'!AY54</f>
        <v>-141027.87086999996</v>
      </c>
      <c r="AZ54" s="41">
        <f t="shared" si="45"/>
        <v>-537889.64037999942</v>
      </c>
      <c r="BA54" s="13">
        <v>-127240.08168</v>
      </c>
    </row>
    <row r="55" spans="1:53">
      <c r="A55" s="11"/>
      <c r="B55" s="11" t="s">
        <v>331</v>
      </c>
      <c r="C55" s="13">
        <v>-20794.26271340625</v>
      </c>
      <c r="D55" s="13">
        <v>-21176.061400000006</v>
      </c>
      <c r="E55" s="13">
        <v>-26878.928459999996</v>
      </c>
      <c r="F55" s="13">
        <v>-26580.581590000002</v>
      </c>
      <c r="G55" s="41">
        <f t="shared" si="32"/>
        <v>-95429.834163406253</v>
      </c>
      <c r="H55" s="13">
        <v>-31463.929631987503</v>
      </c>
      <c r="I55" s="13">
        <v>-31228.791269999998</v>
      </c>
      <c r="J55" s="13">
        <v>-32260.827639999989</v>
      </c>
      <c r="K55" s="13">
        <v>-31195.111840000012</v>
      </c>
      <c r="L55" s="41">
        <f t="shared" si="33"/>
        <v>-126148.6603819875</v>
      </c>
      <c r="M55" s="13">
        <v>-28563.833657525003</v>
      </c>
      <c r="N55" s="13">
        <v>-35067.2721896</v>
      </c>
      <c r="O55" s="13">
        <v>-33038.470290000012</v>
      </c>
      <c r="P55" s="13">
        <v>-37659.656126749978</v>
      </c>
      <c r="Q55" s="41">
        <f t="shared" si="34"/>
        <v>-134329.23226387499</v>
      </c>
      <c r="R55" s="13">
        <v>-36852.236865331244</v>
      </c>
      <c r="S55" s="13">
        <v>-43406.774109999998</v>
      </c>
      <c r="T55" s="13">
        <v>-46047.435281337515</v>
      </c>
      <c r="U55" s="13">
        <v>-47673.493477918746</v>
      </c>
      <c r="V55" s="41">
        <f t="shared" si="35"/>
        <v>-173979.9397345875</v>
      </c>
      <c r="W55" s="13">
        <v>-38145.311689999995</v>
      </c>
      <c r="X55" s="13">
        <v>-34857.487329999996</v>
      </c>
      <c r="Y55" s="13">
        <v>-74013.643810000023</v>
      </c>
      <c r="Z55" s="13">
        <v>-56282.34467999998</v>
      </c>
      <c r="AA55" s="41">
        <f t="shared" si="36"/>
        <v>-203298.78750999999</v>
      </c>
      <c r="AB55" s="13">
        <v>-39636.146549999998</v>
      </c>
      <c r="AC55" s="13">
        <v>-38408.489670000003</v>
      </c>
      <c r="AD55" s="13">
        <v>-70801.114650000003</v>
      </c>
      <c r="AE55" s="13">
        <v>-71890.544609999983</v>
      </c>
      <c r="AF55" s="41">
        <f t="shared" si="37"/>
        <v>-220736.29547999997</v>
      </c>
      <c r="AG55" s="13">
        <v>-62846</v>
      </c>
      <c r="AH55" s="13">
        <v>-72016</v>
      </c>
      <c r="AI55" s="13">
        <v>-94289</v>
      </c>
      <c r="AJ55" s="13">
        <v>-74292</v>
      </c>
      <c r="AK55" s="41">
        <f t="shared" si="38"/>
        <v>-303443</v>
      </c>
      <c r="AL55" s="13">
        <v>-79172</v>
      </c>
      <c r="AM55" s="13">
        <v>-83423</v>
      </c>
      <c r="AN55" s="13">
        <v>-86744</v>
      </c>
      <c r="AO55" s="13">
        <v>-98140</v>
      </c>
      <c r="AP55" s="41">
        <f t="shared" si="39"/>
        <v>-347479</v>
      </c>
      <c r="AQ55" s="13">
        <v>-85826</v>
      </c>
      <c r="AR55" s="13">
        <v>-90247</v>
      </c>
      <c r="AS55" s="13">
        <v>-95350.619134524997</v>
      </c>
      <c r="AT55" s="13">
        <v>-119623</v>
      </c>
      <c r="AU55" s="41">
        <f t="shared" si="40"/>
        <v>-391046.61913452501</v>
      </c>
      <c r="AV55" s="13">
        <v>-94580.934569999998</v>
      </c>
      <c r="AW55" s="13">
        <f>'DRE CAIXA SEG_CONTAB_IFRS4'!AW55</f>
        <v>-93792.268869999971</v>
      </c>
      <c r="AX55" s="13">
        <f>'DRE CAIXA SEG_CONTAB_IFRS4'!AX55</f>
        <v>-103423.03223999972</v>
      </c>
      <c r="AY55" s="13">
        <f>'DRE CAIXA SEGURIDADE CONTABIL'!AY55</f>
        <v>-103949.28455999999</v>
      </c>
      <c r="AZ55" s="41">
        <f t="shared" si="45"/>
        <v>-395745.52023999969</v>
      </c>
      <c r="BA55" s="13">
        <v>-93554.714370000002</v>
      </c>
    </row>
    <row r="56" spans="1:53">
      <c r="A56" s="11"/>
      <c r="B56" s="11" t="s">
        <v>333</v>
      </c>
      <c r="C56" s="13">
        <v>-7488.0945796262513</v>
      </c>
      <c r="D56" s="13">
        <v>-7625.5420999999988</v>
      </c>
      <c r="E56" s="13">
        <v>-9678.5742499999997</v>
      </c>
      <c r="F56" s="13">
        <v>-9571.169369999996</v>
      </c>
      <c r="G56" s="41">
        <f t="shared" si="32"/>
        <v>-34363.380299626246</v>
      </c>
      <c r="H56" s="13">
        <v>-11329.174665515498</v>
      </c>
      <c r="I56" s="13">
        <v>-11244.524860000003</v>
      </c>
      <c r="J56" s="13">
        <v>-11616.057949999999</v>
      </c>
      <c r="K56" s="13">
        <v>-11241.040259999994</v>
      </c>
      <c r="L56" s="41">
        <f t="shared" si="33"/>
        <v>-45430.797735515494</v>
      </c>
      <c r="M56" s="13">
        <v>-10285.365075509</v>
      </c>
      <c r="N56" s="13">
        <v>-12626.622129456004</v>
      </c>
      <c r="O56" s="13">
        <v>-11902.020209999999</v>
      </c>
      <c r="P56" s="13">
        <v>-13452.79572563</v>
      </c>
      <c r="Q56" s="41">
        <f t="shared" si="34"/>
        <v>-48266.803140595002</v>
      </c>
      <c r="R56" s="13">
        <v>-13271.125271519251</v>
      </c>
      <c r="S56" s="13">
        <v>-15630.758679999997</v>
      </c>
      <c r="T56" s="13">
        <v>-16551.356596881506</v>
      </c>
      <c r="U56" s="13">
        <v>-17109.59935245075</v>
      </c>
      <c r="V56" s="41">
        <f t="shared" si="35"/>
        <v>-62562.839900851504</v>
      </c>
      <c r="W56" s="13">
        <v>-13734.473029999999</v>
      </c>
      <c r="X56" s="13">
        <v>-12553.015430000001</v>
      </c>
      <c r="Y56" s="13">
        <v>-26649.231780000002</v>
      </c>
      <c r="Z56" s="13">
        <v>-20174.838240000005</v>
      </c>
      <c r="AA56" s="41">
        <f t="shared" si="36"/>
        <v>-73111.558480000007</v>
      </c>
      <c r="AB56" s="13">
        <v>-14274.743210000001</v>
      </c>
      <c r="AC56" s="13">
        <v>-13759.699619999999</v>
      </c>
      <c r="AD56" s="13">
        <v>-25560.699210000002</v>
      </c>
      <c r="AE56" s="13">
        <v>-25751.768220000005</v>
      </c>
      <c r="AF56" s="41">
        <f t="shared" si="37"/>
        <v>-79346.910260000004</v>
      </c>
      <c r="AG56" s="13">
        <v>-22601</v>
      </c>
      <c r="AH56" s="13">
        <v>-25932</v>
      </c>
      <c r="AI56" s="13">
        <v>-33950</v>
      </c>
      <c r="AJ56" s="13">
        <v>-26393</v>
      </c>
      <c r="AK56" s="41">
        <f t="shared" si="38"/>
        <v>-108876</v>
      </c>
      <c r="AL56" s="13">
        <v>-28522</v>
      </c>
      <c r="AM56" s="13">
        <v>-30028</v>
      </c>
      <c r="AN56" s="13">
        <v>-31012</v>
      </c>
      <c r="AO56" s="13">
        <v>-35337</v>
      </c>
      <c r="AP56" s="41">
        <f t="shared" si="39"/>
        <v>-124899</v>
      </c>
      <c r="AQ56" s="13">
        <v>-30902</v>
      </c>
      <c r="AR56" s="13">
        <v>-32497</v>
      </c>
      <c r="AS56" s="13">
        <v>-34332.142888429</v>
      </c>
      <c r="AT56" s="13">
        <v>-42822</v>
      </c>
      <c r="AU56" s="41">
        <f t="shared" si="40"/>
        <v>-140553.14288842899</v>
      </c>
      <c r="AV56" s="13">
        <v>-34055.616450000001</v>
      </c>
      <c r="AW56" s="13">
        <f>'DRE CAIXA SEG_CONTAB_IFRS4'!AW56</f>
        <v>-33771.696779999955</v>
      </c>
      <c r="AX56" s="13">
        <f>'DRE CAIXA SEG_CONTAB_IFRS4'!AX56</f>
        <v>-37238.771619999781</v>
      </c>
      <c r="AY56" s="13">
        <f>'DRE CAIXA SEGURIDADE CONTABIL'!AY56</f>
        <v>-37078.58630999997</v>
      </c>
      <c r="AZ56" s="41">
        <f t="shared" si="45"/>
        <v>-142144.67115999971</v>
      </c>
      <c r="BA56" s="13">
        <v>-33685.367310000001</v>
      </c>
    </row>
    <row r="57" spans="1:53">
      <c r="A57" s="73"/>
      <c r="B57" s="73" t="s">
        <v>335</v>
      </c>
      <c r="C57" s="13">
        <v>2.7585299999999999</v>
      </c>
      <c r="D57" s="13">
        <v>2.5199400000000005</v>
      </c>
      <c r="E57" s="13">
        <v>1.0592799999999993</v>
      </c>
      <c r="F57" s="13">
        <v>-4.1392499999999997</v>
      </c>
      <c r="G57" s="41">
        <f t="shared" si="32"/>
        <v>2.1985000000000001</v>
      </c>
      <c r="H57" s="13">
        <v>-0.71175999999999995</v>
      </c>
      <c r="I57" s="13">
        <v>-1.4867400000000002</v>
      </c>
      <c r="J57" s="13">
        <v>29.795879999999997</v>
      </c>
      <c r="K57" s="13">
        <v>6.3772600000000033</v>
      </c>
      <c r="L57" s="41">
        <f t="shared" si="33"/>
        <v>33.974640000000001</v>
      </c>
      <c r="M57" s="13">
        <v>-62.069790000000005</v>
      </c>
      <c r="N57" s="13">
        <v>0</v>
      </c>
      <c r="O57" s="13">
        <v>0</v>
      </c>
      <c r="P57" s="13">
        <v>0</v>
      </c>
      <c r="Q57" s="41">
        <f t="shared" si="34"/>
        <v>-62.069790000000005</v>
      </c>
      <c r="R57" s="13">
        <v>-2.1257600000000001</v>
      </c>
      <c r="S57" s="13">
        <v>-3239.2317599999997</v>
      </c>
      <c r="T57" s="13">
        <v>-1391.4856200000004</v>
      </c>
      <c r="U57" s="13">
        <v>4630.71738</v>
      </c>
      <c r="V57" s="41">
        <f t="shared" si="35"/>
        <v>-2.1257599999999002</v>
      </c>
      <c r="W57" s="13">
        <v>-1096.5395000000001</v>
      </c>
      <c r="X57" s="13">
        <v>-1013.8895999999997</v>
      </c>
      <c r="Y57" s="13">
        <v>-952.55913999999984</v>
      </c>
      <c r="Z57" s="13">
        <v>3062.9882399999997</v>
      </c>
      <c r="AA57" s="41">
        <f t="shared" si="36"/>
        <v>0</v>
      </c>
      <c r="AB57" s="13">
        <v>-923.77433999999994</v>
      </c>
      <c r="AC57" s="13">
        <v>-970.54264000000012</v>
      </c>
      <c r="AD57" s="13">
        <v>-1027.7321599999998</v>
      </c>
      <c r="AE57" s="13">
        <v>2922.0491399999996</v>
      </c>
      <c r="AF57" s="41">
        <f t="shared" si="37"/>
        <v>0</v>
      </c>
      <c r="AG57" s="13">
        <v>-1269</v>
      </c>
      <c r="AH57" s="13">
        <v>-1424</v>
      </c>
      <c r="AI57" s="13">
        <v>-1464</v>
      </c>
      <c r="AJ57" s="13">
        <v>4199</v>
      </c>
      <c r="AK57" s="41">
        <f t="shared" si="38"/>
        <v>42</v>
      </c>
      <c r="AL57" s="13">
        <v>-1891</v>
      </c>
      <c r="AM57" s="13">
        <v>-1853</v>
      </c>
      <c r="AN57" s="13">
        <v>-1759</v>
      </c>
      <c r="AO57" s="13">
        <v>5462</v>
      </c>
      <c r="AP57" s="41">
        <f t="shared" si="39"/>
        <v>-41</v>
      </c>
      <c r="AQ57" s="13">
        <v>118</v>
      </c>
      <c r="AR57" s="13">
        <v>-3651</v>
      </c>
      <c r="AS57" s="13">
        <v>-2107</v>
      </c>
      <c r="AT57" s="13">
        <v>5523</v>
      </c>
      <c r="AU57" s="41">
        <f t="shared" si="40"/>
        <v>-117</v>
      </c>
      <c r="AV57" s="13">
        <f>'DRE CAIXA SEG_CONTAB_IFRS4'!AV57</f>
        <v>-2309.0579700000003</v>
      </c>
      <c r="AW57" s="13">
        <f>'DRE CAIXA SEG_CONTAB_IFRS4'!AW57</f>
        <v>-2031.5867500000068</v>
      </c>
      <c r="AX57" s="13">
        <f>'DRE CAIXA SEG_CONTAB_IFRS4'!AX57</f>
        <v>-2288.0608299999494</v>
      </c>
      <c r="AY57" s="13">
        <f>'DRE CAIXA SEGURIDADE CONTABIL'!AY57</f>
        <v>6289.7633300000034</v>
      </c>
      <c r="AZ57" s="41">
        <f t="shared" si="45"/>
        <v>-338.94221999995352</v>
      </c>
      <c r="BA57" s="1">
        <v>-2881.95678000001</v>
      </c>
    </row>
    <row r="58" spans="1:53">
      <c r="A58" s="11"/>
      <c r="B58" s="73"/>
      <c r="C58" s="13"/>
      <c r="D58" s="13"/>
      <c r="E58" s="13"/>
      <c r="F58" s="13"/>
      <c r="G58" s="41"/>
      <c r="H58" s="13"/>
      <c r="I58" s="13"/>
      <c r="J58" s="13"/>
      <c r="K58" s="13"/>
      <c r="L58" s="41"/>
      <c r="M58" s="13"/>
      <c r="N58" s="13"/>
      <c r="O58" s="13"/>
      <c r="P58" s="13"/>
      <c r="Q58" s="41"/>
      <c r="R58" s="13"/>
      <c r="S58" s="13"/>
      <c r="T58" s="13"/>
      <c r="U58" s="13"/>
      <c r="V58" s="41"/>
      <c r="W58" s="13"/>
      <c r="X58" s="13"/>
      <c r="Y58" s="13"/>
      <c r="Z58" s="13"/>
      <c r="AA58" s="41"/>
      <c r="AB58" s="13"/>
      <c r="AC58" s="13"/>
      <c r="AD58" s="13"/>
      <c r="AE58" s="13"/>
      <c r="AF58" s="41"/>
      <c r="AG58" s="13"/>
      <c r="AH58" s="13"/>
      <c r="AI58" s="13"/>
      <c r="AJ58" s="13"/>
      <c r="AK58" s="41"/>
      <c r="AL58" s="13"/>
      <c r="AM58" s="13"/>
      <c r="AN58" s="13"/>
      <c r="AO58" s="13"/>
      <c r="AP58" s="41"/>
      <c r="AQ58" s="13"/>
      <c r="AR58" s="13"/>
      <c r="AS58" s="13"/>
      <c r="AT58" s="13"/>
      <c r="AU58" s="41"/>
      <c r="AV58" s="13"/>
      <c r="AW58" s="13"/>
      <c r="AX58" s="13"/>
      <c r="AY58" s="13"/>
      <c r="AZ58" s="41"/>
      <c r="BA58" s="1"/>
    </row>
    <row r="59" spans="1:53">
      <c r="A59" s="15"/>
      <c r="B59" s="15" t="s">
        <v>337</v>
      </c>
      <c r="C59" s="33">
        <v>252251.22848788518</v>
      </c>
      <c r="D59" s="33">
        <v>234857.41236717312</v>
      </c>
      <c r="E59" s="33">
        <v>250188.49957123498</v>
      </c>
      <c r="F59" s="33">
        <v>271243.92355796415</v>
      </c>
      <c r="G59" s="44">
        <f t="shared" ref="G59:G61" si="48">SUM(C59:F59)</f>
        <v>1008541.0639842574</v>
      </c>
      <c r="H59" s="33">
        <v>291476.36453083792</v>
      </c>
      <c r="I59" s="33">
        <v>324358.13287195488</v>
      </c>
      <c r="J59" s="33">
        <v>296497.32207662275</v>
      </c>
      <c r="K59" s="33">
        <v>307095.33960319869</v>
      </c>
      <c r="L59" s="44">
        <f t="shared" ref="L59:L61" si="49">SUM(H59:K59)</f>
        <v>1219427.1590826144</v>
      </c>
      <c r="M59" s="33">
        <v>294137.02454005124</v>
      </c>
      <c r="N59" s="33">
        <v>305689.49486168451</v>
      </c>
      <c r="O59" s="33">
        <v>342831.134917891</v>
      </c>
      <c r="P59" s="33">
        <v>390610.39128071314</v>
      </c>
      <c r="Q59" s="44">
        <f t="shared" ref="Q59:Q61" si="50">SUM(M59:P59)</f>
        <v>1333268.0456003398</v>
      </c>
      <c r="R59" s="33">
        <v>357088.98256133654</v>
      </c>
      <c r="S59" s="33">
        <v>364633.39893320471</v>
      </c>
      <c r="T59" s="33">
        <v>417250.66877798084</v>
      </c>
      <c r="U59" s="33">
        <v>482715.21509279887</v>
      </c>
      <c r="V59" s="44">
        <f t="shared" ref="V59:V61" si="51">SUM(R59:U59)</f>
        <v>1621688.265365321</v>
      </c>
      <c r="W59" s="33">
        <v>394168.82184340293</v>
      </c>
      <c r="X59" s="33">
        <v>372684.29668291484</v>
      </c>
      <c r="Y59" s="33">
        <v>494105.49829499988</v>
      </c>
      <c r="Z59" s="33">
        <v>435215.3274331534</v>
      </c>
      <c r="AA59" s="44">
        <f t="shared" ref="AA59:AA61" si="52">SUM(W59:Z59)</f>
        <v>1696173.944254471</v>
      </c>
      <c r="AB59" s="33">
        <v>405041.39855999994</v>
      </c>
      <c r="AC59" s="33">
        <v>397954.2692000001</v>
      </c>
      <c r="AD59" s="33">
        <v>465298.67286000005</v>
      </c>
      <c r="AE59" s="33">
        <v>538272.44048999995</v>
      </c>
      <c r="AF59" s="44">
        <f t="shared" ref="AF59:AF61" si="53">SUM(AB59:AE59)</f>
        <v>1806566.7811100001</v>
      </c>
      <c r="AG59" s="33">
        <v>531617</v>
      </c>
      <c r="AH59" s="33">
        <v>665832</v>
      </c>
      <c r="AI59" s="33">
        <v>760065</v>
      </c>
      <c r="AJ59" s="33">
        <v>752595</v>
      </c>
      <c r="AK59" s="44">
        <f t="shared" ref="AK59:AK61" si="54">SUM(AG59:AJ59)</f>
        <v>2710109</v>
      </c>
      <c r="AL59" s="33">
        <v>820120</v>
      </c>
      <c r="AM59" s="33">
        <v>822578</v>
      </c>
      <c r="AN59" s="33">
        <v>916574</v>
      </c>
      <c r="AO59" s="33">
        <v>922413</v>
      </c>
      <c r="AP59" s="44">
        <f t="shared" ref="AP59:AP61" si="55">SUM(AL59:AO59)</f>
        <v>3481685</v>
      </c>
      <c r="AQ59" s="33">
        <v>924342</v>
      </c>
      <c r="AR59" s="33">
        <v>770300.15207999991</v>
      </c>
      <c r="AS59" s="33">
        <v>1005316.5607540002</v>
      </c>
      <c r="AT59" s="33">
        <v>1056825.2982399999</v>
      </c>
      <c r="AU59" s="44">
        <f t="shared" ref="AU59:AU60" si="56">SUM(AQ59:AT59)</f>
        <v>3756784.011074</v>
      </c>
      <c r="AV59" s="33">
        <f t="shared" ref="AV59:AX59" si="57">AV51+AV53</f>
        <v>1009321.6498200004</v>
      </c>
      <c r="AW59" s="33">
        <f t="shared" si="57"/>
        <v>1041585.3664899978</v>
      </c>
      <c r="AX59" s="33">
        <f t="shared" si="57"/>
        <v>1140160.2362999981</v>
      </c>
      <c r="AY59" s="33">
        <f>AY51+AY53</f>
        <v>1124824.9344299997</v>
      </c>
      <c r="AZ59" s="44">
        <f t="shared" ref="AZ59:AZ64" si="58">SUM(AV59:AY59)</f>
        <v>4315892.1870399956</v>
      </c>
      <c r="BA59" s="33">
        <f>BA51+BA53</f>
        <v>1142974.6174999999</v>
      </c>
    </row>
    <row r="60" spans="1:53">
      <c r="A60" s="9"/>
      <c r="B60" s="9" t="s">
        <v>339</v>
      </c>
      <c r="C60" s="274">
        <v>18187.27895453672</v>
      </c>
      <c r="D60" s="274">
        <v>20656.206533774923</v>
      </c>
      <c r="E60" s="274">
        <v>20856.749418764994</v>
      </c>
      <c r="F60" s="274">
        <v>14592.931359258419</v>
      </c>
      <c r="G60" s="277">
        <f t="shared" si="48"/>
        <v>74293.166266335058</v>
      </c>
      <c r="H60" s="274">
        <v>21592.651269609149</v>
      </c>
      <c r="I60" s="274">
        <v>15983.778238045166</v>
      </c>
      <c r="J60" s="274">
        <v>18152.455953377219</v>
      </c>
      <c r="K60" s="274">
        <v>15533.790506801284</v>
      </c>
      <c r="L60" s="277">
        <f t="shared" si="49"/>
        <v>71262.675967832824</v>
      </c>
      <c r="M60" s="274">
        <v>25355.829697014771</v>
      </c>
      <c r="N60" s="274">
        <v>16255.212067659457</v>
      </c>
      <c r="O60" s="274">
        <v>15983.445532108901</v>
      </c>
      <c r="P60" s="274">
        <v>16599.470323906869</v>
      </c>
      <c r="Q60" s="277">
        <f t="shared" si="50"/>
        <v>74193.957620689995</v>
      </c>
      <c r="R60" s="274">
        <v>27532.806263137943</v>
      </c>
      <c r="S60" s="274">
        <v>19014.116576795255</v>
      </c>
      <c r="T60" s="274">
        <v>22232.136149150007</v>
      </c>
      <c r="U60" s="274">
        <v>-8753.3329314933217</v>
      </c>
      <c r="V60" s="277">
        <f t="shared" si="51"/>
        <v>60025.726057589884</v>
      </c>
      <c r="W60" s="274">
        <v>19760.962956597043</v>
      </c>
      <c r="X60" s="274">
        <v>21253.706937085131</v>
      </c>
      <c r="Y60" s="274">
        <v>14024.878005000122</v>
      </c>
      <c r="Z60" s="274">
        <v>18199.952646846628</v>
      </c>
      <c r="AA60" s="277">
        <f t="shared" si="52"/>
        <v>73239.500545528921</v>
      </c>
      <c r="AB60" s="274">
        <v>26616</v>
      </c>
      <c r="AC60" s="274">
        <v>28679.30739537</v>
      </c>
      <c r="AD60" s="274">
        <v>26839.053043750002</v>
      </c>
      <c r="AE60" s="274">
        <v>7451.24487469</v>
      </c>
      <c r="AF60" s="277">
        <f t="shared" si="53"/>
        <v>89585.605313810011</v>
      </c>
      <c r="AG60" s="274">
        <v>25420.512500000001</v>
      </c>
      <c r="AH60" s="274">
        <v>14955.57</v>
      </c>
      <c r="AI60" s="274">
        <v>6184.6849999999995</v>
      </c>
      <c r="AJ60" s="274">
        <v>334.3725</v>
      </c>
      <c r="AK60" s="277">
        <f t="shared" si="54"/>
        <v>46895.14</v>
      </c>
      <c r="AL60" s="274">
        <v>0</v>
      </c>
      <c r="AM60" s="274">
        <v>0</v>
      </c>
      <c r="AN60" s="274">
        <v>0</v>
      </c>
      <c r="AO60" s="274">
        <v>0</v>
      </c>
      <c r="AP60" s="277">
        <f t="shared" si="55"/>
        <v>0</v>
      </c>
      <c r="AQ60" s="274">
        <v>0</v>
      </c>
      <c r="AR60" s="274">
        <v>0</v>
      </c>
      <c r="AS60" s="274">
        <v>0</v>
      </c>
      <c r="AT60" s="274">
        <v>0</v>
      </c>
      <c r="AU60" s="277">
        <f t="shared" si="56"/>
        <v>0</v>
      </c>
      <c r="AV60" s="274">
        <f>'DRE CAIXA SEG_CONTAB_IFRS4'!AV59</f>
        <v>0</v>
      </c>
      <c r="AW60" s="274"/>
      <c r="AX60" s="274"/>
      <c r="AY60" s="274"/>
      <c r="AZ60" s="277">
        <f t="shared" si="58"/>
        <v>0</v>
      </c>
      <c r="BA60" s="342"/>
    </row>
    <row r="61" spans="1:53">
      <c r="A61" s="15"/>
      <c r="B61" s="15" t="s">
        <v>345</v>
      </c>
      <c r="C61" s="33">
        <v>270438.50744242192</v>
      </c>
      <c r="D61" s="33">
        <v>255513.61890094803</v>
      </c>
      <c r="E61" s="33">
        <v>271045.24898999999</v>
      </c>
      <c r="F61" s="33">
        <v>285836.85491722258</v>
      </c>
      <c r="G61" s="44">
        <f t="shared" si="48"/>
        <v>1082834.2302505926</v>
      </c>
      <c r="H61" s="33">
        <v>313069.01580044709</v>
      </c>
      <c r="I61" s="33">
        <v>340341.91111000004</v>
      </c>
      <c r="J61" s="33">
        <v>314649.77802999999</v>
      </c>
      <c r="K61" s="33">
        <v>322629.13010999997</v>
      </c>
      <c r="L61" s="44">
        <f t="shared" si="49"/>
        <v>1290689.8350504471</v>
      </c>
      <c r="M61" s="33">
        <v>319492.854237066</v>
      </c>
      <c r="N61" s="33">
        <v>321944.70692934399</v>
      </c>
      <c r="O61" s="33">
        <v>358814.58044999989</v>
      </c>
      <c r="P61" s="33">
        <v>407209.86160462</v>
      </c>
      <c r="Q61" s="44">
        <f t="shared" si="50"/>
        <v>1407462.0032210299</v>
      </c>
      <c r="R61" s="33">
        <v>384621.7888244745</v>
      </c>
      <c r="S61" s="33">
        <v>383647.51550999994</v>
      </c>
      <c r="T61" s="33">
        <v>439482.80492713087</v>
      </c>
      <c r="U61" s="33">
        <v>473961.88216130552</v>
      </c>
      <c r="V61" s="44">
        <f t="shared" si="51"/>
        <v>1681713.9914229109</v>
      </c>
      <c r="W61" s="33">
        <v>413929.78479999996</v>
      </c>
      <c r="X61" s="33">
        <v>393938.00361999997</v>
      </c>
      <c r="Y61" s="33">
        <v>508130.3763</v>
      </c>
      <c r="Z61" s="33">
        <v>453415.28008000006</v>
      </c>
      <c r="AA61" s="44">
        <f t="shared" si="52"/>
        <v>1769413.4447999997</v>
      </c>
      <c r="AB61" s="33">
        <v>431657.39855999994</v>
      </c>
      <c r="AC61" s="33">
        <v>426633.57659537008</v>
      </c>
      <c r="AD61" s="33">
        <v>492137.72590375005</v>
      </c>
      <c r="AE61" s="33">
        <v>545723.68536468991</v>
      </c>
      <c r="AF61" s="44">
        <f t="shared" si="53"/>
        <v>1896152.3864238102</v>
      </c>
      <c r="AG61" s="33">
        <v>557037.51249999995</v>
      </c>
      <c r="AH61" s="33">
        <v>680787.57</v>
      </c>
      <c r="AI61" s="33">
        <v>766249.68500000006</v>
      </c>
      <c r="AJ61" s="33">
        <v>752929.37250000006</v>
      </c>
      <c r="AK61" s="44">
        <f t="shared" si="54"/>
        <v>2757004.14</v>
      </c>
      <c r="AL61" s="33">
        <v>820120</v>
      </c>
      <c r="AM61" s="33">
        <v>822578</v>
      </c>
      <c r="AN61" s="33">
        <v>916574</v>
      </c>
      <c r="AO61" s="33">
        <v>922413</v>
      </c>
      <c r="AP61" s="44">
        <f t="shared" si="55"/>
        <v>3481685</v>
      </c>
      <c r="AQ61" s="33">
        <v>924342</v>
      </c>
      <c r="AR61" s="33">
        <v>770300.15207999991</v>
      </c>
      <c r="AS61" s="33">
        <v>1005316.5607540002</v>
      </c>
      <c r="AT61" s="33">
        <v>1056825.2982399999</v>
      </c>
      <c r="AU61" s="44">
        <f>SUM(AQ61:AT61)</f>
        <v>3756784.011074</v>
      </c>
      <c r="AV61" s="33">
        <f t="shared" ref="AV61:AX61" si="59">AV59+AV60</f>
        <v>1009321.6498200004</v>
      </c>
      <c r="AW61" s="33">
        <f t="shared" si="59"/>
        <v>1041585.3664899978</v>
      </c>
      <c r="AX61" s="33">
        <f t="shared" si="59"/>
        <v>1140160.2362999981</v>
      </c>
      <c r="AY61" s="33">
        <f>AY59+AY60</f>
        <v>1124824.9344299997</v>
      </c>
      <c r="AZ61" s="44">
        <f t="shared" si="58"/>
        <v>4315892.1870399956</v>
      </c>
      <c r="BA61" s="33">
        <f>BA59+BA60</f>
        <v>1142974.6174999999</v>
      </c>
    </row>
    <row r="62" spans="1:53" s="569" customFormat="1">
      <c r="A62" s="566"/>
      <c r="B62" s="231" t="s">
        <v>382</v>
      </c>
      <c r="C62" s="567"/>
      <c r="D62" s="567"/>
      <c r="E62" s="567"/>
      <c r="F62" s="567"/>
      <c r="G62" s="607">
        <f>SUM(C62:F62)</f>
        <v>0</v>
      </c>
      <c r="H62" s="567"/>
      <c r="I62" s="567"/>
      <c r="J62" s="567"/>
      <c r="K62" s="567"/>
      <c r="L62" s="607">
        <f>SUM(H62:K62)</f>
        <v>0</v>
      </c>
      <c r="M62" s="567"/>
      <c r="N62" s="567"/>
      <c r="O62" s="567"/>
      <c r="P62" s="567"/>
      <c r="Q62" s="607">
        <f>SUM(M62:P62)</f>
        <v>0</v>
      </c>
      <c r="R62" s="567"/>
      <c r="S62" s="567"/>
      <c r="T62" s="567"/>
      <c r="U62" s="567"/>
      <c r="V62" s="607">
        <f>SUM(R62:U62)</f>
        <v>0</v>
      </c>
      <c r="W62" s="567"/>
      <c r="X62" s="567"/>
      <c r="Y62" s="567"/>
      <c r="Z62" s="567"/>
      <c r="AA62" s="607">
        <f>SUM(W62:Z62)</f>
        <v>0</v>
      </c>
      <c r="AB62" s="567">
        <v>0</v>
      </c>
      <c r="AC62" s="567">
        <v>0</v>
      </c>
      <c r="AD62" s="567">
        <v>0</v>
      </c>
      <c r="AE62" s="567">
        <v>0</v>
      </c>
      <c r="AF62" s="607">
        <f>SUM(AB62:AE62)</f>
        <v>0</v>
      </c>
      <c r="AG62" s="567">
        <v>0</v>
      </c>
      <c r="AH62" s="567">
        <v>0</v>
      </c>
      <c r="AI62" s="567">
        <v>0</v>
      </c>
      <c r="AJ62" s="567">
        <v>0</v>
      </c>
      <c r="AK62" s="607">
        <f>SUM(AG62:AJ62)</f>
        <v>0</v>
      </c>
      <c r="AL62" s="567">
        <v>0</v>
      </c>
      <c r="AM62" s="567">
        <v>0</v>
      </c>
      <c r="AN62" s="567">
        <v>0</v>
      </c>
      <c r="AO62" s="567">
        <v>0</v>
      </c>
      <c r="AP62" s="607">
        <f>SUM(AL62:AO62)</f>
        <v>0</v>
      </c>
      <c r="AQ62" s="574">
        <v>0</v>
      </c>
      <c r="AR62" s="574">
        <v>34704.707648519856</v>
      </c>
      <c r="AS62" s="574">
        <v>0</v>
      </c>
      <c r="AT62" s="567">
        <v>0</v>
      </c>
      <c r="AU62" s="607">
        <f>SUM(AQ62:AT62)</f>
        <v>34704.707648519856</v>
      </c>
      <c r="AV62" s="574">
        <v>0</v>
      </c>
      <c r="AW62" s="574">
        <v>0</v>
      </c>
      <c r="AX62" s="574">
        <v>0</v>
      </c>
      <c r="AY62" s="574">
        <v>0</v>
      </c>
      <c r="AZ62" s="607">
        <f t="shared" si="58"/>
        <v>0</v>
      </c>
      <c r="BA62" s="574">
        <v>0</v>
      </c>
    </row>
    <row r="63" spans="1:53">
      <c r="A63" s="73"/>
      <c r="B63" s="231" t="s">
        <v>383</v>
      </c>
      <c r="C63" s="13"/>
      <c r="D63" s="13"/>
      <c r="E63" s="13"/>
      <c r="F63" s="13"/>
      <c r="G63" s="41">
        <f>SUM(C63:F63)</f>
        <v>0</v>
      </c>
      <c r="H63" s="13"/>
      <c r="I63" s="13"/>
      <c r="J63" s="13"/>
      <c r="K63" s="13"/>
      <c r="L63" s="41">
        <f>SUM(H63:K63)</f>
        <v>0</v>
      </c>
      <c r="M63" s="13"/>
      <c r="N63" s="13"/>
      <c r="O63" s="13"/>
      <c r="P63" s="13"/>
      <c r="Q63" s="41">
        <f>SUM(M63:P63)</f>
        <v>0</v>
      </c>
      <c r="R63" s="13"/>
      <c r="S63" s="13"/>
      <c r="T63" s="13"/>
      <c r="U63" s="13"/>
      <c r="V63" s="41">
        <f>SUM(R63:U63)</f>
        <v>0</v>
      </c>
      <c r="W63" s="13"/>
      <c r="X63" s="13"/>
      <c r="Y63" s="13"/>
      <c r="Z63" s="13"/>
      <c r="AA63" s="41">
        <f>SUM(W63:Z63)</f>
        <v>0</v>
      </c>
      <c r="AB63" s="13">
        <v>0</v>
      </c>
      <c r="AC63" s="13">
        <v>0</v>
      </c>
      <c r="AD63" s="13">
        <v>0</v>
      </c>
      <c r="AE63" s="13">
        <v>0</v>
      </c>
      <c r="AF63" s="41">
        <f>SUM(AB63:AE63)</f>
        <v>0</v>
      </c>
      <c r="AG63" s="13">
        <v>0</v>
      </c>
      <c r="AH63" s="13">
        <v>0</v>
      </c>
      <c r="AI63" s="13">
        <v>0</v>
      </c>
      <c r="AJ63" s="13">
        <v>0</v>
      </c>
      <c r="AK63" s="41">
        <f>SUM(AG63:AJ63)</f>
        <v>0</v>
      </c>
      <c r="AL63" s="13">
        <v>0</v>
      </c>
      <c r="AM63" s="13">
        <v>0</v>
      </c>
      <c r="AN63" s="13">
        <v>0</v>
      </c>
      <c r="AO63" s="13">
        <v>0</v>
      </c>
      <c r="AP63" s="41">
        <f>SUM(AL63:AO63)</f>
        <v>0</v>
      </c>
      <c r="AQ63" s="574">
        <v>0</v>
      </c>
      <c r="AR63" s="574">
        <v>123190.71079679884</v>
      </c>
      <c r="AS63" s="574">
        <v>0</v>
      </c>
      <c r="AT63" s="13">
        <v>-5119.6268167988019</v>
      </c>
      <c r="AU63" s="41">
        <f>SUM(AQ63:AT63)</f>
        <v>118071.08398000004</v>
      </c>
      <c r="AV63" s="574">
        <v>0</v>
      </c>
      <c r="AW63" s="574">
        <v>0</v>
      </c>
      <c r="AX63" s="574">
        <v>0</v>
      </c>
      <c r="AY63" s="574">
        <v>0</v>
      </c>
      <c r="AZ63" s="41">
        <f t="shared" si="58"/>
        <v>0</v>
      </c>
      <c r="BA63" s="459">
        <v>0</v>
      </c>
    </row>
    <row r="64" spans="1:53">
      <c r="A64" s="73"/>
      <c r="B64" s="231" t="s">
        <v>384</v>
      </c>
      <c r="C64" s="13"/>
      <c r="D64" s="13"/>
      <c r="E64" s="13"/>
      <c r="F64" s="13"/>
      <c r="G64" s="41">
        <f>SUM(C64:F64)</f>
        <v>0</v>
      </c>
      <c r="H64" s="13"/>
      <c r="I64" s="13"/>
      <c r="J64" s="13"/>
      <c r="K64" s="13"/>
      <c r="L64" s="41">
        <f>SUM(H64:K64)</f>
        <v>0</v>
      </c>
      <c r="M64" s="13"/>
      <c r="N64" s="13"/>
      <c r="O64" s="13"/>
      <c r="P64" s="13"/>
      <c r="Q64" s="41">
        <f>SUM(M64:P64)</f>
        <v>0</v>
      </c>
      <c r="R64" s="13"/>
      <c r="S64" s="13"/>
      <c r="T64" s="13"/>
      <c r="U64" s="13"/>
      <c r="V64" s="41">
        <f>SUM(R64:U64)</f>
        <v>0</v>
      </c>
      <c r="W64" s="13"/>
      <c r="X64" s="13"/>
      <c r="Y64" s="13"/>
      <c r="Z64" s="13"/>
      <c r="AA64" s="41">
        <f>SUM(W64:Z64)</f>
        <v>0</v>
      </c>
      <c r="AB64" s="13"/>
      <c r="AC64" s="13"/>
      <c r="AD64" s="13"/>
      <c r="AE64" s="13"/>
      <c r="AF64" s="41">
        <f>SUM(AB64:AE64)</f>
        <v>0</v>
      </c>
      <c r="AG64" s="13"/>
      <c r="AH64" s="13"/>
      <c r="AI64" s="13"/>
      <c r="AJ64" s="13"/>
      <c r="AK64" s="41">
        <f>SUM(AG64:AJ64)</f>
        <v>0</v>
      </c>
      <c r="AL64" s="13"/>
      <c r="AM64" s="13"/>
      <c r="AN64" s="13"/>
      <c r="AO64" s="13"/>
      <c r="AP64" s="41">
        <f>SUM(AL64:AO64)</f>
        <v>0</v>
      </c>
      <c r="AQ64" s="574">
        <v>0</v>
      </c>
      <c r="AR64" s="574">
        <v>0</v>
      </c>
      <c r="AS64" s="574">
        <v>0</v>
      </c>
      <c r="AT64" s="13">
        <v>-11647.00513</v>
      </c>
      <c r="AU64" s="41">
        <f>SUM(AQ64:AT64)</f>
        <v>-11647.00513</v>
      </c>
      <c r="AV64" s="574">
        <v>0</v>
      </c>
      <c r="AW64" s="574">
        <v>0</v>
      </c>
      <c r="AX64" s="574">
        <v>0</v>
      </c>
      <c r="AY64" s="574">
        <v>0</v>
      </c>
      <c r="AZ64" s="41">
        <f t="shared" si="58"/>
        <v>0</v>
      </c>
      <c r="BA64" s="459">
        <v>0</v>
      </c>
    </row>
    <row r="65" spans="1:53">
      <c r="A65" s="15"/>
      <c r="B65" s="15" t="s">
        <v>385</v>
      </c>
      <c r="C65" s="33">
        <v>270438.50744242192</v>
      </c>
      <c r="D65" s="33">
        <v>255513.61890094803</v>
      </c>
      <c r="E65" s="33">
        <v>271045.24898999999</v>
      </c>
      <c r="F65" s="33">
        <v>285836.85491722258</v>
      </c>
      <c r="G65" s="44">
        <f>SUM(G61:G64)</f>
        <v>1082834.2302505926</v>
      </c>
      <c r="H65" s="33">
        <v>313069.01580044709</v>
      </c>
      <c r="I65" s="33">
        <v>340341.91111000004</v>
      </c>
      <c r="J65" s="33">
        <v>314649.77802999999</v>
      </c>
      <c r="K65" s="33">
        <v>322629.13010999997</v>
      </c>
      <c r="L65" s="44">
        <f>SUM(L61:L64)</f>
        <v>1290689.8350504471</v>
      </c>
      <c r="M65" s="33">
        <v>319492.854237066</v>
      </c>
      <c r="N65" s="33">
        <v>321944.70692934399</v>
      </c>
      <c r="O65" s="33">
        <v>358814.58044999989</v>
      </c>
      <c r="P65" s="33">
        <v>407209.86160462</v>
      </c>
      <c r="Q65" s="44">
        <f>SUM(Q61:Q64)</f>
        <v>1407462.0032210299</v>
      </c>
      <c r="R65" s="33">
        <v>384621.7888244745</v>
      </c>
      <c r="S65" s="33">
        <v>383647.51550999994</v>
      </c>
      <c r="T65" s="33">
        <v>439482.80492713087</v>
      </c>
      <c r="U65" s="33">
        <v>473961.88216130552</v>
      </c>
      <c r="V65" s="44">
        <f>SUM(V61:V64)</f>
        <v>1681713.9914229109</v>
      </c>
      <c r="W65" s="33">
        <v>413929.78479999996</v>
      </c>
      <c r="X65" s="33">
        <v>393938.00361999997</v>
      </c>
      <c r="Y65" s="33">
        <v>508130.3763</v>
      </c>
      <c r="Z65" s="33">
        <v>453415.28008000006</v>
      </c>
      <c r="AA65" s="44">
        <f>SUM(AA61:AA64)</f>
        <v>1769413.4447999997</v>
      </c>
      <c r="AB65" s="33">
        <f>SUM(AB61:AB63)</f>
        <v>431657.39855999994</v>
      </c>
      <c r="AC65" s="33">
        <f>SUM(AC61:AC63)</f>
        <v>426633.57659537008</v>
      </c>
      <c r="AD65" s="33">
        <f>SUM(AD61:AD63)</f>
        <v>492137.72590375005</v>
      </c>
      <c r="AE65" s="33">
        <f>SUM(AE61:AE63)</f>
        <v>545723.68536468991</v>
      </c>
      <c r="AF65" s="44">
        <f>SUM(AF61:AF64)</f>
        <v>1896152.3864238102</v>
      </c>
      <c r="AG65" s="33">
        <v>557037.51249999995</v>
      </c>
      <c r="AH65" s="33">
        <v>680787.57</v>
      </c>
      <c r="AI65" s="33">
        <v>766249.68500000006</v>
      </c>
      <c r="AJ65" s="33">
        <v>752929.37250000006</v>
      </c>
      <c r="AK65" s="44">
        <f>SUM(AK61:AK64)</f>
        <v>2757004.14</v>
      </c>
      <c r="AL65" s="33">
        <v>820120</v>
      </c>
      <c r="AM65" s="33">
        <v>822578</v>
      </c>
      <c r="AN65" s="33">
        <v>916574</v>
      </c>
      <c r="AO65" s="33">
        <v>922413</v>
      </c>
      <c r="AP65" s="44">
        <f>SUM(AP61:AP64)</f>
        <v>3481685</v>
      </c>
      <c r="AQ65" s="33">
        <v>924342</v>
      </c>
      <c r="AR65" s="33">
        <v>928195.57052531862</v>
      </c>
      <c r="AS65" s="33">
        <v>1005316.5607540002</v>
      </c>
      <c r="AT65" s="33">
        <v>1040058.6662932013</v>
      </c>
      <c r="AU65" s="44">
        <f>SUM(AU61:AU64)</f>
        <v>3897912.7975725201</v>
      </c>
      <c r="AV65" s="33">
        <f t="shared" ref="AV65:AX65" si="60">SUM(AV61:AV64)</f>
        <v>1009321.6498200004</v>
      </c>
      <c r="AW65" s="33">
        <f t="shared" si="60"/>
        <v>1041585.3664899978</v>
      </c>
      <c r="AX65" s="33">
        <f t="shared" si="60"/>
        <v>1140160.2362999981</v>
      </c>
      <c r="AY65" s="33">
        <f>SUM(AY61:AY64)</f>
        <v>1124824.9344299997</v>
      </c>
      <c r="AZ65" s="44">
        <f>SUM(AZ61:AZ64)</f>
        <v>4315892.1870399956</v>
      </c>
      <c r="BA65" s="33">
        <f>SUM(BA61:BA64)</f>
        <v>1142974.6174999999</v>
      </c>
    </row>
    <row r="66" spans="1:53">
      <c r="A66" s="73"/>
      <c r="B66" s="73" t="s">
        <v>343</v>
      </c>
      <c r="C66" s="13"/>
      <c r="D66" s="13"/>
      <c r="E66" s="13"/>
      <c r="F66" s="13"/>
      <c r="G66" s="41"/>
      <c r="H66" s="13"/>
      <c r="I66" s="13"/>
      <c r="J66" s="13"/>
      <c r="K66" s="13"/>
      <c r="L66" s="41"/>
      <c r="M66" s="13"/>
      <c r="N66" s="13"/>
      <c r="O66" s="13"/>
      <c r="P66" s="13"/>
      <c r="Q66" s="41"/>
      <c r="R66" s="13"/>
      <c r="S66" s="13"/>
      <c r="T66" s="13"/>
      <c r="U66" s="13"/>
      <c r="V66" s="41"/>
      <c r="W66" s="13"/>
      <c r="X66" s="13"/>
      <c r="Y66" s="13"/>
      <c r="Z66" s="13"/>
      <c r="AA66" s="41"/>
      <c r="AB66" s="13">
        <v>0</v>
      </c>
      <c r="AC66" s="13">
        <v>0</v>
      </c>
      <c r="AD66" s="13">
        <v>0</v>
      </c>
      <c r="AE66" s="13">
        <v>0</v>
      </c>
      <c r="AF66" s="41"/>
      <c r="AG66" s="13">
        <v>0</v>
      </c>
      <c r="AH66" s="13">
        <v>0</v>
      </c>
      <c r="AI66" s="13">
        <v>0</v>
      </c>
      <c r="AJ66" s="13">
        <v>195836</v>
      </c>
      <c r="AK66" s="41">
        <f>SUM(AG66:AJ66)</f>
        <v>195836</v>
      </c>
      <c r="AL66" s="13">
        <v>20250</v>
      </c>
      <c r="AM66" s="13">
        <v>0</v>
      </c>
      <c r="AN66" s="13">
        <v>0</v>
      </c>
      <c r="AO66" s="13">
        <v>0</v>
      </c>
      <c r="AP66" s="41">
        <f>SUM(AL66:AO66)</f>
        <v>20250</v>
      </c>
      <c r="AQ66" s="574">
        <v>0</v>
      </c>
      <c r="AR66" s="574">
        <v>0</v>
      </c>
      <c r="AS66" s="574">
        <v>0</v>
      </c>
      <c r="AT66" s="459">
        <v>0</v>
      </c>
      <c r="AU66" s="41">
        <f>SUM(AQ66:AT66)</f>
        <v>0</v>
      </c>
      <c r="AV66" s="574">
        <v>0</v>
      </c>
      <c r="AW66" s="574">
        <v>0</v>
      </c>
      <c r="AX66" s="574">
        <v>0</v>
      </c>
      <c r="AY66" s="574">
        <v>0</v>
      </c>
      <c r="AZ66" s="41">
        <f>SUM(AV66:AY66)</f>
        <v>0</v>
      </c>
      <c r="BA66" s="459">
        <v>0</v>
      </c>
    </row>
    <row r="67" spans="1:53">
      <c r="A67" s="73"/>
      <c r="B67" s="73" t="s">
        <v>347</v>
      </c>
      <c r="C67" s="13"/>
      <c r="D67" s="13"/>
      <c r="E67" s="13"/>
      <c r="F67" s="13"/>
      <c r="G67" s="41"/>
      <c r="H67" s="13"/>
      <c r="I67" s="13"/>
      <c r="J67" s="13"/>
      <c r="K67" s="13"/>
      <c r="L67" s="41"/>
      <c r="M67" s="13"/>
      <c r="N67" s="13"/>
      <c r="O67" s="13"/>
      <c r="P67" s="13"/>
      <c r="Q67" s="41"/>
      <c r="R67" s="13"/>
      <c r="S67" s="13"/>
      <c r="T67" s="13"/>
      <c r="U67" s="13"/>
      <c r="V67" s="41"/>
      <c r="W67" s="13"/>
      <c r="X67" s="13"/>
      <c r="Y67" s="13"/>
      <c r="Z67" s="13"/>
      <c r="AA67" s="41"/>
      <c r="AB67" s="13"/>
      <c r="AC67" s="13"/>
      <c r="AD67" s="13"/>
      <c r="AE67" s="13"/>
      <c r="AF67" s="41"/>
      <c r="AG67" s="13">
        <v>127501.48750000005</v>
      </c>
      <c r="AH67" s="13">
        <v>-6770.5700000000652</v>
      </c>
      <c r="AI67" s="13">
        <v>382804.31499999994</v>
      </c>
      <c r="AJ67" s="13">
        <v>-447411.37250000006</v>
      </c>
      <c r="AK67" s="41">
        <f>SUM(AG67:AJ67)</f>
        <v>56123.85999999987</v>
      </c>
      <c r="AL67" s="13">
        <v>-25999</v>
      </c>
      <c r="AM67" s="13">
        <v>46831</v>
      </c>
      <c r="AN67" s="13">
        <v>57739</v>
      </c>
      <c r="AO67" s="13">
        <v>1738</v>
      </c>
      <c r="AP67" s="41">
        <f>SUM(AL67:AO67)</f>
        <v>80309</v>
      </c>
      <c r="AQ67" s="13">
        <v>-68632.631210000021</v>
      </c>
      <c r="AR67" s="13">
        <v>-116537.15207999991</v>
      </c>
      <c r="AS67" s="13">
        <v>83396.439245999791</v>
      </c>
      <c r="AT67" s="13">
        <v>110173.70176000008</v>
      </c>
      <c r="AU67" s="41">
        <f>SUM(AQ67:AT67)</f>
        <v>8400.3577159999404</v>
      </c>
      <c r="AV67" s="13">
        <f>AV68-AV61-AV66</f>
        <v>41097.167529999278</v>
      </c>
      <c r="AW67" s="13">
        <f>AW68-AW61-AW66</f>
        <v>-13176.939289997914</v>
      </c>
      <c r="AX67" s="13">
        <f>AX68-AX61-AX66</f>
        <v>593.51027000392787</v>
      </c>
      <c r="AY67" s="13">
        <f>AY68-AY61-AY66</f>
        <v>-52845.641860001022</v>
      </c>
      <c r="AZ67" s="41">
        <f>SUM(AV67:AY67)</f>
        <v>-24331.90334999573</v>
      </c>
      <c r="BA67" s="1">
        <f>BA68-BA61-BA66</f>
        <v>7303.1548199981917</v>
      </c>
    </row>
    <row r="68" spans="1:53">
      <c r="A68" s="15"/>
      <c r="B68" s="15" t="s">
        <v>369</v>
      </c>
      <c r="C68" s="33"/>
      <c r="D68" s="33"/>
      <c r="E68" s="33"/>
      <c r="F68" s="33"/>
      <c r="G68" s="44"/>
      <c r="H68" s="33"/>
      <c r="I68" s="33"/>
      <c r="J68" s="33"/>
      <c r="K68" s="33"/>
      <c r="L68" s="44"/>
      <c r="M68" s="33"/>
      <c r="N68" s="33"/>
      <c r="O68" s="33"/>
      <c r="P68" s="33"/>
      <c r="Q68" s="44"/>
      <c r="R68" s="33"/>
      <c r="S68" s="33"/>
      <c r="T68" s="33"/>
      <c r="U68" s="33"/>
      <c r="V68" s="44"/>
      <c r="W68" s="33"/>
      <c r="X68" s="33"/>
      <c r="Y68" s="33"/>
      <c r="Z68" s="33"/>
      <c r="AA68" s="44"/>
      <c r="AB68" s="33"/>
      <c r="AC68" s="33"/>
      <c r="AD68" s="33"/>
      <c r="AE68" s="33"/>
      <c r="AF68" s="44"/>
      <c r="AG68" s="33">
        <v>684539</v>
      </c>
      <c r="AH68" s="33">
        <v>674016.99999999988</v>
      </c>
      <c r="AI68" s="33">
        <v>1149054</v>
      </c>
      <c r="AJ68" s="33">
        <v>501354</v>
      </c>
      <c r="AK68" s="44">
        <f>SUM(AG68:AJ68)</f>
        <v>3008964</v>
      </c>
      <c r="AL68" s="33">
        <v>814371</v>
      </c>
      <c r="AM68" s="33">
        <v>869409</v>
      </c>
      <c r="AN68" s="33">
        <v>974313</v>
      </c>
      <c r="AO68" s="33">
        <v>924151</v>
      </c>
      <c r="AP68" s="44">
        <f>SUM(AL68:AO68)</f>
        <v>3582244</v>
      </c>
      <c r="AQ68" s="33">
        <v>855709.36878999998</v>
      </c>
      <c r="AR68" s="33">
        <v>653763</v>
      </c>
      <c r="AS68" s="33">
        <v>1088713</v>
      </c>
      <c r="AT68" s="33">
        <v>1166999</v>
      </c>
      <c r="AU68" s="44">
        <f>SUM(AQ68:AT68)</f>
        <v>3765184.3687899997</v>
      </c>
      <c r="AV68" s="33">
        <f>'DRE CAIXA SEGURIDADE CONTABIL'!AV60</f>
        <v>1050418.8173499997</v>
      </c>
      <c r="AW68" s="33">
        <f>'DRE CAIXA SEGURIDADE CONTABIL'!AW60</f>
        <v>1028408.4271999999</v>
      </c>
      <c r="AX68" s="33">
        <f>'DRE CAIXA SEGURIDADE CONTABIL'!AX60</f>
        <v>1140753.7465700021</v>
      </c>
      <c r="AY68" s="33">
        <f>'DRE CAIXA SEGURIDADE CONTABIL'!AY60</f>
        <v>1071979.2925699987</v>
      </c>
      <c r="AZ68" s="44">
        <f>SUM(AV68:AY68)</f>
        <v>4291560.28369</v>
      </c>
      <c r="BA68" s="33">
        <f>'DRE CAIXA SEGURIDADE CONTABIL'!BA60</f>
        <v>1150277.7723199981</v>
      </c>
    </row>
    <row r="69" spans="1:53">
      <c r="A69" s="11"/>
      <c r="B69" s="11"/>
      <c r="C69" s="13"/>
      <c r="D69" s="13"/>
      <c r="E69" s="13"/>
      <c r="F69" s="13"/>
      <c r="G69" s="170"/>
      <c r="H69" s="13"/>
      <c r="I69" s="13"/>
      <c r="J69" s="13"/>
      <c r="K69" s="13"/>
      <c r="L69" s="170"/>
      <c r="M69" s="13"/>
      <c r="N69" s="13"/>
      <c r="O69" s="13"/>
      <c r="P69" s="13"/>
      <c r="Q69" s="170"/>
      <c r="R69" s="13"/>
      <c r="S69" s="13"/>
      <c r="T69" s="13"/>
      <c r="U69" s="13"/>
      <c r="V69" s="170"/>
      <c r="W69" s="13"/>
      <c r="X69" s="13"/>
      <c r="Y69" s="13"/>
      <c r="Z69" s="13"/>
      <c r="AA69" s="170"/>
      <c r="AB69" s="13"/>
      <c r="AC69" s="13"/>
      <c r="AD69" s="13"/>
      <c r="AE69" s="13"/>
      <c r="AF69" s="170"/>
      <c r="AG69" s="13"/>
      <c r="AH69" s="13"/>
      <c r="AI69" s="13"/>
      <c r="AJ69" s="13"/>
      <c r="AK69" s="170"/>
      <c r="AL69" s="13"/>
      <c r="AM69" s="13"/>
      <c r="AN69" s="13"/>
      <c r="AO69" s="13"/>
      <c r="AP69" s="170"/>
      <c r="AQ69" s="115"/>
      <c r="AR69" s="13">
        <v>890072.40850680007</v>
      </c>
      <c r="AS69" s="13"/>
      <c r="AT69" s="13"/>
      <c r="AU69" s="170"/>
      <c r="AV69" s="13"/>
      <c r="AW69" s="13"/>
      <c r="AX69" s="13"/>
      <c r="AY69" s="13"/>
      <c r="AZ69" s="170"/>
      <c r="BA69" s="162"/>
    </row>
    <row r="70" spans="1:53">
      <c r="A70" s="11"/>
      <c r="B70" s="11"/>
      <c r="C70" s="13"/>
      <c r="D70" s="13"/>
      <c r="E70" s="13"/>
      <c r="F70" s="13"/>
      <c r="G70" s="170"/>
      <c r="H70" s="13"/>
      <c r="I70" s="13"/>
      <c r="J70" s="13"/>
      <c r="K70" s="13"/>
      <c r="L70" s="170"/>
      <c r="M70" s="13"/>
      <c r="N70" s="13"/>
      <c r="O70" s="13"/>
      <c r="P70" s="13"/>
      <c r="Q70" s="170"/>
      <c r="R70" s="13"/>
      <c r="S70" s="13"/>
      <c r="T70" s="13"/>
      <c r="U70" s="13"/>
      <c r="V70" s="170"/>
      <c r="W70" s="13"/>
      <c r="X70" s="13"/>
      <c r="Y70" s="13"/>
      <c r="Z70" s="13"/>
      <c r="AA70" s="170"/>
      <c r="AB70" s="13"/>
      <c r="AC70" s="13"/>
      <c r="AD70" s="13"/>
      <c r="AE70" s="13"/>
      <c r="AF70" s="170"/>
      <c r="AG70" s="13"/>
      <c r="AH70" s="13"/>
      <c r="AI70" s="13"/>
      <c r="AJ70" s="13"/>
      <c r="AK70" s="170"/>
      <c r="AL70" s="13"/>
      <c r="AM70" s="13"/>
      <c r="AN70" s="13"/>
      <c r="AO70" s="13"/>
      <c r="AP70" s="170"/>
      <c r="AQ70" s="13"/>
      <c r="AR70" s="13"/>
      <c r="AS70" s="13"/>
      <c r="AT70" s="13"/>
      <c r="AU70" s="170"/>
      <c r="AV70" s="13"/>
      <c r="AW70" s="13"/>
      <c r="AX70" s="13"/>
      <c r="AY70" s="13"/>
      <c r="AZ70" s="170"/>
      <c r="BA70" s="162"/>
    </row>
    <row r="71" spans="1:53">
      <c r="A71" s="17"/>
      <c r="B71" s="17" t="s">
        <v>351</v>
      </c>
      <c r="C71" s="18">
        <f>SUM(C59)/SUM(C7)</f>
        <v>0.86046981025848479</v>
      </c>
      <c r="D71" s="18">
        <f>SUM(C59:D59)/SUM(C7:D7)</f>
        <v>0.8583987185320141</v>
      </c>
      <c r="E71" s="18">
        <f>SUM(C59:E59)/SUM(C7:E7)</f>
        <v>0.8514042662673813</v>
      </c>
      <c r="F71" s="18">
        <f>SUM(C59:F59)/SUM(C7:F7)</f>
        <v>0.84959240269102676</v>
      </c>
      <c r="G71" s="46">
        <f>F71</f>
        <v>0.84959240269102676</v>
      </c>
      <c r="H71" s="18">
        <f>SUM(H59)/SUM(H7)</f>
        <v>0.83325767549295926</v>
      </c>
      <c r="I71" s="18">
        <f>SUM(H59:I59)/SUM(H7:I7)</f>
        <v>0.84336359826477747</v>
      </c>
      <c r="J71" s="18">
        <f>SUM(H59:J59)/SUM(H7:J7)</f>
        <v>0.83961181360583248</v>
      </c>
      <c r="K71" s="18">
        <f>SUM(H59:K59)/SUM(H7:K7)</f>
        <v>0.83566343591214032</v>
      </c>
      <c r="L71" s="46">
        <f>K71</f>
        <v>0.83566343591214032</v>
      </c>
      <c r="M71" s="18">
        <f>SUM(M59)/SUM(M7)</f>
        <v>0.83893558237593246</v>
      </c>
      <c r="N71" s="18">
        <f>SUM(M59:N59)/SUM(M7:N7)</f>
        <v>0.82898718309718245</v>
      </c>
      <c r="O71" s="18">
        <f>SUM(M59:O59)/SUM(M7:O7)</f>
        <v>0.83135542942384633</v>
      </c>
      <c r="P71" s="18">
        <f>SUM(M59:P59)/SUM(M7:P7)</f>
        <v>0.83461439797219716</v>
      </c>
      <c r="Q71" s="46">
        <f>P71</f>
        <v>0.83461439797219716</v>
      </c>
      <c r="R71" s="18">
        <v>0.84167285766867006</v>
      </c>
      <c r="S71" s="18">
        <v>0.83515216859234798</v>
      </c>
      <c r="T71" s="18">
        <v>0.83674961510638557</v>
      </c>
      <c r="U71" s="18">
        <v>0.83816153965737938</v>
      </c>
      <c r="V71" s="46">
        <v>0.83816153965737938</v>
      </c>
      <c r="W71" s="18">
        <f>SUM(W59)/SUM(W7)</f>
        <v>0.83333937314091444</v>
      </c>
      <c r="X71" s="18">
        <f>SUM(W59:X59)/SUM(W7:X7)</f>
        <v>0.8368516393350055</v>
      </c>
      <c r="Y71" s="18">
        <f>SUM(W59:Y59)/SUM(W7:Y7)</f>
        <v>0.81235860277231164</v>
      </c>
      <c r="Z71" s="18">
        <f>SUM(W59:Z59)/SUM(W7:Z7)</f>
        <v>0.81075118496434051</v>
      </c>
      <c r="AA71" s="46">
        <f>Z71</f>
        <v>0.81075118496434051</v>
      </c>
      <c r="AB71" s="18">
        <f>SUM(AB59)/SUM(AB7)</f>
        <v>0.81581222795960395</v>
      </c>
      <c r="AC71" s="18">
        <f>SUM(AB59:AC59)/SUM(AB7:AC7)</f>
        <v>0.79561910503855093</v>
      </c>
      <c r="AD71" s="18">
        <f>SUM(AB59:AD59)/SUM(AB7:AD7)</f>
        <v>0.77233697389777201</v>
      </c>
      <c r="AE71" s="18">
        <f>SUM(AB59:AE59)/SUM(AB7:AE7)</f>
        <v>0.76484196589576503</v>
      </c>
      <c r="AF71" s="46">
        <f>AE71</f>
        <v>0.76484196589576503</v>
      </c>
      <c r="AG71" s="18">
        <v>0.75776736601587613</v>
      </c>
      <c r="AH71" s="18">
        <v>0.75316136831505442</v>
      </c>
      <c r="AI71" s="18">
        <v>0.74259421679726623</v>
      </c>
      <c r="AJ71" s="18">
        <v>0.74749935665235256</v>
      </c>
      <c r="AK71" s="46">
        <v>0.74749935665235256</v>
      </c>
      <c r="AL71" s="18">
        <v>0.75456820747037434</v>
      </c>
      <c r="AM71" s="18">
        <v>0.75611681735973046</v>
      </c>
      <c r="AN71" s="18">
        <v>0.75820256358696281</v>
      </c>
      <c r="AO71" s="18">
        <v>0.75957773299965181</v>
      </c>
      <c r="AP71" s="46">
        <v>0.75957773299965181</v>
      </c>
      <c r="AQ71" s="18">
        <v>0.73958069128409798</v>
      </c>
      <c r="AR71" s="18">
        <v>0.71588624556859626</v>
      </c>
      <c r="AS71" s="18">
        <v>0.75642592732609915</v>
      </c>
      <c r="AT71" s="18">
        <v>0.74060056291785337</v>
      </c>
      <c r="AU71" s="46">
        <v>0.73925557510104323</v>
      </c>
      <c r="AV71" s="18">
        <f t="shared" ref="AV71:BA71" si="61">AV59/AV7</f>
        <v>0.73067996153192105</v>
      </c>
      <c r="AW71" s="18">
        <f t="shared" si="61"/>
        <v>0.75349418583290395</v>
      </c>
      <c r="AX71" s="18">
        <f t="shared" si="61"/>
        <v>0.75507881099326846</v>
      </c>
      <c r="AY71" s="18">
        <f t="shared" si="61"/>
        <v>0.75596822477100623</v>
      </c>
      <c r="AZ71" s="46">
        <f t="shared" ref="AZ71" si="62">AZ59/AZ7</f>
        <v>0.74907868045471682</v>
      </c>
      <c r="BA71" s="18">
        <f t="shared" si="61"/>
        <v>0.75011220312163995</v>
      </c>
    </row>
    <row r="72" spans="1:53">
      <c r="A72" s="19"/>
      <c r="B72" s="19"/>
      <c r="C72" s="19"/>
      <c r="D72" s="19"/>
      <c r="E72" s="19"/>
      <c r="F72" s="19"/>
      <c r="G72" s="47"/>
      <c r="H72" s="19"/>
      <c r="I72" s="19"/>
      <c r="J72" s="19"/>
      <c r="K72" s="19"/>
      <c r="L72" s="47"/>
      <c r="M72" s="19"/>
      <c r="N72" s="19"/>
      <c r="O72" s="19"/>
      <c r="P72" s="19"/>
      <c r="Q72" s="47"/>
      <c r="R72" s="19"/>
      <c r="S72" s="19"/>
      <c r="T72" s="19"/>
      <c r="U72" s="19"/>
      <c r="V72" s="47"/>
      <c r="W72" s="19"/>
      <c r="X72" s="19"/>
      <c r="Y72" s="19"/>
      <c r="Z72" s="19"/>
      <c r="AA72" s="47"/>
      <c r="AB72" s="18"/>
      <c r="AC72" s="18"/>
      <c r="AD72" s="18"/>
      <c r="AE72" s="18"/>
      <c r="AF72" s="47"/>
      <c r="AG72" s="19"/>
      <c r="AH72" s="19"/>
      <c r="AI72" s="19"/>
      <c r="AJ72" s="19"/>
      <c r="AK72" s="47"/>
      <c r="AL72" s="19"/>
      <c r="AM72" s="19"/>
      <c r="AN72" s="19"/>
      <c r="AO72" s="19"/>
      <c r="AP72" s="47"/>
      <c r="AQ72" s="19"/>
      <c r="AR72" s="19"/>
      <c r="AS72" s="19"/>
      <c r="AT72" s="19"/>
      <c r="AU72" s="47"/>
      <c r="AV72" s="19"/>
      <c r="AW72" s="19"/>
      <c r="AX72" s="19"/>
      <c r="AY72" s="19"/>
      <c r="AZ72" s="47"/>
      <c r="BA72" s="664"/>
    </row>
    <row r="73" spans="1:53" ht="15.75" thickBot="1">
      <c r="A73" s="17"/>
      <c r="B73" s="17" t="s">
        <v>353</v>
      </c>
      <c r="C73" s="18">
        <v>0.37950678433952056</v>
      </c>
      <c r="D73" s="18">
        <v>0.35701324992220829</v>
      </c>
      <c r="E73" s="18">
        <v>0.33059986351894888</v>
      </c>
      <c r="F73" s="18">
        <v>0.31757888226709596</v>
      </c>
      <c r="G73" s="48">
        <v>0.31757888226709596</v>
      </c>
      <c r="H73" s="18">
        <v>0.35854716085371141</v>
      </c>
      <c r="I73" s="18">
        <v>0.37586961565913812</v>
      </c>
      <c r="J73" s="18">
        <v>0.33884093247890767</v>
      </c>
      <c r="K73" s="18">
        <v>0.32536092404112993</v>
      </c>
      <c r="L73" s="48">
        <v>0.32536092404112993</v>
      </c>
      <c r="M73" s="18">
        <v>0.32886567288429847</v>
      </c>
      <c r="N73" s="18">
        <v>0.33610312799098763</v>
      </c>
      <c r="O73" s="18">
        <v>0.32218443776763905</v>
      </c>
      <c r="P73" s="18">
        <v>0.32340496043512745</v>
      </c>
      <c r="Q73" s="48">
        <v>0.32340496043512745</v>
      </c>
      <c r="R73" s="18">
        <v>0.36414709081560548</v>
      </c>
      <c r="S73" s="18">
        <v>0.33107765238290843</v>
      </c>
      <c r="T73" s="18">
        <v>0.35301076807754495</v>
      </c>
      <c r="U73" s="18">
        <v>0.3425078906075556</v>
      </c>
      <c r="V73" s="48">
        <v>0.3425078906075556</v>
      </c>
      <c r="W73" s="18">
        <v>0.34321590110626632</v>
      </c>
      <c r="X73" s="18">
        <v>0.30727839598510309</v>
      </c>
      <c r="Y73" s="18">
        <v>0.36427291885736746</v>
      </c>
      <c r="Z73" s="18">
        <v>0.3478805788355217</v>
      </c>
      <c r="AA73" s="48">
        <v>0.3478805788355217</v>
      </c>
      <c r="AB73" s="18">
        <v>0.42880000000000001</v>
      </c>
      <c r="AC73" s="18">
        <v>0.38735923699438191</v>
      </c>
      <c r="AD73" s="18">
        <v>0.37444933527919866</v>
      </c>
      <c r="AE73" s="169">
        <v>0.3697016265989892</v>
      </c>
      <c r="AF73" s="48">
        <v>0.3697016265989892</v>
      </c>
      <c r="AG73" s="18">
        <v>0.41189999999999999</v>
      </c>
      <c r="AH73" s="18">
        <v>0.45480041042828723</v>
      </c>
      <c r="AI73" s="18">
        <v>0.45446901413196206</v>
      </c>
      <c r="AJ73" s="18">
        <v>0.54569999999999996</v>
      </c>
      <c r="AK73" s="48">
        <v>0.54569999999999996</v>
      </c>
      <c r="AL73" s="18">
        <v>0.52370217451135104</v>
      </c>
      <c r="AM73" s="18">
        <v>0.55414475337717184</v>
      </c>
      <c r="AN73" s="438">
        <v>0.56759999999999999</v>
      </c>
      <c r="AO73" s="438">
        <v>0.6617102657510413</v>
      </c>
      <c r="AP73" s="48">
        <v>0.66169999999999995</v>
      </c>
      <c r="AQ73" s="18">
        <v>0.58430000000000004</v>
      </c>
      <c r="AR73" s="18">
        <v>0.59699999999999998</v>
      </c>
      <c r="AS73" s="18">
        <v>0.62880000000000003</v>
      </c>
      <c r="AT73" s="438">
        <v>0.67478080923736394</v>
      </c>
      <c r="AU73" s="48">
        <v>0.67478080923736394</v>
      </c>
      <c r="AV73" s="18">
        <v>0.58631454481792733</v>
      </c>
      <c r="AW73" s="18">
        <v>0.69648666405432047</v>
      </c>
      <c r="AX73" s="18">
        <v>0.69190520974811942</v>
      </c>
      <c r="AY73" s="18">
        <v>0.70355680443123447</v>
      </c>
      <c r="AZ73" s="48">
        <v>0.70355680443123447</v>
      </c>
      <c r="BA73" s="18">
        <v>0.65913042123772991</v>
      </c>
    </row>
    <row r="74" spans="1:53">
      <c r="AL74" s="285"/>
      <c r="AQ74" s="285"/>
      <c r="AR74" s="229">
        <v>0.65401090648233839</v>
      </c>
      <c r="AS74" s="229">
        <v>6.1200000000000032E-2</v>
      </c>
      <c r="AV74" s="229"/>
      <c r="AW74" s="229"/>
      <c r="AX74" s="229"/>
      <c r="AY74" s="229"/>
    </row>
    <row r="75" spans="1:53">
      <c r="S75" s="285"/>
      <c r="X75" s="285"/>
      <c r="AB75" s="285"/>
      <c r="AD75" s="452"/>
      <c r="AE75" s="463"/>
      <c r="AF75" s="463"/>
      <c r="AG75" s="285"/>
      <c r="AK75" s="463"/>
      <c r="AL75" s="52"/>
      <c r="AM75" s="8"/>
      <c r="AO75" s="285"/>
      <c r="AP75" s="285"/>
      <c r="AQ75" s="285"/>
      <c r="AR75" s="8"/>
      <c r="AT75" s="285"/>
      <c r="AU75" s="285"/>
      <c r="AV75" s="8"/>
      <c r="AW75" s="8"/>
      <c r="AX75" s="8"/>
      <c r="AY75" s="8"/>
      <c r="AZ75" s="285"/>
      <c r="BA75" s="285"/>
    </row>
    <row r="76" spans="1:53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U76" s="52"/>
      <c r="AZ76" s="229"/>
      <c r="BA76" s="229"/>
    </row>
    <row r="77" spans="1:53">
      <c r="AL77" s="1"/>
      <c r="AM77" s="1"/>
      <c r="AQ77" s="1"/>
      <c r="AR77" s="8"/>
      <c r="AS77" s="8"/>
      <c r="AT77" s="285"/>
      <c r="AV77" s="8"/>
      <c r="AW77" s="8"/>
      <c r="AX77" s="8"/>
      <c r="AY77" s="8"/>
      <c r="AZ77" s="8"/>
      <c r="BA77" s="8"/>
    </row>
    <row r="78" spans="1:53">
      <c r="AL78" s="52"/>
      <c r="AM78" s="52"/>
      <c r="AQ78" s="52"/>
      <c r="AZ78" s="589"/>
    </row>
    <row r="79" spans="1:53">
      <c r="AC79" s="112"/>
    </row>
    <row r="80" spans="1:53">
      <c r="AC80" s="112"/>
    </row>
    <row r="81" spans="29:29">
      <c r="AC81" s="112"/>
    </row>
    <row r="82" spans="29:29">
      <c r="AC82" s="112"/>
    </row>
    <row r="83" spans="29:29">
      <c r="AC83" s="112"/>
    </row>
    <row r="84" spans="29:29">
      <c r="AC84" s="112"/>
    </row>
    <row r="85" spans="29:29">
      <c r="AC85" s="112"/>
    </row>
    <row r="86" spans="29:29">
      <c r="AC86" s="112"/>
    </row>
    <row r="87" spans="29:29">
      <c r="AC87" s="112"/>
    </row>
    <row r="88" spans="29:29">
      <c r="AC88" s="112"/>
    </row>
    <row r="89" spans="29:29">
      <c r="AC89" s="112"/>
    </row>
    <row r="90" spans="29:29">
      <c r="AC90" s="112"/>
    </row>
    <row r="91" spans="29:29">
      <c r="AC91" s="112"/>
    </row>
    <row r="92" spans="29:29">
      <c r="AC92" s="112"/>
    </row>
    <row r="93" spans="29:29">
      <c r="AC93" s="112"/>
    </row>
    <row r="94" spans="29:29">
      <c r="AC94" s="112"/>
    </row>
    <row r="95" spans="29:29">
      <c r="AC95" s="112"/>
    </row>
    <row r="96" spans="29:29">
      <c r="AC96" s="112"/>
    </row>
    <row r="97" spans="29:29">
      <c r="AC97" s="112"/>
    </row>
    <row r="98" spans="29:29">
      <c r="AC98" s="112"/>
    </row>
    <row r="99" spans="29:29">
      <c r="AC99" s="112"/>
    </row>
    <row r="100" spans="29:29">
      <c r="AC100" s="112"/>
    </row>
    <row r="101" spans="29:29">
      <c r="AC101" s="112"/>
    </row>
    <row r="102" spans="29:29">
      <c r="AC102" s="112"/>
    </row>
    <row r="103" spans="29:29">
      <c r="AC103" s="112"/>
    </row>
    <row r="104" spans="29:29">
      <c r="AC104" s="11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71925-F335-40D4-867A-81D89FF7A1E7}">
  <dimension ref="A1:BU96"/>
  <sheetViews>
    <sheetView showGridLines="0" showRowColHeaders="0" zoomScale="75" zoomScaleNormal="75" workbookViewId="0">
      <pane xSplit="2" ySplit="4" topLeftCell="AV5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2"/>
  <cols>
    <col min="1" max="1" width="2.140625" customWidth="1"/>
    <col min="2" max="2" width="70.7109375" customWidth="1"/>
    <col min="3" max="3" width="11.42578125" hidden="1" customWidth="1" outlineLevel="1"/>
    <col min="4" max="6" width="12.42578125" hidden="1" customWidth="1" outlineLevel="1"/>
    <col min="7" max="7" width="11.42578125" customWidth="1" collapsed="1"/>
    <col min="8" max="8" width="11.42578125" hidden="1" customWidth="1" outlineLevel="1"/>
    <col min="9" max="10" width="12.42578125" hidden="1" customWidth="1" outlineLevel="1"/>
    <col min="11" max="11" width="11.42578125" hidden="1" customWidth="1" outlineLevel="1"/>
    <col min="12" max="12" width="11.42578125" customWidth="1" collapsed="1"/>
    <col min="13" max="13" width="11.42578125" hidden="1" customWidth="1" outlineLevel="1"/>
    <col min="14" max="15" width="12.42578125" hidden="1" customWidth="1" outlineLevel="1"/>
    <col min="16" max="16" width="11.42578125" hidden="1" customWidth="1" outlineLevel="1"/>
    <col min="17" max="17" width="11.42578125" customWidth="1" collapsed="1"/>
    <col min="18" max="18" width="11.42578125" hidden="1" customWidth="1" outlineLevel="1"/>
    <col min="19" max="19" width="12" hidden="1" customWidth="1" outlineLevel="1"/>
    <col min="20" max="20" width="12.42578125" hidden="1" customWidth="1" outlineLevel="1"/>
    <col min="21" max="21" width="11.42578125" hidden="1" customWidth="1" outlineLevel="1"/>
    <col min="22" max="22" width="11.42578125" customWidth="1" collapsed="1"/>
    <col min="23" max="25" width="12.42578125" hidden="1" customWidth="1" outlineLevel="2"/>
    <col min="26" max="26" width="11.42578125" hidden="1" customWidth="1" outlineLevel="2"/>
    <col min="27" max="27" width="11.42578125" customWidth="1" collapsed="1"/>
    <col min="28" max="31" width="12.42578125" hidden="1" customWidth="1" outlineLevel="1"/>
    <col min="32" max="32" width="11.42578125" customWidth="1" collapsed="1"/>
    <col min="33" max="33" width="11.42578125" hidden="1" customWidth="1" outlineLevel="1"/>
    <col min="34" max="34" width="12.42578125" hidden="1" customWidth="1" outlineLevel="1"/>
    <col min="35" max="36" width="11.42578125" hidden="1" customWidth="1" outlineLevel="1"/>
    <col min="37" max="37" width="11.42578125" bestFit="1" customWidth="1" collapsed="1"/>
    <col min="38" max="41" width="11.42578125" hidden="1" customWidth="1" outlineLevel="1"/>
    <col min="42" max="42" width="11.42578125" customWidth="1" collapsed="1"/>
    <col min="43" max="45" width="11.42578125" hidden="1" customWidth="1" outlineLevel="1"/>
    <col min="46" max="46" width="12.42578125" hidden="1" customWidth="1" outlineLevel="1"/>
    <col min="47" max="47" width="11.42578125" customWidth="1" collapsed="1"/>
    <col min="48" max="51" width="11.42578125" customWidth="1" outlineLevel="1"/>
    <col min="52" max="52" width="12.42578125" bestFit="1" customWidth="1"/>
    <col min="53" max="53" width="11.42578125" customWidth="1"/>
  </cols>
  <sheetData>
    <row r="1" spans="1:73" ht="15" customHeight="1">
      <c r="A1" s="641"/>
      <c r="B1" s="641"/>
      <c r="C1" s="641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73" ht="15" customHeight="1">
      <c r="A2" s="641"/>
      <c r="B2" s="641"/>
      <c r="C2" s="64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32"/>
      <c r="BA2" s="630"/>
    </row>
    <row r="3" spans="1:73" ht="50.1" customHeight="1">
      <c r="A3" s="635"/>
      <c r="B3" s="766" t="s">
        <v>1126</v>
      </c>
      <c r="C3" s="641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73" ht="10.5" customHeight="1"/>
    <row r="5" spans="1:73" ht="10.5" customHeight="1" thickBot="1"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</row>
    <row r="6" spans="1:73" ht="24.4" customHeight="1">
      <c r="A6" s="625"/>
      <c r="B6" s="625" t="s">
        <v>32</v>
      </c>
      <c r="C6" s="626" t="s">
        <v>224</v>
      </c>
      <c r="D6" s="626" t="s">
        <v>225</v>
      </c>
      <c r="E6" s="626" t="s">
        <v>226</v>
      </c>
      <c r="F6" s="626" t="s">
        <v>227</v>
      </c>
      <c r="G6" s="652">
        <v>2016</v>
      </c>
      <c r="H6" s="626" t="s">
        <v>228</v>
      </c>
      <c r="I6" s="626" t="s">
        <v>229</v>
      </c>
      <c r="J6" s="626" t="s">
        <v>230</v>
      </c>
      <c r="K6" s="626" t="s">
        <v>231</v>
      </c>
      <c r="L6" s="652">
        <v>2017</v>
      </c>
      <c r="M6" s="626" t="s">
        <v>232</v>
      </c>
      <c r="N6" s="626" t="s">
        <v>233</v>
      </c>
      <c r="O6" s="626" t="s">
        <v>234</v>
      </c>
      <c r="P6" s="626" t="s">
        <v>235</v>
      </c>
      <c r="Q6" s="652">
        <v>2018</v>
      </c>
      <c r="R6" s="626" t="s">
        <v>236</v>
      </c>
      <c r="S6" s="626" t="s">
        <v>237</v>
      </c>
      <c r="T6" s="626" t="s">
        <v>238</v>
      </c>
      <c r="U6" s="626" t="s">
        <v>239</v>
      </c>
      <c r="V6" s="652">
        <v>2019</v>
      </c>
      <c r="W6" s="626" t="s">
        <v>240</v>
      </c>
      <c r="X6" s="626" t="s">
        <v>241</v>
      </c>
      <c r="Y6" s="626" t="s">
        <v>242</v>
      </c>
      <c r="Z6" s="626" t="s">
        <v>243</v>
      </c>
      <c r="AA6" s="652">
        <v>2020</v>
      </c>
      <c r="AB6" s="626" t="s">
        <v>244</v>
      </c>
      <c r="AC6" s="626" t="s">
        <v>245</v>
      </c>
      <c r="AD6" s="626" t="s">
        <v>246</v>
      </c>
      <c r="AE6" s="626" t="s">
        <v>247</v>
      </c>
      <c r="AF6" s="652">
        <v>2021</v>
      </c>
      <c r="AG6" s="626" t="s">
        <v>397</v>
      </c>
      <c r="AH6" s="626" t="s">
        <v>398</v>
      </c>
      <c r="AI6" s="626" t="s">
        <v>399</v>
      </c>
      <c r="AJ6" s="626" t="s">
        <v>400</v>
      </c>
      <c r="AK6" s="652" t="s">
        <v>390</v>
      </c>
      <c r="AL6" s="626" t="s">
        <v>401</v>
      </c>
      <c r="AM6" s="626" t="s">
        <v>402</v>
      </c>
      <c r="AN6" s="626" t="s">
        <v>403</v>
      </c>
      <c r="AO6" s="626" t="s">
        <v>404</v>
      </c>
      <c r="AP6" s="652" t="s">
        <v>395</v>
      </c>
      <c r="AQ6" s="626" t="s">
        <v>223</v>
      </c>
      <c r="AR6" s="626" t="s">
        <v>256</v>
      </c>
      <c r="AS6" s="626" t="s">
        <v>357</v>
      </c>
      <c r="AT6" s="626" t="s">
        <v>358</v>
      </c>
      <c r="AU6" s="652" t="s">
        <v>396</v>
      </c>
      <c r="AV6" s="626" t="s">
        <v>359</v>
      </c>
      <c r="AW6" s="626" t="s">
        <v>1115</v>
      </c>
      <c r="AX6" s="626" t="s">
        <v>1116</v>
      </c>
      <c r="AY6" s="626" t="s">
        <v>1117</v>
      </c>
      <c r="AZ6" s="653" t="s">
        <v>1118</v>
      </c>
      <c r="BA6" s="645" t="s">
        <v>1124</v>
      </c>
    </row>
    <row r="7" spans="1:73">
      <c r="A7" s="9"/>
      <c r="B7" s="9" t="s">
        <v>259</v>
      </c>
      <c r="C7" s="117">
        <v>306636.79729729268</v>
      </c>
      <c r="D7" s="117">
        <v>274306.7512371731</v>
      </c>
      <c r="E7" s="117">
        <v>298515.75263123499</v>
      </c>
      <c r="F7" s="117">
        <v>321110.40095796413</v>
      </c>
      <c r="G7" s="118">
        <f>SUM(C7:F7)</f>
        <v>1200569.7021236648</v>
      </c>
      <c r="H7" s="117">
        <v>363428.16202039085</v>
      </c>
      <c r="I7" s="117">
        <v>380408.93326195487</v>
      </c>
      <c r="J7" s="117">
        <v>356399.13188662275</v>
      </c>
      <c r="K7" s="117">
        <v>372620.93646319874</v>
      </c>
      <c r="L7" s="118">
        <f>SUM(H7:K7)</f>
        <v>1472857.163632167</v>
      </c>
      <c r="M7" s="117">
        <v>435178.92439298524</v>
      </c>
      <c r="N7" s="117">
        <v>375477.21229234047</v>
      </c>
      <c r="O7" s="117">
        <v>410314.94054789108</v>
      </c>
      <c r="P7" s="117">
        <v>463585.47318609315</v>
      </c>
      <c r="Q7" s="118">
        <f>SUM(M7:P7)</f>
        <v>1684556.5504193099</v>
      </c>
      <c r="R7" s="117">
        <v>447499.07085686206</v>
      </c>
      <c r="S7" s="117">
        <v>443928.21781320474</v>
      </c>
      <c r="T7" s="117">
        <v>497274.04422084999</v>
      </c>
      <c r="U7" s="117">
        <v>374882.13236149336</v>
      </c>
      <c r="V7" s="118">
        <f>SUM(R7:U7)</f>
        <v>1763583.4652524099</v>
      </c>
      <c r="W7" s="117">
        <v>472999.15802340291</v>
      </c>
      <c r="X7" s="117">
        <v>443355.76378291484</v>
      </c>
      <c r="Y7" s="117">
        <v>635864.27365499991</v>
      </c>
      <c r="Z7" s="117">
        <v>539882.5192331532</v>
      </c>
      <c r="AA7" s="118">
        <f>SUM(W7:Z7)</f>
        <v>2092101.7146944709</v>
      </c>
      <c r="AB7" s="117">
        <v>496488.51130000001</v>
      </c>
      <c r="AC7" s="117">
        <v>512782.96380000003</v>
      </c>
      <c r="AD7" s="117">
        <v>632880.05135000008</v>
      </c>
      <c r="AE7" s="117">
        <v>719861.62354000006</v>
      </c>
      <c r="AF7" s="118">
        <v>2362013.1499900003</v>
      </c>
      <c r="AG7" s="117">
        <v>829059</v>
      </c>
      <c r="AH7" s="117">
        <v>881570.42999999993</v>
      </c>
      <c r="AI7" s="117">
        <v>1428952.3149999999</v>
      </c>
      <c r="AJ7" s="117">
        <v>542107</v>
      </c>
      <c r="AK7" s="118">
        <v>3681688.7450000001</v>
      </c>
      <c r="AL7" s="117">
        <v>1060874</v>
      </c>
      <c r="AM7" s="117">
        <v>1132504</v>
      </c>
      <c r="AN7" s="117">
        <v>1260640</v>
      </c>
      <c r="AO7" s="117">
        <v>1210003</v>
      </c>
      <c r="AP7" s="118">
        <v>4664021</v>
      </c>
      <c r="AQ7" s="117">
        <f t="shared" ref="AQ7:AW7" si="0">AQ8+AQ18+AQ26</f>
        <v>1181186.36879</v>
      </c>
      <c r="AR7" s="117">
        <f t="shared" si="0"/>
        <v>959472</v>
      </c>
      <c r="AS7" s="117">
        <f t="shared" si="0"/>
        <v>1335536</v>
      </c>
      <c r="AT7" s="117">
        <f t="shared" si="0"/>
        <v>1537158</v>
      </c>
      <c r="AU7" s="118">
        <f t="shared" ref="AU7:AU38" si="1">SUM(AQ7:AT7)</f>
        <v>5013352.3687899997</v>
      </c>
      <c r="AV7" s="117">
        <f t="shared" si="0"/>
        <v>1422442.9043199997</v>
      </c>
      <c r="AW7" s="117">
        <f t="shared" si="0"/>
        <v>1369163.0828399998</v>
      </c>
      <c r="AX7" s="117">
        <f>AX8+AX18+AX26</f>
        <v>1510582.5302300001</v>
      </c>
      <c r="AY7" s="117">
        <f>AY8+AY18+AY26</f>
        <v>1435080.5666400003</v>
      </c>
      <c r="AZ7" s="118">
        <f>SUM(AV7:AY7)</f>
        <v>5737269.0840300005</v>
      </c>
      <c r="BA7" s="160">
        <v>1531041</v>
      </c>
    </row>
    <row r="8" spans="1:73">
      <c r="A8" s="5"/>
      <c r="B8" s="5" t="s">
        <v>261</v>
      </c>
      <c r="C8" s="119">
        <v>218068.18025729267</v>
      </c>
      <c r="D8" s="119">
        <v>204924.82363717307</v>
      </c>
      <c r="E8" s="119">
        <v>218016.97780123501</v>
      </c>
      <c r="F8" s="119">
        <v>231474.28320796415</v>
      </c>
      <c r="G8" s="141">
        <f t="shared" ref="G8:G14" si="2">SUM(C8:F8)</f>
        <v>872484.26490366494</v>
      </c>
      <c r="H8" s="119">
        <v>225814.80685039086</v>
      </c>
      <c r="I8" s="119">
        <v>253499.91484195483</v>
      </c>
      <c r="J8" s="119">
        <v>223444.97083662279</v>
      </c>
      <c r="K8" s="119">
        <v>263613.12988319877</v>
      </c>
      <c r="L8" s="141">
        <f t="shared" ref="L8:L14" si="3">SUM(H8:K8)</f>
        <v>966372.82241216721</v>
      </c>
      <c r="M8" s="119">
        <v>232408.56226298524</v>
      </c>
      <c r="N8" s="119">
        <v>219542.65458234053</v>
      </c>
      <c r="O8" s="119">
        <v>257454.62589789109</v>
      </c>
      <c r="P8" s="119">
        <v>308738.47648609313</v>
      </c>
      <c r="Q8" s="141">
        <f t="shared" ref="Q8:Q14" si="4">SUM(M8:P8)</f>
        <v>1018144.31922931</v>
      </c>
      <c r="R8" s="119">
        <v>265590.93042686209</v>
      </c>
      <c r="S8" s="119">
        <v>259512.84920320474</v>
      </c>
      <c r="T8" s="119">
        <v>304987.43214085</v>
      </c>
      <c r="U8" s="119">
        <v>287160.05994149332</v>
      </c>
      <c r="V8" s="141">
        <f t="shared" ref="V8:V14" si="5">SUM(R8:U8)</f>
        <v>1117251.2717124103</v>
      </c>
      <c r="W8" s="119">
        <v>299932.46758340293</v>
      </c>
      <c r="X8" s="119">
        <v>286275.38978291483</v>
      </c>
      <c r="Y8" s="119">
        <v>309163.23565499991</v>
      </c>
      <c r="Z8" s="119">
        <v>302040.74950315332</v>
      </c>
      <c r="AA8" s="141">
        <f t="shared" ref="AA8:AA14" si="6">SUM(W8:Z8)</f>
        <v>1197411.842524471</v>
      </c>
      <c r="AB8" s="119">
        <v>301546.54121</v>
      </c>
      <c r="AC8" s="119">
        <v>298520.54684000002</v>
      </c>
      <c r="AD8" s="119">
        <v>278990.35178999999</v>
      </c>
      <c r="AE8" s="119">
        <v>359096.59004000004</v>
      </c>
      <c r="AF8" s="141">
        <v>1238154.02988</v>
      </c>
      <c r="AG8" s="119">
        <v>502068</v>
      </c>
      <c r="AH8" s="119">
        <v>470768.43</v>
      </c>
      <c r="AI8" s="119">
        <v>895825.31499999994</v>
      </c>
      <c r="AJ8" s="119">
        <v>125587</v>
      </c>
      <c r="AK8" s="141">
        <v>1994248.7449999999</v>
      </c>
      <c r="AL8" s="119">
        <v>587373</v>
      </c>
      <c r="AM8" s="119">
        <v>651547</v>
      </c>
      <c r="AN8" s="119">
        <v>749785</v>
      </c>
      <c r="AO8" s="119">
        <v>680746</v>
      </c>
      <c r="AP8" s="141">
        <v>2669451</v>
      </c>
      <c r="AQ8" s="119">
        <f>SUM(AQ9:AQ17)</f>
        <v>638011.36878999998</v>
      </c>
      <c r="AR8" s="119">
        <f t="shared" ref="AR8:AT8" si="7">SUM(AR9:AR17)</f>
        <v>414164</v>
      </c>
      <c r="AS8" s="119">
        <f t="shared" si="7"/>
        <v>762395</v>
      </c>
      <c r="AT8" s="119">
        <f t="shared" si="7"/>
        <v>868767</v>
      </c>
      <c r="AU8" s="141">
        <f t="shared" si="1"/>
        <v>2683337.3687899997</v>
      </c>
      <c r="AV8" s="119">
        <f>SUM(AV9:AV17)</f>
        <v>807865.96510999987</v>
      </c>
      <c r="AW8" s="119">
        <f t="shared" ref="AW8:BA8" si="8">SUM(AW9:AW17)</f>
        <v>784029.49200999993</v>
      </c>
      <c r="AX8" s="119">
        <f t="shared" si="8"/>
        <v>875493.50117000006</v>
      </c>
      <c r="AY8" s="119">
        <f t="shared" si="8"/>
        <v>812525.4988200001</v>
      </c>
      <c r="AZ8" s="141">
        <f>SUM(AV8:AY8)</f>
        <v>3279914.4571099998</v>
      </c>
      <c r="BA8" s="119">
        <f t="shared" si="8"/>
        <v>910353.75934999995</v>
      </c>
    </row>
    <row r="9" spans="1:73">
      <c r="A9" s="11"/>
      <c r="B9" s="11" t="s">
        <v>262</v>
      </c>
      <c r="C9" s="120">
        <v>205928.60085017027</v>
      </c>
      <c r="D9" s="120">
        <v>193301.22333676607</v>
      </c>
      <c r="E9" s="120">
        <v>208700.72586123503</v>
      </c>
      <c r="F9" s="120">
        <v>236010.46787549357</v>
      </c>
      <c r="G9" s="142">
        <f t="shared" si="2"/>
        <v>843941.017923665</v>
      </c>
      <c r="H9" s="120">
        <v>214028.75715039085</v>
      </c>
      <c r="I9" s="120">
        <v>243694.72966195483</v>
      </c>
      <c r="J9" s="120">
        <v>213268.78855662278</v>
      </c>
      <c r="K9" s="120">
        <v>242113.22219319872</v>
      </c>
      <c r="L9" s="142">
        <f t="shared" si="3"/>
        <v>913105.49756216723</v>
      </c>
      <c r="M9" s="120">
        <v>216667.09510298524</v>
      </c>
      <c r="N9" s="120">
        <v>209048.60740234054</v>
      </c>
      <c r="O9" s="120">
        <v>245748.8221778911</v>
      </c>
      <c r="P9" s="120">
        <v>288835.23492609314</v>
      </c>
      <c r="Q9" s="142">
        <f t="shared" si="4"/>
        <v>960299.75960930996</v>
      </c>
      <c r="R9" s="120">
        <v>252704.55294686207</v>
      </c>
      <c r="S9" s="120">
        <v>242710.97243320473</v>
      </c>
      <c r="T9" s="120">
        <v>286877.93122084998</v>
      </c>
      <c r="U9" s="120">
        <v>253995.77302149331</v>
      </c>
      <c r="V9" s="142">
        <f t="shared" si="5"/>
        <v>1036289.2296224101</v>
      </c>
      <c r="W9" s="120">
        <v>288437.10982340295</v>
      </c>
      <c r="X9" s="120">
        <v>272412.71835291485</v>
      </c>
      <c r="Y9" s="120">
        <v>296666.25223499991</v>
      </c>
      <c r="Z9" s="120">
        <v>276811.38236315333</v>
      </c>
      <c r="AA9" s="142">
        <f t="shared" si="6"/>
        <v>1134327.4627744709</v>
      </c>
      <c r="AB9" s="120">
        <v>102353.31213999999</v>
      </c>
      <c r="AC9" s="120">
        <v>97747.342810000002</v>
      </c>
      <c r="AD9" s="120">
        <v>70903.211729999995</v>
      </c>
      <c r="AE9" s="120">
        <v>104435.68768</v>
      </c>
      <c r="AF9" s="142">
        <v>375439.55435999995</v>
      </c>
      <c r="AG9" s="120">
        <v>134800</v>
      </c>
      <c r="AH9" s="120">
        <v>144887.43</v>
      </c>
      <c r="AI9" s="120">
        <v>149639.315</v>
      </c>
      <c r="AJ9" s="120">
        <v>159708</v>
      </c>
      <c r="AK9" s="142">
        <v>589034.745</v>
      </c>
      <c r="AL9" s="120">
        <v>108357</v>
      </c>
      <c r="AM9" s="120">
        <v>160720</v>
      </c>
      <c r="AN9" s="120">
        <v>259061</v>
      </c>
      <c r="AO9" s="120">
        <v>36331</v>
      </c>
      <c r="AP9" s="142">
        <v>564469</v>
      </c>
      <c r="AQ9" s="120">
        <v>119136</v>
      </c>
      <c r="AR9" s="120">
        <v>102905</v>
      </c>
      <c r="AS9" s="120">
        <v>140388</v>
      </c>
      <c r="AT9" s="120">
        <v>102378</v>
      </c>
      <c r="AU9" s="142">
        <f t="shared" si="1"/>
        <v>464807</v>
      </c>
      <c r="AV9" s="120">
        <v>111665.91124</v>
      </c>
      <c r="AW9" s="120">
        <v>111479.48836000002</v>
      </c>
      <c r="AX9" s="120">
        <v>120205.49446</v>
      </c>
      <c r="AY9" s="120">
        <v>85431.12606000001</v>
      </c>
      <c r="AZ9" s="142">
        <f>SUM(AV9:AY9)</f>
        <v>428782.02012</v>
      </c>
      <c r="BA9" s="120">
        <v>112029</v>
      </c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</row>
    <row r="10" spans="1:73">
      <c r="A10" s="11"/>
      <c r="B10" s="11" t="s">
        <v>263</v>
      </c>
      <c r="C10" s="120">
        <v>0</v>
      </c>
      <c r="D10" s="120">
        <v>0</v>
      </c>
      <c r="E10" s="120">
        <v>0</v>
      </c>
      <c r="F10" s="120">
        <v>0</v>
      </c>
      <c r="G10" s="142">
        <f t="shared" si="2"/>
        <v>0</v>
      </c>
      <c r="H10" s="120">
        <v>0</v>
      </c>
      <c r="I10" s="120">
        <v>0</v>
      </c>
      <c r="J10" s="120">
        <v>0</v>
      </c>
      <c r="K10" s="120">
        <v>0</v>
      </c>
      <c r="L10" s="142">
        <f t="shared" si="3"/>
        <v>0</v>
      </c>
      <c r="M10" s="120">
        <v>0</v>
      </c>
      <c r="N10" s="120">
        <v>0</v>
      </c>
      <c r="O10" s="120">
        <v>0</v>
      </c>
      <c r="P10" s="120">
        <v>0</v>
      </c>
      <c r="Q10" s="142">
        <f t="shared" si="4"/>
        <v>0</v>
      </c>
      <c r="R10" s="120">
        <v>0</v>
      </c>
      <c r="S10" s="120">
        <v>0</v>
      </c>
      <c r="T10" s="120">
        <v>0</v>
      </c>
      <c r="U10" s="120">
        <v>0</v>
      </c>
      <c r="V10" s="142">
        <f t="shared" si="5"/>
        <v>0</v>
      </c>
      <c r="W10" s="120">
        <v>0</v>
      </c>
      <c r="X10" s="120">
        <v>0</v>
      </c>
      <c r="Y10" s="120">
        <v>55.539000000000001</v>
      </c>
      <c r="Z10" s="120">
        <v>442.16998000000001</v>
      </c>
      <c r="AA10" s="142">
        <f t="shared" si="6"/>
        <v>497.70898</v>
      </c>
      <c r="AB10" s="120">
        <v>207267.38247000001</v>
      </c>
      <c r="AC10" s="120">
        <v>204071.52911999996</v>
      </c>
      <c r="AD10" s="120">
        <v>200938.49518999999</v>
      </c>
      <c r="AE10" s="120">
        <v>224796.31309000004</v>
      </c>
      <c r="AF10" s="142">
        <v>837073.71987000003</v>
      </c>
      <c r="AG10" s="120">
        <v>321638</v>
      </c>
      <c r="AH10" s="120">
        <v>265571</v>
      </c>
      <c r="AI10" s="120">
        <v>617288</v>
      </c>
      <c r="AJ10" s="120">
        <v>-105763</v>
      </c>
      <c r="AK10" s="142">
        <v>1098734</v>
      </c>
      <c r="AL10" s="120">
        <v>287194</v>
      </c>
      <c r="AM10" s="120">
        <v>235622</v>
      </c>
      <c r="AN10" s="120">
        <v>296947</v>
      </c>
      <c r="AO10" s="120">
        <v>401071</v>
      </c>
      <c r="AP10" s="142">
        <v>1220834</v>
      </c>
      <c r="AQ10" s="120">
        <v>330547</v>
      </c>
      <c r="AR10" s="120">
        <v>179053</v>
      </c>
      <c r="AS10" s="120">
        <v>333632</v>
      </c>
      <c r="AT10" s="120">
        <v>353888</v>
      </c>
      <c r="AU10" s="142">
        <f t="shared" si="1"/>
        <v>1197120</v>
      </c>
      <c r="AV10" s="120">
        <v>355000.11082999996</v>
      </c>
      <c r="AW10" s="120">
        <v>341869.27604999993</v>
      </c>
      <c r="AX10" s="120">
        <v>369853.37656999991</v>
      </c>
      <c r="AY10" s="120">
        <v>430808.83933999995</v>
      </c>
      <c r="AZ10" s="142">
        <f t="shared" ref="AZ10:AZ16" si="9">SUM(AV10:AY10)</f>
        <v>1497531.6027899997</v>
      </c>
      <c r="BA10" s="120">
        <v>364315.06333999999</v>
      </c>
    </row>
    <row r="11" spans="1:73" s="20" customFormat="1">
      <c r="A11" s="538"/>
      <c r="B11" s="11" t="s">
        <v>264</v>
      </c>
      <c r="C11" s="554">
        <v>0</v>
      </c>
      <c r="D11" s="554">
        <v>0</v>
      </c>
      <c r="E11" s="554">
        <v>0</v>
      </c>
      <c r="F11" s="554">
        <v>0</v>
      </c>
      <c r="G11" s="555">
        <f t="shared" si="2"/>
        <v>0</v>
      </c>
      <c r="H11" s="554">
        <v>0</v>
      </c>
      <c r="I11" s="554">
        <v>0</v>
      </c>
      <c r="J11" s="554">
        <v>0</v>
      </c>
      <c r="K11" s="554">
        <v>0</v>
      </c>
      <c r="L11" s="555">
        <f t="shared" si="3"/>
        <v>0</v>
      </c>
      <c r="M11" s="554">
        <v>0</v>
      </c>
      <c r="N11" s="554">
        <v>0</v>
      </c>
      <c r="O11" s="554">
        <v>0</v>
      </c>
      <c r="P11" s="554">
        <v>0</v>
      </c>
      <c r="Q11" s="555">
        <f t="shared" si="4"/>
        <v>0</v>
      </c>
      <c r="R11" s="554">
        <v>0</v>
      </c>
      <c r="S11" s="554">
        <v>0</v>
      </c>
      <c r="T11" s="554">
        <v>0</v>
      </c>
      <c r="U11" s="554">
        <v>0</v>
      </c>
      <c r="V11" s="555">
        <f t="shared" si="5"/>
        <v>0</v>
      </c>
      <c r="W11" s="554">
        <v>0</v>
      </c>
      <c r="X11" s="554">
        <v>0</v>
      </c>
      <c r="Y11" s="554">
        <v>0</v>
      </c>
      <c r="Z11" s="554">
        <v>0</v>
      </c>
      <c r="AA11" s="555">
        <f t="shared" si="6"/>
        <v>0</v>
      </c>
      <c r="AB11" s="554">
        <v>-26142.165929999999</v>
      </c>
      <c r="AC11" s="554">
        <v>-15890.276810000003</v>
      </c>
      <c r="AD11" s="554">
        <v>-1194.7964500000016</v>
      </c>
      <c r="AE11" s="554">
        <v>9820.5491499999989</v>
      </c>
      <c r="AF11" s="555">
        <v>-33406.690040000001</v>
      </c>
      <c r="AG11" s="554">
        <v>24410</v>
      </c>
      <c r="AH11" s="554">
        <v>27383</v>
      </c>
      <c r="AI11" s="554">
        <v>57214</v>
      </c>
      <c r="AJ11" s="554">
        <v>-7244</v>
      </c>
      <c r="AK11" s="555">
        <v>101763</v>
      </c>
      <c r="AL11" s="554">
        <v>97220</v>
      </c>
      <c r="AM11" s="554">
        <v>162995</v>
      </c>
      <c r="AN11" s="554">
        <v>83391</v>
      </c>
      <c r="AO11" s="554">
        <v>119936</v>
      </c>
      <c r="AP11" s="555">
        <v>463542</v>
      </c>
      <c r="AQ11" s="120">
        <v>53833.36879</v>
      </c>
      <c r="AR11" s="120">
        <v>-2367</v>
      </c>
      <c r="AS11" s="120">
        <v>131294</v>
      </c>
      <c r="AT11" s="120">
        <v>245681</v>
      </c>
      <c r="AU11" s="555">
        <f t="shared" si="1"/>
        <v>428441.36878999998</v>
      </c>
      <c r="AV11" s="120">
        <v>166099.04884</v>
      </c>
      <c r="AW11" s="120">
        <v>138673.24047999998</v>
      </c>
      <c r="AX11" s="120">
        <v>169852.36584000007</v>
      </c>
      <c r="AY11" s="120">
        <v>115100.59363999999</v>
      </c>
      <c r="AZ11" s="555">
        <f t="shared" si="9"/>
        <v>589725.24880000006</v>
      </c>
      <c r="BA11" s="120">
        <v>212643.17660000001</v>
      </c>
    </row>
    <row r="12" spans="1:73" s="20" customFormat="1">
      <c r="A12" s="538"/>
      <c r="B12" s="11" t="s">
        <v>265</v>
      </c>
      <c r="C12" s="554">
        <v>0</v>
      </c>
      <c r="D12" s="554">
        <v>0</v>
      </c>
      <c r="E12" s="554">
        <v>0</v>
      </c>
      <c r="F12" s="554">
        <v>0</v>
      </c>
      <c r="G12" s="555">
        <f t="shared" si="2"/>
        <v>0</v>
      </c>
      <c r="H12" s="554">
        <v>0</v>
      </c>
      <c r="I12" s="554">
        <v>0</v>
      </c>
      <c r="J12" s="554">
        <v>0</v>
      </c>
      <c r="K12" s="554">
        <v>0</v>
      </c>
      <c r="L12" s="555">
        <f t="shared" si="3"/>
        <v>0</v>
      </c>
      <c r="M12" s="554">
        <v>0</v>
      </c>
      <c r="N12" s="554">
        <v>0</v>
      </c>
      <c r="O12" s="554">
        <v>0</v>
      </c>
      <c r="P12" s="554">
        <v>0</v>
      </c>
      <c r="Q12" s="555">
        <f t="shared" si="4"/>
        <v>0</v>
      </c>
      <c r="R12" s="554">
        <v>0</v>
      </c>
      <c r="S12" s="554">
        <v>0</v>
      </c>
      <c r="T12" s="554">
        <v>0</v>
      </c>
      <c r="U12" s="554">
        <v>0</v>
      </c>
      <c r="V12" s="555">
        <f t="shared" si="5"/>
        <v>0</v>
      </c>
      <c r="W12" s="554">
        <v>0</v>
      </c>
      <c r="X12" s="554">
        <v>0</v>
      </c>
      <c r="Y12" s="554">
        <v>0</v>
      </c>
      <c r="Z12" s="554">
        <v>0</v>
      </c>
      <c r="AA12" s="555">
        <f t="shared" si="6"/>
        <v>0</v>
      </c>
      <c r="AB12" s="554">
        <v>30.243200000000002</v>
      </c>
      <c r="AC12" s="554">
        <v>-703.26945999999998</v>
      </c>
      <c r="AD12" s="554">
        <v>2635.4137600000004</v>
      </c>
      <c r="AE12" s="554">
        <v>1172.3518700000004</v>
      </c>
      <c r="AF12" s="555">
        <v>3134.7393700000007</v>
      </c>
      <c r="AG12" s="554">
        <v>11614</v>
      </c>
      <c r="AH12" s="554">
        <v>14022</v>
      </c>
      <c r="AI12" s="554">
        <v>27860</v>
      </c>
      <c r="AJ12" s="554">
        <v>23730</v>
      </c>
      <c r="AK12" s="555">
        <v>77226</v>
      </c>
      <c r="AL12" s="554">
        <v>31345</v>
      </c>
      <c r="AM12" s="554">
        <v>26555</v>
      </c>
      <c r="AN12" s="554">
        <v>33691</v>
      </c>
      <c r="AO12" s="554">
        <v>34448</v>
      </c>
      <c r="AP12" s="555">
        <v>126039</v>
      </c>
      <c r="AQ12" s="120">
        <v>36643</v>
      </c>
      <c r="AR12" s="120">
        <v>37166</v>
      </c>
      <c r="AS12" s="120">
        <v>38392</v>
      </c>
      <c r="AT12" s="120">
        <v>42348</v>
      </c>
      <c r="AU12" s="555">
        <f t="shared" si="1"/>
        <v>154549</v>
      </c>
      <c r="AV12" s="120">
        <v>51663.607490000002</v>
      </c>
      <c r="AW12" s="120">
        <v>47591.004400000005</v>
      </c>
      <c r="AX12" s="120">
        <v>52132.567650000012</v>
      </c>
      <c r="AY12" s="120">
        <v>51181.920330000015</v>
      </c>
      <c r="AZ12" s="555">
        <f t="shared" si="9"/>
        <v>202569.09987000003</v>
      </c>
      <c r="BA12" s="120">
        <v>60969.213029999999</v>
      </c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</row>
    <row r="13" spans="1:73" s="20" customFormat="1">
      <c r="A13" s="538"/>
      <c r="B13" s="11" t="s">
        <v>266</v>
      </c>
      <c r="C13" s="554">
        <v>0</v>
      </c>
      <c r="D13" s="554">
        <v>0</v>
      </c>
      <c r="E13" s="554">
        <v>0</v>
      </c>
      <c r="F13" s="554">
        <v>0</v>
      </c>
      <c r="G13" s="555">
        <f t="shared" si="2"/>
        <v>0</v>
      </c>
      <c r="H13" s="554">
        <v>0</v>
      </c>
      <c r="I13" s="554">
        <v>0</v>
      </c>
      <c r="J13" s="554">
        <v>0</v>
      </c>
      <c r="K13" s="554">
        <v>0</v>
      </c>
      <c r="L13" s="555">
        <f t="shared" si="3"/>
        <v>0</v>
      </c>
      <c r="M13" s="554">
        <v>0</v>
      </c>
      <c r="N13" s="554">
        <v>0</v>
      </c>
      <c r="O13" s="554">
        <v>0</v>
      </c>
      <c r="P13" s="554">
        <v>0</v>
      </c>
      <c r="Q13" s="555">
        <f t="shared" si="4"/>
        <v>0</v>
      </c>
      <c r="R13" s="554">
        <v>0</v>
      </c>
      <c r="S13" s="554">
        <v>0</v>
      </c>
      <c r="T13" s="554">
        <v>0</v>
      </c>
      <c r="U13" s="554">
        <v>0</v>
      </c>
      <c r="V13" s="555">
        <f t="shared" si="5"/>
        <v>0</v>
      </c>
      <c r="W13" s="554">
        <v>0</v>
      </c>
      <c r="X13" s="554">
        <v>0</v>
      </c>
      <c r="Y13" s="554">
        <v>0</v>
      </c>
      <c r="Z13" s="554">
        <v>0</v>
      </c>
      <c r="AA13" s="555">
        <f t="shared" si="6"/>
        <v>0</v>
      </c>
      <c r="AB13" s="554">
        <v>0</v>
      </c>
      <c r="AC13" s="554">
        <v>-1111.2993100000001</v>
      </c>
      <c r="AD13" s="554">
        <v>-1499.4540499999996</v>
      </c>
      <c r="AE13" s="554">
        <v>-3068.3097600000001</v>
      </c>
      <c r="AF13" s="555">
        <v>-5679.0631199999998</v>
      </c>
      <c r="AG13" s="554">
        <v>-1990</v>
      </c>
      <c r="AH13" s="554">
        <v>-1578</v>
      </c>
      <c r="AI13" s="554">
        <v>2245</v>
      </c>
      <c r="AJ13" s="554">
        <v>19722</v>
      </c>
      <c r="AK13" s="555">
        <v>18399</v>
      </c>
      <c r="AL13" s="554">
        <v>13978</v>
      </c>
      <c r="AM13" s="554">
        <v>18672</v>
      </c>
      <c r="AN13" s="554">
        <v>24969</v>
      </c>
      <c r="AO13" s="554">
        <v>33686</v>
      </c>
      <c r="AP13" s="555">
        <v>91305</v>
      </c>
      <c r="AQ13" s="120">
        <v>36302</v>
      </c>
      <c r="AR13" s="120">
        <v>41919</v>
      </c>
      <c r="AS13" s="120">
        <v>52098</v>
      </c>
      <c r="AT13" s="120">
        <v>40153</v>
      </c>
      <c r="AU13" s="555">
        <f t="shared" si="1"/>
        <v>170472</v>
      </c>
      <c r="AV13" s="120">
        <v>53691.729759999995</v>
      </c>
      <c r="AW13" s="120">
        <v>72541.702689999991</v>
      </c>
      <c r="AX13" s="120">
        <v>72866.110220000002</v>
      </c>
      <c r="AY13" s="120">
        <v>61477.365250000003</v>
      </c>
      <c r="AZ13" s="555">
        <f t="shared" si="9"/>
        <v>260576.90792</v>
      </c>
      <c r="BA13" s="120">
        <v>61259.506780000003</v>
      </c>
    </row>
    <row r="14" spans="1:73" s="20" customFormat="1">
      <c r="A14" s="538"/>
      <c r="B14" s="11" t="s">
        <v>268</v>
      </c>
      <c r="C14" s="554">
        <v>0</v>
      </c>
      <c r="D14" s="554">
        <v>0</v>
      </c>
      <c r="E14" s="554">
        <v>0</v>
      </c>
      <c r="F14" s="554">
        <v>0</v>
      </c>
      <c r="G14" s="555">
        <f t="shared" si="2"/>
        <v>0</v>
      </c>
      <c r="H14" s="554">
        <v>0</v>
      </c>
      <c r="I14" s="554">
        <v>0</v>
      </c>
      <c r="J14" s="554">
        <v>0</v>
      </c>
      <c r="K14" s="554">
        <v>0</v>
      </c>
      <c r="L14" s="555">
        <f t="shared" si="3"/>
        <v>0</v>
      </c>
      <c r="M14" s="554">
        <v>0</v>
      </c>
      <c r="N14" s="554">
        <v>0</v>
      </c>
      <c r="O14" s="554">
        <v>0</v>
      </c>
      <c r="P14" s="554">
        <v>0</v>
      </c>
      <c r="Q14" s="555">
        <f t="shared" si="4"/>
        <v>0</v>
      </c>
      <c r="R14" s="554">
        <v>0</v>
      </c>
      <c r="S14" s="554">
        <v>0</v>
      </c>
      <c r="T14" s="554">
        <v>0</v>
      </c>
      <c r="U14" s="554">
        <v>0</v>
      </c>
      <c r="V14" s="555">
        <f t="shared" si="5"/>
        <v>0</v>
      </c>
      <c r="W14" s="554">
        <v>0</v>
      </c>
      <c r="X14" s="554">
        <v>0</v>
      </c>
      <c r="Y14" s="554">
        <v>0</v>
      </c>
      <c r="Z14" s="554">
        <v>0</v>
      </c>
      <c r="AA14" s="555">
        <f t="shared" si="6"/>
        <v>0</v>
      </c>
      <c r="AB14" s="554">
        <v>-124.48341000000001</v>
      </c>
      <c r="AC14" s="554">
        <v>-265.90536000000003</v>
      </c>
      <c r="AD14" s="554">
        <v>-633.96879999999987</v>
      </c>
      <c r="AE14" s="554">
        <v>-952.80201000000011</v>
      </c>
      <c r="AF14" s="555">
        <v>-1977.15958</v>
      </c>
      <c r="AG14" s="554">
        <v>-73</v>
      </c>
      <c r="AH14" s="554">
        <v>249</v>
      </c>
      <c r="AI14" s="554">
        <v>1017</v>
      </c>
      <c r="AJ14" s="554">
        <v>2223</v>
      </c>
      <c r="AK14" s="555">
        <v>3416</v>
      </c>
      <c r="AL14" s="554">
        <v>2666</v>
      </c>
      <c r="AM14" s="554">
        <v>4531</v>
      </c>
      <c r="AN14" s="554">
        <v>5196</v>
      </c>
      <c r="AO14" s="554">
        <v>5236</v>
      </c>
      <c r="AP14" s="555">
        <v>17629</v>
      </c>
      <c r="AQ14" s="120">
        <v>5161</v>
      </c>
      <c r="AR14" s="120">
        <v>4121</v>
      </c>
      <c r="AS14" s="120">
        <v>5634</v>
      </c>
      <c r="AT14" s="120">
        <v>8321</v>
      </c>
      <c r="AU14" s="555">
        <f t="shared" si="1"/>
        <v>23237</v>
      </c>
      <c r="AV14" s="120">
        <v>8415.2405299999991</v>
      </c>
      <c r="AW14" s="120">
        <v>9807.4060399999998</v>
      </c>
      <c r="AX14" s="120">
        <v>11274.421759999999</v>
      </c>
      <c r="AY14" s="120">
        <v>7647.4294600000003</v>
      </c>
      <c r="AZ14" s="555">
        <f t="shared" si="9"/>
        <v>37144.497789999994</v>
      </c>
      <c r="BA14" s="120">
        <v>7113.7056600000005</v>
      </c>
    </row>
    <row r="15" spans="1:73" s="20" customFormat="1">
      <c r="A15" s="538"/>
      <c r="B15" s="11" t="s">
        <v>269</v>
      </c>
      <c r="C15" s="554">
        <v>10879.326935822401</v>
      </c>
      <c r="D15" s="554">
        <v>10156.355570207003</v>
      </c>
      <c r="E15" s="554">
        <v>8493.8030399999989</v>
      </c>
      <c r="F15" s="554">
        <v>-4734.9436560294043</v>
      </c>
      <c r="G15" s="555">
        <f>SUM(C15:F15)</f>
        <v>24794.541889999997</v>
      </c>
      <c r="H15" s="554">
        <v>9884.6331099999989</v>
      </c>
      <c r="I15" s="554">
        <v>8570.1071700000011</v>
      </c>
      <c r="J15" s="554">
        <v>9116.4090699999997</v>
      </c>
      <c r="K15" s="554">
        <v>20355.676689999997</v>
      </c>
      <c r="L15" s="555">
        <f>SUM(H15:K15)</f>
        <v>47926.82604</v>
      </c>
      <c r="M15" s="554">
        <v>14238.89248</v>
      </c>
      <c r="N15" s="554">
        <v>9331.6300500000016</v>
      </c>
      <c r="O15" s="554">
        <v>10434.51382</v>
      </c>
      <c r="P15" s="554">
        <v>18606.603039999991</v>
      </c>
      <c r="Q15" s="555">
        <f>SUM(M15:P15)</f>
        <v>52611.639389999997</v>
      </c>
      <c r="R15" s="554">
        <v>11259.94118</v>
      </c>
      <c r="S15" s="554">
        <v>9930.3495700000003</v>
      </c>
      <c r="T15" s="554">
        <v>10077.425780000001</v>
      </c>
      <c r="U15" s="554">
        <v>23188.290009999997</v>
      </c>
      <c r="V15" s="555">
        <f>SUM(R15:U15)</f>
        <v>54456.006540000002</v>
      </c>
      <c r="W15" s="554">
        <v>6992.8752500000001</v>
      </c>
      <c r="X15" s="554">
        <v>10779.93607</v>
      </c>
      <c r="Y15" s="554">
        <v>7565.497739999998</v>
      </c>
      <c r="Z15" s="554">
        <v>17143.477029999998</v>
      </c>
      <c r="AA15" s="555">
        <f>SUM(W15:Z15)</f>
        <v>42481.786089999994</v>
      </c>
      <c r="AB15" s="554">
        <v>11128.263289999999</v>
      </c>
      <c r="AC15" s="554">
        <v>8173.9680500000004</v>
      </c>
      <c r="AD15" s="554">
        <v>3266.4812700000002</v>
      </c>
      <c r="AE15" s="554">
        <v>17534.295980000003</v>
      </c>
      <c r="AF15" s="555">
        <v>40103.008589999998</v>
      </c>
      <c r="AG15" s="554">
        <v>6766</v>
      </c>
      <c r="AH15" s="554">
        <v>14697</v>
      </c>
      <c r="AI15" s="554">
        <v>34416</v>
      </c>
      <c r="AJ15" s="554">
        <v>43298</v>
      </c>
      <c r="AK15" s="555">
        <v>99177</v>
      </c>
      <c r="AL15" s="554">
        <v>39460</v>
      </c>
      <c r="AM15" s="554">
        <v>35861</v>
      </c>
      <c r="AN15" s="554">
        <v>39746</v>
      </c>
      <c r="AO15" s="554">
        <v>40861</v>
      </c>
      <c r="AP15" s="555">
        <v>155928</v>
      </c>
      <c r="AQ15" s="120">
        <v>47569</v>
      </c>
      <c r="AR15" s="120">
        <v>46955</v>
      </c>
      <c r="AS15" s="120">
        <v>56604</v>
      </c>
      <c r="AT15" s="120">
        <v>71459</v>
      </c>
      <c r="AU15" s="555">
        <f t="shared" si="1"/>
        <v>222587</v>
      </c>
      <c r="AV15" s="120">
        <v>55736.812450000005</v>
      </c>
      <c r="AW15" s="120">
        <v>55868.643829999986</v>
      </c>
      <c r="AX15" s="120">
        <v>72842.663050000003</v>
      </c>
      <c r="AY15" s="120">
        <v>52554.185720000016</v>
      </c>
      <c r="AZ15" s="555">
        <f t="shared" si="9"/>
        <v>237002.30505</v>
      </c>
      <c r="BA15" s="120">
        <v>84963.364799999996</v>
      </c>
    </row>
    <row r="16" spans="1:73" s="20" customFormat="1">
      <c r="A16" s="538"/>
      <c r="B16" s="538" t="s">
        <v>270</v>
      </c>
      <c r="C16" s="554">
        <v>1260.2524713</v>
      </c>
      <c r="D16" s="554">
        <v>1467.2447302</v>
      </c>
      <c r="E16" s="554">
        <v>822.44889999999987</v>
      </c>
      <c r="F16" s="554">
        <v>198.75898850000044</v>
      </c>
      <c r="G16" s="555">
        <f t="shared" ref="G16" si="10">SUM(C16:F16)</f>
        <v>3748.7050900000004</v>
      </c>
      <c r="H16" s="554">
        <v>1901.41659</v>
      </c>
      <c r="I16" s="554">
        <v>1235.0780099999999</v>
      </c>
      <c r="J16" s="554">
        <v>1059.7732099999996</v>
      </c>
      <c r="K16" s="554">
        <v>1144.231</v>
      </c>
      <c r="L16" s="555">
        <f t="shared" ref="L16" si="11">SUM(H16:K16)</f>
        <v>5340.4988099999991</v>
      </c>
      <c r="M16" s="554">
        <v>1502.5746799999999</v>
      </c>
      <c r="N16" s="554">
        <v>1162.41713</v>
      </c>
      <c r="O16" s="554">
        <v>1271.2899</v>
      </c>
      <c r="P16" s="554">
        <v>1296.6385199999995</v>
      </c>
      <c r="Q16" s="555">
        <f t="shared" ref="Q16" si="12">SUM(M16:P16)</f>
        <v>5232.9202299999997</v>
      </c>
      <c r="R16" s="554">
        <v>1626.4363000000001</v>
      </c>
      <c r="S16" s="554">
        <v>6871.5272000000004</v>
      </c>
      <c r="T16" s="554">
        <v>8032.0751400000008</v>
      </c>
      <c r="U16" s="554">
        <v>9975.9969099999998</v>
      </c>
      <c r="V16" s="555">
        <f t="shared" ref="V16" si="13">SUM(R16:U16)</f>
        <v>26506.035550000001</v>
      </c>
      <c r="W16" s="554">
        <v>4502.4825099999998</v>
      </c>
      <c r="X16" s="554">
        <v>3082.7353600000001</v>
      </c>
      <c r="Y16" s="554">
        <v>4875.9466800000009</v>
      </c>
      <c r="Z16" s="554">
        <v>7643.7201299999988</v>
      </c>
      <c r="AA16" s="555">
        <f t="shared" ref="AA16" si="14">SUM(W16:Z16)</f>
        <v>20104.884679999999</v>
      </c>
      <c r="AB16" s="554">
        <v>7033.98945</v>
      </c>
      <c r="AC16" s="554">
        <v>6498.4578000000001</v>
      </c>
      <c r="AD16" s="554">
        <v>4574.9691400000011</v>
      </c>
      <c r="AE16" s="554">
        <v>5358.5040399999989</v>
      </c>
      <c r="AF16" s="555">
        <v>23465.920430000002</v>
      </c>
      <c r="AG16" s="554">
        <v>4903</v>
      </c>
      <c r="AH16" s="554">
        <v>5537</v>
      </c>
      <c r="AI16" s="554">
        <v>6146</v>
      </c>
      <c r="AJ16" s="554">
        <v>6819</v>
      </c>
      <c r="AK16" s="555">
        <v>23405</v>
      </c>
      <c r="AL16" s="554">
        <v>7153</v>
      </c>
      <c r="AM16" s="554">
        <v>6591</v>
      </c>
      <c r="AN16" s="554">
        <v>6784</v>
      </c>
      <c r="AO16" s="554">
        <v>9177</v>
      </c>
      <c r="AP16" s="555">
        <v>29705</v>
      </c>
      <c r="AQ16" s="120">
        <v>8820</v>
      </c>
      <c r="AR16" s="120">
        <v>4412</v>
      </c>
      <c r="AS16" s="120">
        <v>4353</v>
      </c>
      <c r="AT16" s="120">
        <v>4539</v>
      </c>
      <c r="AU16" s="555">
        <f t="shared" si="1"/>
        <v>22124</v>
      </c>
      <c r="AV16" s="120">
        <v>5593.5039699999998</v>
      </c>
      <c r="AW16" s="120">
        <v>6198.7301600000001</v>
      </c>
      <c r="AX16" s="120">
        <v>6466.5016199999955</v>
      </c>
      <c r="AY16" s="120">
        <v>8324.0390200000038</v>
      </c>
      <c r="AZ16" s="555">
        <f t="shared" si="9"/>
        <v>26582.77477</v>
      </c>
      <c r="BA16" s="120">
        <v>7060.7291399999995</v>
      </c>
      <c r="BB16" s="738"/>
      <c r="BC16" s="738"/>
      <c r="BD16" s="738"/>
      <c r="BE16" s="738"/>
      <c r="BF16" s="738"/>
      <c r="BG16" s="738"/>
      <c r="BH16" s="738"/>
      <c r="BI16" s="738"/>
      <c r="BJ16" s="738"/>
      <c r="BK16" s="738"/>
      <c r="BL16" s="738"/>
      <c r="BM16" s="738"/>
      <c r="BN16" s="738"/>
      <c r="BO16" s="738"/>
      <c r="BP16" s="738"/>
      <c r="BQ16" s="738"/>
      <c r="BR16" s="738"/>
      <c r="BS16" s="738"/>
      <c r="BT16" s="738"/>
      <c r="BU16" s="738"/>
    </row>
    <row r="17" spans="1:73">
      <c r="A17" s="11"/>
      <c r="B17" s="11" t="s">
        <v>360</v>
      </c>
      <c r="C17" s="120"/>
      <c r="D17" s="120"/>
      <c r="E17" s="120"/>
      <c r="F17" s="120"/>
      <c r="G17" s="142">
        <f>SUM(C17:F17)</f>
        <v>0</v>
      </c>
      <c r="H17" s="120"/>
      <c r="I17" s="120"/>
      <c r="J17" s="120"/>
      <c r="K17" s="120"/>
      <c r="L17" s="142">
        <f>SUM(H17:K17)</f>
        <v>0</v>
      </c>
      <c r="M17" s="120"/>
      <c r="N17" s="120"/>
      <c r="O17" s="120"/>
      <c r="P17" s="120"/>
      <c r="Q17" s="142">
        <f>SUM(M17:P17)</f>
        <v>0</v>
      </c>
      <c r="R17" s="120"/>
      <c r="S17" s="120"/>
      <c r="T17" s="120"/>
      <c r="U17" s="120"/>
      <c r="V17" s="142">
        <f>SUM(R17:U17)</f>
        <v>0</v>
      </c>
      <c r="W17" s="120"/>
      <c r="X17" s="120"/>
      <c r="Y17" s="120"/>
      <c r="Z17" s="120"/>
      <c r="AA17" s="142">
        <f>SUM(W17:Z17)</f>
        <v>0</v>
      </c>
      <c r="AB17" s="120"/>
      <c r="AC17" s="120"/>
      <c r="AD17" s="120"/>
      <c r="AE17" s="120"/>
      <c r="AF17" s="142">
        <v>0</v>
      </c>
      <c r="AG17" s="120">
        <v>0</v>
      </c>
      <c r="AH17" s="120">
        <v>0</v>
      </c>
      <c r="AI17" s="120">
        <v>0</v>
      </c>
      <c r="AJ17" s="120">
        <v>-16906</v>
      </c>
      <c r="AK17" s="142">
        <v>-16906</v>
      </c>
      <c r="AL17" s="120">
        <v>0</v>
      </c>
      <c r="AM17" s="120">
        <v>0</v>
      </c>
      <c r="AN17" s="120">
        <v>0</v>
      </c>
      <c r="AO17" s="120">
        <v>0</v>
      </c>
      <c r="AP17" s="142">
        <v>0</v>
      </c>
      <c r="AQ17" s="120">
        <v>0</v>
      </c>
      <c r="AR17" s="120">
        <v>0</v>
      </c>
      <c r="AS17" s="120">
        <v>0</v>
      </c>
      <c r="AT17" s="120">
        <v>0</v>
      </c>
      <c r="AU17" s="142">
        <f t="shared" si="1"/>
        <v>0</v>
      </c>
      <c r="AV17" s="120">
        <v>0</v>
      </c>
      <c r="AW17" s="120">
        <v>0</v>
      </c>
      <c r="AX17" s="120">
        <v>0</v>
      </c>
      <c r="AY17" s="120">
        <v>0</v>
      </c>
      <c r="AZ17" s="142">
        <f>SUM(AV17:AY17)</f>
        <v>0</v>
      </c>
      <c r="BA17" s="120">
        <v>0</v>
      </c>
    </row>
    <row r="18" spans="1:73">
      <c r="A18" s="5"/>
      <c r="B18" s="5" t="s">
        <v>361</v>
      </c>
      <c r="C18" s="119">
        <v>88568.617039999997</v>
      </c>
      <c r="D18" s="119">
        <v>69381.927600000025</v>
      </c>
      <c r="E18" s="119">
        <v>80498.774829999966</v>
      </c>
      <c r="F18" s="119">
        <v>89636.117749999961</v>
      </c>
      <c r="G18" s="141">
        <f t="shared" ref="G18:G25" si="15">SUM(C18:F18)</f>
        <v>328085.43721999996</v>
      </c>
      <c r="H18" s="119">
        <v>137613.35517</v>
      </c>
      <c r="I18" s="119">
        <v>126909.01842000002</v>
      </c>
      <c r="J18" s="119">
        <v>132954.16104999997</v>
      </c>
      <c r="K18" s="119">
        <v>109007.80658</v>
      </c>
      <c r="L18" s="141">
        <f t="shared" ref="L18:L25" si="16">SUM(H18:K18)</f>
        <v>506484.34121999994</v>
      </c>
      <c r="M18" s="119">
        <v>202770.36212999999</v>
      </c>
      <c r="N18" s="119">
        <v>155934.55770999996</v>
      </c>
      <c r="O18" s="119">
        <v>152860.31464999999</v>
      </c>
      <c r="P18" s="119">
        <v>154846.99670000002</v>
      </c>
      <c r="Q18" s="141">
        <f t="shared" ref="Q18:Q25" si="17">SUM(M18:P18)</f>
        <v>666412.23118999996</v>
      </c>
      <c r="R18" s="119">
        <v>181908.14042999997</v>
      </c>
      <c r="S18" s="119">
        <v>184415.36861</v>
      </c>
      <c r="T18" s="119">
        <v>192286.61207999996</v>
      </c>
      <c r="U18" s="119">
        <v>87722.072420000026</v>
      </c>
      <c r="V18" s="141">
        <f t="shared" ref="V18:V25" si="18">SUM(R18:U18)</f>
        <v>646332.19353999989</v>
      </c>
      <c r="W18" s="119">
        <v>173066.69043999998</v>
      </c>
      <c r="X18" s="119">
        <v>157080.37399999998</v>
      </c>
      <c r="Y18" s="119">
        <v>326701.038</v>
      </c>
      <c r="Z18" s="119">
        <v>237841.76972999994</v>
      </c>
      <c r="AA18" s="141">
        <f t="shared" ref="AA18:AA25" si="19">SUM(W18:Z18)</f>
        <v>894689.87216999999</v>
      </c>
      <c r="AB18" s="119">
        <v>78898.343970000002</v>
      </c>
      <c r="AC18" s="119">
        <v>46476.665019999993</v>
      </c>
      <c r="AD18" s="119">
        <v>38120.106820000008</v>
      </c>
      <c r="AE18" s="119">
        <v>17383.04105</v>
      </c>
      <c r="AF18" s="141">
        <v>180878.15686000002</v>
      </c>
      <c r="AG18" s="119">
        <v>41505</v>
      </c>
      <c r="AH18" s="119">
        <v>32138</v>
      </c>
      <c r="AI18" s="119">
        <v>33558</v>
      </c>
      <c r="AJ18" s="119">
        <v>34446</v>
      </c>
      <c r="AK18" s="141">
        <v>141647</v>
      </c>
      <c r="AL18" s="119">
        <v>40329</v>
      </c>
      <c r="AM18" s="119">
        <v>38282</v>
      </c>
      <c r="AN18" s="119">
        <v>38471</v>
      </c>
      <c r="AO18" s="119">
        <v>40167</v>
      </c>
      <c r="AP18" s="141">
        <v>157249</v>
      </c>
      <c r="AQ18" s="119">
        <f t="shared" ref="AQ18:BA18" si="20">SUM(AQ19:AQ25)</f>
        <v>51791</v>
      </c>
      <c r="AR18" s="119">
        <f t="shared" si="20"/>
        <v>40830</v>
      </c>
      <c r="AS18" s="119">
        <f t="shared" si="20"/>
        <v>41233</v>
      </c>
      <c r="AT18" s="119">
        <f t="shared" si="20"/>
        <v>74959</v>
      </c>
      <c r="AU18" s="141">
        <f t="shared" si="1"/>
        <v>208813</v>
      </c>
      <c r="AV18" s="119">
        <f t="shared" si="20"/>
        <v>55910.635999999991</v>
      </c>
      <c r="AW18" s="119">
        <f t="shared" si="20"/>
        <v>43266.041839999998</v>
      </c>
      <c r="AX18" s="119">
        <f t="shared" si="20"/>
        <v>42754.726430000002</v>
      </c>
      <c r="AY18" s="119">
        <f t="shared" si="20"/>
        <v>60846.292809999992</v>
      </c>
      <c r="AZ18" s="141">
        <f>SUM(AV18:AY18)</f>
        <v>202777.69707999998</v>
      </c>
      <c r="BA18" s="119">
        <f t="shared" si="20"/>
        <v>41891.174060000005</v>
      </c>
    </row>
    <row r="19" spans="1:73">
      <c r="A19" s="11"/>
      <c r="B19" s="11" t="s">
        <v>275</v>
      </c>
      <c r="C19" s="120">
        <v>2647.0067100000001</v>
      </c>
      <c r="D19" s="120">
        <v>1952.4398799999999</v>
      </c>
      <c r="E19" s="120">
        <v>2407.8960200000006</v>
      </c>
      <c r="F19" s="120">
        <v>3315.3241000000007</v>
      </c>
      <c r="G19" s="142">
        <f t="shared" si="15"/>
        <v>10322.666710000001</v>
      </c>
      <c r="H19" s="120">
        <v>4176.1040299999995</v>
      </c>
      <c r="I19" s="120">
        <v>3162.8367600000001</v>
      </c>
      <c r="J19" s="120">
        <v>3505.1761800000008</v>
      </c>
      <c r="K19" s="120">
        <v>1963.8138999999985</v>
      </c>
      <c r="L19" s="142">
        <f t="shared" si="16"/>
        <v>12807.93087</v>
      </c>
      <c r="M19" s="120">
        <v>3304.5078399999998</v>
      </c>
      <c r="N19" s="120">
        <v>3253.8506100000004</v>
      </c>
      <c r="O19" s="120">
        <v>5337.9667099999997</v>
      </c>
      <c r="P19" s="120">
        <v>5233.4943700000013</v>
      </c>
      <c r="Q19" s="142">
        <f t="shared" si="17"/>
        <v>17129.819530000001</v>
      </c>
      <c r="R19" s="120">
        <v>3301.2249200000001</v>
      </c>
      <c r="S19" s="120">
        <v>5259.4952200000007</v>
      </c>
      <c r="T19" s="120">
        <v>6234.6843599999993</v>
      </c>
      <c r="U19" s="120">
        <v>-10842.58921</v>
      </c>
      <c r="V19" s="142">
        <f t="shared" si="18"/>
        <v>3952.8152900000005</v>
      </c>
      <c r="W19" s="120">
        <v>1703.64267</v>
      </c>
      <c r="X19" s="120">
        <v>3467.6972700000006</v>
      </c>
      <c r="Y19" s="120">
        <v>1797.0754999999999</v>
      </c>
      <c r="Z19" s="120">
        <v>1574.3457599999988</v>
      </c>
      <c r="AA19" s="142">
        <f t="shared" si="19"/>
        <v>8542.761199999999</v>
      </c>
      <c r="AB19" s="120">
        <v>1704.3182099999999</v>
      </c>
      <c r="AC19" s="120">
        <v>1410.9515200000001</v>
      </c>
      <c r="AD19" s="120">
        <v>150.92835000000014</v>
      </c>
      <c r="AE19" s="120">
        <v>0</v>
      </c>
      <c r="AF19" s="142">
        <v>3266.1980800000001</v>
      </c>
      <c r="AG19" s="120">
        <v>0</v>
      </c>
      <c r="AH19" s="120">
        <v>0</v>
      </c>
      <c r="AI19" s="120">
        <v>0</v>
      </c>
      <c r="AJ19" s="120">
        <v>0</v>
      </c>
      <c r="AK19" s="142">
        <v>0</v>
      </c>
      <c r="AL19" s="120">
        <v>0</v>
      </c>
      <c r="AM19" s="120">
        <v>0</v>
      </c>
      <c r="AN19" s="120">
        <v>0</v>
      </c>
      <c r="AO19" s="120">
        <v>0</v>
      </c>
      <c r="AP19" s="142">
        <v>0</v>
      </c>
      <c r="AQ19" s="120">
        <v>0</v>
      </c>
      <c r="AR19" s="120">
        <v>0</v>
      </c>
      <c r="AS19" s="120">
        <v>0</v>
      </c>
      <c r="AT19" s="120">
        <v>0</v>
      </c>
      <c r="AU19" s="142">
        <f t="shared" si="1"/>
        <v>0</v>
      </c>
      <c r="AV19" s="120">
        <v>0</v>
      </c>
      <c r="AW19" s="120">
        <v>0</v>
      </c>
      <c r="AX19" s="120">
        <v>0</v>
      </c>
      <c r="AY19" s="120">
        <v>0</v>
      </c>
      <c r="AZ19" s="142">
        <f>SUM(AV19:AY19)</f>
        <v>0</v>
      </c>
      <c r="BA19" s="120">
        <v>0</v>
      </c>
    </row>
    <row r="20" spans="1:73">
      <c r="A20" s="11"/>
      <c r="B20" s="11" t="s">
        <v>277</v>
      </c>
      <c r="C20" s="120">
        <v>4285.8790399999989</v>
      </c>
      <c r="D20" s="120">
        <v>4691.1730400000006</v>
      </c>
      <c r="E20" s="120">
        <v>5568.6564500000013</v>
      </c>
      <c r="F20" s="120">
        <v>3208.091919999998</v>
      </c>
      <c r="G20" s="142">
        <f t="shared" si="15"/>
        <v>17753.800449999999</v>
      </c>
      <c r="H20" s="120">
        <v>5934.3816799999995</v>
      </c>
      <c r="I20" s="120">
        <v>6516.12799</v>
      </c>
      <c r="J20" s="120">
        <v>6664.3183199999985</v>
      </c>
      <c r="K20" s="120">
        <v>4843.2561200000009</v>
      </c>
      <c r="L20" s="142">
        <f t="shared" si="16"/>
        <v>23958.08411</v>
      </c>
      <c r="M20" s="120">
        <v>3594.8093799999997</v>
      </c>
      <c r="N20" s="120">
        <v>6440.9302399999997</v>
      </c>
      <c r="O20" s="120">
        <v>6855.6991100000014</v>
      </c>
      <c r="P20" s="120">
        <v>5554.7250000000004</v>
      </c>
      <c r="Q20" s="142">
        <f t="shared" si="17"/>
        <v>22446.16373</v>
      </c>
      <c r="R20" s="120">
        <v>4537.7527599999994</v>
      </c>
      <c r="S20" s="120">
        <v>7374.7725</v>
      </c>
      <c r="T20" s="120">
        <v>8317.0072400000008</v>
      </c>
      <c r="U20" s="120">
        <v>1586.4728599999994</v>
      </c>
      <c r="V20" s="142">
        <f t="shared" si="18"/>
        <v>21816.005359999999</v>
      </c>
      <c r="W20" s="120">
        <v>7522.6654600000002</v>
      </c>
      <c r="X20" s="120">
        <v>5522.9755500000001</v>
      </c>
      <c r="Y20" s="120">
        <v>2932.4690900000001</v>
      </c>
      <c r="Z20" s="120">
        <v>3191.3905000000018</v>
      </c>
      <c r="AA20" s="142">
        <f t="shared" si="19"/>
        <v>19169.500600000003</v>
      </c>
      <c r="AB20" s="120">
        <v>1828.2783700000002</v>
      </c>
      <c r="AC20" s="120">
        <v>1886.86608</v>
      </c>
      <c r="AD20" s="120">
        <v>1465.4596200000001</v>
      </c>
      <c r="AE20" s="120">
        <v>207.5212399999993</v>
      </c>
      <c r="AF20" s="142">
        <v>5388.1253099999994</v>
      </c>
      <c r="AG20" s="120">
        <v>0</v>
      </c>
      <c r="AH20" s="120">
        <v>0</v>
      </c>
      <c r="AI20" s="120">
        <v>0</v>
      </c>
      <c r="AJ20" s="120">
        <v>1</v>
      </c>
      <c r="AK20" s="142">
        <v>1</v>
      </c>
      <c r="AL20" s="120">
        <v>0</v>
      </c>
      <c r="AM20" s="120">
        <v>0</v>
      </c>
      <c r="AN20" s="120">
        <v>0</v>
      </c>
      <c r="AO20" s="120">
        <v>0</v>
      </c>
      <c r="AP20" s="142">
        <v>0</v>
      </c>
      <c r="AQ20" s="120">
        <v>0</v>
      </c>
      <c r="AR20" s="120">
        <v>0</v>
      </c>
      <c r="AS20" s="120">
        <v>0</v>
      </c>
      <c r="AT20" s="120">
        <v>0</v>
      </c>
      <c r="AU20" s="142">
        <f t="shared" si="1"/>
        <v>0</v>
      </c>
      <c r="AV20" s="120">
        <v>0</v>
      </c>
      <c r="AW20" s="120">
        <v>0</v>
      </c>
      <c r="AX20" s="120">
        <v>0</v>
      </c>
      <c r="AY20" s="120">
        <v>0</v>
      </c>
      <c r="AZ20" s="142">
        <f t="shared" ref="AZ20:AZ24" si="21">SUM(AV20:AY20)</f>
        <v>0</v>
      </c>
      <c r="BA20" s="120">
        <v>0</v>
      </c>
    </row>
    <row r="21" spans="1:73">
      <c r="A21" s="11"/>
      <c r="B21" s="11" t="s">
        <v>279</v>
      </c>
      <c r="C21" s="120">
        <v>9361.4164399999972</v>
      </c>
      <c r="D21" s="120">
        <v>9111.0661300000029</v>
      </c>
      <c r="E21" s="120">
        <v>11235.22236</v>
      </c>
      <c r="F21" s="120">
        <v>5881.2237400000022</v>
      </c>
      <c r="G21" s="142">
        <f t="shared" si="15"/>
        <v>35588.928670000001</v>
      </c>
      <c r="H21" s="120">
        <v>13263.41056</v>
      </c>
      <c r="I21" s="120">
        <v>14628.899679999999</v>
      </c>
      <c r="J21" s="120">
        <v>16625.004559999998</v>
      </c>
      <c r="K21" s="120">
        <v>14212.87918</v>
      </c>
      <c r="L21" s="142">
        <f t="shared" si="16"/>
        <v>58730.193979999996</v>
      </c>
      <c r="M21" s="120">
        <v>16806.66678</v>
      </c>
      <c r="N21" s="120">
        <v>19265.73403</v>
      </c>
      <c r="O21" s="120">
        <v>17745.830249999999</v>
      </c>
      <c r="P21" s="120">
        <v>21413.885629999997</v>
      </c>
      <c r="Q21" s="142">
        <f t="shared" si="17"/>
        <v>75232.116689999995</v>
      </c>
      <c r="R21" s="120">
        <v>21932.11764</v>
      </c>
      <c r="S21" s="120">
        <v>25230.258200000004</v>
      </c>
      <c r="T21" s="120">
        <v>25964.108329999999</v>
      </c>
      <c r="U21" s="120">
        <v>7336.0333799999953</v>
      </c>
      <c r="V21" s="142">
        <f t="shared" si="18"/>
        <v>80462.517550000004</v>
      </c>
      <c r="W21" s="120">
        <v>21301.937030000001</v>
      </c>
      <c r="X21" s="120">
        <v>16936.899909999996</v>
      </c>
      <c r="Y21" s="120">
        <v>32964.355299999996</v>
      </c>
      <c r="Z21" s="120">
        <v>31465.817230000004</v>
      </c>
      <c r="AA21" s="142">
        <f t="shared" si="19"/>
        <v>102669.00946999999</v>
      </c>
      <c r="AB21" s="120">
        <v>12644.4887</v>
      </c>
      <c r="AC21" s="120">
        <v>14225.909539999999</v>
      </c>
      <c r="AD21" s="120">
        <v>12723.674129999996</v>
      </c>
      <c r="AE21" s="120">
        <v>12770.426940000005</v>
      </c>
      <c r="AF21" s="142">
        <v>52364.499309999999</v>
      </c>
      <c r="AG21" s="120">
        <v>12829</v>
      </c>
      <c r="AH21" s="120">
        <v>11573</v>
      </c>
      <c r="AI21" s="120">
        <v>10914</v>
      </c>
      <c r="AJ21" s="120">
        <v>10135</v>
      </c>
      <c r="AK21" s="142">
        <v>45451</v>
      </c>
      <c r="AL21" s="120">
        <v>9835</v>
      </c>
      <c r="AM21" s="120">
        <v>9894</v>
      </c>
      <c r="AN21" s="120">
        <v>9455</v>
      </c>
      <c r="AO21" s="120">
        <v>9191</v>
      </c>
      <c r="AP21" s="142">
        <v>38375</v>
      </c>
      <c r="AQ21" s="120">
        <v>8653</v>
      </c>
      <c r="AR21" s="120">
        <v>8433</v>
      </c>
      <c r="AS21" s="120">
        <v>8426</v>
      </c>
      <c r="AT21" s="120">
        <v>8327</v>
      </c>
      <c r="AU21" s="142">
        <f t="shared" si="1"/>
        <v>33839</v>
      </c>
      <c r="AV21" s="120">
        <v>7875.92695</v>
      </c>
      <c r="AW21" s="120">
        <v>7511.0418399999999</v>
      </c>
      <c r="AX21" s="120">
        <v>7278</v>
      </c>
      <c r="AY21" s="120">
        <v>7056.0540700000001</v>
      </c>
      <c r="AZ21" s="142">
        <f t="shared" si="21"/>
        <v>29721.022859999997</v>
      </c>
      <c r="BA21" s="120">
        <v>6759.0730400000002</v>
      </c>
    </row>
    <row r="22" spans="1:73">
      <c r="A22" s="11"/>
      <c r="B22" s="11" t="s">
        <v>281</v>
      </c>
      <c r="C22" s="120">
        <v>26125</v>
      </c>
      <c r="D22" s="120">
        <v>22866.000000000007</v>
      </c>
      <c r="E22" s="120">
        <v>22500.000000000007</v>
      </c>
      <c r="F22" s="120">
        <v>19684.368059999986</v>
      </c>
      <c r="G22" s="142">
        <f t="shared" si="15"/>
        <v>91175.368060000008</v>
      </c>
      <c r="H22" s="120">
        <v>29851.235389999998</v>
      </c>
      <c r="I22" s="120">
        <v>26250.789220000002</v>
      </c>
      <c r="J22" s="120">
        <v>26755.961689999996</v>
      </c>
      <c r="K22" s="120">
        <v>26975.38513000001</v>
      </c>
      <c r="L22" s="142">
        <f t="shared" si="16"/>
        <v>109833.37143</v>
      </c>
      <c r="M22" s="120">
        <v>27957.785030000003</v>
      </c>
      <c r="N22" s="120">
        <v>29093.127759999999</v>
      </c>
      <c r="O22" s="120">
        <v>27761.318029999995</v>
      </c>
      <c r="P22" s="120">
        <v>25639.407750000017</v>
      </c>
      <c r="Q22" s="142">
        <f t="shared" si="17"/>
        <v>110451.63857000001</v>
      </c>
      <c r="R22" s="120">
        <v>26772.866249999999</v>
      </c>
      <c r="S22" s="120">
        <v>27887.497800000005</v>
      </c>
      <c r="T22" s="120">
        <v>27291.314809999982</v>
      </c>
      <c r="U22" s="120">
        <v>25164.458940000011</v>
      </c>
      <c r="V22" s="142">
        <f t="shared" si="18"/>
        <v>107116.1378</v>
      </c>
      <c r="W22" s="120">
        <v>29050.265769999998</v>
      </c>
      <c r="X22" s="120">
        <v>29131.783630000005</v>
      </c>
      <c r="Y22" s="120">
        <v>29096.444869999988</v>
      </c>
      <c r="Z22" s="120">
        <v>29172.094370000006</v>
      </c>
      <c r="AA22" s="142">
        <f t="shared" si="19"/>
        <v>116450.58864</v>
      </c>
      <c r="AB22" s="120">
        <v>34602.20938</v>
      </c>
      <c r="AC22" s="120">
        <v>30231.405919999994</v>
      </c>
      <c r="AD22" s="120">
        <v>30370.021090000009</v>
      </c>
      <c r="AE22" s="120">
        <v>30618.520860000001</v>
      </c>
      <c r="AF22" s="142">
        <v>125822.15725</v>
      </c>
      <c r="AG22" s="120">
        <v>31384</v>
      </c>
      <c r="AH22" s="120">
        <v>30627</v>
      </c>
      <c r="AI22" s="120">
        <v>31475</v>
      </c>
      <c r="AJ22" s="120">
        <v>31581</v>
      </c>
      <c r="AK22" s="142">
        <v>125067</v>
      </c>
      <c r="AL22" s="120">
        <v>33341</v>
      </c>
      <c r="AM22" s="120">
        <v>31736</v>
      </c>
      <c r="AN22" s="120">
        <v>31689</v>
      </c>
      <c r="AO22" s="120">
        <v>32024</v>
      </c>
      <c r="AP22" s="142">
        <v>128790</v>
      </c>
      <c r="AQ22" s="120">
        <v>43119</v>
      </c>
      <c r="AR22" s="120">
        <v>32230</v>
      </c>
      <c r="AS22" s="120">
        <v>32139</v>
      </c>
      <c r="AT22" s="120">
        <v>66941</v>
      </c>
      <c r="AU22" s="142">
        <f t="shared" si="1"/>
        <v>174429</v>
      </c>
      <c r="AV22" s="120">
        <v>46526.735689999994</v>
      </c>
      <c r="AW22" s="120">
        <v>34549</v>
      </c>
      <c r="AX22" s="120">
        <v>34158.559030000004</v>
      </c>
      <c r="AY22" s="120">
        <v>52660.007639999996</v>
      </c>
      <c r="AZ22" s="142">
        <f t="shared" si="21"/>
        <v>167894.30236</v>
      </c>
      <c r="BA22" s="120">
        <v>33899.89978</v>
      </c>
      <c r="BB22" s="738"/>
      <c r="BC22" s="738"/>
      <c r="BD22" s="738"/>
      <c r="BE22" s="738"/>
      <c r="BF22" s="738"/>
      <c r="BG22" s="738"/>
      <c r="BH22" s="738"/>
      <c r="BI22" s="738"/>
      <c r="BJ22" s="738"/>
      <c r="BK22" s="738"/>
      <c r="BL22" s="738"/>
      <c r="BM22" s="738"/>
      <c r="BN22" s="738"/>
      <c r="BO22" s="738"/>
      <c r="BP22" s="738"/>
      <c r="BQ22" s="738"/>
      <c r="BR22" s="738"/>
      <c r="BS22" s="738"/>
      <c r="BT22" s="738"/>
      <c r="BU22" s="738"/>
    </row>
    <row r="23" spans="1:73">
      <c r="A23" s="11"/>
      <c r="B23" s="11" t="s">
        <v>283</v>
      </c>
      <c r="C23" s="120">
        <v>28265.000000000004</v>
      </c>
      <c r="D23" s="120">
        <v>27732.000000000025</v>
      </c>
      <c r="E23" s="120">
        <v>35462.999999999956</v>
      </c>
      <c r="F23" s="120">
        <v>53717.819041525501</v>
      </c>
      <c r="G23" s="142">
        <f t="shared" si="15"/>
        <v>145177.81904152548</v>
      </c>
      <c r="H23" s="120">
        <v>67159.019610000003</v>
      </c>
      <c r="I23" s="120">
        <v>72317.752950000009</v>
      </c>
      <c r="J23" s="120">
        <v>73247.401939999996</v>
      </c>
      <c r="K23" s="120">
        <v>52474.558749999997</v>
      </c>
      <c r="L23" s="142">
        <f t="shared" si="16"/>
        <v>265198.73325000005</v>
      </c>
      <c r="M23" s="120">
        <v>61590.879689999994</v>
      </c>
      <c r="N23" s="120">
        <v>86143.474319999994</v>
      </c>
      <c r="O23" s="120">
        <v>87810.21037999999</v>
      </c>
      <c r="P23" s="120">
        <v>86925.616560000009</v>
      </c>
      <c r="Q23" s="142">
        <f t="shared" si="17"/>
        <v>322470.18094999995</v>
      </c>
      <c r="R23" s="120">
        <v>100659.71281</v>
      </c>
      <c r="S23" s="120">
        <v>108968.95843000001</v>
      </c>
      <c r="T23" s="120">
        <v>116132.95714999997</v>
      </c>
      <c r="U23" s="120">
        <v>96409.608730000022</v>
      </c>
      <c r="V23" s="142">
        <f t="shared" si="18"/>
        <v>422171.23712000001</v>
      </c>
      <c r="W23" s="120">
        <v>106793.66065999999</v>
      </c>
      <c r="X23" s="120">
        <v>95081.823250000001</v>
      </c>
      <c r="Y23" s="120">
        <v>235299.88246000002</v>
      </c>
      <c r="Z23" s="120">
        <v>149988.01143999994</v>
      </c>
      <c r="AA23" s="142">
        <f t="shared" si="19"/>
        <v>587163.37780999998</v>
      </c>
      <c r="AB23" s="120">
        <v>21981.241460000001</v>
      </c>
      <c r="AC23" s="120">
        <v>-2296.3428399999998</v>
      </c>
      <c r="AD23" s="120">
        <v>-7818.3075499999977</v>
      </c>
      <c r="AE23" s="120">
        <v>-27347.608170000003</v>
      </c>
      <c r="AF23" s="142">
        <v>-15481.017100000001</v>
      </c>
      <c r="AG23" s="120">
        <v>-8907</v>
      </c>
      <c r="AH23" s="120">
        <v>-11273</v>
      </c>
      <c r="AI23" s="120">
        <v>-9962</v>
      </c>
      <c r="AJ23" s="120">
        <v>-8568</v>
      </c>
      <c r="AK23" s="142">
        <v>-38710</v>
      </c>
      <c r="AL23" s="120">
        <v>-4155</v>
      </c>
      <c r="AM23" s="120">
        <v>-4215</v>
      </c>
      <c r="AN23" s="120">
        <v>-3979</v>
      </c>
      <c r="AO23" s="120">
        <v>-2332</v>
      </c>
      <c r="AP23" s="142">
        <v>-14681</v>
      </c>
      <c r="AQ23" s="120">
        <v>-1190</v>
      </c>
      <c r="AR23" s="120">
        <v>-1033</v>
      </c>
      <c r="AS23" s="120">
        <v>-508</v>
      </c>
      <c r="AT23" s="120">
        <v>-1464</v>
      </c>
      <c r="AU23" s="142">
        <f t="shared" si="1"/>
        <v>-4195</v>
      </c>
      <c r="AV23" s="120">
        <v>440.55829999999997</v>
      </c>
      <c r="AW23" s="120">
        <v>158</v>
      </c>
      <c r="AX23" s="120">
        <v>269.18612000000002</v>
      </c>
      <c r="AY23" s="120">
        <v>96.749260000000007</v>
      </c>
      <c r="AZ23" s="142">
        <f t="shared" si="21"/>
        <v>964.49368000000004</v>
      </c>
      <c r="BA23" s="120">
        <v>162.20123999999998</v>
      </c>
    </row>
    <row r="24" spans="1:73">
      <c r="A24" s="11"/>
      <c r="B24" s="11" t="s">
        <v>285</v>
      </c>
      <c r="C24" s="120">
        <v>4403</v>
      </c>
      <c r="D24" s="120">
        <v>3029.2485499999848</v>
      </c>
      <c r="E24" s="120">
        <v>3323.9999999999955</v>
      </c>
      <c r="F24" s="120">
        <v>3829.2908884744661</v>
      </c>
      <c r="G24" s="142">
        <f t="shared" si="15"/>
        <v>14585.539438474447</v>
      </c>
      <c r="H24" s="120">
        <v>3604.4377599999998</v>
      </c>
      <c r="I24" s="120">
        <v>4032.6118200000001</v>
      </c>
      <c r="J24" s="120">
        <v>6156.2983599999998</v>
      </c>
      <c r="K24" s="120">
        <v>8537.9135000000024</v>
      </c>
      <c r="L24" s="142">
        <f t="shared" si="16"/>
        <v>22331.261440000002</v>
      </c>
      <c r="M24" s="120">
        <v>4944.19049</v>
      </c>
      <c r="N24" s="120">
        <v>9218.3194700000004</v>
      </c>
      <c r="O24" s="120">
        <v>7349.2901699999984</v>
      </c>
      <c r="P24" s="120">
        <v>10079.867390000001</v>
      </c>
      <c r="Q24" s="142">
        <f t="shared" si="17"/>
        <v>31591.667519999995</v>
      </c>
      <c r="R24" s="120">
        <v>6645.6103600000006</v>
      </c>
      <c r="S24" s="120">
        <v>9694.3864600000015</v>
      </c>
      <c r="T24" s="120">
        <v>12310.321969999999</v>
      </c>
      <c r="U24" s="120">
        <v>-31931.91228</v>
      </c>
      <c r="V24" s="142">
        <f t="shared" si="18"/>
        <v>-3281.5934899999993</v>
      </c>
      <c r="W24" s="120">
        <v>6694.5188499999995</v>
      </c>
      <c r="X24" s="120">
        <v>6939.1943900000006</v>
      </c>
      <c r="Y24" s="120">
        <v>24610.81078</v>
      </c>
      <c r="Z24" s="120">
        <v>22450.110430000001</v>
      </c>
      <c r="AA24" s="142">
        <f t="shared" si="19"/>
        <v>60694.634449999998</v>
      </c>
      <c r="AB24" s="120">
        <v>6137.8078499999992</v>
      </c>
      <c r="AC24" s="120">
        <v>1017.8748000000007</v>
      </c>
      <c r="AD24" s="120">
        <v>1228.3311800000001</v>
      </c>
      <c r="AE24" s="120">
        <v>1134.1801799999996</v>
      </c>
      <c r="AF24" s="142">
        <v>9518.1940099999993</v>
      </c>
      <c r="AG24" s="120">
        <v>6199</v>
      </c>
      <c r="AH24" s="120">
        <v>1211</v>
      </c>
      <c r="AI24" s="120">
        <v>1131</v>
      </c>
      <c r="AJ24" s="120">
        <v>1297</v>
      </c>
      <c r="AK24" s="142">
        <v>9838</v>
      </c>
      <c r="AL24" s="120">
        <v>1308</v>
      </c>
      <c r="AM24" s="120">
        <v>867</v>
      </c>
      <c r="AN24" s="120">
        <v>1306</v>
      </c>
      <c r="AO24" s="120">
        <v>1284</v>
      </c>
      <c r="AP24" s="142">
        <v>4765</v>
      </c>
      <c r="AQ24" s="120">
        <v>1209</v>
      </c>
      <c r="AR24" s="120">
        <v>1200</v>
      </c>
      <c r="AS24" s="120">
        <v>1176</v>
      </c>
      <c r="AT24" s="120">
        <v>1155</v>
      </c>
      <c r="AU24" s="142">
        <f t="shared" si="1"/>
        <v>4740</v>
      </c>
      <c r="AV24" s="120">
        <v>1067.41506</v>
      </c>
      <c r="AW24" s="120">
        <v>1048</v>
      </c>
      <c r="AX24" s="120">
        <v>1048.9812799999997</v>
      </c>
      <c r="AY24" s="120">
        <v>1033.4818400000001</v>
      </c>
      <c r="AZ24" s="142">
        <f t="shared" si="21"/>
        <v>4197.8781800000006</v>
      </c>
      <c r="BA24" s="554">
        <v>1070</v>
      </c>
    </row>
    <row r="25" spans="1:73">
      <c r="A25" s="11"/>
      <c r="B25" s="11" t="s">
        <v>286</v>
      </c>
      <c r="C25" s="120">
        <v>13481.314849999999</v>
      </c>
      <c r="D25" s="120">
        <v>0</v>
      </c>
      <c r="E25" s="120">
        <v>0</v>
      </c>
      <c r="F25" s="120">
        <v>0</v>
      </c>
      <c r="G25" s="142">
        <f t="shared" si="15"/>
        <v>13481.314849999999</v>
      </c>
      <c r="H25" s="120">
        <v>13624.76614</v>
      </c>
      <c r="I25" s="120">
        <v>0</v>
      </c>
      <c r="J25" s="120">
        <v>0</v>
      </c>
      <c r="K25" s="120">
        <v>0</v>
      </c>
      <c r="L25" s="142">
        <f t="shared" si="16"/>
        <v>13624.76614</v>
      </c>
      <c r="M25" s="120">
        <v>84571.522920000003</v>
      </c>
      <c r="N25" s="120">
        <v>2519.1212800000012</v>
      </c>
      <c r="O25" s="120">
        <v>0</v>
      </c>
      <c r="P25" s="120">
        <v>0</v>
      </c>
      <c r="Q25" s="142">
        <f t="shared" si="17"/>
        <v>87090.64420000001</v>
      </c>
      <c r="R25" s="120">
        <v>18058.85569</v>
      </c>
      <c r="S25" s="120">
        <v>0</v>
      </c>
      <c r="T25" s="120">
        <v>-3963.7817800000012</v>
      </c>
      <c r="U25" s="120">
        <v>0</v>
      </c>
      <c r="V25" s="142">
        <f t="shared" si="18"/>
        <v>14095.073909999999</v>
      </c>
      <c r="W25" s="120">
        <v>0</v>
      </c>
      <c r="X25" s="120">
        <v>0</v>
      </c>
      <c r="Y25" s="120">
        <v>0</v>
      </c>
      <c r="Z25" s="120">
        <v>0</v>
      </c>
      <c r="AA25" s="142">
        <f t="shared" si="19"/>
        <v>0</v>
      </c>
      <c r="AB25" s="120">
        <v>0</v>
      </c>
      <c r="AC25" s="120">
        <v>0</v>
      </c>
      <c r="AD25" s="120">
        <v>0</v>
      </c>
      <c r="AE25" s="120">
        <v>0</v>
      </c>
      <c r="AF25" s="142">
        <v>0</v>
      </c>
      <c r="AG25" s="120">
        <v>0</v>
      </c>
      <c r="AH25" s="120">
        <v>0</v>
      </c>
      <c r="AI25" s="120">
        <v>0</v>
      </c>
      <c r="AJ25" s="120">
        <v>0</v>
      </c>
      <c r="AK25" s="142">
        <v>0</v>
      </c>
      <c r="AL25" s="120">
        <v>0</v>
      </c>
      <c r="AM25" s="120">
        <v>0</v>
      </c>
      <c r="AN25" s="120">
        <v>0</v>
      </c>
      <c r="AO25" s="120">
        <v>0</v>
      </c>
      <c r="AP25" s="142">
        <v>0</v>
      </c>
      <c r="AQ25" s="120">
        <v>0</v>
      </c>
      <c r="AR25" s="120">
        <v>0</v>
      </c>
      <c r="AS25" s="120">
        <v>0</v>
      </c>
      <c r="AT25" s="120">
        <v>0</v>
      </c>
      <c r="AU25" s="142">
        <f t="shared" si="1"/>
        <v>0</v>
      </c>
      <c r="AV25" s="120">
        <v>0</v>
      </c>
      <c r="AW25" s="120">
        <v>0</v>
      </c>
      <c r="AX25" s="120">
        <v>0</v>
      </c>
      <c r="AY25" s="120">
        <v>0</v>
      </c>
      <c r="AZ25" s="142">
        <f>SUM(AV25:AY25)</f>
        <v>0</v>
      </c>
      <c r="BA25" s="120">
        <v>0</v>
      </c>
    </row>
    <row r="26" spans="1:73">
      <c r="A26" s="5"/>
      <c r="B26" s="5" t="s">
        <v>363</v>
      </c>
      <c r="C26" s="119">
        <v>0</v>
      </c>
      <c r="D26" s="119">
        <v>0</v>
      </c>
      <c r="E26" s="119">
        <v>0</v>
      </c>
      <c r="F26" s="119">
        <v>0</v>
      </c>
      <c r="G26" s="141">
        <f>SUM(C26:F26)</f>
        <v>0</v>
      </c>
      <c r="H26" s="119">
        <v>0</v>
      </c>
      <c r="I26" s="119">
        <v>0</v>
      </c>
      <c r="J26" s="119">
        <v>0</v>
      </c>
      <c r="K26" s="119">
        <v>0</v>
      </c>
      <c r="L26" s="141">
        <f>SUM(H26:K26)</f>
        <v>0</v>
      </c>
      <c r="M26" s="119">
        <v>0</v>
      </c>
      <c r="N26" s="119">
        <v>0</v>
      </c>
      <c r="O26" s="119">
        <v>0</v>
      </c>
      <c r="P26" s="119">
        <v>0</v>
      </c>
      <c r="Q26" s="141">
        <f>SUM(M26:P26)</f>
        <v>0</v>
      </c>
      <c r="R26" s="119">
        <v>0</v>
      </c>
      <c r="S26" s="119">
        <v>0</v>
      </c>
      <c r="T26" s="119">
        <v>0</v>
      </c>
      <c r="U26" s="119">
        <v>0</v>
      </c>
      <c r="V26" s="141">
        <f>SUM(R26:U26)</f>
        <v>0</v>
      </c>
      <c r="W26" s="119">
        <v>0</v>
      </c>
      <c r="X26" s="119">
        <v>0</v>
      </c>
      <c r="Y26" s="119">
        <v>0</v>
      </c>
      <c r="Z26" s="119">
        <v>0</v>
      </c>
      <c r="AA26" s="141">
        <f>SUM(W26:Z26)</f>
        <v>0</v>
      </c>
      <c r="AB26" s="119">
        <v>116043.62612</v>
      </c>
      <c r="AC26" s="119">
        <v>167785.75193999999</v>
      </c>
      <c r="AD26" s="119">
        <v>315769.59274000011</v>
      </c>
      <c r="AE26" s="119">
        <v>343381.99244999996</v>
      </c>
      <c r="AF26" s="141">
        <v>942980.96325000003</v>
      </c>
      <c r="AG26" s="119">
        <v>285486</v>
      </c>
      <c r="AH26" s="119">
        <v>378664</v>
      </c>
      <c r="AI26" s="119">
        <v>499569</v>
      </c>
      <c r="AJ26" s="119">
        <v>382074</v>
      </c>
      <c r="AK26" s="141">
        <v>1545793</v>
      </c>
      <c r="AL26" s="119">
        <v>433172</v>
      </c>
      <c r="AM26" s="119">
        <v>442675</v>
      </c>
      <c r="AN26" s="119">
        <v>472384</v>
      </c>
      <c r="AO26" s="119">
        <v>489090</v>
      </c>
      <c r="AP26" s="141">
        <v>1837321</v>
      </c>
      <c r="AQ26" s="119">
        <f t="shared" ref="AQ26:BA26" si="22">SUM(AQ27:AQ37)</f>
        <v>491384</v>
      </c>
      <c r="AR26" s="119">
        <f t="shared" si="22"/>
        <v>504478</v>
      </c>
      <c r="AS26" s="119">
        <f t="shared" si="22"/>
        <v>531908</v>
      </c>
      <c r="AT26" s="119">
        <f t="shared" si="22"/>
        <v>593432</v>
      </c>
      <c r="AU26" s="141">
        <f t="shared" si="1"/>
        <v>2121202</v>
      </c>
      <c r="AV26" s="119">
        <f t="shared" si="22"/>
        <v>558666.30320999993</v>
      </c>
      <c r="AW26" s="119">
        <f t="shared" si="22"/>
        <v>541867.54899000004</v>
      </c>
      <c r="AX26" s="119">
        <f t="shared" si="22"/>
        <v>592334.30263000005</v>
      </c>
      <c r="AY26" s="119">
        <f t="shared" si="22"/>
        <v>561708.7750100001</v>
      </c>
      <c r="AZ26" s="141">
        <f>SUM(AV26:AY26)</f>
        <v>2254576.9298400003</v>
      </c>
      <c r="BA26" s="119">
        <f t="shared" si="22"/>
        <v>578795.61771999998</v>
      </c>
    </row>
    <row r="27" spans="1:73">
      <c r="A27" s="11"/>
      <c r="B27" s="11" t="s">
        <v>290</v>
      </c>
      <c r="C27" s="120">
        <v>0</v>
      </c>
      <c r="D27" s="120">
        <v>0</v>
      </c>
      <c r="E27" s="120">
        <v>0</v>
      </c>
      <c r="F27" s="120">
        <v>0</v>
      </c>
      <c r="G27" s="142">
        <f t="shared" ref="G27:G37" si="23">SUM(C27:F27)</f>
        <v>0</v>
      </c>
      <c r="H27" s="120">
        <v>0</v>
      </c>
      <c r="I27" s="120">
        <v>0</v>
      </c>
      <c r="J27" s="120">
        <v>0</v>
      </c>
      <c r="K27" s="120">
        <v>0</v>
      </c>
      <c r="L27" s="142">
        <f t="shared" ref="L27:L37" si="24">SUM(H27:K27)</f>
        <v>0</v>
      </c>
      <c r="M27" s="120">
        <v>0</v>
      </c>
      <c r="N27" s="120">
        <v>0</v>
      </c>
      <c r="O27" s="120">
        <v>0</v>
      </c>
      <c r="P27" s="120">
        <v>0</v>
      </c>
      <c r="Q27" s="142">
        <f t="shared" ref="Q27:Q37" si="25">SUM(M27:P27)</f>
        <v>0</v>
      </c>
      <c r="R27" s="120">
        <v>0</v>
      </c>
      <c r="S27" s="120">
        <v>0</v>
      </c>
      <c r="T27" s="120">
        <v>0</v>
      </c>
      <c r="U27" s="120">
        <v>0</v>
      </c>
      <c r="V27" s="142">
        <f t="shared" ref="V27:V37" si="26">SUM(R27:U27)</f>
        <v>0</v>
      </c>
      <c r="W27" s="120">
        <v>0</v>
      </c>
      <c r="X27" s="120">
        <v>0</v>
      </c>
      <c r="Y27" s="120">
        <v>0</v>
      </c>
      <c r="Z27" s="120">
        <v>0</v>
      </c>
      <c r="AA27" s="142">
        <f t="shared" ref="AA27:AA37" si="27">SUM(W27:Z27)</f>
        <v>0</v>
      </c>
      <c r="AB27" s="120">
        <v>9996.3251700000001</v>
      </c>
      <c r="AC27" s="120">
        <v>15800.894779999999</v>
      </c>
      <c r="AD27" s="120">
        <v>25326.22653</v>
      </c>
      <c r="AE27" s="120">
        <v>30358.872930000001</v>
      </c>
      <c r="AF27" s="142">
        <v>81482.319409999996</v>
      </c>
      <c r="AG27" s="120">
        <v>27614</v>
      </c>
      <c r="AH27" s="120">
        <v>26089</v>
      </c>
      <c r="AI27" s="120">
        <v>38792</v>
      </c>
      <c r="AJ27" s="120">
        <v>32576</v>
      </c>
      <c r="AK27" s="142">
        <v>125071</v>
      </c>
      <c r="AL27" s="120">
        <v>38093</v>
      </c>
      <c r="AM27" s="120">
        <v>44789</v>
      </c>
      <c r="AN27" s="120">
        <v>40333</v>
      </c>
      <c r="AO27" s="120">
        <v>45235</v>
      </c>
      <c r="AP27" s="142">
        <v>168450</v>
      </c>
      <c r="AQ27" s="120">
        <v>39941</v>
      </c>
      <c r="AR27" s="120">
        <v>40512</v>
      </c>
      <c r="AS27" s="120">
        <v>43097</v>
      </c>
      <c r="AT27" s="120">
        <v>44430</v>
      </c>
      <c r="AU27" s="142">
        <f t="shared" si="1"/>
        <v>167980</v>
      </c>
      <c r="AV27" s="120">
        <v>39124.469149999997</v>
      </c>
      <c r="AW27" s="120">
        <v>45199.961029999991</v>
      </c>
      <c r="AX27" s="120">
        <v>47257</v>
      </c>
      <c r="AY27" s="120">
        <v>44977</v>
      </c>
      <c r="AZ27" s="142">
        <f>SUM(AV27:AY27)</f>
        <v>176558.43018</v>
      </c>
      <c r="BA27" s="120">
        <v>40123.412959999994</v>
      </c>
    </row>
    <row r="28" spans="1:73">
      <c r="A28" s="11"/>
      <c r="B28" s="11" t="s">
        <v>292</v>
      </c>
      <c r="C28" s="120">
        <v>0</v>
      </c>
      <c r="D28" s="120">
        <v>0</v>
      </c>
      <c r="E28" s="120">
        <v>0</v>
      </c>
      <c r="F28" s="120">
        <v>0</v>
      </c>
      <c r="G28" s="142">
        <f t="shared" si="23"/>
        <v>0</v>
      </c>
      <c r="H28" s="120">
        <v>0</v>
      </c>
      <c r="I28" s="120">
        <v>0</v>
      </c>
      <c r="J28" s="120">
        <v>0</v>
      </c>
      <c r="K28" s="120">
        <v>0</v>
      </c>
      <c r="L28" s="142">
        <f t="shared" si="24"/>
        <v>0</v>
      </c>
      <c r="M28" s="120">
        <v>0</v>
      </c>
      <c r="N28" s="120">
        <v>0</v>
      </c>
      <c r="O28" s="120">
        <v>0</v>
      </c>
      <c r="P28" s="120">
        <v>0</v>
      </c>
      <c r="Q28" s="142">
        <f t="shared" si="25"/>
        <v>0</v>
      </c>
      <c r="R28" s="120">
        <v>0</v>
      </c>
      <c r="S28" s="120">
        <v>0</v>
      </c>
      <c r="T28" s="120">
        <v>0</v>
      </c>
      <c r="U28" s="120">
        <v>0</v>
      </c>
      <c r="V28" s="142">
        <f t="shared" si="26"/>
        <v>0</v>
      </c>
      <c r="W28" s="120">
        <v>0</v>
      </c>
      <c r="X28" s="120">
        <v>0</v>
      </c>
      <c r="Y28" s="120">
        <v>0</v>
      </c>
      <c r="Z28" s="120">
        <v>0</v>
      </c>
      <c r="AA28" s="142">
        <f t="shared" si="27"/>
        <v>0</v>
      </c>
      <c r="AB28" s="120">
        <v>77995.33941</v>
      </c>
      <c r="AC28" s="120">
        <v>100105.40303999999</v>
      </c>
      <c r="AD28" s="120">
        <v>209429.62568000003</v>
      </c>
      <c r="AE28" s="120">
        <v>202800.24335000003</v>
      </c>
      <c r="AF28" s="142">
        <v>590330.61148000008</v>
      </c>
      <c r="AG28" s="120">
        <v>129927</v>
      </c>
      <c r="AH28" s="120">
        <v>177505</v>
      </c>
      <c r="AI28" s="120">
        <v>234232</v>
      </c>
      <c r="AJ28" s="120">
        <v>130471</v>
      </c>
      <c r="AK28" s="142">
        <v>672135</v>
      </c>
      <c r="AL28" s="120">
        <v>171652</v>
      </c>
      <c r="AM28" s="120">
        <v>159849</v>
      </c>
      <c r="AN28" s="120">
        <v>160439</v>
      </c>
      <c r="AO28" s="120">
        <v>164411</v>
      </c>
      <c r="AP28" s="142">
        <v>656351</v>
      </c>
      <c r="AQ28" s="120">
        <v>165631</v>
      </c>
      <c r="AR28" s="120">
        <v>177764</v>
      </c>
      <c r="AS28" s="120">
        <v>165395</v>
      </c>
      <c r="AT28" s="120">
        <v>185509</v>
      </c>
      <c r="AU28" s="142">
        <f t="shared" si="1"/>
        <v>694299</v>
      </c>
      <c r="AV28" s="120">
        <v>116019.78047</v>
      </c>
      <c r="AW28" s="120">
        <v>101661.70065000003</v>
      </c>
      <c r="AX28" s="120">
        <v>113307</v>
      </c>
      <c r="AY28" s="120">
        <v>70076</v>
      </c>
      <c r="AZ28" s="142">
        <f t="shared" ref="AZ28:AZ36" si="28">SUM(AV28:AY28)</f>
        <v>401064.48112000001</v>
      </c>
      <c r="BA28" s="120">
        <v>91493.82411999999</v>
      </c>
    </row>
    <row r="29" spans="1:73">
      <c r="A29" s="11"/>
      <c r="B29" s="11" t="s">
        <v>279</v>
      </c>
      <c r="C29" s="120">
        <v>0</v>
      </c>
      <c r="D29" s="120">
        <v>0</v>
      </c>
      <c r="E29" s="120">
        <v>0</v>
      </c>
      <c r="F29" s="120">
        <v>0</v>
      </c>
      <c r="G29" s="142">
        <f t="shared" si="23"/>
        <v>0</v>
      </c>
      <c r="H29" s="120">
        <v>0</v>
      </c>
      <c r="I29" s="120">
        <v>0</v>
      </c>
      <c r="J29" s="120">
        <v>0</v>
      </c>
      <c r="K29" s="120">
        <v>0</v>
      </c>
      <c r="L29" s="142">
        <f t="shared" si="24"/>
        <v>0</v>
      </c>
      <c r="M29" s="120">
        <v>0</v>
      </c>
      <c r="N29" s="120">
        <v>0</v>
      </c>
      <c r="O29" s="120">
        <v>0</v>
      </c>
      <c r="P29" s="120">
        <v>0</v>
      </c>
      <c r="Q29" s="142">
        <f t="shared" si="25"/>
        <v>0</v>
      </c>
      <c r="R29" s="120">
        <v>0</v>
      </c>
      <c r="S29" s="120">
        <v>0</v>
      </c>
      <c r="T29" s="120">
        <v>0</v>
      </c>
      <c r="U29" s="120">
        <v>0</v>
      </c>
      <c r="V29" s="142">
        <f t="shared" si="26"/>
        <v>0</v>
      </c>
      <c r="W29" s="120">
        <v>0</v>
      </c>
      <c r="X29" s="120">
        <v>0</v>
      </c>
      <c r="Y29" s="120">
        <v>0</v>
      </c>
      <c r="Z29" s="120">
        <v>0</v>
      </c>
      <c r="AA29" s="142">
        <f t="shared" si="27"/>
        <v>0</v>
      </c>
      <c r="AB29" s="120">
        <v>13344.21117</v>
      </c>
      <c r="AC29" s="120">
        <v>16520.48747</v>
      </c>
      <c r="AD29" s="120">
        <v>18838.53082</v>
      </c>
      <c r="AE29" s="120">
        <v>23199.461979999996</v>
      </c>
      <c r="AF29" s="142">
        <v>71902.691439999995</v>
      </c>
      <c r="AG29" s="120">
        <v>22337</v>
      </c>
      <c r="AH29" s="120">
        <v>23211</v>
      </c>
      <c r="AI29" s="120">
        <v>23352</v>
      </c>
      <c r="AJ29" s="120">
        <v>16344</v>
      </c>
      <c r="AK29" s="142">
        <v>85244</v>
      </c>
      <c r="AL29" s="120">
        <v>17835</v>
      </c>
      <c r="AM29" s="120">
        <v>18739</v>
      </c>
      <c r="AN29" s="120">
        <v>19307</v>
      </c>
      <c r="AO29" s="120">
        <v>18420</v>
      </c>
      <c r="AP29" s="142">
        <v>74301</v>
      </c>
      <c r="AQ29" s="120">
        <v>19693</v>
      </c>
      <c r="AR29" s="120">
        <v>18827</v>
      </c>
      <c r="AS29" s="120">
        <v>20726</v>
      </c>
      <c r="AT29" s="120">
        <v>22967</v>
      </c>
      <c r="AU29" s="142">
        <f t="shared" si="1"/>
        <v>82213</v>
      </c>
      <c r="AV29" s="120">
        <v>22028.667460000001</v>
      </c>
      <c r="AW29" s="120">
        <v>18810.136639999997</v>
      </c>
      <c r="AX29" s="120">
        <v>22882.110710000015</v>
      </c>
      <c r="AY29" s="120">
        <v>20692.988209999989</v>
      </c>
      <c r="AZ29" s="142">
        <f t="shared" si="28"/>
        <v>84413.903019999998</v>
      </c>
      <c r="BA29" s="120">
        <v>21913.263160000002</v>
      </c>
    </row>
    <row r="30" spans="1:73">
      <c r="A30" s="11"/>
      <c r="B30" s="11" t="s">
        <v>294</v>
      </c>
      <c r="C30" s="120">
        <v>0</v>
      </c>
      <c r="D30" s="120">
        <v>0</v>
      </c>
      <c r="E30" s="120">
        <v>0</v>
      </c>
      <c r="F30" s="120">
        <v>0</v>
      </c>
      <c r="G30" s="142">
        <f t="shared" si="23"/>
        <v>0</v>
      </c>
      <c r="H30" s="120">
        <v>0</v>
      </c>
      <c r="I30" s="120">
        <v>0</v>
      </c>
      <c r="J30" s="120">
        <v>0</v>
      </c>
      <c r="K30" s="120">
        <v>0</v>
      </c>
      <c r="L30" s="142">
        <f t="shared" si="24"/>
        <v>0</v>
      </c>
      <c r="M30" s="120">
        <v>0</v>
      </c>
      <c r="N30" s="120">
        <v>0</v>
      </c>
      <c r="O30" s="120">
        <v>0</v>
      </c>
      <c r="P30" s="120">
        <v>0</v>
      </c>
      <c r="Q30" s="142">
        <f t="shared" si="25"/>
        <v>0</v>
      </c>
      <c r="R30" s="120">
        <v>0</v>
      </c>
      <c r="S30" s="120">
        <v>0</v>
      </c>
      <c r="T30" s="120">
        <v>0</v>
      </c>
      <c r="U30" s="120">
        <v>0</v>
      </c>
      <c r="V30" s="142">
        <f t="shared" si="26"/>
        <v>0</v>
      </c>
      <c r="W30" s="120">
        <v>0</v>
      </c>
      <c r="X30" s="120">
        <v>0</v>
      </c>
      <c r="Y30" s="120">
        <v>0</v>
      </c>
      <c r="Z30" s="120">
        <v>0</v>
      </c>
      <c r="AA30" s="142">
        <f t="shared" si="27"/>
        <v>0</v>
      </c>
      <c r="AB30" s="120">
        <v>0</v>
      </c>
      <c r="AC30" s="120">
        <v>1115.6157800000001</v>
      </c>
      <c r="AD30" s="120">
        <v>5017.2139999999999</v>
      </c>
      <c r="AE30" s="120">
        <v>6475.7491800000007</v>
      </c>
      <c r="AF30" s="142">
        <v>12608.578960000001</v>
      </c>
      <c r="AG30" s="120">
        <v>9623</v>
      </c>
      <c r="AH30" s="120">
        <v>12207</v>
      </c>
      <c r="AI30" s="120">
        <v>15799</v>
      </c>
      <c r="AJ30" s="120">
        <v>19698</v>
      </c>
      <c r="AK30" s="142">
        <v>57327</v>
      </c>
      <c r="AL30" s="120">
        <v>26198</v>
      </c>
      <c r="AM30" s="120">
        <v>38695</v>
      </c>
      <c r="AN30" s="120">
        <v>44278</v>
      </c>
      <c r="AO30" s="120">
        <v>51072</v>
      </c>
      <c r="AP30" s="142">
        <v>160243</v>
      </c>
      <c r="AQ30" s="120">
        <v>56156</v>
      </c>
      <c r="AR30" s="120">
        <v>63839</v>
      </c>
      <c r="AS30" s="120">
        <v>72598</v>
      </c>
      <c r="AT30" s="120">
        <v>78998</v>
      </c>
      <c r="AU30" s="142">
        <f t="shared" si="1"/>
        <v>271591</v>
      </c>
      <c r="AV30" s="120">
        <v>84273.190220000004</v>
      </c>
      <c r="AW30" s="120">
        <v>90383.776269999988</v>
      </c>
      <c r="AX30" s="120">
        <v>97483.769409999994</v>
      </c>
      <c r="AY30" s="120">
        <v>104389</v>
      </c>
      <c r="AZ30" s="142">
        <f t="shared" si="28"/>
        <v>376529.73589999997</v>
      </c>
      <c r="BA30" s="120">
        <v>114766.98334999999</v>
      </c>
    </row>
    <row r="31" spans="1:73">
      <c r="A31" s="11"/>
      <c r="B31" s="11" t="s">
        <v>296</v>
      </c>
      <c r="C31" s="120">
        <v>0</v>
      </c>
      <c r="D31" s="120">
        <v>0</v>
      </c>
      <c r="E31" s="120">
        <v>0</v>
      </c>
      <c r="F31" s="120">
        <v>0</v>
      </c>
      <c r="G31" s="142">
        <f t="shared" si="23"/>
        <v>0</v>
      </c>
      <c r="H31" s="120">
        <v>0</v>
      </c>
      <c r="I31" s="120">
        <v>0</v>
      </c>
      <c r="J31" s="120">
        <v>0</v>
      </c>
      <c r="K31" s="120">
        <v>0</v>
      </c>
      <c r="L31" s="142">
        <f t="shared" si="24"/>
        <v>0</v>
      </c>
      <c r="M31" s="120">
        <v>0</v>
      </c>
      <c r="N31" s="120">
        <v>0</v>
      </c>
      <c r="O31" s="120">
        <v>0</v>
      </c>
      <c r="P31" s="120">
        <v>0</v>
      </c>
      <c r="Q31" s="142">
        <f t="shared" si="25"/>
        <v>0</v>
      </c>
      <c r="R31" s="120">
        <v>0</v>
      </c>
      <c r="S31" s="120">
        <v>0</v>
      </c>
      <c r="T31" s="120">
        <v>0</v>
      </c>
      <c r="U31" s="120">
        <v>0</v>
      </c>
      <c r="V31" s="142">
        <f t="shared" si="26"/>
        <v>0</v>
      </c>
      <c r="W31" s="120">
        <v>0</v>
      </c>
      <c r="X31" s="120">
        <v>0</v>
      </c>
      <c r="Y31" s="120">
        <v>0</v>
      </c>
      <c r="Z31" s="120">
        <v>0</v>
      </c>
      <c r="AA31" s="142">
        <f t="shared" si="27"/>
        <v>0</v>
      </c>
      <c r="AB31" s="120">
        <v>14707.750370000002</v>
      </c>
      <c r="AC31" s="120">
        <v>34243.350870000002</v>
      </c>
      <c r="AD31" s="120">
        <v>50129.761829999989</v>
      </c>
      <c r="AE31" s="120">
        <v>63928.733469999999</v>
      </c>
      <c r="AF31" s="142">
        <v>163009.59654</v>
      </c>
      <c r="AG31" s="120">
        <v>56926</v>
      </c>
      <c r="AH31" s="120">
        <v>63794</v>
      </c>
      <c r="AI31" s="120">
        <v>79334</v>
      </c>
      <c r="AJ31" s="120">
        <v>69331</v>
      </c>
      <c r="AK31" s="142">
        <v>269385</v>
      </c>
      <c r="AL31" s="120">
        <v>64879</v>
      </c>
      <c r="AM31" s="120">
        <v>60889</v>
      </c>
      <c r="AN31" s="120">
        <v>66844</v>
      </c>
      <c r="AO31" s="120">
        <v>66359</v>
      </c>
      <c r="AP31" s="142">
        <v>258971</v>
      </c>
      <c r="AQ31" s="120">
        <v>66076</v>
      </c>
      <c r="AR31" s="120">
        <v>73378</v>
      </c>
      <c r="AS31" s="120">
        <v>77935</v>
      </c>
      <c r="AT31" s="120">
        <v>78506</v>
      </c>
      <c r="AU31" s="142">
        <f t="shared" si="1"/>
        <v>295895</v>
      </c>
      <c r="AV31" s="120">
        <v>86528.731709999993</v>
      </c>
      <c r="AW31" s="120">
        <v>91456.468859999964</v>
      </c>
      <c r="AX31" s="120">
        <v>100909.94935000001</v>
      </c>
      <c r="AY31" s="120">
        <v>98962.065449999995</v>
      </c>
      <c r="AZ31" s="142">
        <f t="shared" si="28"/>
        <v>377857.21536999999</v>
      </c>
      <c r="BA31" s="120">
        <v>93676.687009999994</v>
      </c>
    </row>
    <row r="32" spans="1:73">
      <c r="A32" s="11"/>
      <c r="B32" s="11" t="s">
        <v>275</v>
      </c>
      <c r="C32" s="120">
        <v>0</v>
      </c>
      <c r="D32" s="120">
        <v>0</v>
      </c>
      <c r="E32" s="120">
        <v>0</v>
      </c>
      <c r="F32" s="120">
        <v>0</v>
      </c>
      <c r="G32" s="142">
        <f t="shared" si="23"/>
        <v>0</v>
      </c>
      <c r="H32" s="120">
        <v>0</v>
      </c>
      <c r="I32" s="120">
        <v>0</v>
      </c>
      <c r="J32" s="120">
        <v>0</v>
      </c>
      <c r="K32" s="120">
        <v>0</v>
      </c>
      <c r="L32" s="142">
        <f t="shared" si="24"/>
        <v>0</v>
      </c>
      <c r="M32" s="120">
        <v>0</v>
      </c>
      <c r="N32" s="120">
        <v>0</v>
      </c>
      <c r="O32" s="120">
        <v>0</v>
      </c>
      <c r="P32" s="120">
        <v>0</v>
      </c>
      <c r="Q32" s="142">
        <f t="shared" si="25"/>
        <v>0</v>
      </c>
      <c r="R32" s="120">
        <v>0</v>
      </c>
      <c r="S32" s="120">
        <v>0</v>
      </c>
      <c r="T32" s="120">
        <v>0</v>
      </c>
      <c r="U32" s="120">
        <v>0</v>
      </c>
      <c r="V32" s="142">
        <f t="shared" si="26"/>
        <v>0</v>
      </c>
      <c r="W32" s="120">
        <v>0</v>
      </c>
      <c r="X32" s="120">
        <v>0</v>
      </c>
      <c r="Y32" s="120">
        <v>0</v>
      </c>
      <c r="Z32" s="120">
        <v>0</v>
      </c>
      <c r="AA32" s="142">
        <f t="shared" si="27"/>
        <v>0</v>
      </c>
      <c r="AB32" s="120">
        <v>0</v>
      </c>
      <c r="AC32" s="120">
        <v>0</v>
      </c>
      <c r="AD32" s="120">
        <v>6379.6751800000002</v>
      </c>
      <c r="AE32" s="120">
        <v>8454.2459299999991</v>
      </c>
      <c r="AF32" s="142">
        <v>14833.921109999999</v>
      </c>
      <c r="AG32" s="120">
        <v>6028</v>
      </c>
      <c r="AH32" s="120">
        <v>13727</v>
      </c>
      <c r="AI32" s="120">
        <v>20490</v>
      </c>
      <c r="AJ32" s="120">
        <v>14749</v>
      </c>
      <c r="AK32" s="142">
        <v>54994</v>
      </c>
      <c r="AL32" s="120">
        <v>21581</v>
      </c>
      <c r="AM32" s="120">
        <v>23032</v>
      </c>
      <c r="AN32" s="120">
        <v>30344</v>
      </c>
      <c r="AO32" s="120">
        <v>28879</v>
      </c>
      <c r="AP32" s="142">
        <v>103836</v>
      </c>
      <c r="AQ32" s="120">
        <v>28589</v>
      </c>
      <c r="AR32" s="120">
        <v>24483</v>
      </c>
      <c r="AS32" s="120">
        <v>26014</v>
      </c>
      <c r="AT32" s="120">
        <v>28803</v>
      </c>
      <c r="AU32" s="142">
        <f t="shared" si="1"/>
        <v>107889</v>
      </c>
      <c r="AV32" s="120">
        <v>30113.047649999997</v>
      </c>
      <c r="AW32" s="120">
        <v>31462</v>
      </c>
      <c r="AX32" s="120">
        <v>35996.749249999993</v>
      </c>
      <c r="AY32" s="120">
        <v>38459.375310000003</v>
      </c>
      <c r="AZ32" s="142">
        <f t="shared" si="28"/>
        <v>136031.17220999999</v>
      </c>
      <c r="BA32" s="120">
        <v>39250.161209999998</v>
      </c>
    </row>
    <row r="33" spans="1:53">
      <c r="A33" s="11"/>
      <c r="B33" s="11" t="s">
        <v>277</v>
      </c>
      <c r="C33" s="120">
        <v>0</v>
      </c>
      <c r="D33" s="120">
        <v>0</v>
      </c>
      <c r="E33" s="120">
        <v>0</v>
      </c>
      <c r="F33" s="120">
        <v>0</v>
      </c>
      <c r="G33" s="142">
        <f t="shared" si="23"/>
        <v>0</v>
      </c>
      <c r="H33" s="120">
        <v>0</v>
      </c>
      <c r="I33" s="120">
        <v>0</v>
      </c>
      <c r="J33" s="120">
        <v>0</v>
      </c>
      <c r="K33" s="120">
        <v>0</v>
      </c>
      <c r="L33" s="142">
        <f t="shared" si="24"/>
        <v>0</v>
      </c>
      <c r="M33" s="120">
        <v>0</v>
      </c>
      <c r="N33" s="120">
        <v>0</v>
      </c>
      <c r="O33" s="120">
        <v>0</v>
      </c>
      <c r="P33" s="120">
        <v>0</v>
      </c>
      <c r="Q33" s="142">
        <f t="shared" si="25"/>
        <v>0</v>
      </c>
      <c r="R33" s="120">
        <v>0</v>
      </c>
      <c r="S33" s="120">
        <v>0</v>
      </c>
      <c r="T33" s="120">
        <v>0</v>
      </c>
      <c r="U33" s="120">
        <v>0</v>
      </c>
      <c r="V33" s="142">
        <f t="shared" si="26"/>
        <v>0</v>
      </c>
      <c r="W33" s="120">
        <v>0</v>
      </c>
      <c r="X33" s="120">
        <v>0</v>
      </c>
      <c r="Y33" s="120">
        <v>0</v>
      </c>
      <c r="Z33" s="120">
        <v>0</v>
      </c>
      <c r="AA33" s="142">
        <f t="shared" si="27"/>
        <v>0</v>
      </c>
      <c r="AB33" s="120">
        <v>0</v>
      </c>
      <c r="AC33" s="120">
        <v>0</v>
      </c>
      <c r="AD33" s="120">
        <v>625.17274999999995</v>
      </c>
      <c r="AE33" s="120">
        <v>7527.6387500000001</v>
      </c>
      <c r="AF33" s="142">
        <v>8152.8114999999998</v>
      </c>
      <c r="AG33" s="120">
        <v>29931</v>
      </c>
      <c r="AH33" s="120">
        <v>56516</v>
      </c>
      <c r="AI33" s="120">
        <v>78055</v>
      </c>
      <c r="AJ33" s="120">
        <v>90656</v>
      </c>
      <c r="AK33" s="142">
        <v>255158</v>
      </c>
      <c r="AL33" s="120">
        <v>84791</v>
      </c>
      <c r="AM33" s="120">
        <v>85412</v>
      </c>
      <c r="AN33" s="120">
        <v>101694</v>
      </c>
      <c r="AO33" s="120">
        <v>106181</v>
      </c>
      <c r="AP33" s="142">
        <v>378078</v>
      </c>
      <c r="AQ33" s="120">
        <v>101221</v>
      </c>
      <c r="AR33" s="120">
        <v>92460</v>
      </c>
      <c r="AS33" s="120">
        <v>108665</v>
      </c>
      <c r="AT33" s="120">
        <v>137759</v>
      </c>
      <c r="AU33" s="142">
        <f t="shared" si="1"/>
        <v>440105</v>
      </c>
      <c r="AV33" s="120">
        <v>160925.9228</v>
      </c>
      <c r="AW33" s="120">
        <v>143328.89732000005</v>
      </c>
      <c r="AX33" s="120">
        <v>152423.90014000004</v>
      </c>
      <c r="AY33" s="120">
        <v>160613.83526000005</v>
      </c>
      <c r="AZ33" s="142">
        <f t="shared" si="28"/>
        <v>617292.55552000017</v>
      </c>
      <c r="BA33" s="120">
        <v>156273.66566</v>
      </c>
    </row>
    <row r="34" spans="1:53">
      <c r="A34" s="11"/>
      <c r="B34" s="11" t="s">
        <v>298</v>
      </c>
      <c r="C34" s="120">
        <v>0</v>
      </c>
      <c r="D34" s="120">
        <v>0</v>
      </c>
      <c r="E34" s="120">
        <v>0</v>
      </c>
      <c r="F34" s="120">
        <v>0</v>
      </c>
      <c r="G34" s="142">
        <f t="shared" si="23"/>
        <v>0</v>
      </c>
      <c r="H34" s="120">
        <v>0</v>
      </c>
      <c r="I34" s="120">
        <v>0</v>
      </c>
      <c r="J34" s="120">
        <v>0</v>
      </c>
      <c r="K34" s="120">
        <v>0</v>
      </c>
      <c r="L34" s="142">
        <f t="shared" si="24"/>
        <v>0</v>
      </c>
      <c r="M34" s="120">
        <v>0</v>
      </c>
      <c r="N34" s="120">
        <v>0</v>
      </c>
      <c r="O34" s="120">
        <v>0</v>
      </c>
      <c r="P34" s="120">
        <v>0</v>
      </c>
      <c r="Q34" s="142">
        <f t="shared" si="25"/>
        <v>0</v>
      </c>
      <c r="R34" s="120">
        <v>0</v>
      </c>
      <c r="S34" s="120">
        <v>0</v>
      </c>
      <c r="T34" s="120">
        <v>0</v>
      </c>
      <c r="U34" s="120">
        <v>0</v>
      </c>
      <c r="V34" s="142">
        <f t="shared" si="26"/>
        <v>0</v>
      </c>
      <c r="W34" s="120">
        <v>0</v>
      </c>
      <c r="X34" s="120">
        <v>0</v>
      </c>
      <c r="Y34" s="120">
        <v>0</v>
      </c>
      <c r="Z34" s="120">
        <v>0</v>
      </c>
      <c r="AA34" s="142">
        <f t="shared" si="27"/>
        <v>0</v>
      </c>
      <c r="AB34" s="120">
        <v>0</v>
      </c>
      <c r="AC34" s="120">
        <v>0</v>
      </c>
      <c r="AD34" s="120">
        <v>0</v>
      </c>
      <c r="AE34" s="120">
        <v>14.02482</v>
      </c>
      <c r="AF34" s="142">
        <v>14.02482</v>
      </c>
      <c r="AG34" s="120">
        <v>1993</v>
      </c>
      <c r="AH34" s="120">
        <v>3351</v>
      </c>
      <c r="AI34" s="120">
        <v>6410</v>
      </c>
      <c r="AJ34" s="120">
        <v>4734</v>
      </c>
      <c r="AK34" s="142">
        <v>16488</v>
      </c>
      <c r="AL34" s="120">
        <v>6119</v>
      </c>
      <c r="AM34" s="120">
        <v>8626</v>
      </c>
      <c r="AN34" s="120">
        <v>6395</v>
      </c>
      <c r="AO34" s="120">
        <v>5407</v>
      </c>
      <c r="AP34" s="142">
        <v>26547</v>
      </c>
      <c r="AQ34" s="120">
        <v>11014</v>
      </c>
      <c r="AR34" s="120">
        <v>9694</v>
      </c>
      <c r="AS34" s="120">
        <v>13666</v>
      </c>
      <c r="AT34" s="120">
        <v>11841</v>
      </c>
      <c r="AU34" s="142">
        <f t="shared" si="1"/>
        <v>46215</v>
      </c>
      <c r="AV34" s="120">
        <v>15500.80485</v>
      </c>
      <c r="AW34" s="120">
        <v>15614.302859999998</v>
      </c>
      <c r="AX34" s="120">
        <v>17533.692030000009</v>
      </c>
      <c r="AY34" s="120">
        <v>17965.293389999992</v>
      </c>
      <c r="AZ34" s="142">
        <f t="shared" si="28"/>
        <v>66614.093129999994</v>
      </c>
      <c r="BA34" s="120">
        <v>16084.74149</v>
      </c>
    </row>
    <row r="35" spans="1:53">
      <c r="A35" s="11"/>
      <c r="B35" s="11" t="s">
        <v>365</v>
      </c>
      <c r="C35" s="120"/>
      <c r="D35" s="120"/>
      <c r="E35" s="120"/>
      <c r="F35" s="120"/>
      <c r="G35" s="142">
        <f t="shared" si="23"/>
        <v>0</v>
      </c>
      <c r="H35" s="120"/>
      <c r="I35" s="120"/>
      <c r="J35" s="120"/>
      <c r="K35" s="120"/>
      <c r="L35" s="142">
        <f t="shared" si="24"/>
        <v>0</v>
      </c>
      <c r="M35" s="120"/>
      <c r="N35" s="120"/>
      <c r="O35" s="120"/>
      <c r="P35" s="120"/>
      <c r="Q35" s="142">
        <f t="shared" si="25"/>
        <v>0</v>
      </c>
      <c r="R35" s="120"/>
      <c r="S35" s="120"/>
      <c r="T35" s="120"/>
      <c r="U35" s="120"/>
      <c r="V35" s="142">
        <f t="shared" si="26"/>
        <v>0</v>
      </c>
      <c r="W35" s="120"/>
      <c r="X35" s="120"/>
      <c r="Y35" s="120"/>
      <c r="Z35" s="120"/>
      <c r="AA35" s="142">
        <f t="shared" si="27"/>
        <v>0</v>
      </c>
      <c r="AB35" s="120">
        <v>0</v>
      </c>
      <c r="AC35" s="120">
        <v>0</v>
      </c>
      <c r="AD35" s="120">
        <v>23.385950000000005</v>
      </c>
      <c r="AE35" s="120">
        <v>623.02203999999983</v>
      </c>
      <c r="AF35" s="142">
        <v>646.40798999999981</v>
      </c>
      <c r="AG35" s="120">
        <v>1083</v>
      </c>
      <c r="AH35" s="120">
        <v>2180</v>
      </c>
      <c r="AI35" s="120">
        <v>2996</v>
      </c>
      <c r="AJ35" s="120">
        <v>3332</v>
      </c>
      <c r="AK35" s="142">
        <v>9591</v>
      </c>
      <c r="AL35" s="120">
        <v>1776</v>
      </c>
      <c r="AM35" s="120">
        <v>2350</v>
      </c>
      <c r="AN35" s="120">
        <v>2447</v>
      </c>
      <c r="AO35" s="120">
        <v>2708</v>
      </c>
      <c r="AP35" s="142">
        <v>9281</v>
      </c>
      <c r="AQ35" s="120">
        <v>2580</v>
      </c>
      <c r="AR35" s="120">
        <v>3091</v>
      </c>
      <c r="AS35" s="120">
        <v>3303</v>
      </c>
      <c r="AT35" s="120">
        <v>4123</v>
      </c>
      <c r="AU35" s="142">
        <f t="shared" si="1"/>
        <v>13097</v>
      </c>
      <c r="AV35" s="120">
        <v>3631.1754799999999</v>
      </c>
      <c r="AW35" s="120">
        <v>3704.9399799999997</v>
      </c>
      <c r="AX35" s="120">
        <v>4072.3702900000008</v>
      </c>
      <c r="AY35" s="120">
        <v>4974</v>
      </c>
      <c r="AZ35" s="142">
        <f t="shared" si="28"/>
        <v>16382.48575</v>
      </c>
      <c r="BA35" s="120">
        <v>4421.0251199999993</v>
      </c>
    </row>
    <row r="36" spans="1:53">
      <c r="A36" s="11"/>
      <c r="B36" s="11" t="s">
        <v>301</v>
      </c>
      <c r="C36" s="120"/>
      <c r="D36" s="120"/>
      <c r="E36" s="120"/>
      <c r="F36" s="120"/>
      <c r="G36" s="142">
        <f t="shared" si="23"/>
        <v>0</v>
      </c>
      <c r="H36" s="120"/>
      <c r="I36" s="120"/>
      <c r="J36" s="120"/>
      <c r="K36" s="120"/>
      <c r="L36" s="142">
        <f t="shared" si="24"/>
        <v>0</v>
      </c>
      <c r="M36" s="120"/>
      <c r="N36" s="120"/>
      <c r="O36" s="120"/>
      <c r="P36" s="120"/>
      <c r="Q36" s="142">
        <f t="shared" si="25"/>
        <v>0</v>
      </c>
      <c r="R36" s="120"/>
      <c r="S36" s="120"/>
      <c r="T36" s="120"/>
      <c r="U36" s="120"/>
      <c r="V36" s="142">
        <f t="shared" si="26"/>
        <v>0</v>
      </c>
      <c r="W36" s="120"/>
      <c r="X36" s="120"/>
      <c r="Y36" s="120"/>
      <c r="Z36" s="120"/>
      <c r="AA36" s="142">
        <f t="shared" si="27"/>
        <v>0</v>
      </c>
      <c r="AB36" s="120"/>
      <c r="AC36" s="120"/>
      <c r="AD36" s="120"/>
      <c r="AE36" s="120"/>
      <c r="AF36" s="142">
        <v>0</v>
      </c>
      <c r="AG36" s="120">
        <v>24</v>
      </c>
      <c r="AH36" s="120">
        <v>84</v>
      </c>
      <c r="AI36" s="120">
        <v>98</v>
      </c>
      <c r="AJ36" s="120">
        <v>169</v>
      </c>
      <c r="AK36" s="142">
        <v>375</v>
      </c>
      <c r="AL36" s="120">
        <v>235</v>
      </c>
      <c r="AM36" s="120">
        <v>285</v>
      </c>
      <c r="AN36" s="120">
        <v>294</v>
      </c>
      <c r="AO36" s="120">
        <v>407</v>
      </c>
      <c r="AP36" s="142">
        <v>1221</v>
      </c>
      <c r="AQ36" s="120">
        <v>475</v>
      </c>
      <c r="AR36" s="120">
        <v>423</v>
      </c>
      <c r="AS36" s="120">
        <v>501</v>
      </c>
      <c r="AT36" s="120">
        <v>490</v>
      </c>
      <c r="AU36" s="142">
        <f t="shared" si="1"/>
        <v>1889</v>
      </c>
      <c r="AV36" s="120">
        <v>516.43579999999997</v>
      </c>
      <c r="AW36" s="120">
        <v>242.06334999999999</v>
      </c>
      <c r="AX36" s="120">
        <v>464.74354999999991</v>
      </c>
      <c r="AY36" s="120">
        <v>596.50519999999972</v>
      </c>
      <c r="AZ36" s="142">
        <f t="shared" si="28"/>
        <v>1819.7478999999994</v>
      </c>
      <c r="BA36" s="120">
        <v>789.39062999999987</v>
      </c>
    </row>
    <row r="37" spans="1:53">
      <c r="A37" s="11"/>
      <c r="B37" s="11" t="s">
        <v>303</v>
      </c>
      <c r="C37" s="120"/>
      <c r="D37" s="120"/>
      <c r="E37" s="120"/>
      <c r="F37" s="120"/>
      <c r="G37" s="142">
        <f t="shared" si="23"/>
        <v>0</v>
      </c>
      <c r="H37" s="120"/>
      <c r="I37" s="120"/>
      <c r="J37" s="120"/>
      <c r="K37" s="120"/>
      <c r="L37" s="142">
        <f t="shared" si="24"/>
        <v>0</v>
      </c>
      <c r="M37" s="120"/>
      <c r="N37" s="120"/>
      <c r="O37" s="120"/>
      <c r="P37" s="120"/>
      <c r="Q37" s="142">
        <f t="shared" si="25"/>
        <v>0</v>
      </c>
      <c r="R37" s="120"/>
      <c r="S37" s="120"/>
      <c r="T37" s="120"/>
      <c r="U37" s="120"/>
      <c r="V37" s="142">
        <f t="shared" si="26"/>
        <v>0</v>
      </c>
      <c r="W37" s="120"/>
      <c r="X37" s="120"/>
      <c r="Y37" s="120"/>
      <c r="Z37" s="120"/>
      <c r="AA37" s="142">
        <f t="shared" si="27"/>
        <v>0</v>
      </c>
      <c r="AB37" s="120"/>
      <c r="AC37" s="120"/>
      <c r="AD37" s="120"/>
      <c r="AE37" s="120"/>
      <c r="AF37" s="142">
        <v>0</v>
      </c>
      <c r="AG37" s="120">
        <v>0</v>
      </c>
      <c r="AH37" s="120">
        <v>0</v>
      </c>
      <c r="AI37" s="120">
        <v>11</v>
      </c>
      <c r="AJ37" s="120">
        <v>14</v>
      </c>
      <c r="AK37" s="142">
        <v>25</v>
      </c>
      <c r="AL37" s="120">
        <v>13</v>
      </c>
      <c r="AM37" s="120">
        <v>9</v>
      </c>
      <c r="AN37" s="120">
        <v>9</v>
      </c>
      <c r="AO37" s="120">
        <v>11</v>
      </c>
      <c r="AP37" s="142">
        <v>42</v>
      </c>
      <c r="AQ37" s="120">
        <v>8</v>
      </c>
      <c r="AR37" s="120">
        <v>7</v>
      </c>
      <c r="AS37" s="120">
        <v>8</v>
      </c>
      <c r="AT37" s="120">
        <v>6</v>
      </c>
      <c r="AU37" s="142">
        <f t="shared" si="1"/>
        <v>29</v>
      </c>
      <c r="AV37" s="120">
        <v>4.0776199999999996</v>
      </c>
      <c r="AW37" s="120">
        <v>3.3020300000000007</v>
      </c>
      <c r="AX37" s="120">
        <v>3.0179</v>
      </c>
      <c r="AY37" s="120">
        <v>2.7121900000000014</v>
      </c>
      <c r="AZ37" s="142">
        <f>SUM(AV37:AY37)</f>
        <v>13.10974</v>
      </c>
      <c r="BA37" s="120">
        <v>2.4630100000000001</v>
      </c>
    </row>
    <row r="38" spans="1:53">
      <c r="A38" s="9"/>
      <c r="B38" s="9" t="s">
        <v>305</v>
      </c>
      <c r="C38" s="122">
        <v>0</v>
      </c>
      <c r="D38" s="122">
        <v>0</v>
      </c>
      <c r="E38" s="122">
        <v>0</v>
      </c>
      <c r="F38" s="122">
        <v>0</v>
      </c>
      <c r="G38" s="143">
        <f>SUM(C38:F38)</f>
        <v>0</v>
      </c>
      <c r="H38" s="122">
        <v>0</v>
      </c>
      <c r="I38" s="122">
        <v>0</v>
      </c>
      <c r="J38" s="122">
        <v>0</v>
      </c>
      <c r="K38" s="122">
        <v>0</v>
      </c>
      <c r="L38" s="143">
        <f>SUM(H38:K38)</f>
        <v>0</v>
      </c>
      <c r="M38" s="122">
        <v>0</v>
      </c>
      <c r="N38" s="122">
        <v>0</v>
      </c>
      <c r="O38" s="122">
        <v>0</v>
      </c>
      <c r="P38" s="122">
        <v>0</v>
      </c>
      <c r="Q38" s="143">
        <f>SUM(M38:P38)</f>
        <v>0</v>
      </c>
      <c r="R38" s="122">
        <v>0</v>
      </c>
      <c r="S38" s="122">
        <v>0</v>
      </c>
      <c r="T38" s="122">
        <v>0</v>
      </c>
      <c r="U38" s="122">
        <v>0</v>
      </c>
      <c r="V38" s="143">
        <f>SUM(R38:U38)</f>
        <v>0</v>
      </c>
      <c r="W38" s="122">
        <v>0</v>
      </c>
      <c r="X38" s="122">
        <v>0</v>
      </c>
      <c r="Y38" s="122">
        <v>0</v>
      </c>
      <c r="Z38" s="122">
        <v>0</v>
      </c>
      <c r="AA38" s="143">
        <f>SUM(W38:Z38)</f>
        <v>0</v>
      </c>
      <c r="AB38" s="122">
        <v>-1781.4667399999998</v>
      </c>
      <c r="AC38" s="122">
        <v>-21658.209200000005</v>
      </c>
      <c r="AD38" s="122">
        <v>-24240.573229999998</v>
      </c>
      <c r="AE38" s="122">
        <v>-27746.284649999998</v>
      </c>
      <c r="AF38" s="143">
        <v>-75426.533819999997</v>
      </c>
      <c r="AG38" s="122">
        <v>-46700</v>
      </c>
      <c r="AH38" s="122">
        <v>-70176</v>
      </c>
      <c r="AI38" s="122">
        <v>-96247</v>
      </c>
      <c r="AJ38" s="122">
        <v>-92070</v>
      </c>
      <c r="AK38" s="143">
        <v>-305193</v>
      </c>
      <c r="AL38" s="122">
        <v>-87829</v>
      </c>
      <c r="AM38" s="122">
        <v>-90149</v>
      </c>
      <c r="AN38" s="122">
        <v>-104196</v>
      </c>
      <c r="AO38" s="122">
        <v>-103636</v>
      </c>
      <c r="AP38" s="143">
        <v>-385810</v>
      </c>
      <c r="AQ38" s="122">
        <v>-98747</v>
      </c>
      <c r="AR38" s="122">
        <v>-103142</v>
      </c>
      <c r="AS38" s="122">
        <v>-120386</v>
      </c>
      <c r="AT38" s="122">
        <v>-138171</v>
      </c>
      <c r="AU38" s="143">
        <f t="shared" si="1"/>
        <v>-460446</v>
      </c>
      <c r="AV38" s="122">
        <v>-154125.67618000001</v>
      </c>
      <c r="AW38" s="122">
        <v>-147177.04014000003</v>
      </c>
      <c r="AX38" s="122">
        <v>-154725.89739</v>
      </c>
      <c r="AY38" s="122">
        <v>-162480</v>
      </c>
      <c r="AZ38" s="143">
        <f>SUM(AV38:AY38)</f>
        <v>-618508.61370999995</v>
      </c>
      <c r="BA38" s="122">
        <v>-154110</v>
      </c>
    </row>
    <row r="39" spans="1:53">
      <c r="A39" s="11"/>
      <c r="B39" s="11"/>
      <c r="C39" s="120"/>
      <c r="D39" s="120"/>
      <c r="E39" s="120"/>
      <c r="F39" s="120"/>
      <c r="G39" s="185"/>
      <c r="H39" s="120"/>
      <c r="I39" s="120"/>
      <c r="J39" s="120"/>
      <c r="K39" s="120"/>
      <c r="L39" s="185"/>
      <c r="M39" s="120"/>
      <c r="N39" s="120"/>
      <c r="O39" s="120"/>
      <c r="P39" s="120"/>
      <c r="Q39" s="185"/>
      <c r="R39" s="120"/>
      <c r="S39" s="120"/>
      <c r="T39" s="120"/>
      <c r="U39" s="120"/>
      <c r="V39" s="185"/>
      <c r="W39" s="120"/>
      <c r="X39" s="120"/>
      <c r="Y39" s="120"/>
      <c r="Z39" s="120"/>
      <c r="AA39" s="185"/>
      <c r="AB39" s="120"/>
      <c r="AC39" s="120"/>
      <c r="AD39" s="120"/>
      <c r="AE39" s="120"/>
      <c r="AF39" s="185"/>
      <c r="AG39" s="120"/>
      <c r="AH39" s="120"/>
      <c r="AI39" s="120"/>
      <c r="AJ39" s="120"/>
      <c r="AK39" s="185"/>
      <c r="AL39" s="120"/>
      <c r="AM39" s="121"/>
      <c r="AN39" s="120"/>
      <c r="AO39" s="120"/>
      <c r="AP39" s="185"/>
      <c r="AQ39" s="120"/>
      <c r="AR39" s="120"/>
      <c r="AS39" s="120"/>
      <c r="AT39" s="120"/>
      <c r="AU39" s="185"/>
      <c r="AV39" s="120"/>
      <c r="AW39" s="120"/>
      <c r="AX39" s="120"/>
      <c r="AY39" s="120"/>
      <c r="AZ39" s="185"/>
      <c r="BA39" s="120"/>
    </row>
    <row r="40" spans="1:53">
      <c r="A40" s="54"/>
      <c r="B40" s="9" t="s">
        <v>307</v>
      </c>
      <c r="C40" s="122">
        <v>-12453.154839999999</v>
      </c>
      <c r="D40" s="122">
        <f>SUM(D41:D44)</f>
        <v>-14576.701679999998</v>
      </c>
      <c r="E40" s="122">
        <f t="shared" ref="E40:F40" si="29">SUM(E41:E44)</f>
        <v>-17673.740510000003</v>
      </c>
      <c r="F40" s="122">
        <f t="shared" si="29"/>
        <v>-20718.914909999992</v>
      </c>
      <c r="G40" s="143">
        <f t="shared" ref="G40:G58" si="30">SUM(C40:F40)</f>
        <v>-65422.511939999997</v>
      </c>
      <c r="H40" s="122">
        <v>-21010.350930000001</v>
      </c>
      <c r="I40" s="122">
        <v>-20583.432040000003</v>
      </c>
      <c r="J40" s="122">
        <v>-22631.823019999989</v>
      </c>
      <c r="K40" s="122">
        <v>-29543.228969999996</v>
      </c>
      <c r="L40" s="143">
        <f t="shared" ref="L40:L58" si="31">SUM(H40:K40)</f>
        <v>-93768.834959999978</v>
      </c>
      <c r="M40" s="122">
        <v>-28115.11174</v>
      </c>
      <c r="N40" s="122">
        <v>-26436.952160000001</v>
      </c>
      <c r="O40" s="122">
        <v>-29415.879860000015</v>
      </c>
      <c r="P40" s="122">
        <v>-2277.0186299999987</v>
      </c>
      <c r="Q40" s="143">
        <f t="shared" ref="Q40:Q58" si="32">SUM(M40:P40)</f>
        <v>-86244.96239000003</v>
      </c>
      <c r="R40" s="122">
        <v>-28036.43275</v>
      </c>
      <c r="S40" s="122">
        <v>-30255.899729999994</v>
      </c>
      <c r="T40" s="122">
        <v>-31845.563979999999</v>
      </c>
      <c r="U40" s="122">
        <v>-24406.541239999999</v>
      </c>
      <c r="V40" s="143">
        <f t="shared" ref="V40:V58" si="33">SUM(R40:U40)</f>
        <v>-114544.43769999998</v>
      </c>
      <c r="W40" s="122">
        <v>-30500.91994</v>
      </c>
      <c r="X40" s="122">
        <v>-28159.054630000002</v>
      </c>
      <c r="Y40" s="122">
        <v>-43884.79458999999</v>
      </c>
      <c r="Z40" s="122">
        <v>-37313.735299999978</v>
      </c>
      <c r="AA40" s="143">
        <f t="shared" ref="AA40:AA58" si="34">SUM(W40:Z40)</f>
        <v>-139858.50445999997</v>
      </c>
      <c r="AB40" s="122">
        <v>-34651.087630000002</v>
      </c>
      <c r="AC40" s="122">
        <v>-42476.204289999987</v>
      </c>
      <c r="AD40" s="122">
        <v>-50963.072759999981</v>
      </c>
      <c r="AE40" s="122">
        <v>-62417.958160000009</v>
      </c>
      <c r="AF40" s="143">
        <v>-190508.32283999998</v>
      </c>
      <c r="AG40" s="122">
        <v>-50558</v>
      </c>
      <c r="AH40" s="122">
        <v>-74233</v>
      </c>
      <c r="AI40" s="122">
        <v>-89068</v>
      </c>
      <c r="AJ40" s="122">
        <v>-81814</v>
      </c>
      <c r="AK40" s="143">
        <v>-295673</v>
      </c>
      <c r="AL40" s="122">
        <v>-53848</v>
      </c>
      <c r="AM40" s="122">
        <v>-89489</v>
      </c>
      <c r="AN40" s="122">
        <v>-94269</v>
      </c>
      <c r="AO40" s="122">
        <v>-89379</v>
      </c>
      <c r="AP40" s="143">
        <v>-326985</v>
      </c>
      <c r="AQ40" s="122">
        <f t="shared" ref="AQ40:BA40" si="35">SUM(AQ41:AQ44)</f>
        <v>-102838</v>
      </c>
      <c r="AR40" s="122">
        <f t="shared" si="35"/>
        <v>-93930</v>
      </c>
      <c r="AS40" s="122">
        <f t="shared" si="35"/>
        <v>-22927</v>
      </c>
      <c r="AT40" s="122">
        <f t="shared" si="35"/>
        <v>-110188</v>
      </c>
      <c r="AU40" s="143">
        <f t="shared" ref="AU40:AU45" si="36">SUM(AQ40:AT40)</f>
        <v>-329883</v>
      </c>
      <c r="AV40" s="122">
        <f t="shared" si="35"/>
        <v>-115649.5682200001</v>
      </c>
      <c r="AW40" s="122">
        <f t="shared" si="35"/>
        <v>-109457.64984999997</v>
      </c>
      <c r="AX40" s="122">
        <f t="shared" si="35"/>
        <v>-123248.33595000001</v>
      </c>
      <c r="AY40" s="122">
        <f t="shared" si="35"/>
        <v>-122811.88757000002</v>
      </c>
      <c r="AZ40" s="143">
        <f t="shared" ref="AZ40:AZ45" si="37">SUM(AV40:AY40)</f>
        <v>-471167.44159000006</v>
      </c>
      <c r="BA40" s="122">
        <f t="shared" si="35"/>
        <v>-125198.4030699999</v>
      </c>
    </row>
    <row r="41" spans="1:53">
      <c r="A41" s="11"/>
      <c r="B41" s="11" t="s">
        <v>311</v>
      </c>
      <c r="C41" s="120">
        <v>-2216.6877699999995</v>
      </c>
      <c r="D41" s="120">
        <v>-4126.8672299999998</v>
      </c>
      <c r="E41" s="120">
        <v>-6310.178469999998</v>
      </c>
      <c r="F41" s="120">
        <v>-9359.9636399999981</v>
      </c>
      <c r="G41" s="142">
        <f t="shared" si="30"/>
        <v>-22013.697109999994</v>
      </c>
      <c r="H41" s="120">
        <v>-6669.2848099999983</v>
      </c>
      <c r="I41" s="120">
        <v>-7482.5691600000036</v>
      </c>
      <c r="J41" s="120">
        <v>-8903.9532499999932</v>
      </c>
      <c r="K41" s="120">
        <v>-15634.739829999995</v>
      </c>
      <c r="L41" s="142">
        <f t="shared" si="31"/>
        <v>-38690.547049999994</v>
      </c>
      <c r="M41" s="120">
        <v>-8155.6838599999992</v>
      </c>
      <c r="N41" s="120">
        <v>-10933.564439999995</v>
      </c>
      <c r="O41" s="120">
        <v>-14467.978350000012</v>
      </c>
      <c r="P41" s="120">
        <v>-13158.086229999997</v>
      </c>
      <c r="Q41" s="142">
        <f t="shared" si="32"/>
        <v>-46715.312879999998</v>
      </c>
      <c r="R41" s="120">
        <v>-10460.7711</v>
      </c>
      <c r="S41" s="120">
        <v>-11110.768909999995</v>
      </c>
      <c r="T41" s="120">
        <v>-12026.777290000004</v>
      </c>
      <c r="U41" s="120">
        <v>-11909.429629999995</v>
      </c>
      <c r="V41" s="142">
        <f t="shared" si="33"/>
        <v>-45507.746929999994</v>
      </c>
      <c r="W41" s="120">
        <v>-16810.195630000002</v>
      </c>
      <c r="X41" s="120">
        <v>-11807.021240000002</v>
      </c>
      <c r="Y41" s="120">
        <v>-12318.089829999999</v>
      </c>
      <c r="Z41" s="120">
        <v>-14215.174809999995</v>
      </c>
      <c r="AA41" s="142">
        <f t="shared" si="34"/>
        <v>-55150.481509999998</v>
      </c>
      <c r="AB41" s="120">
        <v>-13579.38731</v>
      </c>
      <c r="AC41" s="120">
        <v>-19664.983889999992</v>
      </c>
      <c r="AD41" s="120">
        <v>-15965.393460000007</v>
      </c>
      <c r="AE41" s="120">
        <v>-20353.055479999981</v>
      </c>
      <c r="AF41" s="142">
        <v>-69562.820139999982</v>
      </c>
      <c r="AG41" s="120">
        <v>-22135</v>
      </c>
      <c r="AH41" s="120">
        <v>-24184</v>
      </c>
      <c r="AI41" s="120">
        <v>-24123</v>
      </c>
      <c r="AJ41" s="120">
        <v>-29861</v>
      </c>
      <c r="AK41" s="142">
        <v>-100303</v>
      </c>
      <c r="AL41" s="120">
        <v>-26198</v>
      </c>
      <c r="AM41" s="120">
        <v>-29655</v>
      </c>
      <c r="AN41" s="120">
        <v>-30628</v>
      </c>
      <c r="AO41" s="120">
        <v>-23555</v>
      </c>
      <c r="AP41" s="142">
        <v>-110036</v>
      </c>
      <c r="AQ41" s="120">
        <v>-36006</v>
      </c>
      <c r="AR41" s="120">
        <v>-32228</v>
      </c>
      <c r="AS41" s="120">
        <v>-29869</v>
      </c>
      <c r="AT41" s="120">
        <v>-28513</v>
      </c>
      <c r="AU41" s="142">
        <f t="shared" si="36"/>
        <v>-126616</v>
      </c>
      <c r="AV41" s="120">
        <v>-37474.24568</v>
      </c>
      <c r="AW41" s="120">
        <v>-35135</v>
      </c>
      <c r="AX41" s="120">
        <v>-38771</v>
      </c>
      <c r="AY41" s="120">
        <v>-38041</v>
      </c>
      <c r="AZ41" s="142">
        <f t="shared" si="37"/>
        <v>-149421.24567999999</v>
      </c>
      <c r="BA41" s="120">
        <v>-45932.407809999895</v>
      </c>
    </row>
    <row r="42" spans="1:53">
      <c r="A42" s="11"/>
      <c r="B42" s="11" t="s">
        <v>313</v>
      </c>
      <c r="C42" s="120">
        <v>-10236.467070000001</v>
      </c>
      <c r="D42" s="120">
        <v>-9200.8344499999985</v>
      </c>
      <c r="E42" s="120">
        <v>-11297.915360000003</v>
      </c>
      <c r="F42" s="120">
        <v>-11357.597949999996</v>
      </c>
      <c r="G42" s="142">
        <f t="shared" si="30"/>
        <v>-42092.814830000003</v>
      </c>
      <c r="H42" s="120">
        <v>-14341.066120000001</v>
      </c>
      <c r="I42" s="120">
        <v>-13100.862879999999</v>
      </c>
      <c r="J42" s="120">
        <v>-13727.869769999996</v>
      </c>
      <c r="K42" s="120">
        <v>-13908.489140000001</v>
      </c>
      <c r="L42" s="142">
        <f t="shared" si="31"/>
        <v>-55078.287909999999</v>
      </c>
      <c r="M42" s="120">
        <v>-19959.427879999999</v>
      </c>
      <c r="N42" s="120">
        <v>-15503.953720000003</v>
      </c>
      <c r="O42" s="120">
        <v>-14948.065090000004</v>
      </c>
      <c r="P42" s="120">
        <v>-19379.219710000001</v>
      </c>
      <c r="Q42" s="142">
        <f t="shared" si="32"/>
        <v>-69790.666400000002</v>
      </c>
      <c r="R42" s="120">
        <v>-17575.661649999998</v>
      </c>
      <c r="S42" s="120">
        <v>-19145.130819999998</v>
      </c>
      <c r="T42" s="120">
        <v>-19809.04639</v>
      </c>
      <c r="U42" s="120">
        <v>-12484.056950000004</v>
      </c>
      <c r="V42" s="142">
        <f t="shared" si="33"/>
        <v>-69013.895810000002</v>
      </c>
      <c r="W42" s="120">
        <v>-13690.724309999998</v>
      </c>
      <c r="X42" s="120">
        <v>-16342.020769999999</v>
      </c>
      <c r="Y42" s="120">
        <v>-31538.017269999997</v>
      </c>
      <c r="Z42" s="120">
        <v>-23100.433669999988</v>
      </c>
      <c r="AA42" s="142">
        <f t="shared" si="34"/>
        <v>-84671.196019999974</v>
      </c>
      <c r="AB42" s="120">
        <v>-21071.70032</v>
      </c>
      <c r="AC42" s="120">
        <v>-24620.228289999999</v>
      </c>
      <c r="AD42" s="120">
        <v>-40932.313639999978</v>
      </c>
      <c r="AE42" s="120">
        <v>-42064.903360000026</v>
      </c>
      <c r="AF42" s="142">
        <v>-128689.14561000001</v>
      </c>
      <c r="AG42" s="120">
        <v>-39868</v>
      </c>
      <c r="AH42" s="120">
        <v>-50049</v>
      </c>
      <c r="AI42" s="120">
        <v>-64950</v>
      </c>
      <c r="AJ42" s="120">
        <v>-51963</v>
      </c>
      <c r="AK42" s="142">
        <v>-206830</v>
      </c>
      <c r="AL42" s="120">
        <v>-58331</v>
      </c>
      <c r="AM42" s="120">
        <v>-59835</v>
      </c>
      <c r="AN42" s="120">
        <v>-63421</v>
      </c>
      <c r="AO42" s="120">
        <v>-65582</v>
      </c>
      <c r="AP42" s="142">
        <v>-247169</v>
      </c>
      <c r="AQ42" s="120">
        <v>-66646</v>
      </c>
      <c r="AR42" s="120">
        <v>-66956</v>
      </c>
      <c r="AS42" s="120">
        <v>-82651</v>
      </c>
      <c r="AT42" s="120">
        <v>-81424</v>
      </c>
      <c r="AU42" s="142">
        <f t="shared" si="36"/>
        <v>-297677</v>
      </c>
      <c r="AV42" s="120">
        <v>-77378.85061000011</v>
      </c>
      <c r="AW42" s="120">
        <v>-73568.19233999998</v>
      </c>
      <c r="AX42" s="120">
        <v>-79807.932950000002</v>
      </c>
      <c r="AY42" s="120">
        <v>-78652</v>
      </c>
      <c r="AZ42" s="142">
        <f t="shared" si="37"/>
        <v>-309406.97590000008</v>
      </c>
      <c r="BA42" s="120">
        <v>-78331.854640000005</v>
      </c>
    </row>
    <row r="43" spans="1:53">
      <c r="A43" s="11"/>
      <c r="B43" s="11" t="s">
        <v>315</v>
      </c>
      <c r="C43" s="120">
        <v>0</v>
      </c>
      <c r="D43" s="558">
        <v>-1249</v>
      </c>
      <c r="E43" s="558">
        <v>-65.646679999999932</v>
      </c>
      <c r="F43" s="558">
        <v>-1.3533200000000676</v>
      </c>
      <c r="G43" s="142">
        <f t="shared" si="30"/>
        <v>-1316</v>
      </c>
      <c r="H43" s="120">
        <v>0</v>
      </c>
      <c r="I43" s="120">
        <v>0</v>
      </c>
      <c r="J43" s="120">
        <v>0</v>
      </c>
      <c r="K43" s="120">
        <v>0</v>
      </c>
      <c r="L43" s="142">
        <f t="shared" si="31"/>
        <v>0</v>
      </c>
      <c r="M43" s="120">
        <v>0</v>
      </c>
      <c r="N43" s="120">
        <v>0</v>
      </c>
      <c r="O43" s="120">
        <v>0</v>
      </c>
      <c r="P43" s="120">
        <v>0</v>
      </c>
      <c r="Q43" s="142">
        <f t="shared" si="32"/>
        <v>0</v>
      </c>
      <c r="R43" s="120">
        <v>0</v>
      </c>
      <c r="S43" s="120">
        <v>0</v>
      </c>
      <c r="T43" s="120">
        <v>-9.745989999999999</v>
      </c>
      <c r="U43" s="120">
        <v>-13.054660000000002</v>
      </c>
      <c r="V43" s="142">
        <f t="shared" si="33"/>
        <v>-22.800650000000001</v>
      </c>
      <c r="W43" s="120">
        <v>0</v>
      </c>
      <c r="X43" s="120">
        <v>-10.01262</v>
      </c>
      <c r="Y43" s="120">
        <v>-28.687489999999997</v>
      </c>
      <c r="Z43" s="120">
        <v>0</v>
      </c>
      <c r="AA43" s="142">
        <f t="shared" si="34"/>
        <v>-38.700109999999995</v>
      </c>
      <c r="AB43" s="120">
        <v>0</v>
      </c>
      <c r="AC43" s="120">
        <v>0</v>
      </c>
      <c r="AD43" s="120">
        <v>0</v>
      </c>
      <c r="AE43" s="120">
        <v>0</v>
      </c>
      <c r="AF43" s="142">
        <v>0</v>
      </c>
      <c r="AG43" s="120">
        <v>0</v>
      </c>
      <c r="AH43" s="120">
        <v>0</v>
      </c>
      <c r="AI43" s="120">
        <v>0</v>
      </c>
      <c r="AJ43" s="120">
        <v>0</v>
      </c>
      <c r="AK43" s="142">
        <v>0</v>
      </c>
      <c r="AL43" s="120">
        <v>0</v>
      </c>
      <c r="AM43" s="120">
        <v>0</v>
      </c>
      <c r="AN43" s="120">
        <v>-227</v>
      </c>
      <c r="AO43" s="120">
        <v>-241</v>
      </c>
      <c r="AP43" s="142">
        <v>-468</v>
      </c>
      <c r="AQ43" s="120">
        <v>-191</v>
      </c>
      <c r="AR43" s="120">
        <v>-360</v>
      </c>
      <c r="AS43" s="120">
        <v>-239</v>
      </c>
      <c r="AT43" s="120">
        <v>-263</v>
      </c>
      <c r="AU43" s="142">
        <f t="shared" si="36"/>
        <v>-1053</v>
      </c>
      <c r="AV43" s="120">
        <v>-798.35087999999996</v>
      </c>
      <c r="AW43" s="120">
        <v>-755.77539000000229</v>
      </c>
      <c r="AX43" s="120">
        <v>-4670.7475700000041</v>
      </c>
      <c r="AY43" s="120">
        <v>-6119.6699600000102</v>
      </c>
      <c r="AZ43" s="142">
        <f t="shared" si="37"/>
        <v>-12344.543800000018</v>
      </c>
      <c r="BA43" s="120">
        <v>-934.19</v>
      </c>
    </row>
    <row r="44" spans="1:53">
      <c r="A44" s="11"/>
      <c r="B44" s="11" t="s">
        <v>309</v>
      </c>
      <c r="C44" s="120">
        <v>0</v>
      </c>
      <c r="D44" s="120">
        <v>0</v>
      </c>
      <c r="E44" s="120">
        <v>0</v>
      </c>
      <c r="F44" s="120">
        <v>0</v>
      </c>
      <c r="G44" s="142">
        <f t="shared" si="30"/>
        <v>0</v>
      </c>
      <c r="H44" s="120">
        <v>0</v>
      </c>
      <c r="I44" s="120">
        <v>0</v>
      </c>
      <c r="J44" s="120">
        <v>0</v>
      </c>
      <c r="K44" s="120">
        <v>0</v>
      </c>
      <c r="L44" s="142">
        <f t="shared" si="31"/>
        <v>0</v>
      </c>
      <c r="M44" s="120">
        <v>0</v>
      </c>
      <c r="N44" s="120">
        <v>0.56599999999999995</v>
      </c>
      <c r="O44" s="120">
        <v>0.16358000000000003</v>
      </c>
      <c r="P44" s="120">
        <v>30260.28731</v>
      </c>
      <c r="Q44" s="142">
        <f t="shared" si="32"/>
        <v>30261.016889999999</v>
      </c>
      <c r="R44" s="120">
        <v>0</v>
      </c>
      <c r="S44" s="120">
        <v>0</v>
      </c>
      <c r="T44" s="120">
        <v>5.6900000000000006E-3</v>
      </c>
      <c r="U44" s="120">
        <v>0</v>
      </c>
      <c r="V44" s="142">
        <f t="shared" si="33"/>
        <v>5.6900000000000006E-3</v>
      </c>
      <c r="W44" s="120">
        <v>0</v>
      </c>
      <c r="X44" s="120">
        <v>0</v>
      </c>
      <c r="Y44" s="120">
        <v>0</v>
      </c>
      <c r="Z44" s="120">
        <v>1.8731800000000001</v>
      </c>
      <c r="AA44" s="142">
        <f t="shared" si="34"/>
        <v>1.8731800000000001</v>
      </c>
      <c r="AB44" s="120">
        <v>0</v>
      </c>
      <c r="AC44" s="120">
        <v>1809.0078899999999</v>
      </c>
      <c r="AD44" s="120">
        <v>5934.6343400000005</v>
      </c>
      <c r="AE44" s="120">
        <v>6.7999999970197672E-4</v>
      </c>
      <c r="AF44" s="142">
        <v>7743.6429100000005</v>
      </c>
      <c r="AG44" s="120">
        <v>11445</v>
      </c>
      <c r="AH44" s="120">
        <v>0</v>
      </c>
      <c r="AI44" s="120">
        <v>5</v>
      </c>
      <c r="AJ44" s="120">
        <v>10</v>
      </c>
      <c r="AK44" s="142">
        <v>11460</v>
      </c>
      <c r="AL44" s="120">
        <v>30681</v>
      </c>
      <c r="AM44" s="120">
        <v>1</v>
      </c>
      <c r="AN44" s="120">
        <v>8</v>
      </c>
      <c r="AO44" s="120">
        <v>0</v>
      </c>
      <c r="AP44" s="142">
        <v>30690</v>
      </c>
      <c r="AQ44" s="120">
        <v>5</v>
      </c>
      <c r="AR44" s="120">
        <v>5614</v>
      </c>
      <c r="AS44" s="120">
        <v>89832</v>
      </c>
      <c r="AT44" s="120">
        <v>12</v>
      </c>
      <c r="AU44" s="142">
        <f t="shared" si="36"/>
        <v>95463</v>
      </c>
      <c r="AV44" s="120">
        <v>1.8789500000000401</v>
      </c>
      <c r="AW44" s="120">
        <v>1.3178799999999555</v>
      </c>
      <c r="AX44" s="120">
        <v>1.3445700000000316</v>
      </c>
      <c r="AY44" s="120">
        <v>0.78239000000000902</v>
      </c>
      <c r="AZ44" s="142">
        <f t="shared" si="37"/>
        <v>5.3237900000000371</v>
      </c>
      <c r="BA44" s="120">
        <v>4.9380000000006002E-2</v>
      </c>
    </row>
    <row r="45" spans="1:53">
      <c r="A45" s="54"/>
      <c r="B45" s="9" t="s">
        <v>317</v>
      </c>
      <c r="C45" s="122">
        <v>294183.64245729271</v>
      </c>
      <c r="D45" s="122">
        <f>D7+D40</f>
        <v>259730.0495571731</v>
      </c>
      <c r="E45" s="122">
        <f t="shared" ref="E45:F45" si="38">E7+E40</f>
        <v>280842.01212123502</v>
      </c>
      <c r="F45" s="122">
        <f t="shared" si="38"/>
        <v>300391.48604796414</v>
      </c>
      <c r="G45" s="143">
        <f t="shared" si="30"/>
        <v>1135147.1901836649</v>
      </c>
      <c r="H45" s="122">
        <v>342417.81109039084</v>
      </c>
      <c r="I45" s="122">
        <v>359825.50122195488</v>
      </c>
      <c r="J45" s="122">
        <v>333767.30886662274</v>
      </c>
      <c r="K45" s="122">
        <v>343077.70749319874</v>
      </c>
      <c r="L45" s="143">
        <f t="shared" si="31"/>
        <v>1379088.3286721671</v>
      </c>
      <c r="M45" s="122">
        <v>407063.81265298522</v>
      </c>
      <c r="N45" s="122">
        <v>349040.26013234048</v>
      </c>
      <c r="O45" s="122">
        <v>380899.06068789109</v>
      </c>
      <c r="P45" s="122">
        <v>461308.45455609314</v>
      </c>
      <c r="Q45" s="143">
        <f t="shared" si="32"/>
        <v>1598311.5880293099</v>
      </c>
      <c r="R45" s="122">
        <v>419462.63810686208</v>
      </c>
      <c r="S45" s="122">
        <v>413672.31808320474</v>
      </c>
      <c r="T45" s="122">
        <v>465428.48024085001</v>
      </c>
      <c r="U45" s="122">
        <v>350475.59112149337</v>
      </c>
      <c r="V45" s="143">
        <f t="shared" si="33"/>
        <v>1649039.0275524103</v>
      </c>
      <c r="W45" s="122">
        <v>442498.23808340292</v>
      </c>
      <c r="X45" s="122">
        <v>415196.70915291482</v>
      </c>
      <c r="Y45" s="122">
        <v>591979.47906499996</v>
      </c>
      <c r="Z45" s="122">
        <v>502568.7839331532</v>
      </c>
      <c r="AA45" s="143">
        <f t="shared" si="34"/>
        <v>1952243.2102344709</v>
      </c>
      <c r="AB45" s="122">
        <v>460055.95692999999</v>
      </c>
      <c r="AC45" s="122">
        <v>448648.55031000008</v>
      </c>
      <c r="AD45" s="122">
        <v>557676.40536000009</v>
      </c>
      <c r="AE45" s="122">
        <v>629697.38072999998</v>
      </c>
      <c r="AF45" s="143">
        <v>2096078.2933300002</v>
      </c>
      <c r="AG45" s="122">
        <v>731801</v>
      </c>
      <c r="AH45" s="122">
        <v>737161.42999999993</v>
      </c>
      <c r="AI45" s="122">
        <v>1243637.3149999999</v>
      </c>
      <c r="AJ45" s="122">
        <v>368223</v>
      </c>
      <c r="AK45" s="143">
        <v>3080822.7450000001</v>
      </c>
      <c r="AL45" s="122">
        <v>919197</v>
      </c>
      <c r="AM45" s="122">
        <v>952866</v>
      </c>
      <c r="AN45" s="122">
        <v>1062175</v>
      </c>
      <c r="AO45" s="122">
        <v>1016988</v>
      </c>
      <c r="AP45" s="143">
        <v>3951226</v>
      </c>
      <c r="AQ45" s="122">
        <f t="shared" ref="AQ45:AY45" si="39">SUM(AQ40,AQ38,AQ7)</f>
        <v>979601.36878999998</v>
      </c>
      <c r="AR45" s="122">
        <f t="shared" si="39"/>
        <v>762400</v>
      </c>
      <c r="AS45" s="122">
        <f t="shared" si="39"/>
        <v>1192223</v>
      </c>
      <c r="AT45" s="122">
        <f t="shared" si="39"/>
        <v>1288799</v>
      </c>
      <c r="AU45" s="143">
        <f t="shared" si="36"/>
        <v>4223023.3687899997</v>
      </c>
      <c r="AV45" s="122">
        <f t="shared" si="39"/>
        <v>1152667.6599199995</v>
      </c>
      <c r="AW45" s="122">
        <f t="shared" si="39"/>
        <v>1112528.3928499999</v>
      </c>
      <c r="AX45" s="122">
        <f t="shared" si="39"/>
        <v>1232608.2968900001</v>
      </c>
      <c r="AY45" s="122">
        <f t="shared" si="39"/>
        <v>1149788.6790700003</v>
      </c>
      <c r="AZ45" s="143">
        <f t="shared" si="37"/>
        <v>4647593.0287300004</v>
      </c>
      <c r="BA45" s="122">
        <f>SUM(BA40,BA38,BA7)</f>
        <v>1251732.59693</v>
      </c>
    </row>
    <row r="46" spans="1:53">
      <c r="A46" s="11"/>
      <c r="B46" s="11"/>
      <c r="C46" s="120"/>
      <c r="D46" s="120"/>
      <c r="E46" s="120"/>
      <c r="F46" s="120"/>
      <c r="G46" s="142"/>
      <c r="H46" s="120"/>
      <c r="I46" s="120"/>
      <c r="J46" s="120"/>
      <c r="K46" s="120"/>
      <c r="L46" s="142"/>
      <c r="M46" s="120"/>
      <c r="N46" s="120"/>
      <c r="O46" s="120"/>
      <c r="P46" s="120"/>
      <c r="Q46" s="142"/>
      <c r="R46" s="120"/>
      <c r="S46" s="120"/>
      <c r="T46" s="120"/>
      <c r="U46" s="120"/>
      <c r="V46" s="142"/>
      <c r="W46" s="120"/>
      <c r="X46" s="120"/>
      <c r="Y46" s="120"/>
      <c r="Z46" s="120"/>
      <c r="AA46" s="142"/>
      <c r="AB46" s="120"/>
      <c r="AC46" s="120"/>
      <c r="AD46" s="120"/>
      <c r="AE46" s="120"/>
      <c r="AF46" s="142"/>
      <c r="AG46" s="120"/>
      <c r="AH46" s="120"/>
      <c r="AI46" s="120"/>
      <c r="AJ46" s="121"/>
      <c r="AK46" s="142"/>
      <c r="AL46" s="120"/>
      <c r="AM46" s="121"/>
      <c r="AN46" s="120"/>
      <c r="AO46" s="120"/>
      <c r="AP46" s="142"/>
      <c r="AQ46" s="120"/>
      <c r="AR46" s="120"/>
      <c r="AS46" s="120"/>
      <c r="AT46" s="120"/>
      <c r="AU46" s="142"/>
      <c r="AV46" s="120"/>
      <c r="AW46" s="120"/>
      <c r="AX46" s="120"/>
      <c r="AY46" s="120"/>
      <c r="AZ46" s="142"/>
      <c r="BA46" s="120"/>
    </row>
    <row r="47" spans="1:53">
      <c r="A47" s="54"/>
      <c r="B47" s="9" t="s">
        <v>319</v>
      </c>
      <c r="C47" s="122">
        <v>-1418.2734300000006</v>
      </c>
      <c r="D47" s="122">
        <v>2677.4463699999997</v>
      </c>
      <c r="E47" s="122">
        <v>5837.2842000000046</v>
      </c>
      <c r="F47" s="122">
        <v>7006.9743999999982</v>
      </c>
      <c r="G47" s="143">
        <f t="shared" si="30"/>
        <v>14103.431540000001</v>
      </c>
      <c r="H47" s="122">
        <v>4216.8447699999997</v>
      </c>
      <c r="I47" s="122">
        <v>7007.4345200000025</v>
      </c>
      <c r="J47" s="122">
        <v>6577.1029199999984</v>
      </c>
      <c r="K47" s="122">
        <v>6447.4069499999996</v>
      </c>
      <c r="L47" s="143">
        <f t="shared" si="31"/>
        <v>24248.78916</v>
      </c>
      <c r="M47" s="122">
        <v>2733.1374600000008</v>
      </c>
      <c r="N47" s="122">
        <v>6629.2316099999989</v>
      </c>
      <c r="O47" s="122">
        <v>6872.564730000001</v>
      </c>
      <c r="P47" s="122">
        <v>7660.6280699999998</v>
      </c>
      <c r="Q47" s="143">
        <f t="shared" si="32"/>
        <v>23895.561870000001</v>
      </c>
      <c r="R47" s="122">
        <v>4140.2438900000006</v>
      </c>
      <c r="S47" s="122">
        <v>13237.845399999997</v>
      </c>
      <c r="T47" s="122">
        <v>12215.334070000001</v>
      </c>
      <c r="U47" s="122">
        <v>5350.0509500000026</v>
      </c>
      <c r="V47" s="143">
        <f t="shared" si="33"/>
        <v>34943.474309999998</v>
      </c>
      <c r="W47" s="122">
        <v>4646.90798</v>
      </c>
      <c r="X47" s="122">
        <v>5911.9798900000005</v>
      </c>
      <c r="Y47" s="122">
        <v>3741.4539599999985</v>
      </c>
      <c r="Z47" s="122">
        <v>6040.7381799999994</v>
      </c>
      <c r="AA47" s="143">
        <f t="shared" si="34"/>
        <v>20341.080009999998</v>
      </c>
      <c r="AB47" s="122">
        <v>-179.89427000000001</v>
      </c>
      <c r="AC47" s="122">
        <v>2444.45082</v>
      </c>
      <c r="AD47" s="122">
        <v>5011.8135200000006</v>
      </c>
      <c r="AE47" s="122">
        <v>3295.3234499999994</v>
      </c>
      <c r="AF47" s="143">
        <v>10571.693520000001</v>
      </c>
      <c r="AG47" s="122">
        <v>14034</v>
      </c>
      <c r="AH47" s="122">
        <v>21273</v>
      </c>
      <c r="AI47" s="122">
        <v>28936</v>
      </c>
      <c r="AJ47" s="122">
        <v>33445</v>
      </c>
      <c r="AK47" s="143">
        <v>97688</v>
      </c>
      <c r="AL47" s="122">
        <v>15189</v>
      </c>
      <c r="AM47" s="122">
        <v>31847</v>
      </c>
      <c r="AN47" s="122">
        <v>31653</v>
      </c>
      <c r="AO47" s="122">
        <v>35178</v>
      </c>
      <c r="AP47" s="143">
        <v>113867</v>
      </c>
      <c r="AQ47" s="122">
        <f t="shared" ref="AQ47:AW47" si="40">SUM(AQ48:AQ50)</f>
        <v>-7282</v>
      </c>
      <c r="AR47" s="122">
        <f t="shared" si="40"/>
        <v>17758</v>
      </c>
      <c r="AS47" s="122">
        <f t="shared" si="40"/>
        <v>67893</v>
      </c>
      <c r="AT47" s="122">
        <f t="shared" si="40"/>
        <v>35123</v>
      </c>
      <c r="AU47" s="143">
        <f>SUM(AQ47:AT47)</f>
        <v>113492</v>
      </c>
      <c r="AV47" s="122">
        <f t="shared" si="40"/>
        <v>28696.215400000001</v>
      </c>
      <c r="AW47" s="122">
        <f t="shared" si="40"/>
        <v>45476</v>
      </c>
      <c r="AX47" s="122">
        <f>SUM(AX48:AX50)</f>
        <v>51095.314370001797</v>
      </c>
      <c r="AY47" s="122">
        <f>SUM(AY48:AY50)</f>
        <v>56928.721039998447</v>
      </c>
      <c r="AZ47" s="143">
        <f>SUM(AV47:AY47)</f>
        <v>182196.25081000023</v>
      </c>
      <c r="BA47" s="122">
        <f>SUM(BA48:BA50)</f>
        <v>28667.213849998148</v>
      </c>
    </row>
    <row r="48" spans="1:53">
      <c r="A48" s="11"/>
      <c r="B48" s="11" t="s">
        <v>321</v>
      </c>
      <c r="C48" s="120">
        <v>2717.0130299999996</v>
      </c>
      <c r="D48" s="120">
        <v>4754.5504599999995</v>
      </c>
      <c r="E48" s="120">
        <v>5634.9898000000039</v>
      </c>
      <c r="F48" s="120">
        <v>7006.9743999999982</v>
      </c>
      <c r="G48" s="142">
        <f t="shared" si="30"/>
        <v>20113.527690000003</v>
      </c>
      <c r="H48" s="120">
        <v>8481.92425</v>
      </c>
      <c r="I48" s="120">
        <v>8232.1099600000016</v>
      </c>
      <c r="J48" s="120">
        <v>6577.1029199999984</v>
      </c>
      <c r="K48" s="120">
        <v>6447.4069499999996</v>
      </c>
      <c r="L48" s="142">
        <f t="shared" si="31"/>
        <v>29738.54408</v>
      </c>
      <c r="M48" s="120">
        <v>7050.4618900000005</v>
      </c>
      <c r="N48" s="120">
        <v>8263.3159099999993</v>
      </c>
      <c r="O48" s="120">
        <v>6872.5947500000002</v>
      </c>
      <c r="P48" s="120">
        <v>7660.7134499999993</v>
      </c>
      <c r="Q48" s="142">
        <f t="shared" si="32"/>
        <v>29847.085999999999</v>
      </c>
      <c r="R48" s="120">
        <v>4506.8492100000003</v>
      </c>
      <c r="S48" s="120">
        <v>13365.335369999997</v>
      </c>
      <c r="T48" s="120">
        <v>12215.489030000001</v>
      </c>
      <c r="U48" s="120">
        <v>5350.0509500000026</v>
      </c>
      <c r="V48" s="142">
        <f t="shared" si="33"/>
        <v>35437.724560000002</v>
      </c>
      <c r="W48" s="120">
        <v>5487.2420899999997</v>
      </c>
      <c r="X48" s="120">
        <v>5913.1763800000008</v>
      </c>
      <c r="Y48" s="120">
        <v>3741.4574999999982</v>
      </c>
      <c r="Z48" s="120">
        <v>6040.7746799999995</v>
      </c>
      <c r="AA48" s="142">
        <f t="shared" si="34"/>
        <v>21182.65065</v>
      </c>
      <c r="AB48" s="120">
        <v>841.82868999999994</v>
      </c>
      <c r="AC48" s="120">
        <v>2444.4508300000002</v>
      </c>
      <c r="AD48" s="120">
        <v>5568.4585800000004</v>
      </c>
      <c r="AE48" s="120">
        <v>6728.4127999999992</v>
      </c>
      <c r="AF48" s="142">
        <v>15583.150900000001</v>
      </c>
      <c r="AG48" s="120">
        <v>14232</v>
      </c>
      <c r="AH48" s="120">
        <v>21274</v>
      </c>
      <c r="AI48" s="120">
        <v>29104</v>
      </c>
      <c r="AJ48" s="120">
        <v>33572</v>
      </c>
      <c r="AK48" s="142">
        <v>98182</v>
      </c>
      <c r="AL48" s="120">
        <v>37870</v>
      </c>
      <c r="AM48" s="120">
        <v>40296</v>
      </c>
      <c r="AN48" s="120">
        <v>32508</v>
      </c>
      <c r="AO48" s="120">
        <v>37138</v>
      </c>
      <c r="AP48" s="142">
        <v>147812</v>
      </c>
      <c r="AQ48" s="120">
        <v>26552</v>
      </c>
      <c r="AR48" s="120">
        <v>36217</v>
      </c>
      <c r="AS48" s="120">
        <v>69993</v>
      </c>
      <c r="AT48" s="120">
        <v>39465</v>
      </c>
      <c r="AU48" s="142">
        <f>SUM(AQ48:AT48)</f>
        <v>172227</v>
      </c>
      <c r="AV48" s="120">
        <v>35449</v>
      </c>
      <c r="AW48" s="120">
        <v>47213</v>
      </c>
      <c r="AX48" s="120">
        <v>52282.243310001795</v>
      </c>
      <c r="AY48" s="120">
        <v>58149.395389998455</v>
      </c>
      <c r="AZ48" s="142">
        <f>SUM(AV48:AY48)</f>
        <v>193093.63870000024</v>
      </c>
      <c r="BA48" s="120">
        <v>36847.471299998098</v>
      </c>
    </row>
    <row r="49" spans="1:53">
      <c r="A49" s="11"/>
      <c r="B49" s="11" t="s">
        <v>323</v>
      </c>
      <c r="C49" s="120">
        <v>-4135.2864600000003</v>
      </c>
      <c r="D49" s="120">
        <v>-2077.1040899999998</v>
      </c>
      <c r="E49" s="120">
        <v>202.29440000000037</v>
      </c>
      <c r="F49" s="120">
        <v>0</v>
      </c>
      <c r="G49" s="142">
        <f t="shared" si="30"/>
        <v>-6010.0961499999994</v>
      </c>
      <c r="H49" s="120">
        <v>-4265.0794800000003</v>
      </c>
      <c r="I49" s="120">
        <v>-1224.6754399999995</v>
      </c>
      <c r="J49" s="120">
        <v>0</v>
      </c>
      <c r="K49" s="120">
        <v>0</v>
      </c>
      <c r="L49" s="142">
        <f t="shared" si="31"/>
        <v>-5489.7549199999994</v>
      </c>
      <c r="M49" s="120">
        <v>-4317.3244299999997</v>
      </c>
      <c r="N49" s="120">
        <v>-1634.0843000000007</v>
      </c>
      <c r="O49" s="120">
        <v>-3.0019999999552967E-2</v>
      </c>
      <c r="P49" s="120">
        <v>-8.537999999988824E-2</v>
      </c>
      <c r="Q49" s="142">
        <f t="shared" si="32"/>
        <v>-5951.5241299999989</v>
      </c>
      <c r="R49" s="120">
        <v>-366.60532000000001</v>
      </c>
      <c r="S49" s="120">
        <v>-127.48996999999997</v>
      </c>
      <c r="T49" s="120">
        <v>-0.15496000000002094</v>
      </c>
      <c r="U49" s="120">
        <v>0</v>
      </c>
      <c r="V49" s="142">
        <f t="shared" si="33"/>
        <v>-494.25024999999999</v>
      </c>
      <c r="W49" s="120">
        <v>-840.3341099999999</v>
      </c>
      <c r="X49" s="120">
        <v>-1.1964900000001071</v>
      </c>
      <c r="Y49" s="120">
        <v>-3.5399999999208374E-3</v>
      </c>
      <c r="Z49" s="120">
        <v>-3.6499999999999998E-2</v>
      </c>
      <c r="AA49" s="142">
        <f t="shared" si="34"/>
        <v>-841.57064000000003</v>
      </c>
      <c r="AB49" s="120">
        <v>-1021.7229599999999</v>
      </c>
      <c r="AC49" s="120">
        <v>-1.0000000009313226E-5</v>
      </c>
      <c r="AD49" s="120">
        <v>-556.64506000000017</v>
      </c>
      <c r="AE49" s="120">
        <v>-3433.0893499999997</v>
      </c>
      <c r="AF49" s="142">
        <v>-5011.4573799999998</v>
      </c>
      <c r="AG49" s="120">
        <v>-198</v>
      </c>
      <c r="AH49" s="120">
        <v>-1</v>
      </c>
      <c r="AI49" s="120">
        <v>-168</v>
      </c>
      <c r="AJ49" s="120">
        <v>-127</v>
      </c>
      <c r="AK49" s="142">
        <v>-494</v>
      </c>
      <c r="AL49" s="120">
        <v>-22681</v>
      </c>
      <c r="AM49" s="120">
        <v>-8449</v>
      </c>
      <c r="AN49" s="120">
        <v>-855</v>
      </c>
      <c r="AO49" s="120">
        <v>-1960</v>
      </c>
      <c r="AP49" s="142">
        <v>-33945</v>
      </c>
      <c r="AQ49" s="120">
        <v>-33834</v>
      </c>
      <c r="AR49" s="120">
        <v>-18459</v>
      </c>
      <c r="AS49" s="120">
        <v>-2100</v>
      </c>
      <c r="AT49" s="120">
        <v>-4342</v>
      </c>
      <c r="AU49" s="142">
        <f>SUM(AQ49:AT49)</f>
        <v>-58735</v>
      </c>
      <c r="AV49" s="120">
        <v>-6752.7846</v>
      </c>
      <c r="AW49" s="120">
        <v>-1737</v>
      </c>
      <c r="AX49" s="120">
        <v>-1186.92894</v>
      </c>
      <c r="AY49" s="120">
        <v>-1220.6743500000052</v>
      </c>
      <c r="AZ49" s="142">
        <f>SUM(AV49:AY49)</f>
        <v>-10897.387890000004</v>
      </c>
      <c r="BA49" s="120">
        <v>-8180.25744999995</v>
      </c>
    </row>
    <row r="50" spans="1:53">
      <c r="A50" s="11"/>
      <c r="B50" s="11"/>
      <c r="C50" s="120"/>
      <c r="D50" s="120"/>
      <c r="E50" s="120"/>
      <c r="F50" s="120"/>
      <c r="G50" s="142"/>
      <c r="H50" s="120"/>
      <c r="I50" s="120"/>
      <c r="J50" s="120"/>
      <c r="K50" s="120"/>
      <c r="L50" s="142"/>
      <c r="M50" s="120"/>
      <c r="N50" s="120"/>
      <c r="O50" s="120"/>
      <c r="P50" s="120"/>
      <c r="Q50" s="142"/>
      <c r="R50" s="120"/>
      <c r="S50" s="120"/>
      <c r="T50" s="120"/>
      <c r="U50" s="120"/>
      <c r="V50" s="142"/>
      <c r="W50" s="120"/>
      <c r="X50" s="120"/>
      <c r="Y50" s="120"/>
      <c r="Z50" s="120"/>
      <c r="AA50" s="142"/>
      <c r="AB50" s="120"/>
      <c r="AC50" s="120"/>
      <c r="AD50" s="120"/>
      <c r="AE50" s="120"/>
      <c r="AF50" s="142"/>
      <c r="AG50" s="120"/>
      <c r="AH50" s="120"/>
      <c r="AI50" s="120"/>
      <c r="AJ50" s="121"/>
      <c r="AK50" s="142"/>
      <c r="AL50" s="120"/>
      <c r="AN50" s="120"/>
      <c r="AO50" s="120"/>
      <c r="AP50" s="142"/>
      <c r="AQ50" s="120"/>
      <c r="AR50" s="120"/>
      <c r="AS50" s="120"/>
      <c r="AT50" s="120"/>
      <c r="AU50" s="142"/>
      <c r="AV50" s="120"/>
      <c r="AW50" s="120"/>
      <c r="AX50" s="120"/>
      <c r="AY50" s="120"/>
      <c r="AZ50" s="142"/>
      <c r="BA50" s="120"/>
    </row>
    <row r="51" spans="1:53">
      <c r="A51" s="54"/>
      <c r="B51" s="9" t="s">
        <v>366</v>
      </c>
      <c r="C51" s="122">
        <v>292765.36902729271</v>
      </c>
      <c r="D51" s="122">
        <f>D45+D47</f>
        <v>262407.49592717312</v>
      </c>
      <c r="E51" s="122">
        <f t="shared" ref="E51:F51" si="41">E45+E47</f>
        <v>286679.29632123502</v>
      </c>
      <c r="F51" s="122">
        <f t="shared" si="41"/>
        <v>307398.46044796414</v>
      </c>
      <c r="G51" s="143">
        <f t="shared" si="30"/>
        <v>1149250.6217236649</v>
      </c>
      <c r="H51" s="122">
        <v>346634.65586039086</v>
      </c>
      <c r="I51" s="122">
        <v>366832.93574195489</v>
      </c>
      <c r="J51" s="122">
        <v>340344.41178662272</v>
      </c>
      <c r="K51" s="122">
        <v>349525.11444319872</v>
      </c>
      <c r="L51" s="143">
        <f t="shared" si="31"/>
        <v>1403337.1178321671</v>
      </c>
      <c r="M51" s="122">
        <v>409796.95011298521</v>
      </c>
      <c r="N51" s="122">
        <v>355669.4917423405</v>
      </c>
      <c r="O51" s="122">
        <v>387771.62541789107</v>
      </c>
      <c r="P51" s="122">
        <v>468969.08262609312</v>
      </c>
      <c r="Q51" s="143">
        <f t="shared" si="32"/>
        <v>1622207.14989931</v>
      </c>
      <c r="R51" s="122">
        <v>423602.88199686207</v>
      </c>
      <c r="S51" s="122">
        <v>426910.16348320473</v>
      </c>
      <c r="T51" s="122">
        <v>477643.81431084999</v>
      </c>
      <c r="U51" s="122">
        <v>355825.64207149338</v>
      </c>
      <c r="V51" s="143">
        <f t="shared" si="33"/>
        <v>1683982.5018624102</v>
      </c>
      <c r="W51" s="122">
        <v>447145.14606340294</v>
      </c>
      <c r="X51" s="122">
        <v>421108.68904291483</v>
      </c>
      <c r="Y51" s="122">
        <v>595720.93302499992</v>
      </c>
      <c r="Z51" s="122">
        <v>508609.52211315319</v>
      </c>
      <c r="AA51" s="143">
        <f t="shared" si="34"/>
        <v>1972584.2902444708</v>
      </c>
      <c r="AB51" s="122">
        <v>459876.06266</v>
      </c>
      <c r="AC51" s="122">
        <v>451093.00113000011</v>
      </c>
      <c r="AD51" s="122">
        <v>562688.21888000006</v>
      </c>
      <c r="AE51" s="122">
        <v>632992.70418</v>
      </c>
      <c r="AF51" s="143">
        <v>2106649.98685</v>
      </c>
      <c r="AG51" s="122">
        <v>745835</v>
      </c>
      <c r="AH51" s="122">
        <v>758434.42999999993</v>
      </c>
      <c r="AI51" s="122">
        <v>1272573.3149999999</v>
      </c>
      <c r="AJ51" s="122">
        <v>401668</v>
      </c>
      <c r="AK51" s="143">
        <v>3178510.7450000001</v>
      </c>
      <c r="AL51" s="122">
        <v>934386</v>
      </c>
      <c r="AM51" s="122">
        <v>984713</v>
      </c>
      <c r="AN51" s="122">
        <v>1093828</v>
      </c>
      <c r="AO51" s="122">
        <v>1052166</v>
      </c>
      <c r="AP51" s="143">
        <v>4065093</v>
      </c>
      <c r="AQ51" s="122">
        <f t="shared" ref="AQ51:AW51" si="42">AQ47+AQ45</f>
        <v>972319.36878999998</v>
      </c>
      <c r="AR51" s="122">
        <f t="shared" si="42"/>
        <v>780158</v>
      </c>
      <c r="AS51" s="122">
        <f t="shared" si="42"/>
        <v>1260116</v>
      </c>
      <c r="AT51" s="122">
        <f t="shared" si="42"/>
        <v>1323922</v>
      </c>
      <c r="AU51" s="143">
        <f t="shared" ref="AU51:AU58" si="43">SUM(AQ51:AT51)</f>
        <v>4336515.3687899997</v>
      </c>
      <c r="AV51" s="122">
        <f t="shared" si="42"/>
        <v>1181363.8753199996</v>
      </c>
      <c r="AW51" s="122">
        <f t="shared" si="42"/>
        <v>1158004.3928499999</v>
      </c>
      <c r="AX51" s="122">
        <f>AX47+AX45</f>
        <v>1283703.611260002</v>
      </c>
      <c r="AY51" s="122">
        <f>AY47+AY45</f>
        <v>1206717.4001099986</v>
      </c>
      <c r="AZ51" s="143">
        <f t="shared" ref="AZ51:AZ58" si="44">SUM(AV51:AY51)</f>
        <v>4829789.2795400005</v>
      </c>
      <c r="BA51" s="122">
        <f>BA47+BA45</f>
        <v>1280399.8107799981</v>
      </c>
    </row>
    <row r="52" spans="1:53">
      <c r="C52" s="123"/>
      <c r="D52" s="123"/>
      <c r="E52" s="123"/>
      <c r="F52" s="123"/>
      <c r="G52" s="144"/>
      <c r="H52" s="123"/>
      <c r="I52" s="123"/>
      <c r="J52" s="123"/>
      <c r="K52" s="123"/>
      <c r="L52" s="144"/>
      <c r="M52" s="123"/>
      <c r="N52" s="123"/>
      <c r="O52" s="123"/>
      <c r="P52" s="123"/>
      <c r="Q52" s="144"/>
      <c r="R52" s="123"/>
      <c r="S52" s="123"/>
      <c r="T52" s="123"/>
      <c r="U52" s="123"/>
      <c r="V52" s="144"/>
      <c r="W52" s="123"/>
      <c r="X52" s="123"/>
      <c r="Y52" s="123"/>
      <c r="Z52" s="123"/>
      <c r="AA52" s="144"/>
      <c r="AB52" s="123"/>
      <c r="AC52" s="123"/>
      <c r="AD52" s="123"/>
      <c r="AE52" s="123"/>
      <c r="AF52" s="144"/>
      <c r="AG52" s="123"/>
      <c r="AH52" s="123"/>
      <c r="AI52" s="123"/>
      <c r="AJ52" s="123"/>
      <c r="AK52" s="144"/>
      <c r="AL52" s="123"/>
      <c r="AM52" s="123"/>
      <c r="AN52" s="123"/>
      <c r="AO52" s="123"/>
      <c r="AP52" s="144"/>
      <c r="AQ52" s="123"/>
      <c r="AR52" s="123"/>
      <c r="AS52" s="123"/>
      <c r="AT52" s="123"/>
      <c r="AU52" s="144">
        <f t="shared" si="43"/>
        <v>0</v>
      </c>
      <c r="AV52" s="123"/>
      <c r="AW52" s="123"/>
      <c r="AX52" s="123"/>
      <c r="AY52" s="123"/>
      <c r="AZ52" s="144">
        <f t="shared" si="44"/>
        <v>0</v>
      </c>
      <c r="BA52" s="123"/>
    </row>
    <row r="53" spans="1:53">
      <c r="A53" s="9"/>
      <c r="B53" s="9" t="s">
        <v>327</v>
      </c>
      <c r="C53" s="122">
        <v>-32439.258460000001</v>
      </c>
      <c r="D53" s="122">
        <v>-28799.083560000003</v>
      </c>
      <c r="E53" s="122">
        <v>-36556.443429999992</v>
      </c>
      <c r="F53" s="122">
        <v>-36155.890210000005</v>
      </c>
      <c r="G53" s="143">
        <f t="shared" si="30"/>
        <v>-133950.67566000001</v>
      </c>
      <c r="H53" s="122">
        <v>-46997.737650000003</v>
      </c>
      <c r="I53" s="122">
        <v>-42474.802869999992</v>
      </c>
      <c r="J53" s="122">
        <v>-43847.08971</v>
      </c>
      <c r="K53" s="122">
        <v>-42429.774840000005</v>
      </c>
      <c r="L53" s="143">
        <f t="shared" si="31"/>
        <v>-175749.40507000001</v>
      </c>
      <c r="M53" s="122">
        <v>-65005.81192</v>
      </c>
      <c r="N53" s="122">
        <v>-48471.169189999993</v>
      </c>
      <c r="O53" s="122">
        <v>-44940.490500000007</v>
      </c>
      <c r="P53" s="122">
        <v>-60376.173279999988</v>
      </c>
      <c r="Q53" s="143">
        <f t="shared" si="32"/>
        <v>-218793.64489</v>
      </c>
      <c r="R53" s="122">
        <v>-55697.54782</v>
      </c>
      <c r="S53" s="122">
        <v>-62276.76455</v>
      </c>
      <c r="T53" s="122">
        <v>-62767.25263000001</v>
      </c>
      <c r="U53" s="122">
        <v>-27210.030969999985</v>
      </c>
      <c r="V53" s="143">
        <f t="shared" si="33"/>
        <v>-207951.59596999999</v>
      </c>
      <c r="W53" s="122">
        <v>-52976.324219999995</v>
      </c>
      <c r="X53" s="122">
        <v>-48424.392359999998</v>
      </c>
      <c r="Y53" s="122">
        <v>-101615.43473000002</v>
      </c>
      <c r="Z53" s="122">
        <v>-73394.194679999971</v>
      </c>
      <c r="AA53" s="143">
        <f t="shared" si="34"/>
        <v>-276410.34599</v>
      </c>
      <c r="AB53" s="122">
        <v>-54834.664099999995</v>
      </c>
      <c r="AC53" s="122">
        <v>-53138.731930000002</v>
      </c>
      <c r="AD53" s="122">
        <v>-97389.546020000023</v>
      </c>
      <c r="AE53" s="122">
        <v>-94720.263690000022</v>
      </c>
      <c r="AF53" s="143">
        <v>-300083.20574</v>
      </c>
      <c r="AG53" s="122">
        <v>-86716</v>
      </c>
      <c r="AH53" s="122">
        <v>-99373</v>
      </c>
      <c r="AI53" s="122">
        <v>-129703</v>
      </c>
      <c r="AJ53" s="122">
        <v>-96486</v>
      </c>
      <c r="AK53" s="143">
        <v>-412278</v>
      </c>
      <c r="AL53" s="122">
        <v>-120014.54000000001</v>
      </c>
      <c r="AM53" s="122">
        <v>-115304</v>
      </c>
      <c r="AN53" s="122">
        <v>-119515</v>
      </c>
      <c r="AO53" s="122">
        <v>-128015</v>
      </c>
      <c r="AP53" s="143">
        <v>-482848.54000000004</v>
      </c>
      <c r="AQ53" s="122">
        <f t="shared" ref="AQ53:BA53" si="45">AQ54+AQ57</f>
        <v>-116610</v>
      </c>
      <c r="AR53" s="122">
        <f t="shared" si="45"/>
        <v>-126395</v>
      </c>
      <c r="AS53" s="122">
        <f t="shared" si="45"/>
        <v>-171403</v>
      </c>
      <c r="AT53" s="122">
        <f t="shared" si="45"/>
        <v>-156923</v>
      </c>
      <c r="AU53" s="143">
        <f t="shared" si="43"/>
        <v>-571331</v>
      </c>
      <c r="AV53" s="122">
        <f t="shared" si="45"/>
        <v>-130945.05796999999</v>
      </c>
      <c r="AW53" s="122">
        <f t="shared" si="45"/>
        <v>-129595.96565000001</v>
      </c>
      <c r="AX53" s="122">
        <f t="shared" si="45"/>
        <v>-142949.86468999999</v>
      </c>
      <c r="AY53" s="122">
        <f t="shared" si="45"/>
        <v>-134738.10753999994</v>
      </c>
      <c r="AZ53" s="143">
        <f t="shared" si="44"/>
        <v>-538228.99584999983</v>
      </c>
      <c r="BA53" s="122">
        <f t="shared" si="45"/>
        <v>-130122.03846</v>
      </c>
    </row>
    <row r="54" spans="1:53">
      <c r="A54" s="73"/>
      <c r="B54" s="73" t="s">
        <v>329</v>
      </c>
      <c r="C54" s="120">
        <v>-32442.01699</v>
      </c>
      <c r="D54" s="120">
        <v>-28801.603500000001</v>
      </c>
      <c r="E54" s="120">
        <v>-36557.502709999993</v>
      </c>
      <c r="F54" s="120">
        <v>-36151.750960000005</v>
      </c>
      <c r="G54" s="142">
        <f t="shared" si="30"/>
        <v>-133952.87416000001</v>
      </c>
      <c r="H54" s="120">
        <v>-46997.025890000004</v>
      </c>
      <c r="I54" s="120">
        <v>-42473.316129999992</v>
      </c>
      <c r="J54" s="120">
        <v>-43876.885589999998</v>
      </c>
      <c r="K54" s="120">
        <v>-42436.152100000007</v>
      </c>
      <c r="L54" s="142">
        <f t="shared" si="31"/>
        <v>-175783.37971000001</v>
      </c>
      <c r="M54" s="120">
        <v>-64943.742129999999</v>
      </c>
      <c r="N54" s="120">
        <v>-48471.169189999993</v>
      </c>
      <c r="O54" s="120">
        <v>-44940.490500000007</v>
      </c>
      <c r="P54" s="120">
        <v>-60376.173279999988</v>
      </c>
      <c r="Q54" s="142">
        <f t="shared" si="32"/>
        <v>-218731.57509999999</v>
      </c>
      <c r="R54" s="120">
        <v>-55695.422059999997</v>
      </c>
      <c r="S54" s="120">
        <v>-59037.532789999997</v>
      </c>
      <c r="T54" s="120">
        <v>-61375.76701000001</v>
      </c>
      <c r="U54" s="120">
        <v>-31840.748349999987</v>
      </c>
      <c r="V54" s="142">
        <f t="shared" si="33"/>
        <v>-207949.47020999997</v>
      </c>
      <c r="W54" s="120">
        <v>-51879.784719999996</v>
      </c>
      <c r="X54" s="120">
        <v>-47410.502759999996</v>
      </c>
      <c r="Y54" s="120">
        <v>-100662.87559000003</v>
      </c>
      <c r="Z54" s="120">
        <v>-76457.182919999977</v>
      </c>
      <c r="AA54" s="142">
        <f t="shared" si="34"/>
        <v>-276410.34599</v>
      </c>
      <c r="AB54" s="120">
        <v>-53910.889759999998</v>
      </c>
      <c r="AC54" s="120">
        <v>-52168.189290000002</v>
      </c>
      <c r="AD54" s="120">
        <v>-96361.813860000024</v>
      </c>
      <c r="AE54" s="120">
        <v>-97642.31283000001</v>
      </c>
      <c r="AF54" s="142">
        <v>-300083.20574</v>
      </c>
      <c r="AG54" s="120">
        <v>-85447</v>
      </c>
      <c r="AH54" s="120">
        <v>-97948</v>
      </c>
      <c r="AI54" s="120">
        <v>-128239</v>
      </c>
      <c r="AJ54" s="120">
        <v>-100685</v>
      </c>
      <c r="AK54" s="142">
        <v>-412319</v>
      </c>
      <c r="AL54" s="157">
        <v>-118123.54000000001</v>
      </c>
      <c r="AM54" s="157">
        <v>-113451</v>
      </c>
      <c r="AN54" s="157">
        <v>-117756</v>
      </c>
      <c r="AO54" s="157">
        <v>-133477</v>
      </c>
      <c r="AP54" s="142">
        <v>-482807.54000000004</v>
      </c>
      <c r="AQ54" s="157">
        <v>-116728</v>
      </c>
      <c r="AR54" s="157">
        <v>-122744</v>
      </c>
      <c r="AS54" s="157">
        <v>-169296</v>
      </c>
      <c r="AT54" s="157">
        <v>-162446</v>
      </c>
      <c r="AU54" s="142">
        <f t="shared" si="43"/>
        <v>-571214</v>
      </c>
      <c r="AV54" s="157">
        <v>-128636</v>
      </c>
      <c r="AW54" s="157">
        <v>-127563.96565000001</v>
      </c>
      <c r="AX54" s="157">
        <v>-140661.80385999999</v>
      </c>
      <c r="AY54" s="157">
        <v>-141027.87086999996</v>
      </c>
      <c r="AZ54" s="142">
        <f t="shared" si="44"/>
        <v>-537889.64038</v>
      </c>
      <c r="BA54" s="157">
        <v>-127240.08168</v>
      </c>
    </row>
    <row r="55" spans="1:53">
      <c r="A55" s="11"/>
      <c r="B55" s="11" t="s">
        <v>331</v>
      </c>
      <c r="C55" s="120">
        <v>-23852.836019999999</v>
      </c>
      <c r="D55" s="120">
        <v>-21176.061400000002</v>
      </c>
      <c r="E55" s="120">
        <v>-26878.928459999992</v>
      </c>
      <c r="F55" s="120">
        <v>-26580.581590000005</v>
      </c>
      <c r="G55" s="142">
        <f t="shared" si="30"/>
        <v>-98488.407469999991</v>
      </c>
      <c r="H55" s="120">
        <v>-34555.048450000002</v>
      </c>
      <c r="I55" s="120">
        <v>-31228.791269999994</v>
      </c>
      <c r="J55" s="120">
        <v>-32260.82764</v>
      </c>
      <c r="K55" s="120">
        <v>-31195.111840000005</v>
      </c>
      <c r="L55" s="142">
        <f t="shared" si="31"/>
        <v>-129239.77919999999</v>
      </c>
      <c r="M55" s="120">
        <v>-47750.997920000002</v>
      </c>
      <c r="N55" s="120">
        <v>-35638.797829999996</v>
      </c>
      <c r="O55" s="120">
        <v>-33038.470290000005</v>
      </c>
      <c r="P55" s="120">
        <v>-44471.215999999986</v>
      </c>
      <c r="Q55" s="142">
        <f t="shared" si="32"/>
        <v>-160899.48203999997</v>
      </c>
      <c r="R55" s="120">
        <v>-40949.339749999999</v>
      </c>
      <c r="S55" s="120">
        <v>-43406.774109999998</v>
      </c>
      <c r="T55" s="120">
        <v>-45148.152290000005</v>
      </c>
      <c r="U55" s="120">
        <v>-23451.181359999984</v>
      </c>
      <c r="V55" s="142">
        <f t="shared" si="33"/>
        <v>-152955.44751</v>
      </c>
      <c r="W55" s="120">
        <v>-38145.311689999995</v>
      </c>
      <c r="X55" s="120">
        <v>-34857.487329999996</v>
      </c>
      <c r="Y55" s="120">
        <v>-74013.643810000023</v>
      </c>
      <c r="Z55" s="120">
        <v>-56282.34467999998</v>
      </c>
      <c r="AA55" s="142">
        <f t="shared" si="34"/>
        <v>-203298.78750999999</v>
      </c>
      <c r="AB55" s="120">
        <v>-39636.146549999998</v>
      </c>
      <c r="AC55" s="120">
        <v>-38408.489670000003</v>
      </c>
      <c r="AD55" s="120">
        <v>-70801.114650000018</v>
      </c>
      <c r="AE55" s="120">
        <v>-71890.544609999983</v>
      </c>
      <c r="AF55" s="142">
        <v>-220736.29548</v>
      </c>
      <c r="AG55" s="120">
        <v>-62846</v>
      </c>
      <c r="AH55" s="120">
        <v>-72016</v>
      </c>
      <c r="AI55" s="120">
        <v>-94289</v>
      </c>
      <c r="AJ55" s="120">
        <v>-74292</v>
      </c>
      <c r="AK55" s="142">
        <v>-303443</v>
      </c>
      <c r="AL55" s="157">
        <v>-86841.25</v>
      </c>
      <c r="AM55" s="157">
        <v>-83423</v>
      </c>
      <c r="AN55" s="157">
        <v>-86744</v>
      </c>
      <c r="AO55" s="157">
        <v>-98140</v>
      </c>
      <c r="AP55" s="142">
        <v>-355148.25</v>
      </c>
      <c r="AQ55" s="157">
        <v>-85826</v>
      </c>
      <c r="AR55" s="157">
        <v>-90247</v>
      </c>
      <c r="AS55" s="157">
        <v>-124478</v>
      </c>
      <c r="AT55" s="157">
        <v>-119623</v>
      </c>
      <c r="AU55" s="142">
        <f t="shared" si="43"/>
        <v>-420174</v>
      </c>
      <c r="AV55" s="157">
        <v>-94580.934569999998</v>
      </c>
      <c r="AW55" s="157">
        <v>-93792.268869999985</v>
      </c>
      <c r="AX55" s="157">
        <v>-103423.03224000002</v>
      </c>
      <c r="AY55" s="157">
        <v>-103949.28455999999</v>
      </c>
      <c r="AZ55" s="142">
        <f t="shared" si="44"/>
        <v>-395745.52023999998</v>
      </c>
      <c r="BA55" s="157">
        <v>-93554.714370000002</v>
      </c>
    </row>
    <row r="56" spans="1:53">
      <c r="A56" s="11"/>
      <c r="B56" s="11" t="s">
        <v>333</v>
      </c>
      <c r="C56" s="120">
        <v>-8589.1809700000013</v>
      </c>
      <c r="D56" s="120">
        <v>-7625.5420999999997</v>
      </c>
      <c r="E56" s="120">
        <v>-9678.5742499999997</v>
      </c>
      <c r="F56" s="120">
        <v>-9571.1693699999978</v>
      </c>
      <c r="G56" s="142">
        <f t="shared" si="30"/>
        <v>-35464.466689999994</v>
      </c>
      <c r="H56" s="120">
        <v>-12441.977439999999</v>
      </c>
      <c r="I56" s="120">
        <v>-11244.524860000001</v>
      </c>
      <c r="J56" s="120">
        <v>-11616.057949999999</v>
      </c>
      <c r="K56" s="120">
        <v>-11241.040259999998</v>
      </c>
      <c r="L56" s="142">
        <f t="shared" si="31"/>
        <v>-46543.600509999989</v>
      </c>
      <c r="M56" s="120">
        <v>-17192.744210000001</v>
      </c>
      <c r="N56" s="120">
        <v>-12832.371359999999</v>
      </c>
      <c r="O56" s="120">
        <v>-11902.020210000001</v>
      </c>
      <c r="P56" s="120">
        <v>-15904.957280000001</v>
      </c>
      <c r="Q56" s="142">
        <f t="shared" si="32"/>
        <v>-57832.093060000007</v>
      </c>
      <c r="R56" s="120">
        <v>-14746.08231</v>
      </c>
      <c r="S56" s="120">
        <v>-15630.758679999997</v>
      </c>
      <c r="T56" s="120">
        <v>-16227.614720000003</v>
      </c>
      <c r="U56" s="120">
        <v>-8389.566990000003</v>
      </c>
      <c r="V56" s="142">
        <f t="shared" si="33"/>
        <v>-54994.022700000001</v>
      </c>
      <c r="W56" s="120">
        <v>-13734.473029999999</v>
      </c>
      <c r="X56" s="120">
        <v>-12553.015430000001</v>
      </c>
      <c r="Y56" s="120">
        <v>-26649.231780000002</v>
      </c>
      <c r="Z56" s="120">
        <v>-20174.838240000001</v>
      </c>
      <c r="AA56" s="142">
        <f t="shared" si="34"/>
        <v>-73111.558480000007</v>
      </c>
      <c r="AB56" s="120">
        <v>-14274.743210000001</v>
      </c>
      <c r="AC56" s="120">
        <v>-13759.699619999998</v>
      </c>
      <c r="AD56" s="120">
        <v>-25560.699209999999</v>
      </c>
      <c r="AE56" s="120">
        <v>-25751.768220000005</v>
      </c>
      <c r="AF56" s="142">
        <v>-79346.910260000004</v>
      </c>
      <c r="AG56" s="120">
        <v>-22601</v>
      </c>
      <c r="AH56" s="120">
        <v>-25932</v>
      </c>
      <c r="AI56" s="120">
        <v>-33950</v>
      </c>
      <c r="AJ56" s="120">
        <v>-26393</v>
      </c>
      <c r="AK56" s="142">
        <v>-108876</v>
      </c>
      <c r="AL56" s="157">
        <v>-31282.29</v>
      </c>
      <c r="AM56" s="157">
        <v>-30028</v>
      </c>
      <c r="AN56" s="157">
        <v>-31012</v>
      </c>
      <c r="AO56" s="157">
        <v>-35337</v>
      </c>
      <c r="AP56" s="142">
        <v>-127659.29000000001</v>
      </c>
      <c r="AQ56" s="157">
        <v>-30902</v>
      </c>
      <c r="AR56" s="157">
        <v>-32497</v>
      </c>
      <c r="AS56" s="157">
        <v>-44819</v>
      </c>
      <c r="AT56" s="157">
        <v>-42822</v>
      </c>
      <c r="AU56" s="142">
        <f t="shared" si="43"/>
        <v>-151040</v>
      </c>
      <c r="AV56" s="157">
        <v>-34055.616450000001</v>
      </c>
      <c r="AW56" s="157">
        <v>-33771.696780000006</v>
      </c>
      <c r="AX56" s="157">
        <v>-37238.771619999978</v>
      </c>
      <c r="AY56" s="157">
        <v>-37078.58630999997</v>
      </c>
      <c r="AZ56" s="142">
        <f t="shared" si="44"/>
        <v>-142144.67115999997</v>
      </c>
      <c r="BA56" s="157">
        <v>-33685.367310000001</v>
      </c>
    </row>
    <row r="57" spans="1:53">
      <c r="A57" s="73"/>
      <c r="B57" s="73" t="s">
        <v>335</v>
      </c>
      <c r="C57" s="120">
        <v>2.7585299999999999</v>
      </c>
      <c r="D57" s="120">
        <v>2.5199400000000005</v>
      </c>
      <c r="E57" s="120">
        <v>1.0592799999999998</v>
      </c>
      <c r="F57" s="120">
        <v>-4.1392499999999997</v>
      </c>
      <c r="G57" s="142">
        <f t="shared" si="30"/>
        <v>2.1985000000000001</v>
      </c>
      <c r="H57" s="120">
        <v>-0.71175999999999995</v>
      </c>
      <c r="I57" s="120">
        <v>-1.486739999999998</v>
      </c>
      <c r="J57" s="120">
        <v>29.795879999999997</v>
      </c>
      <c r="K57" s="120">
        <v>6.3772600000000024</v>
      </c>
      <c r="L57" s="142">
        <f t="shared" si="31"/>
        <v>33.974640000000001</v>
      </c>
      <c r="M57" s="120">
        <v>-62.069790000000005</v>
      </c>
      <c r="N57" s="120">
        <v>0</v>
      </c>
      <c r="O57" s="120">
        <v>0</v>
      </c>
      <c r="P57" s="120">
        <v>0</v>
      </c>
      <c r="Q57" s="142">
        <f t="shared" si="32"/>
        <v>-62.069790000000005</v>
      </c>
      <c r="R57" s="120">
        <v>-2.1257600000000001</v>
      </c>
      <c r="S57" s="120">
        <v>-3239.2317599999997</v>
      </c>
      <c r="T57" s="120">
        <v>-1391.4856200000002</v>
      </c>
      <c r="U57" s="120">
        <v>4630.71738</v>
      </c>
      <c r="V57" s="142">
        <f t="shared" si="33"/>
        <v>-2.1257599999999002</v>
      </c>
      <c r="W57" s="120">
        <v>-1096.5395000000001</v>
      </c>
      <c r="X57" s="120">
        <v>-1013.8895999999996</v>
      </c>
      <c r="Y57" s="120">
        <v>-952.55914000000018</v>
      </c>
      <c r="Z57" s="120">
        <v>3062.9882399999992</v>
      </c>
      <c r="AA57" s="142">
        <f t="shared" si="34"/>
        <v>0</v>
      </c>
      <c r="AB57" s="120">
        <v>-923.77433999999994</v>
      </c>
      <c r="AC57" s="120">
        <v>-970.54264000000001</v>
      </c>
      <c r="AD57" s="120">
        <v>-1027.7321599999996</v>
      </c>
      <c r="AE57" s="120">
        <v>2922.0491399999996</v>
      </c>
      <c r="AF57" s="142">
        <v>0</v>
      </c>
      <c r="AG57" s="120">
        <v>-1269</v>
      </c>
      <c r="AH57" s="120">
        <v>-1425</v>
      </c>
      <c r="AI57" s="120">
        <v>-1464</v>
      </c>
      <c r="AJ57" s="120">
        <v>4199</v>
      </c>
      <c r="AK57" s="142">
        <v>41</v>
      </c>
      <c r="AL57" s="157">
        <v>-1891</v>
      </c>
      <c r="AM57" s="157">
        <v>-1853</v>
      </c>
      <c r="AN57" s="157">
        <v>-1759</v>
      </c>
      <c r="AO57" s="157">
        <v>5462</v>
      </c>
      <c r="AP57" s="142">
        <v>-41</v>
      </c>
      <c r="AQ57" s="157">
        <v>118</v>
      </c>
      <c r="AR57" s="157">
        <v>-3651</v>
      </c>
      <c r="AS57" s="157">
        <v>-2107</v>
      </c>
      <c r="AT57" s="157">
        <v>5523</v>
      </c>
      <c r="AU57" s="142">
        <f t="shared" si="43"/>
        <v>-117</v>
      </c>
      <c r="AV57" s="157">
        <v>-2309.0579700000003</v>
      </c>
      <c r="AW57" s="157">
        <v>-2032</v>
      </c>
      <c r="AX57" s="157">
        <v>-2288.0608300000004</v>
      </c>
      <c r="AY57" s="157">
        <v>6289.7633300000034</v>
      </c>
      <c r="AZ57" s="142">
        <f t="shared" si="44"/>
        <v>-339.35546999999679</v>
      </c>
      <c r="BA57" s="157">
        <v>-2881.95678</v>
      </c>
    </row>
    <row r="58" spans="1:53">
      <c r="A58" s="15"/>
      <c r="B58" s="15" t="s">
        <v>367</v>
      </c>
      <c r="C58" s="124">
        <v>260326.11056729269</v>
      </c>
      <c r="D58" s="124">
        <f>D51+D53</f>
        <v>233608.41236717312</v>
      </c>
      <c r="E58" s="124">
        <f t="shared" ref="E58:F58" si="46">E51+E53</f>
        <v>250122.85289123503</v>
      </c>
      <c r="F58" s="124">
        <f t="shared" si="46"/>
        <v>271242.57023796416</v>
      </c>
      <c r="G58" s="272">
        <f t="shared" si="30"/>
        <v>1015299.946063665</v>
      </c>
      <c r="H58" s="124">
        <v>299636.91821039084</v>
      </c>
      <c r="I58" s="124">
        <v>324358.13287195488</v>
      </c>
      <c r="J58" s="124">
        <v>296497.32207662275</v>
      </c>
      <c r="K58" s="124">
        <v>307095.33960319869</v>
      </c>
      <c r="L58" s="272">
        <f t="shared" si="31"/>
        <v>1227587.7127621672</v>
      </c>
      <c r="M58" s="124">
        <v>344791.13819298521</v>
      </c>
      <c r="N58" s="124">
        <v>307198.32255234051</v>
      </c>
      <c r="O58" s="124">
        <v>342831.13491789106</v>
      </c>
      <c r="P58" s="124">
        <v>408592.90934609313</v>
      </c>
      <c r="Q58" s="272">
        <f t="shared" si="32"/>
        <v>1403413.5050093101</v>
      </c>
      <c r="R58" s="124">
        <v>367905.33417686209</v>
      </c>
      <c r="S58" s="124">
        <v>364633.39893320471</v>
      </c>
      <c r="T58" s="124">
        <v>414876.56168084999</v>
      </c>
      <c r="U58" s="124">
        <v>328615.61110149341</v>
      </c>
      <c r="V58" s="272">
        <f t="shared" si="33"/>
        <v>1476030.9058924101</v>
      </c>
      <c r="W58" s="124">
        <v>394168.82184340293</v>
      </c>
      <c r="X58" s="124">
        <v>372684.29668291484</v>
      </c>
      <c r="Y58" s="124">
        <v>494105.49829499988</v>
      </c>
      <c r="Z58" s="124">
        <v>435215.32743315323</v>
      </c>
      <c r="AA58" s="272">
        <f t="shared" si="34"/>
        <v>1696173.944254471</v>
      </c>
      <c r="AB58" s="124">
        <v>405041.39856</v>
      </c>
      <c r="AC58" s="124">
        <v>397954.2692000001</v>
      </c>
      <c r="AD58" s="124">
        <v>465298.67286000005</v>
      </c>
      <c r="AE58" s="124">
        <v>538272.44048999995</v>
      </c>
      <c r="AF58" s="272">
        <v>1806566.7811100001</v>
      </c>
      <c r="AG58" s="124">
        <v>659119</v>
      </c>
      <c r="AH58" s="124">
        <v>659061.42999999993</v>
      </c>
      <c r="AI58" s="124">
        <v>1142870.3149999999</v>
      </c>
      <c r="AJ58" s="124">
        <v>305182</v>
      </c>
      <c r="AK58" s="272">
        <v>2766232.7450000001</v>
      </c>
      <c r="AL58" s="124">
        <v>814371.46</v>
      </c>
      <c r="AM58" s="124">
        <v>869409</v>
      </c>
      <c r="AN58" s="124">
        <v>974313</v>
      </c>
      <c r="AO58" s="124">
        <v>924151</v>
      </c>
      <c r="AP58" s="272">
        <v>3582244.46</v>
      </c>
      <c r="AQ58" s="124">
        <f t="shared" ref="AQ58:AV58" si="47">AQ51+AQ53</f>
        <v>855709.36878999998</v>
      </c>
      <c r="AR58" s="124">
        <f t="shared" si="47"/>
        <v>653763</v>
      </c>
      <c r="AS58" s="124">
        <f t="shared" si="47"/>
        <v>1088713</v>
      </c>
      <c r="AT58" s="124">
        <f t="shared" si="47"/>
        <v>1166999</v>
      </c>
      <c r="AU58" s="272">
        <f t="shared" si="43"/>
        <v>3765184.3687899997</v>
      </c>
      <c r="AV58" s="124">
        <f t="shared" si="47"/>
        <v>1050418.8173499997</v>
      </c>
      <c r="AW58" s="124">
        <f t="shared" ref="AW58:AX58" si="48">AW51+AW53</f>
        <v>1028408.4271999999</v>
      </c>
      <c r="AX58" s="124">
        <f t="shared" si="48"/>
        <v>1140753.7465700021</v>
      </c>
      <c r="AY58" s="124">
        <f t="shared" ref="AY58:BA58" si="49">AY51+AY53</f>
        <v>1071979.2925699987</v>
      </c>
      <c r="AZ58" s="272">
        <f t="shared" si="44"/>
        <v>4291560.28369</v>
      </c>
      <c r="BA58" s="124">
        <f t="shared" si="49"/>
        <v>1150277.7723199981</v>
      </c>
    </row>
    <row r="59" spans="1:53">
      <c r="A59" s="9"/>
      <c r="B59" s="9" t="s">
        <v>368</v>
      </c>
      <c r="C59" s="274">
        <v>18187.27895453672</v>
      </c>
      <c r="D59" s="274">
        <v>20656.206533774923</v>
      </c>
      <c r="E59" s="274">
        <v>20856.749418764994</v>
      </c>
      <c r="F59" s="274">
        <v>14592.931359258419</v>
      </c>
      <c r="G59" s="275">
        <f>SUM(C59:F59)</f>
        <v>74293.166266335058</v>
      </c>
      <c r="H59" s="274">
        <v>21592.651269609149</v>
      </c>
      <c r="I59" s="274">
        <v>15983.778238045166</v>
      </c>
      <c r="J59" s="274">
        <v>18152.455953377219</v>
      </c>
      <c r="K59" s="274">
        <v>15533.790506801284</v>
      </c>
      <c r="L59" s="275">
        <f>SUM(H59:K59)</f>
        <v>71262.675967832824</v>
      </c>
      <c r="M59" s="274">
        <v>25355.829697014771</v>
      </c>
      <c r="N59" s="274">
        <v>16255.212067659457</v>
      </c>
      <c r="O59" s="274">
        <v>15983.445532108901</v>
      </c>
      <c r="P59" s="274">
        <v>16599.470323906869</v>
      </c>
      <c r="Q59" s="275">
        <f>SUM(M59:P59)</f>
        <v>74193.957620689995</v>
      </c>
      <c r="R59" s="274">
        <v>27532.806263137943</v>
      </c>
      <c r="S59" s="274">
        <v>19014.116576795255</v>
      </c>
      <c r="T59" s="274">
        <v>22232.136149150007</v>
      </c>
      <c r="U59" s="274">
        <v>-8753.3329314933217</v>
      </c>
      <c r="V59" s="275">
        <f>SUM(R59:U59)</f>
        <v>60025.726057589884</v>
      </c>
      <c r="W59" s="274">
        <v>19760.962956597043</v>
      </c>
      <c r="X59" s="274">
        <v>21253.706937085131</v>
      </c>
      <c r="Y59" s="274">
        <v>14024.878005000122</v>
      </c>
      <c r="Z59" s="274">
        <v>18199.952646846628</v>
      </c>
      <c r="AA59" s="275">
        <f>SUM(W59:Z59)</f>
        <v>73239.500545528921</v>
      </c>
      <c r="AB59" s="274">
        <v>26616</v>
      </c>
      <c r="AC59" s="274">
        <v>28679.30739537</v>
      </c>
      <c r="AD59" s="274">
        <v>26839.053043750002</v>
      </c>
      <c r="AE59" s="274">
        <v>7451.24487469</v>
      </c>
      <c r="AF59" s="275">
        <v>89585.605313810011</v>
      </c>
      <c r="AG59" s="274">
        <v>25420</v>
      </c>
      <c r="AH59" s="274">
        <v>14955.57</v>
      </c>
      <c r="AI59" s="274">
        <v>6184.6849999999995</v>
      </c>
      <c r="AJ59" s="274">
        <v>334.3725</v>
      </c>
      <c r="AK59" s="275">
        <v>46894.627499999995</v>
      </c>
      <c r="AL59" s="274">
        <v>0</v>
      </c>
      <c r="AM59" s="274">
        <v>0</v>
      </c>
      <c r="AN59" s="274">
        <v>0</v>
      </c>
      <c r="AO59" s="274">
        <v>0</v>
      </c>
      <c r="AP59" s="275">
        <v>0</v>
      </c>
      <c r="AQ59" s="274">
        <v>0</v>
      </c>
      <c r="AR59" s="274">
        <v>0</v>
      </c>
      <c r="AS59" s="274">
        <v>0</v>
      </c>
      <c r="AT59" s="274">
        <v>0</v>
      </c>
      <c r="AU59" s="275">
        <v>0</v>
      </c>
      <c r="AV59" s="274">
        <v>0</v>
      </c>
      <c r="AW59" s="274">
        <v>0</v>
      </c>
      <c r="AX59" s="274">
        <v>0</v>
      </c>
      <c r="AY59" s="274">
        <v>0</v>
      </c>
      <c r="AZ59" s="275">
        <v>0</v>
      </c>
      <c r="BA59" s="274"/>
    </row>
    <row r="60" spans="1:53" ht="15.75" thickBot="1">
      <c r="A60" s="15"/>
      <c r="B60" s="15" t="s">
        <v>369</v>
      </c>
      <c r="C60" s="124">
        <v>278513.38952182943</v>
      </c>
      <c r="D60" s="124">
        <f>D58+D59</f>
        <v>254264.61890094803</v>
      </c>
      <c r="E60" s="124">
        <f t="shared" ref="E60:F60" si="50">E58+E59</f>
        <v>270979.60231000005</v>
      </c>
      <c r="F60" s="124">
        <f t="shared" si="50"/>
        <v>285835.50159722258</v>
      </c>
      <c r="G60" s="145">
        <f t="shared" ref="G60" si="51">SUM(C60:F60)</f>
        <v>1089593.1123300001</v>
      </c>
      <c r="H60" s="124">
        <v>321229.56948000001</v>
      </c>
      <c r="I60" s="124">
        <v>340341.91111000004</v>
      </c>
      <c r="J60" s="124">
        <v>314649.77802999999</v>
      </c>
      <c r="K60" s="124">
        <v>322629.13010999997</v>
      </c>
      <c r="L60" s="145">
        <f t="shared" ref="L60" si="52">SUM(H60:K60)</f>
        <v>1298850.38873</v>
      </c>
      <c r="M60" s="124">
        <v>370146.96788999997</v>
      </c>
      <c r="N60" s="124">
        <v>323453.53461999999</v>
      </c>
      <c r="O60" s="124">
        <v>358814.58044999995</v>
      </c>
      <c r="P60" s="124">
        <v>425192.37966999999</v>
      </c>
      <c r="Q60" s="145">
        <f t="shared" ref="Q60" si="53">SUM(M60:P60)</f>
        <v>1477607.46263</v>
      </c>
      <c r="R60" s="124">
        <v>395438.14044000005</v>
      </c>
      <c r="S60" s="124">
        <v>383647.51550999994</v>
      </c>
      <c r="T60" s="124">
        <v>437108.69783000002</v>
      </c>
      <c r="U60" s="124">
        <v>319862.27817000006</v>
      </c>
      <c r="V60" s="145">
        <f t="shared" ref="V60" si="54">SUM(R60:U60)</f>
        <v>1536056.6319500001</v>
      </c>
      <c r="W60" s="124">
        <v>413929.78479999996</v>
      </c>
      <c r="X60" s="124">
        <v>393938.00361999997</v>
      </c>
      <c r="Y60" s="124">
        <v>508130.3763</v>
      </c>
      <c r="Z60" s="124">
        <v>453415.28007999988</v>
      </c>
      <c r="AA60" s="145">
        <f t="shared" ref="AA60" si="55">SUM(W60:Z60)</f>
        <v>1769413.4447999997</v>
      </c>
      <c r="AB60" s="124">
        <v>431657.39856</v>
      </c>
      <c r="AC60" s="124">
        <v>426633.57659537008</v>
      </c>
      <c r="AD60" s="124">
        <v>492137.72590375005</v>
      </c>
      <c r="AE60" s="124">
        <v>545723.68536468991</v>
      </c>
      <c r="AF60" s="145">
        <v>1896152.3864238102</v>
      </c>
      <c r="AG60" s="124">
        <v>684539</v>
      </c>
      <c r="AH60" s="124">
        <v>674016.99999999988</v>
      </c>
      <c r="AI60" s="124">
        <v>1149055</v>
      </c>
      <c r="AJ60" s="124">
        <v>305516.3725</v>
      </c>
      <c r="AK60" s="145">
        <v>2813127.3725000001</v>
      </c>
      <c r="AL60" s="124">
        <v>814371.46</v>
      </c>
      <c r="AM60" s="124">
        <v>869409</v>
      </c>
      <c r="AN60" s="124">
        <v>974313</v>
      </c>
      <c r="AO60" s="124">
        <v>924151</v>
      </c>
      <c r="AP60" s="145">
        <v>3582244.46</v>
      </c>
      <c r="AQ60" s="124">
        <f t="shared" ref="AQ60:AV60" si="56">AQ58+AQ59</f>
        <v>855709.36878999998</v>
      </c>
      <c r="AR60" s="124">
        <f t="shared" si="56"/>
        <v>653763</v>
      </c>
      <c r="AS60" s="124">
        <f t="shared" si="56"/>
        <v>1088713</v>
      </c>
      <c r="AT60" s="124">
        <f t="shared" si="56"/>
        <v>1166999</v>
      </c>
      <c r="AU60" s="145">
        <f>SUM(AQ60:AT60)</f>
        <v>3765184.3687899997</v>
      </c>
      <c r="AV60" s="124">
        <f t="shared" si="56"/>
        <v>1050418.8173499997</v>
      </c>
      <c r="AW60" s="124">
        <f t="shared" ref="AW60:AX60" si="57">AW58+AW59</f>
        <v>1028408.4271999999</v>
      </c>
      <c r="AX60" s="124">
        <f t="shared" si="57"/>
        <v>1140753.7465700021</v>
      </c>
      <c r="AY60" s="124">
        <f t="shared" ref="AY60" si="58">AY58+AY59</f>
        <v>1071979.2925699987</v>
      </c>
      <c r="AZ60" s="145">
        <f>SUM(AV60:AY60)</f>
        <v>4291560.28369</v>
      </c>
      <c r="BA60" s="124">
        <f>BA58+BA59</f>
        <v>1150277.7723199981</v>
      </c>
    </row>
    <row r="61" spans="1:53">
      <c r="AG61" s="110"/>
      <c r="AH61" s="110"/>
      <c r="AI61" s="110"/>
      <c r="AJ61" s="110"/>
      <c r="AK61" s="469"/>
      <c r="AL61" s="469"/>
      <c r="AM61" s="469"/>
      <c r="AN61" s="469"/>
      <c r="AO61" s="469"/>
      <c r="AP61" s="469"/>
      <c r="AQ61" s="469"/>
      <c r="AR61" s="469"/>
      <c r="AS61" s="469"/>
      <c r="AT61" s="469"/>
      <c r="AU61" s="469"/>
      <c r="AV61" s="469"/>
      <c r="AW61" s="469"/>
      <c r="AX61" s="469"/>
      <c r="AY61" s="469"/>
      <c r="AZ61" s="462"/>
      <c r="BA61" s="462"/>
    </row>
    <row r="62" spans="1:53" ht="15.75" thickBot="1">
      <c r="AJ62" s="123"/>
      <c r="AK62" s="491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"/>
      <c r="BA62" s="1"/>
    </row>
    <row r="63" spans="1:53">
      <c r="A63" s="625"/>
      <c r="B63" s="625" t="s">
        <v>406</v>
      </c>
      <c r="C63" s="626" t="s">
        <v>224</v>
      </c>
      <c r="D63" s="626" t="s">
        <v>225</v>
      </c>
      <c r="E63" s="626" t="s">
        <v>226</v>
      </c>
      <c r="F63" s="626" t="s">
        <v>227</v>
      </c>
      <c r="G63" s="652">
        <v>2016</v>
      </c>
      <c r="H63" s="626" t="s">
        <v>228</v>
      </c>
      <c r="I63" s="626" t="s">
        <v>229</v>
      </c>
      <c r="J63" s="626" t="s">
        <v>230</v>
      </c>
      <c r="K63" s="626" t="s">
        <v>231</v>
      </c>
      <c r="L63" s="652">
        <v>2017</v>
      </c>
      <c r="M63" s="626" t="s">
        <v>232</v>
      </c>
      <c r="N63" s="626" t="s">
        <v>233</v>
      </c>
      <c r="O63" s="626" t="s">
        <v>234</v>
      </c>
      <c r="P63" s="626" t="s">
        <v>235</v>
      </c>
      <c r="Q63" s="652">
        <v>2018</v>
      </c>
      <c r="R63" s="626" t="s">
        <v>236</v>
      </c>
      <c r="S63" s="626" t="s">
        <v>237</v>
      </c>
      <c r="T63" s="626" t="s">
        <v>238</v>
      </c>
      <c r="U63" s="626" t="s">
        <v>239</v>
      </c>
      <c r="V63" s="652">
        <v>2019</v>
      </c>
      <c r="W63" s="626" t="s">
        <v>240</v>
      </c>
      <c r="X63" s="626" t="s">
        <v>241</v>
      </c>
      <c r="Y63" s="626" t="s">
        <v>242</v>
      </c>
      <c r="Z63" s="626" t="s">
        <v>243</v>
      </c>
      <c r="AA63" s="652">
        <v>2020</v>
      </c>
      <c r="AB63" s="626" t="s">
        <v>244</v>
      </c>
      <c r="AC63" s="626" t="s">
        <v>245</v>
      </c>
      <c r="AD63" s="626" t="s">
        <v>246</v>
      </c>
      <c r="AE63" s="626" t="s">
        <v>247</v>
      </c>
      <c r="AF63" s="652">
        <v>2021</v>
      </c>
      <c r="AG63" s="626" t="s">
        <v>248</v>
      </c>
      <c r="AH63" s="626" t="s">
        <v>249</v>
      </c>
      <c r="AI63" s="626" t="s">
        <v>250</v>
      </c>
      <c r="AJ63" s="626" t="s">
        <v>215</v>
      </c>
      <c r="AK63" s="652">
        <v>2022</v>
      </c>
      <c r="AL63" s="626" t="s">
        <v>252</v>
      </c>
      <c r="AM63" s="626" t="s">
        <v>253</v>
      </c>
      <c r="AN63" s="626" t="s">
        <v>403</v>
      </c>
      <c r="AO63" s="626" t="s">
        <v>404</v>
      </c>
      <c r="AP63" s="652">
        <v>2023</v>
      </c>
      <c r="AQ63" s="626" t="s">
        <v>223</v>
      </c>
      <c r="AR63" s="626" t="s">
        <v>256</v>
      </c>
      <c r="AS63" s="626" t="s">
        <v>357</v>
      </c>
      <c r="AT63" s="626" t="s">
        <v>358</v>
      </c>
      <c r="AU63" s="652" t="s">
        <v>396</v>
      </c>
      <c r="AV63" s="626" t="s">
        <v>359</v>
      </c>
      <c r="AW63" s="626" t="s">
        <v>1115</v>
      </c>
      <c r="AX63" s="626" t="s">
        <v>1116</v>
      </c>
      <c r="AY63" s="626" t="s">
        <v>1117</v>
      </c>
      <c r="AZ63" s="653" t="s">
        <v>1118</v>
      </c>
      <c r="BA63" s="645" t="s">
        <v>1124</v>
      </c>
    </row>
    <row r="64" spans="1:53">
      <c r="A64" s="54"/>
      <c r="B64" s="54" t="s">
        <v>259</v>
      </c>
      <c r="C64" s="125">
        <v>306635.72104546329</v>
      </c>
      <c r="D64" s="125">
        <v>274306.79346622509</v>
      </c>
      <c r="E64" s="125">
        <v>298515.25058123504</v>
      </c>
      <c r="F64" s="125">
        <v>321111.06864074158</v>
      </c>
      <c r="G64" s="118">
        <f>SUM(C64:F64)</f>
        <v>1200568.8337336651</v>
      </c>
      <c r="H64" s="125">
        <v>363428.12732039089</v>
      </c>
      <c r="I64" s="125">
        <v>380408.80876195489</v>
      </c>
      <c r="J64" s="125">
        <v>356398.93338662281</v>
      </c>
      <c r="K64" s="125">
        <v>362387.32913319871</v>
      </c>
      <c r="L64" s="118">
        <f>SUM(H64:K64)</f>
        <v>1462623.1986021674</v>
      </c>
      <c r="M64" s="125">
        <v>435183.6734329852</v>
      </c>
      <c r="N64" s="125">
        <v>375482.36627234053</v>
      </c>
      <c r="O64" s="125">
        <v>410792.748007891</v>
      </c>
      <c r="P64" s="125">
        <v>455047.22687609331</v>
      </c>
      <c r="Q64" s="118">
        <f>SUM(M64:P64)</f>
        <v>1676506.0145893099</v>
      </c>
      <c r="R64" s="125">
        <v>448096.19373686204</v>
      </c>
      <c r="S64" s="125">
        <v>440470.88342320477</v>
      </c>
      <c r="T64" s="125">
        <v>496113.86385084997</v>
      </c>
      <c r="U64" s="125">
        <v>374239.66308149335</v>
      </c>
      <c r="V64" s="118">
        <f>SUM(R64:U64)</f>
        <v>1758920.6040924103</v>
      </c>
      <c r="W64" s="125">
        <v>472377.03704340296</v>
      </c>
      <c r="X64" s="125">
        <v>442726.29306291486</v>
      </c>
      <c r="Y64" s="125">
        <v>635042.12199499994</v>
      </c>
      <c r="Z64" s="125">
        <v>539142.04735315335</v>
      </c>
      <c r="AA64" s="118">
        <f>SUM(W64:Z64)</f>
        <v>2089287.499454471</v>
      </c>
      <c r="AB64" s="125">
        <v>445557</v>
      </c>
      <c r="AC64" s="125">
        <v>427371.59249463002</v>
      </c>
      <c r="AD64" s="125">
        <v>484959.05678624997</v>
      </c>
      <c r="AE64" s="125">
        <v>554223.75512531004</v>
      </c>
      <c r="AF64" s="118">
        <v>1912111.4044061902</v>
      </c>
      <c r="AG64" s="125">
        <v>680529</v>
      </c>
      <c r="AH64" s="125">
        <v>679456.42999999993</v>
      </c>
      <c r="AI64" s="125">
        <v>1163701.3149999999</v>
      </c>
      <c r="AJ64" s="125">
        <v>321686</v>
      </c>
      <c r="AK64" s="118">
        <v>2845372.7450000001</v>
      </c>
      <c r="AL64" s="337">
        <v>823810</v>
      </c>
      <c r="AM64" s="337">
        <v>891765</v>
      </c>
      <c r="AN64" s="125">
        <v>999427</v>
      </c>
      <c r="AO64" s="125">
        <v>943639</v>
      </c>
      <c r="AP64" s="118">
        <v>3658641</v>
      </c>
      <c r="AQ64" s="337">
        <v>913167</v>
      </c>
      <c r="AR64" s="337">
        <v>683668</v>
      </c>
      <c r="AS64" s="337">
        <v>1032804</v>
      </c>
      <c r="AT64" s="337">
        <v>1197433.6516300002</v>
      </c>
      <c r="AU64" s="118">
        <f>SUM(AQ64:AT64)</f>
        <v>3827072.6516300002</v>
      </c>
      <c r="AV64" s="337">
        <f>SUM(AV65:AV66)</f>
        <v>1085411.8970299999</v>
      </c>
      <c r="AW64" s="337">
        <f>SUM(AW65:AW66)</f>
        <v>1047610.8866099999</v>
      </c>
      <c r="AX64" s="337">
        <f>SUM(AX65:AX66)</f>
        <v>1160681</v>
      </c>
      <c r="AY64" s="337">
        <f>SUM(AY65:AY66)</f>
        <v>1090895.1988299999</v>
      </c>
      <c r="AZ64" s="118">
        <f>SUM(AV64:AY64)</f>
        <v>4384598.9824700002</v>
      </c>
      <c r="BA64" s="337">
        <f>SUM(BA65:BA66)</f>
        <v>1185119</v>
      </c>
    </row>
    <row r="65" spans="1:53" ht="14.25" customHeight="1">
      <c r="A65" s="55"/>
      <c r="B65" s="55" t="s">
        <v>261</v>
      </c>
      <c r="C65" s="126">
        <v>218067.72104546329</v>
      </c>
      <c r="D65" s="126">
        <v>204924.79346622509</v>
      </c>
      <c r="E65" s="126">
        <v>218017.25058123501</v>
      </c>
      <c r="F65" s="126">
        <v>231474.06864074158</v>
      </c>
      <c r="G65" s="608">
        <f>SUM(C65:F65)</f>
        <v>872483.83373366506</v>
      </c>
      <c r="H65" s="126">
        <v>225814.77215039087</v>
      </c>
      <c r="I65" s="126">
        <v>253499.79034195485</v>
      </c>
      <c r="J65" s="126">
        <v>241597.22829</v>
      </c>
      <c r="K65" s="126">
        <v>268913.31305999996</v>
      </c>
      <c r="L65" s="608">
        <f>SUM(H65:K65)</f>
        <v>989825.10384234565</v>
      </c>
      <c r="M65" s="126">
        <v>232413.31130298524</v>
      </c>
      <c r="N65" s="126">
        <v>219547.80856234056</v>
      </c>
      <c r="O65" s="126">
        <v>257932.4333578911</v>
      </c>
      <c r="P65" s="126">
        <v>300200.23017609312</v>
      </c>
      <c r="Q65" s="608">
        <f>SUM(M65:P65)</f>
        <v>1010093.78339931</v>
      </c>
      <c r="R65" s="127">
        <v>266188.19373686204</v>
      </c>
      <c r="S65" s="127">
        <v>256054.88342320474</v>
      </c>
      <c r="T65" s="127">
        <v>303827.86385084997</v>
      </c>
      <c r="U65" s="127">
        <v>286516.46954149334</v>
      </c>
      <c r="V65" s="608">
        <f>SUM(R65:U65)</f>
        <v>1112587.4105524102</v>
      </c>
      <c r="W65" s="127">
        <v>299310.03704340296</v>
      </c>
      <c r="X65" s="127">
        <v>285646.29306291486</v>
      </c>
      <c r="Y65" s="127">
        <v>308341.12199499988</v>
      </c>
      <c r="Z65" s="127">
        <v>301300.04735315335</v>
      </c>
      <c r="AA65" s="608">
        <f>SUM(W65:Z65)</f>
        <v>1194597.499454471</v>
      </c>
      <c r="AB65" s="127">
        <v>366659</v>
      </c>
      <c r="AC65" s="127">
        <v>380894.58350463002</v>
      </c>
      <c r="AD65" s="127">
        <v>446838.94996624999</v>
      </c>
      <c r="AE65" s="127">
        <v>536840.75512531004</v>
      </c>
      <c r="AF65" s="608">
        <v>1731233.28859619</v>
      </c>
      <c r="AG65" s="127">
        <v>639024</v>
      </c>
      <c r="AH65" s="127">
        <v>647319.42999999993</v>
      </c>
      <c r="AI65" s="127">
        <v>1130141.3149999999</v>
      </c>
      <c r="AJ65" s="127">
        <v>287240</v>
      </c>
      <c r="AK65" s="608">
        <v>2703724.7450000001</v>
      </c>
      <c r="AL65" s="338">
        <v>783481</v>
      </c>
      <c r="AM65" s="338">
        <v>853483</v>
      </c>
      <c r="AN65" s="127">
        <v>960956</v>
      </c>
      <c r="AO65" s="127">
        <v>903471</v>
      </c>
      <c r="AP65" s="608">
        <v>3501391</v>
      </c>
      <c r="AQ65" s="127">
        <v>861376</v>
      </c>
      <c r="AR65" s="127">
        <v>642838</v>
      </c>
      <c r="AS65" s="127">
        <v>991571</v>
      </c>
      <c r="AT65" s="127">
        <v>1122474.9440900001</v>
      </c>
      <c r="AU65" s="608">
        <f>SUM(AQ65:AT65)</f>
        <v>3618259.9440900004</v>
      </c>
      <c r="AV65" s="127">
        <v>1029501.2610299999</v>
      </c>
      <c r="AW65" s="127">
        <v>1004345.3649299999</v>
      </c>
      <c r="AX65" s="127">
        <v>1117926</v>
      </c>
      <c r="AY65" s="127">
        <v>1030048.9060199999</v>
      </c>
      <c r="AZ65" s="608">
        <f>SUM(AV65:AY65)</f>
        <v>4181821.5319799995</v>
      </c>
      <c r="BA65" s="127">
        <v>1143228</v>
      </c>
    </row>
    <row r="66" spans="1:53">
      <c r="A66" s="55"/>
      <c r="B66" s="55" t="s">
        <v>361</v>
      </c>
      <c r="C66" s="126">
        <v>88568</v>
      </c>
      <c r="D66" s="126">
        <v>69382</v>
      </c>
      <c r="E66" s="126">
        <v>80498</v>
      </c>
      <c r="F66" s="126">
        <v>89637</v>
      </c>
      <c r="G66" s="146">
        <f>SUM(C66:F66)</f>
        <v>328085</v>
      </c>
      <c r="H66" s="126">
        <v>137613.35517000002</v>
      </c>
      <c r="I66" s="126">
        <v>126909.01842000001</v>
      </c>
      <c r="J66" s="126">
        <v>114801.70509662278</v>
      </c>
      <c r="K66" s="126">
        <v>93474.016073198727</v>
      </c>
      <c r="L66" s="146">
        <f>SUM(H66:K66)</f>
        <v>472798.09475982154</v>
      </c>
      <c r="M66" s="126">
        <v>202770.36212999999</v>
      </c>
      <c r="N66" s="126">
        <v>155934.55770999999</v>
      </c>
      <c r="O66" s="126">
        <v>152860.31464999993</v>
      </c>
      <c r="P66" s="126">
        <v>154846.99670000016</v>
      </c>
      <c r="Q66" s="146">
        <f>SUM(M66:P66)</f>
        <v>666412.23119000008</v>
      </c>
      <c r="R66" s="127">
        <v>181908</v>
      </c>
      <c r="S66" s="127">
        <v>184416</v>
      </c>
      <c r="T66" s="127">
        <v>192286</v>
      </c>
      <c r="U66" s="127">
        <v>87723.193540000007</v>
      </c>
      <c r="V66" s="146">
        <f>SUM(R66:U66)</f>
        <v>646333.19354000001</v>
      </c>
      <c r="W66" s="127">
        <v>173067</v>
      </c>
      <c r="X66" s="127">
        <v>157080</v>
      </c>
      <c r="Y66" s="127">
        <v>326701</v>
      </c>
      <c r="Z66" s="127">
        <v>237842</v>
      </c>
      <c r="AA66" s="146">
        <f>SUM(W66:Z66)</f>
        <v>894690</v>
      </c>
      <c r="AB66" s="127">
        <v>78898</v>
      </c>
      <c r="AC66" s="127">
        <v>46477.008990000017</v>
      </c>
      <c r="AD66" s="127">
        <v>38120.106819999972</v>
      </c>
      <c r="AE66" s="127">
        <v>17383</v>
      </c>
      <c r="AF66" s="146">
        <v>180878.11580999999</v>
      </c>
      <c r="AG66" s="127">
        <v>41505</v>
      </c>
      <c r="AH66" s="127">
        <v>32137</v>
      </c>
      <c r="AI66" s="127">
        <v>33560</v>
      </c>
      <c r="AJ66" s="127">
        <v>34446</v>
      </c>
      <c r="AK66" s="146">
        <v>141648</v>
      </c>
      <c r="AL66" s="127">
        <v>40329</v>
      </c>
      <c r="AM66" s="338">
        <v>38282</v>
      </c>
      <c r="AN66" s="127">
        <v>38471</v>
      </c>
      <c r="AO66" s="127">
        <v>40168</v>
      </c>
      <c r="AP66" s="146">
        <v>157250</v>
      </c>
      <c r="AQ66" s="127">
        <v>51791</v>
      </c>
      <c r="AR66" s="127">
        <v>40830</v>
      </c>
      <c r="AS66" s="127">
        <v>41233</v>
      </c>
      <c r="AT66" s="127">
        <v>74958.707540000003</v>
      </c>
      <c r="AU66" s="146">
        <f>SUM(AQ66:AT66)</f>
        <v>208812.70754</v>
      </c>
      <c r="AV66" s="127">
        <v>55910.635999999999</v>
      </c>
      <c r="AW66" s="127">
        <v>43265.521679999998</v>
      </c>
      <c r="AX66" s="127">
        <v>42755</v>
      </c>
      <c r="AY66" s="127">
        <v>60846.292809999999</v>
      </c>
      <c r="AZ66" s="146">
        <f>SUM(AV66:AY66)</f>
        <v>202777.45049000002</v>
      </c>
      <c r="BA66" s="127">
        <v>41891</v>
      </c>
    </row>
    <row r="67" spans="1:53">
      <c r="A67" s="57"/>
      <c r="B67" s="57" t="s">
        <v>363</v>
      </c>
      <c r="C67" s="128">
        <v>0</v>
      </c>
      <c r="D67" s="128">
        <v>0</v>
      </c>
      <c r="E67" s="128">
        <v>0</v>
      </c>
      <c r="F67" s="128">
        <v>0</v>
      </c>
      <c r="G67" s="147"/>
      <c r="H67" s="128">
        <v>0</v>
      </c>
      <c r="I67" s="128">
        <v>0</v>
      </c>
      <c r="J67" s="128">
        <v>0</v>
      </c>
      <c r="K67" s="128">
        <v>0</v>
      </c>
      <c r="L67" s="147"/>
      <c r="M67" s="128">
        <v>0</v>
      </c>
      <c r="N67" s="128">
        <v>0</v>
      </c>
      <c r="O67" s="128">
        <v>0</v>
      </c>
      <c r="P67" s="128">
        <v>0</v>
      </c>
      <c r="Q67" s="147"/>
      <c r="R67" s="129">
        <v>0</v>
      </c>
      <c r="S67" s="129">
        <v>0</v>
      </c>
      <c r="T67" s="129">
        <v>0</v>
      </c>
      <c r="U67" s="129">
        <v>0</v>
      </c>
      <c r="V67" s="147"/>
      <c r="W67" s="129">
        <v>0</v>
      </c>
      <c r="X67" s="129">
        <v>0</v>
      </c>
      <c r="Y67" s="129">
        <v>0</v>
      </c>
      <c r="Z67" s="129">
        <v>0</v>
      </c>
      <c r="AA67" s="147"/>
      <c r="AB67" s="129">
        <v>0</v>
      </c>
      <c r="AC67" s="129">
        <v>0</v>
      </c>
      <c r="AD67" s="129">
        <v>0</v>
      </c>
      <c r="AE67" s="129">
        <v>0</v>
      </c>
      <c r="AF67" s="147"/>
      <c r="AG67" s="129">
        <v>0</v>
      </c>
      <c r="AH67" s="129">
        <v>0</v>
      </c>
      <c r="AI67" s="129">
        <v>0</v>
      </c>
      <c r="AJ67" s="129">
        <v>0</v>
      </c>
      <c r="AK67" s="147"/>
      <c r="AL67" s="129">
        <v>0</v>
      </c>
      <c r="AM67" s="129">
        <v>0</v>
      </c>
      <c r="AN67" s="129">
        <v>0</v>
      </c>
      <c r="AO67" s="129">
        <v>0</v>
      </c>
      <c r="AP67" s="147"/>
      <c r="AQ67" s="129"/>
      <c r="AR67" s="129"/>
      <c r="AS67" s="129"/>
      <c r="AT67" s="129"/>
      <c r="AU67" s="147"/>
      <c r="AV67" s="129"/>
      <c r="AW67" s="129"/>
      <c r="AX67" s="129"/>
      <c r="AY67" s="129"/>
      <c r="AZ67" s="147"/>
      <c r="BA67" s="129"/>
    </row>
    <row r="68" spans="1:53">
      <c r="A68" s="9"/>
      <c r="B68" s="54" t="s">
        <v>305</v>
      </c>
      <c r="C68" s="130"/>
      <c r="D68" s="130"/>
      <c r="E68" s="130"/>
      <c r="F68" s="130"/>
      <c r="G68" s="148"/>
      <c r="H68" s="130"/>
      <c r="I68" s="130"/>
      <c r="J68" s="130"/>
      <c r="K68" s="130"/>
      <c r="L68" s="148"/>
      <c r="M68" s="130"/>
      <c r="N68" s="130"/>
      <c r="O68" s="130"/>
      <c r="P68" s="130"/>
      <c r="Q68" s="148"/>
      <c r="R68" s="125"/>
      <c r="S68" s="125"/>
      <c r="T68" s="125"/>
      <c r="U68" s="125"/>
      <c r="V68" s="148"/>
      <c r="W68" s="125"/>
      <c r="X68" s="125"/>
      <c r="Y68" s="125"/>
      <c r="Z68" s="125"/>
      <c r="AA68" s="148"/>
      <c r="AB68" s="125">
        <v>0</v>
      </c>
      <c r="AC68" s="125">
        <v>0</v>
      </c>
      <c r="AD68" s="125">
        <v>0</v>
      </c>
      <c r="AE68" s="125">
        <v>0</v>
      </c>
      <c r="AF68" s="148"/>
      <c r="AG68" s="125"/>
      <c r="AH68" s="125"/>
      <c r="AI68" s="125"/>
      <c r="AJ68" s="125"/>
      <c r="AK68" s="148"/>
      <c r="AL68" s="125"/>
      <c r="AM68" s="337"/>
      <c r="AN68" s="125"/>
      <c r="AO68" s="125"/>
      <c r="AP68" s="148"/>
      <c r="AQ68" s="125"/>
      <c r="AR68" s="125"/>
      <c r="AS68" s="125"/>
      <c r="AT68" s="125"/>
      <c r="AU68" s="148"/>
      <c r="AV68" s="125"/>
      <c r="AW68" s="125"/>
      <c r="AX68" s="125"/>
      <c r="AY68" s="125"/>
      <c r="AZ68" s="148"/>
      <c r="BA68" s="125"/>
    </row>
    <row r="69" spans="1:53">
      <c r="A69" s="54"/>
      <c r="B69" s="54" t="s">
        <v>307</v>
      </c>
      <c r="C69" s="130">
        <v>-12453</v>
      </c>
      <c r="D69" s="130">
        <v>-14576</v>
      </c>
      <c r="E69" s="130">
        <v>-17675.646680000002</v>
      </c>
      <c r="F69" s="130">
        <v>-19910.353319999998</v>
      </c>
      <c r="G69" s="148">
        <f t="shared" ref="G69:G78" si="59">SUM(C69:F69)</f>
        <v>-64615</v>
      </c>
      <c r="H69" s="130">
        <v>-21010.290929999999</v>
      </c>
      <c r="I69" s="130">
        <v>-20583.307540000002</v>
      </c>
      <c r="J69" s="130">
        <v>-22630.624519999983</v>
      </c>
      <c r="K69" s="130">
        <v>-26320.292230000014</v>
      </c>
      <c r="L69" s="148">
        <f t="shared" ref="L69:L78" si="60">SUM(H69:K69)</f>
        <v>-90544.515220000001</v>
      </c>
      <c r="M69" s="130">
        <v>-28109.545369999996</v>
      </c>
      <c r="N69" s="130">
        <v>-26436.102019999991</v>
      </c>
      <c r="O69" s="130">
        <v>-29381.324530000016</v>
      </c>
      <c r="P69" s="130">
        <v>1043.661669999994</v>
      </c>
      <c r="Q69" s="148">
        <f t="shared" ref="Q69:Q78" si="61">SUM(M69:P69)</f>
        <v>-82883.31025000001</v>
      </c>
      <c r="R69" s="125">
        <v>-27993</v>
      </c>
      <c r="S69" s="125">
        <v>-29226</v>
      </c>
      <c r="T69" s="125">
        <v>-31044</v>
      </c>
      <c r="U69" s="125">
        <v>-23402.379710000008</v>
      </c>
      <c r="V69" s="148">
        <f t="shared" ref="V69:V78" si="62">SUM(R69:U69)</f>
        <v>-111665.37971000001</v>
      </c>
      <c r="W69" s="125">
        <v>-30087</v>
      </c>
      <c r="X69" s="125">
        <v>-27803</v>
      </c>
      <c r="Y69" s="125">
        <v>-43564</v>
      </c>
      <c r="Z69" s="125">
        <v>-36018</v>
      </c>
      <c r="AA69" s="148">
        <f t="shared" ref="AA69:AA78" si="63">SUM(W69:Z69)</f>
        <v>-137472</v>
      </c>
      <c r="AB69" s="125">
        <v>-20469.83628</v>
      </c>
      <c r="AC69" s="125">
        <v>-22040.001559999997</v>
      </c>
      <c r="AD69" s="125">
        <v>-13064.414820000002</v>
      </c>
      <c r="AE69" s="125">
        <v>-15640</v>
      </c>
      <c r="AF69" s="148">
        <v>-71214.252659999998</v>
      </c>
      <c r="AG69" s="125">
        <v>-12615</v>
      </c>
      <c r="AH69" s="125">
        <v>-24609</v>
      </c>
      <c r="AI69" s="125">
        <v>-22978</v>
      </c>
      <c r="AJ69" s="125">
        <v>-26577</v>
      </c>
      <c r="AK69" s="148">
        <v>-86779</v>
      </c>
      <c r="AL69" s="337">
        <v>5390</v>
      </c>
      <c r="AM69" s="337">
        <v>-28716</v>
      </c>
      <c r="AN69" s="337">
        <v>-29728</v>
      </c>
      <c r="AO69" s="337">
        <v>-26361</v>
      </c>
      <c r="AP69" s="148">
        <v>-79415</v>
      </c>
      <c r="AQ69" s="337">
        <f t="shared" ref="AQ69:BA69" si="64">AQ70+AQ71+AQ72</f>
        <v>-33923</v>
      </c>
      <c r="AR69" s="337">
        <f t="shared" si="64"/>
        <v>-27176</v>
      </c>
      <c r="AS69" s="337">
        <f t="shared" si="64"/>
        <v>49340</v>
      </c>
      <c r="AT69" s="337">
        <f t="shared" si="64"/>
        <v>-30616.531149999995</v>
      </c>
      <c r="AU69" s="148">
        <f t="shared" ref="AU69:AU78" si="65">SUM(AQ69:AT69)</f>
        <v>-42375.531149999995</v>
      </c>
      <c r="AV69" s="337">
        <f t="shared" si="64"/>
        <v>-36677.684399999998</v>
      </c>
      <c r="AW69" s="337">
        <f t="shared" si="64"/>
        <v>-33460.940559999995</v>
      </c>
      <c r="AX69" s="337">
        <f t="shared" si="64"/>
        <v>-37856.447459999996</v>
      </c>
      <c r="AY69" s="337">
        <f t="shared" si="64"/>
        <v>-34230.217559999997</v>
      </c>
      <c r="AZ69" s="148">
        <f t="shared" ref="AZ69:AZ78" si="66">SUM(AV69:AY69)</f>
        <v>-142225.28997999997</v>
      </c>
      <c r="BA69" s="337">
        <f t="shared" si="64"/>
        <v>-42805.399859999969</v>
      </c>
    </row>
    <row r="70" spans="1:53" ht="18.75" customHeight="1" thickBot="1">
      <c r="A70" s="539"/>
      <c r="B70" s="539" t="s">
        <v>311</v>
      </c>
      <c r="C70" s="540">
        <v>-2216.6877699999995</v>
      </c>
      <c r="D70" s="540">
        <v>-4126.8672299999998</v>
      </c>
      <c r="E70" s="540">
        <v>-6310.178469999998</v>
      </c>
      <c r="F70" s="541">
        <v>-9359.9636399999981</v>
      </c>
      <c r="G70" s="542">
        <f t="shared" si="59"/>
        <v>-22013.697109999994</v>
      </c>
      <c r="H70" s="543">
        <v>-6669.2848099999983</v>
      </c>
      <c r="I70" s="540">
        <v>-7482.5691600000036</v>
      </c>
      <c r="J70" s="540">
        <v>-8903.9532499999932</v>
      </c>
      <c r="K70" s="541">
        <v>-15634.739829999995</v>
      </c>
      <c r="L70" s="542">
        <f t="shared" si="60"/>
        <v>-38690.547049999994</v>
      </c>
      <c r="M70" s="543">
        <v>-8155.6838599999992</v>
      </c>
      <c r="N70" s="540">
        <v>-10933.564439999995</v>
      </c>
      <c r="O70" s="540">
        <v>-14467.978350000012</v>
      </c>
      <c r="P70" s="541">
        <v>-13158.086229999997</v>
      </c>
      <c r="Q70" s="542">
        <f t="shared" si="61"/>
        <v>-46715.312879999998</v>
      </c>
      <c r="R70" s="543">
        <v>-10460.7711</v>
      </c>
      <c r="S70" s="540">
        <v>-11110.768909999995</v>
      </c>
      <c r="T70" s="540">
        <v>-12026.777290000004</v>
      </c>
      <c r="U70" s="541">
        <v>-11909.429629999995</v>
      </c>
      <c r="V70" s="542">
        <f t="shared" si="62"/>
        <v>-45507.746929999994</v>
      </c>
      <c r="W70" s="543">
        <v>-16810.195630000002</v>
      </c>
      <c r="X70" s="540">
        <v>-11807.021240000002</v>
      </c>
      <c r="Y70" s="540">
        <v>-12318.089829999999</v>
      </c>
      <c r="Z70" s="541">
        <v>-14215.174809999995</v>
      </c>
      <c r="AA70" s="542">
        <f t="shared" si="63"/>
        <v>-55150.481509999998</v>
      </c>
      <c r="AB70" s="540">
        <v>-13137.83628</v>
      </c>
      <c r="AC70" s="540">
        <v>-18937.28773</v>
      </c>
      <c r="AD70" s="540">
        <v>-14776.066740000002</v>
      </c>
      <c r="AE70" s="540">
        <v>-13919</v>
      </c>
      <c r="AF70" s="542">
        <v>-60770.190750000002</v>
      </c>
      <c r="AG70" s="540">
        <v>-18908</v>
      </c>
      <c r="AH70" s="540">
        <v>-21003</v>
      </c>
      <c r="AI70" s="540">
        <v>-19474</v>
      </c>
      <c r="AJ70" s="540">
        <v>-22460</v>
      </c>
      <c r="AK70" s="542">
        <v>-81845</v>
      </c>
      <c r="AL70" s="540">
        <v>-20822</v>
      </c>
      <c r="AM70" s="540">
        <v>-24104</v>
      </c>
      <c r="AN70" s="540">
        <v>-25591</v>
      </c>
      <c r="AO70" s="540">
        <v>-21825</v>
      </c>
      <c r="AP70" s="542">
        <v>-92342</v>
      </c>
      <c r="AQ70" s="540">
        <v>-28773</v>
      </c>
      <c r="AR70" s="540">
        <v>-25710</v>
      </c>
      <c r="AS70" s="540">
        <v>-23886</v>
      </c>
      <c r="AT70" s="540">
        <v>-22604.945899999999</v>
      </c>
      <c r="AU70" s="542">
        <f t="shared" si="65"/>
        <v>-100973.94589999999</v>
      </c>
      <c r="AV70" s="540">
        <v>-29449.077309999997</v>
      </c>
      <c r="AW70" s="540">
        <v>-28602.436339999997</v>
      </c>
      <c r="AX70" s="540">
        <v>-32478.447459999996</v>
      </c>
      <c r="AY70" s="540">
        <v>-26856.826140000001</v>
      </c>
      <c r="AZ70" s="542">
        <f t="shared" si="66"/>
        <v>-117386.78724999999</v>
      </c>
      <c r="BA70" s="540">
        <v>-37980.320489999969</v>
      </c>
    </row>
    <row r="71" spans="1:53" ht="12.6" customHeight="1" thickBot="1">
      <c r="A71" s="539"/>
      <c r="B71" s="539" t="s">
        <v>313</v>
      </c>
      <c r="C71" s="540">
        <v>-10236</v>
      </c>
      <c r="D71" s="540">
        <v>-9201</v>
      </c>
      <c r="E71" s="540">
        <v>-11298</v>
      </c>
      <c r="F71" s="541">
        <v>-11358</v>
      </c>
      <c r="G71" s="542">
        <f t="shared" si="59"/>
        <v>-42093</v>
      </c>
      <c r="H71" s="543">
        <v>-14341.066120000001</v>
      </c>
      <c r="I71" s="540">
        <v>-13100.862879999999</v>
      </c>
      <c r="J71" s="540">
        <v>-13727.869769999994</v>
      </c>
      <c r="K71" s="541">
        <v>-11542.481050000006</v>
      </c>
      <c r="L71" s="542">
        <f t="shared" si="60"/>
        <v>-52712.279819999996</v>
      </c>
      <c r="M71" s="543">
        <v>-19953.096559999998</v>
      </c>
      <c r="N71" s="540">
        <v>-15502.619029999994</v>
      </c>
      <c r="O71" s="540">
        <v>-14914.997260000004</v>
      </c>
      <c r="P71" s="541">
        <v>-17269.655770000012</v>
      </c>
      <c r="Q71" s="542">
        <f t="shared" si="61"/>
        <v>-67640.368620000008</v>
      </c>
      <c r="R71" s="543">
        <v>-17532</v>
      </c>
      <c r="S71" s="540">
        <v>-18115</v>
      </c>
      <c r="T71" s="540">
        <v>-19342</v>
      </c>
      <c r="U71" s="541">
        <v>-12115.037850000008</v>
      </c>
      <c r="V71" s="542">
        <f t="shared" si="62"/>
        <v>-67104.037850000008</v>
      </c>
      <c r="W71" s="543">
        <v>-13301</v>
      </c>
      <c r="X71" s="540">
        <v>-15986</v>
      </c>
      <c r="Y71" s="540">
        <v>-31220</v>
      </c>
      <c r="Z71" s="541">
        <v>-22827</v>
      </c>
      <c r="AA71" s="542">
        <f t="shared" si="63"/>
        <v>-83334</v>
      </c>
      <c r="AB71" s="540">
        <v>-7332</v>
      </c>
      <c r="AC71" s="540">
        <v>-4911.7217199999996</v>
      </c>
      <c r="AD71" s="540">
        <v>-4222.9824199999985</v>
      </c>
      <c r="AE71" s="540">
        <v>-1721</v>
      </c>
      <c r="AF71" s="542">
        <v>-18187.704139999998</v>
      </c>
      <c r="AG71" s="540">
        <v>-5152</v>
      </c>
      <c r="AH71" s="540">
        <v>-3606</v>
      </c>
      <c r="AI71" s="540">
        <v>-3509</v>
      </c>
      <c r="AJ71" s="540">
        <v>-4125</v>
      </c>
      <c r="AK71" s="542">
        <v>-16392</v>
      </c>
      <c r="AL71" s="540">
        <v>-4469</v>
      </c>
      <c r="AM71" s="540">
        <v>-4613</v>
      </c>
      <c r="AN71" s="540">
        <v>-4137</v>
      </c>
      <c r="AO71" s="540">
        <v>-4536</v>
      </c>
      <c r="AP71" s="542">
        <v>-17755</v>
      </c>
      <c r="AQ71" s="540">
        <v>-5151</v>
      </c>
      <c r="AR71" s="540">
        <v>-4572</v>
      </c>
      <c r="AS71" s="540">
        <v>-16707</v>
      </c>
      <c r="AT71" s="540">
        <v>-8011.5852499999946</v>
      </c>
      <c r="AU71" s="542">
        <f t="shared" si="65"/>
        <v>-34441.585249999996</v>
      </c>
      <c r="AV71" s="540">
        <v>-6844.8950100000002</v>
      </c>
      <c r="AW71" s="540">
        <v>-5244.3588600000003</v>
      </c>
      <c r="AX71" s="540">
        <v>-5379</v>
      </c>
      <c r="AY71" s="540">
        <v>-7374.1541900000002</v>
      </c>
      <c r="AZ71" s="542">
        <f t="shared" si="66"/>
        <v>-24842.408060000002</v>
      </c>
      <c r="BA71" s="540">
        <v>-4825.0793700000013</v>
      </c>
    </row>
    <row r="72" spans="1:53" ht="22.35" customHeight="1" thickBot="1">
      <c r="A72" s="539"/>
      <c r="B72" s="539" t="s">
        <v>372</v>
      </c>
      <c r="C72" s="544">
        <v>0</v>
      </c>
      <c r="D72" s="540">
        <v>-1249</v>
      </c>
      <c r="E72" s="540">
        <v>-65.646679999999932</v>
      </c>
      <c r="F72" s="541">
        <v>-1.3533200000000676</v>
      </c>
      <c r="G72" s="609">
        <f t="shared" si="59"/>
        <v>-1316</v>
      </c>
      <c r="H72" s="545">
        <v>0</v>
      </c>
      <c r="I72" s="540">
        <v>0</v>
      </c>
      <c r="J72" s="540">
        <v>0</v>
      </c>
      <c r="K72" s="541">
        <v>0</v>
      </c>
      <c r="L72" s="609">
        <f t="shared" si="60"/>
        <v>0</v>
      </c>
      <c r="M72" s="545">
        <v>0</v>
      </c>
      <c r="N72" s="540">
        <v>0</v>
      </c>
      <c r="O72" s="540"/>
      <c r="P72" s="541">
        <v>30261.016889999995</v>
      </c>
      <c r="Q72" s="609">
        <f t="shared" si="61"/>
        <v>30261.016889999995</v>
      </c>
      <c r="R72" s="545">
        <v>0</v>
      </c>
      <c r="S72" s="540">
        <v>0</v>
      </c>
      <c r="T72" s="540">
        <v>0</v>
      </c>
      <c r="U72" s="541">
        <v>-22.79496</v>
      </c>
      <c r="V72" s="609">
        <f t="shared" si="62"/>
        <v>-22.79496</v>
      </c>
      <c r="W72" s="545">
        <v>0</v>
      </c>
      <c r="X72" s="540">
        <v>-10</v>
      </c>
      <c r="Y72" s="540">
        <v>-29</v>
      </c>
      <c r="Z72" s="541">
        <v>2</v>
      </c>
      <c r="AA72" s="609">
        <f t="shared" si="63"/>
        <v>-37</v>
      </c>
      <c r="AB72" s="540">
        <v>0</v>
      </c>
      <c r="AC72" s="540">
        <v>1809.0078899999999</v>
      </c>
      <c r="AD72" s="540">
        <v>5934.6343400000005</v>
      </c>
      <c r="AE72" s="540">
        <v>0</v>
      </c>
      <c r="AF72" s="609">
        <v>7743.6422300000004</v>
      </c>
      <c r="AG72" s="540">
        <v>11445</v>
      </c>
      <c r="AH72" s="540">
        <v>0</v>
      </c>
      <c r="AI72" s="540">
        <v>5</v>
      </c>
      <c r="AJ72" s="540">
        <v>8</v>
      </c>
      <c r="AK72" s="609">
        <v>11458</v>
      </c>
      <c r="AL72" s="540">
        <v>30681</v>
      </c>
      <c r="AM72" s="540">
        <v>1</v>
      </c>
      <c r="AN72" s="540">
        <v>0</v>
      </c>
      <c r="AO72" s="540">
        <v>0</v>
      </c>
      <c r="AP72" s="609">
        <v>30682</v>
      </c>
      <c r="AQ72" s="540">
        <v>1</v>
      </c>
      <c r="AR72" s="540">
        <v>3106</v>
      </c>
      <c r="AS72" s="540">
        <v>89933</v>
      </c>
      <c r="AT72" s="540">
        <v>0</v>
      </c>
      <c r="AU72" s="609">
        <f t="shared" si="65"/>
        <v>93040</v>
      </c>
      <c r="AV72" s="540">
        <v>-383.71208000000001</v>
      </c>
      <c r="AW72" s="540">
        <v>385.85464000000013</v>
      </c>
      <c r="AX72" s="540">
        <v>1</v>
      </c>
      <c r="AY72" s="540">
        <v>0.76277000000000394</v>
      </c>
      <c r="AZ72" s="609">
        <f t="shared" si="66"/>
        <v>3.905330000000121</v>
      </c>
      <c r="BA72" s="540">
        <v>0</v>
      </c>
    </row>
    <row r="73" spans="1:53">
      <c r="A73" s="54"/>
      <c r="B73" s="54" t="s">
        <v>317</v>
      </c>
      <c r="C73" s="130">
        <v>294182.72104546329</v>
      </c>
      <c r="D73" s="130">
        <v>259730.79346622509</v>
      </c>
      <c r="E73" s="130">
        <v>280839.60390123504</v>
      </c>
      <c r="F73" s="130">
        <v>301200.71532074158</v>
      </c>
      <c r="G73" s="148">
        <f t="shared" si="59"/>
        <v>1135953.8337336651</v>
      </c>
      <c r="H73" s="130">
        <v>342417.83639039088</v>
      </c>
      <c r="I73" s="130">
        <v>359825.50122195488</v>
      </c>
      <c r="J73" s="130">
        <v>333768.30886662286</v>
      </c>
      <c r="K73" s="130">
        <v>336067.03690319869</v>
      </c>
      <c r="L73" s="148">
        <f t="shared" si="60"/>
        <v>1372078.6833821675</v>
      </c>
      <c r="M73" s="130">
        <v>407074.1280629852</v>
      </c>
      <c r="N73" s="130">
        <v>349046.26425234054</v>
      </c>
      <c r="O73" s="130">
        <v>381411.42347789096</v>
      </c>
      <c r="P73" s="130">
        <v>456090.88854609331</v>
      </c>
      <c r="Q73" s="148">
        <f t="shared" si="61"/>
        <v>1593622.7043393101</v>
      </c>
      <c r="R73" s="125">
        <v>420103.19373686204</v>
      </c>
      <c r="S73" s="125">
        <v>411244.88342320477</v>
      </c>
      <c r="T73" s="125">
        <v>465069.86385084997</v>
      </c>
      <c r="U73" s="125">
        <v>350837.28337149334</v>
      </c>
      <c r="V73" s="148">
        <f t="shared" si="62"/>
        <v>1647255.2243824103</v>
      </c>
      <c r="W73" s="125">
        <v>442290.03704340296</v>
      </c>
      <c r="X73" s="125">
        <v>414923.29306291486</v>
      </c>
      <c r="Y73" s="125">
        <v>591478.12199499994</v>
      </c>
      <c r="Z73" s="125">
        <v>503124.04735315335</v>
      </c>
      <c r="AA73" s="148">
        <f t="shared" si="63"/>
        <v>1951815.499454471</v>
      </c>
      <c r="AB73" s="125">
        <v>425087.16372000001</v>
      </c>
      <c r="AC73" s="125">
        <v>405331.59093463002</v>
      </c>
      <c r="AD73" s="125">
        <v>471894.64196624997</v>
      </c>
      <c r="AE73" s="125">
        <v>538583.75512531004</v>
      </c>
      <c r="AF73" s="148">
        <v>1840897.1517461902</v>
      </c>
      <c r="AG73" s="125">
        <v>667914</v>
      </c>
      <c r="AH73" s="125">
        <v>654847.42999999993</v>
      </c>
      <c r="AI73" s="125">
        <v>1140723.3149999999</v>
      </c>
      <c r="AJ73" s="125">
        <v>295109</v>
      </c>
      <c r="AK73" s="148">
        <v>2758593.7450000001</v>
      </c>
      <c r="AL73" s="125">
        <v>829200</v>
      </c>
      <c r="AM73" s="125">
        <v>863049</v>
      </c>
      <c r="AN73" s="125">
        <v>969699</v>
      </c>
      <c r="AO73" s="125">
        <v>917278</v>
      </c>
      <c r="AP73" s="148">
        <v>3579226</v>
      </c>
      <c r="AQ73" s="125">
        <f>AQ64+AQ69</f>
        <v>879244</v>
      </c>
      <c r="AR73" s="125">
        <f t="shared" ref="AR73:AT73" si="67">AR64+AR69</f>
        <v>656492</v>
      </c>
      <c r="AS73" s="125">
        <f t="shared" si="67"/>
        <v>1082144</v>
      </c>
      <c r="AT73" s="125">
        <f t="shared" si="67"/>
        <v>1166817.1204800003</v>
      </c>
      <c r="AU73" s="148">
        <f t="shared" si="65"/>
        <v>3784697.12048</v>
      </c>
      <c r="AV73" s="125">
        <f>AV64+AV69</f>
        <v>1048734.21263</v>
      </c>
      <c r="AW73" s="125">
        <f t="shared" ref="AW73:BA73" si="68">AW64+AW69</f>
        <v>1014149.9460499999</v>
      </c>
      <c r="AX73" s="125">
        <f t="shared" si="68"/>
        <v>1122824.5525400001</v>
      </c>
      <c r="AY73" s="125">
        <f>AY64+AY69</f>
        <v>1056664.9812699999</v>
      </c>
      <c r="AZ73" s="148">
        <f t="shared" si="66"/>
        <v>4242373.6924900003</v>
      </c>
      <c r="BA73" s="337">
        <f t="shared" si="68"/>
        <v>1142313.60014</v>
      </c>
    </row>
    <row r="74" spans="1:53">
      <c r="A74" s="56"/>
      <c r="B74" s="56"/>
      <c r="C74" s="136"/>
      <c r="D74" s="136"/>
      <c r="E74" s="136"/>
      <c r="F74" s="136"/>
      <c r="G74" s="150">
        <f t="shared" si="59"/>
        <v>0</v>
      </c>
      <c r="H74" s="136"/>
      <c r="I74" s="136"/>
      <c r="J74" s="136"/>
      <c r="K74" s="136"/>
      <c r="L74" s="150">
        <f t="shared" si="60"/>
        <v>0</v>
      </c>
      <c r="M74" s="136"/>
      <c r="N74" s="136"/>
      <c r="O74" s="136"/>
      <c r="P74" s="136"/>
      <c r="Q74" s="150">
        <f t="shared" si="61"/>
        <v>0</v>
      </c>
      <c r="R74" s="136"/>
      <c r="S74" s="136"/>
      <c r="T74" s="136"/>
      <c r="U74" s="136"/>
      <c r="V74" s="150">
        <f t="shared" si="62"/>
        <v>0</v>
      </c>
      <c r="W74" s="136"/>
      <c r="X74" s="136"/>
      <c r="Y74" s="136"/>
      <c r="Z74" s="136"/>
      <c r="AA74" s="150">
        <f t="shared" si="63"/>
        <v>0</v>
      </c>
      <c r="AB74" s="136"/>
      <c r="AC74" s="136"/>
      <c r="AD74" s="136"/>
      <c r="AE74" s="136"/>
      <c r="AF74" s="150">
        <v>0</v>
      </c>
      <c r="AG74" s="136"/>
      <c r="AH74" s="136"/>
      <c r="AI74" s="136"/>
      <c r="AJ74" s="136"/>
      <c r="AK74" s="150">
        <v>0</v>
      </c>
      <c r="AL74" s="136"/>
      <c r="AM74" s="214"/>
      <c r="AN74" s="136"/>
      <c r="AO74" s="136"/>
      <c r="AP74" s="150">
        <v>0</v>
      </c>
      <c r="AQ74" s="136"/>
      <c r="AR74" s="136"/>
      <c r="AS74" s="136"/>
      <c r="AT74" s="136"/>
      <c r="AU74" s="150">
        <f t="shared" si="65"/>
        <v>0</v>
      </c>
      <c r="AV74" s="136"/>
      <c r="AW74" s="136"/>
      <c r="AX74" s="136"/>
      <c r="AY74" s="136"/>
      <c r="AZ74" s="150">
        <f t="shared" si="66"/>
        <v>0</v>
      </c>
      <c r="BA74" s="136"/>
    </row>
    <row r="75" spans="1:53">
      <c r="A75" s="54"/>
      <c r="B75" s="54" t="s">
        <v>319</v>
      </c>
      <c r="C75" s="130">
        <v>-1418</v>
      </c>
      <c r="D75" s="130">
        <v>2676</v>
      </c>
      <c r="E75" s="130">
        <v>5838.2842000000046</v>
      </c>
      <c r="F75" s="130">
        <v>7007.7157999999954</v>
      </c>
      <c r="G75" s="148">
        <f t="shared" si="59"/>
        <v>14104</v>
      </c>
      <c r="H75" s="130">
        <v>4216.8194699999985</v>
      </c>
      <c r="I75" s="130">
        <v>7007.4345200000016</v>
      </c>
      <c r="J75" s="130">
        <v>6577.1029199999975</v>
      </c>
      <c r="K75" s="130">
        <v>6446.7443500000008</v>
      </c>
      <c r="L75" s="148">
        <f t="shared" si="60"/>
        <v>24248.101259999999</v>
      </c>
      <c r="M75" s="130">
        <v>2721.3223500000004</v>
      </c>
      <c r="N75" s="130">
        <v>6622.0339199999999</v>
      </c>
      <c r="O75" s="130">
        <v>6138.9531700000007</v>
      </c>
      <c r="P75" s="130">
        <v>6936.0473200000015</v>
      </c>
      <c r="Q75" s="148">
        <f t="shared" si="61"/>
        <v>22418.356760000002</v>
      </c>
      <c r="R75" s="125">
        <v>3200</v>
      </c>
      <c r="S75" s="125">
        <v>12044</v>
      </c>
      <c r="T75" s="125">
        <v>11193</v>
      </c>
      <c r="U75" s="125">
        <v>4181.4627</v>
      </c>
      <c r="V75" s="148">
        <f t="shared" si="62"/>
        <v>30618.4627</v>
      </c>
      <c r="W75" s="125">
        <v>3377</v>
      </c>
      <c r="X75" s="125">
        <v>4825</v>
      </c>
      <c r="Y75" s="125">
        <v>3084</v>
      </c>
      <c r="Z75" s="125">
        <v>5491</v>
      </c>
      <c r="AA75" s="148">
        <f t="shared" si="63"/>
        <v>16777</v>
      </c>
      <c r="AB75" s="125">
        <v>-282</v>
      </c>
      <c r="AC75" s="125">
        <v>1725.7324400000002</v>
      </c>
      <c r="AD75" s="125">
        <v>2625.8871799999997</v>
      </c>
      <c r="AE75" s="125">
        <v>1006</v>
      </c>
      <c r="AF75" s="148">
        <v>5075.6196199999995</v>
      </c>
      <c r="AG75" s="125">
        <v>5256</v>
      </c>
      <c r="AH75" s="125">
        <v>10266</v>
      </c>
      <c r="AI75" s="125">
        <v>8706</v>
      </c>
      <c r="AJ75" s="125">
        <v>20205</v>
      </c>
      <c r="AK75" s="148">
        <v>44433</v>
      </c>
      <c r="AL75" s="125">
        <v>1038</v>
      </c>
      <c r="AM75" s="125">
        <v>14613</v>
      </c>
      <c r="AN75" s="125">
        <v>12435</v>
      </c>
      <c r="AO75" s="125">
        <v>17611</v>
      </c>
      <c r="AP75" s="148">
        <v>45697</v>
      </c>
      <c r="AQ75" s="125">
        <f t="shared" ref="AQ75:BA75" si="69">AQ76+AQ77</f>
        <v>-25469</v>
      </c>
      <c r="AR75" s="125">
        <f t="shared" si="69"/>
        <v>2760</v>
      </c>
      <c r="AS75" s="125">
        <f t="shared" si="69"/>
        <v>56621</v>
      </c>
      <c r="AT75" s="125">
        <f t="shared" si="69"/>
        <v>23181.748620000002</v>
      </c>
      <c r="AU75" s="148">
        <f t="shared" si="65"/>
        <v>57093.748619999998</v>
      </c>
      <c r="AV75" s="125">
        <f t="shared" si="69"/>
        <v>13716</v>
      </c>
      <c r="AW75" s="125">
        <f t="shared" si="69"/>
        <v>26528.123450000006</v>
      </c>
      <c r="AX75" s="125">
        <f t="shared" si="69"/>
        <v>30214.252930000006</v>
      </c>
      <c r="AY75" s="125">
        <f t="shared" si="69"/>
        <v>37156.027000000002</v>
      </c>
      <c r="AZ75" s="148">
        <f t="shared" si="66"/>
        <v>107614.40338000002</v>
      </c>
      <c r="BA75" s="337">
        <f t="shared" si="69"/>
        <v>12850</v>
      </c>
    </row>
    <row r="76" spans="1:53" ht="18.75" customHeight="1">
      <c r="A76" s="546"/>
      <c r="B76" s="546" t="s">
        <v>321</v>
      </c>
      <c r="C76" s="540">
        <v>2717</v>
      </c>
      <c r="D76" s="540">
        <v>4731</v>
      </c>
      <c r="E76" s="540">
        <v>5838.2842000000046</v>
      </c>
      <c r="F76" s="541">
        <v>6827.7157999999954</v>
      </c>
      <c r="G76" s="542">
        <f t="shared" si="59"/>
        <v>20114</v>
      </c>
      <c r="H76" s="543">
        <v>8481.8989499999989</v>
      </c>
      <c r="I76" s="540">
        <v>8232.1099600000016</v>
      </c>
      <c r="J76" s="540">
        <v>6577.1029199999975</v>
      </c>
      <c r="K76" s="541">
        <v>6446.7443500000008</v>
      </c>
      <c r="L76" s="542">
        <f t="shared" si="60"/>
        <v>29737.856179999999</v>
      </c>
      <c r="M76" s="543">
        <v>7038.64678</v>
      </c>
      <c r="N76" s="540">
        <v>8256.1182200000003</v>
      </c>
      <c r="O76" s="540">
        <v>6138.9531700000007</v>
      </c>
      <c r="P76" s="541">
        <v>6936.0473200000015</v>
      </c>
      <c r="Q76" s="542">
        <f t="shared" si="61"/>
        <v>28369.765490000002</v>
      </c>
      <c r="R76" s="543">
        <v>3567</v>
      </c>
      <c r="S76" s="540">
        <v>12171</v>
      </c>
      <c r="T76" s="540">
        <v>11193</v>
      </c>
      <c r="U76" s="541">
        <v>4181.712950000001</v>
      </c>
      <c r="V76" s="542">
        <f t="shared" si="62"/>
        <v>31112.712950000001</v>
      </c>
      <c r="W76" s="543">
        <v>4217</v>
      </c>
      <c r="X76" s="540">
        <v>4826</v>
      </c>
      <c r="Y76" s="540">
        <v>3084</v>
      </c>
      <c r="Z76" s="541">
        <v>5491</v>
      </c>
      <c r="AA76" s="542">
        <f t="shared" si="63"/>
        <v>17618</v>
      </c>
      <c r="AB76" s="540">
        <v>724</v>
      </c>
      <c r="AC76" s="540">
        <v>1726.0098700000003</v>
      </c>
      <c r="AD76" s="540">
        <v>3181.0507999999995</v>
      </c>
      <c r="AE76" s="540">
        <v>2436</v>
      </c>
      <c r="AF76" s="542">
        <v>8067.0606699999998</v>
      </c>
      <c r="AG76" s="540">
        <v>5454</v>
      </c>
      <c r="AH76" s="540">
        <v>10266</v>
      </c>
      <c r="AI76" s="540">
        <v>8706</v>
      </c>
      <c r="AJ76" s="540">
        <v>20205</v>
      </c>
      <c r="AK76" s="542">
        <v>44631</v>
      </c>
      <c r="AL76" s="540">
        <v>23698</v>
      </c>
      <c r="AM76" s="540">
        <v>23062</v>
      </c>
      <c r="AN76" s="540">
        <v>12435</v>
      </c>
      <c r="AO76" s="540">
        <v>17630</v>
      </c>
      <c r="AP76" s="542">
        <v>76825</v>
      </c>
      <c r="AQ76" s="540">
        <v>7759</v>
      </c>
      <c r="AR76" s="540">
        <v>17091</v>
      </c>
      <c r="AS76" s="540">
        <v>56575</v>
      </c>
      <c r="AT76" s="540">
        <v>23180.748620000002</v>
      </c>
      <c r="AU76" s="542">
        <f t="shared" si="65"/>
        <v>104605.74862</v>
      </c>
      <c r="AV76" s="540">
        <v>19418</v>
      </c>
      <c r="AW76" s="540">
        <v>26714.099120000006</v>
      </c>
      <c r="AX76" s="540">
        <v>30616.388850000007</v>
      </c>
      <c r="AY76" s="540">
        <v>37545</v>
      </c>
      <c r="AZ76" s="542">
        <f t="shared" si="66"/>
        <v>114293.48797000002</v>
      </c>
      <c r="BA76" s="540">
        <v>20105</v>
      </c>
    </row>
    <row r="77" spans="1:53" ht="17.25" customHeight="1">
      <c r="A77" s="546"/>
      <c r="B77" s="546" t="s">
        <v>323</v>
      </c>
      <c r="C77" s="544">
        <v>-4135</v>
      </c>
      <c r="D77" s="540">
        <v>-2055</v>
      </c>
      <c r="E77" s="540">
        <v>0</v>
      </c>
      <c r="F77" s="541">
        <v>180</v>
      </c>
      <c r="G77" s="542">
        <f t="shared" si="59"/>
        <v>-6010</v>
      </c>
      <c r="H77" s="545">
        <v>-4265.0794800000003</v>
      </c>
      <c r="I77" s="540">
        <v>-1224.67544</v>
      </c>
      <c r="J77" s="540">
        <v>0</v>
      </c>
      <c r="K77" s="541">
        <v>0</v>
      </c>
      <c r="L77" s="542">
        <f t="shared" si="60"/>
        <v>-5489.7549200000003</v>
      </c>
      <c r="M77" s="545">
        <v>-4317.3244299999997</v>
      </c>
      <c r="N77" s="540">
        <v>-1634.0843000000004</v>
      </c>
      <c r="O77" s="540">
        <v>0</v>
      </c>
      <c r="P77" s="541">
        <v>0</v>
      </c>
      <c r="Q77" s="542">
        <f t="shared" si="61"/>
        <v>-5951.4087300000001</v>
      </c>
      <c r="R77" s="545">
        <v>-367</v>
      </c>
      <c r="S77" s="540">
        <v>-127</v>
      </c>
      <c r="T77" s="540">
        <v>0</v>
      </c>
      <c r="U77" s="541">
        <v>-0.25024999999999409</v>
      </c>
      <c r="V77" s="542">
        <f t="shared" si="62"/>
        <v>-494.25024999999999</v>
      </c>
      <c r="W77" s="545">
        <v>-840</v>
      </c>
      <c r="X77" s="544">
        <v>-1</v>
      </c>
      <c r="Y77" s="540">
        <v>0</v>
      </c>
      <c r="Z77" s="541">
        <v>0</v>
      </c>
      <c r="AA77" s="542">
        <f t="shared" si="63"/>
        <v>-841</v>
      </c>
      <c r="AB77" s="540">
        <v>-1006</v>
      </c>
      <c r="AC77" s="540">
        <v>-0.27743000000009488</v>
      </c>
      <c r="AD77" s="540">
        <v>-555.16362000000004</v>
      </c>
      <c r="AE77" s="540">
        <v>-1430</v>
      </c>
      <c r="AF77" s="542">
        <v>-2991.4410500000004</v>
      </c>
      <c r="AG77" s="540">
        <v>-198</v>
      </c>
      <c r="AH77" s="540">
        <v>0</v>
      </c>
      <c r="AI77" s="540">
        <v>0</v>
      </c>
      <c r="AJ77" s="540">
        <v>0</v>
      </c>
      <c r="AK77" s="542">
        <v>-198</v>
      </c>
      <c r="AL77" s="540">
        <v>-22660</v>
      </c>
      <c r="AM77" s="540">
        <v>-8449</v>
      </c>
      <c r="AN77" s="547">
        <v>0</v>
      </c>
      <c r="AO77" s="540">
        <v>-19</v>
      </c>
      <c r="AP77" s="542">
        <v>-31128</v>
      </c>
      <c r="AQ77" s="540">
        <v>-33228</v>
      </c>
      <c r="AR77" s="540">
        <v>-14331</v>
      </c>
      <c r="AS77" s="540">
        <v>46</v>
      </c>
      <c r="AT77" s="547">
        <v>1</v>
      </c>
      <c r="AU77" s="542">
        <f t="shared" si="65"/>
        <v>-47512</v>
      </c>
      <c r="AV77" s="540">
        <v>-5702</v>
      </c>
      <c r="AW77" s="540">
        <v>-185.97566999999998</v>
      </c>
      <c r="AX77" s="540">
        <v>-402.13592000000006</v>
      </c>
      <c r="AY77" s="540">
        <v>-388.97300000000001</v>
      </c>
      <c r="AZ77" s="542">
        <f t="shared" si="66"/>
        <v>-6679.0845899999995</v>
      </c>
      <c r="BA77" s="540">
        <v>-7255</v>
      </c>
    </row>
    <row r="78" spans="1:53" ht="14.25" customHeight="1">
      <c r="A78" s="54"/>
      <c r="B78" s="54" t="s">
        <v>373</v>
      </c>
      <c r="C78" s="130">
        <v>292764.72104546329</v>
      </c>
      <c r="D78" s="130">
        <v>262406.79346622509</v>
      </c>
      <c r="E78" s="130">
        <v>286677.88810123503</v>
      </c>
      <c r="F78" s="130">
        <v>308208.43112074159</v>
      </c>
      <c r="G78" s="148">
        <f t="shared" si="59"/>
        <v>1150057.8337336651</v>
      </c>
      <c r="H78" s="130">
        <v>346634.65586039086</v>
      </c>
      <c r="I78" s="130">
        <v>366832.93574195489</v>
      </c>
      <c r="J78" s="130">
        <v>340345.41178662283</v>
      </c>
      <c r="K78" s="130">
        <v>342513.78125319869</v>
      </c>
      <c r="L78" s="148">
        <f t="shared" si="60"/>
        <v>1396326.7846421672</v>
      </c>
      <c r="M78" s="130">
        <v>409795.45041298517</v>
      </c>
      <c r="N78" s="130">
        <v>355668.29817234055</v>
      </c>
      <c r="O78" s="130">
        <v>387550.37664789095</v>
      </c>
      <c r="P78" s="130">
        <v>463026.93586609332</v>
      </c>
      <c r="Q78" s="148">
        <f t="shared" si="61"/>
        <v>1616041.0610993099</v>
      </c>
      <c r="R78" s="125">
        <v>423303.19373686204</v>
      </c>
      <c r="S78" s="125">
        <v>423288.88342320477</v>
      </c>
      <c r="T78" s="125">
        <v>476262.86385084997</v>
      </c>
      <c r="U78" s="125">
        <v>355018.74607149331</v>
      </c>
      <c r="V78" s="148">
        <f t="shared" si="62"/>
        <v>1677873.6870824101</v>
      </c>
      <c r="W78" s="125">
        <v>445667.03704340296</v>
      </c>
      <c r="X78" s="125">
        <v>419748.29306291486</v>
      </c>
      <c r="Y78" s="125">
        <v>594562.12199499994</v>
      </c>
      <c r="Z78" s="125">
        <v>508615.04735315335</v>
      </c>
      <c r="AA78" s="148">
        <f t="shared" si="63"/>
        <v>1968592.499454471</v>
      </c>
      <c r="AB78" s="125">
        <v>424805.16372000001</v>
      </c>
      <c r="AC78" s="125">
        <v>407057.32337463001</v>
      </c>
      <c r="AD78" s="125">
        <v>474520.52914624999</v>
      </c>
      <c r="AE78" s="125">
        <v>539589.75512531004</v>
      </c>
      <c r="AF78" s="148">
        <v>1845972.7713661899</v>
      </c>
      <c r="AG78" s="125">
        <v>673170</v>
      </c>
      <c r="AH78" s="125">
        <v>665113.42999999993</v>
      </c>
      <c r="AI78" s="125">
        <v>1149429.3149999999</v>
      </c>
      <c r="AJ78" s="125">
        <v>315314</v>
      </c>
      <c r="AK78" s="148">
        <v>2803026.7450000001</v>
      </c>
      <c r="AL78" s="337">
        <v>830238</v>
      </c>
      <c r="AM78" s="337">
        <v>877662</v>
      </c>
      <c r="AN78" s="337">
        <v>982134</v>
      </c>
      <c r="AO78" s="337">
        <v>934889</v>
      </c>
      <c r="AP78" s="148">
        <v>3624923</v>
      </c>
      <c r="AQ78" s="337">
        <f t="shared" ref="AQ78:AY78" si="70">AQ73+AQ75</f>
        <v>853775</v>
      </c>
      <c r="AR78" s="337">
        <f t="shared" si="70"/>
        <v>659252</v>
      </c>
      <c r="AS78" s="337">
        <f t="shared" si="70"/>
        <v>1138765</v>
      </c>
      <c r="AT78" s="337">
        <f t="shared" si="70"/>
        <v>1189998.8691000002</v>
      </c>
      <c r="AU78" s="148">
        <f t="shared" si="65"/>
        <v>3841790.8691000002</v>
      </c>
      <c r="AV78" s="337">
        <f t="shared" si="70"/>
        <v>1062450.21263</v>
      </c>
      <c r="AW78" s="337">
        <f t="shared" si="70"/>
        <v>1040678.0694999999</v>
      </c>
      <c r="AX78" s="337">
        <f t="shared" si="70"/>
        <v>1153038.80547</v>
      </c>
      <c r="AY78" s="337">
        <f t="shared" si="70"/>
        <v>1093821.0082699999</v>
      </c>
      <c r="AZ78" s="148">
        <f t="shared" si="66"/>
        <v>4349988.0958699994</v>
      </c>
      <c r="BA78" s="337">
        <f>BA73+BA75</f>
        <v>1155163.60014</v>
      </c>
    </row>
    <row r="79" spans="1:53">
      <c r="A79" s="548"/>
      <c r="B79" s="548"/>
      <c r="C79" s="549"/>
      <c r="D79" s="550"/>
      <c r="E79" s="550"/>
      <c r="F79" s="550"/>
      <c r="G79" s="551"/>
      <c r="H79" s="549"/>
      <c r="I79" s="550"/>
      <c r="J79" s="550"/>
      <c r="K79" s="550"/>
      <c r="L79" s="551"/>
      <c r="M79" s="549"/>
      <c r="N79" s="550"/>
      <c r="O79" s="550"/>
      <c r="P79" s="550"/>
      <c r="Q79" s="551"/>
      <c r="R79" s="549"/>
      <c r="S79" s="550"/>
      <c r="T79" s="550"/>
      <c r="U79" s="550"/>
      <c r="V79" s="551"/>
      <c r="W79" s="549"/>
      <c r="X79" s="549"/>
      <c r="Y79" s="549"/>
      <c r="Z79" s="549"/>
      <c r="AA79" s="551"/>
      <c r="AB79" s="549"/>
      <c r="AC79" s="549"/>
      <c r="AD79" s="549"/>
      <c r="AE79" s="549"/>
      <c r="AF79" s="551"/>
      <c r="AG79" s="549"/>
      <c r="AH79" s="549"/>
      <c r="AI79" s="549"/>
      <c r="AJ79" s="549"/>
      <c r="AK79" s="551"/>
      <c r="AL79" s="549"/>
      <c r="AM79" s="549"/>
      <c r="AN79" s="549"/>
      <c r="AO79" s="549"/>
      <c r="AP79" s="551"/>
      <c r="AQ79" s="549"/>
      <c r="AR79" s="549"/>
      <c r="AS79" s="549"/>
      <c r="AT79" s="549"/>
      <c r="AU79" s="551"/>
      <c r="AV79" s="549"/>
      <c r="AW79" s="549"/>
      <c r="AX79" s="549"/>
      <c r="AY79" s="549"/>
      <c r="AZ79" s="551"/>
      <c r="BA79" s="549"/>
    </row>
    <row r="80" spans="1:53">
      <c r="A80" s="9"/>
      <c r="B80" s="9" t="s">
        <v>327</v>
      </c>
      <c r="C80" s="552">
        <v>-32439</v>
      </c>
      <c r="D80" s="552">
        <v>-28799</v>
      </c>
      <c r="E80" s="552">
        <v>-36557</v>
      </c>
      <c r="F80" s="552">
        <v>-36156</v>
      </c>
      <c r="G80" s="553">
        <f t="shared" ref="G80:G86" si="71">SUM(C80:F80)</f>
        <v>-133951</v>
      </c>
      <c r="H80" s="552">
        <v>-46997.737649999995</v>
      </c>
      <c r="I80" s="552">
        <v>-42474.80287</v>
      </c>
      <c r="J80" s="552">
        <v>-43847.089710000015</v>
      </c>
      <c r="K80" s="552">
        <v>-34561.75</v>
      </c>
      <c r="L80" s="553">
        <f t="shared" ref="L80:L86" si="72">SUM(H80:K80)</f>
        <v>-167881.38023000001</v>
      </c>
      <c r="M80" s="552">
        <v>-65004.31222</v>
      </c>
      <c r="N80" s="552">
        <v>-48469.541620000011</v>
      </c>
      <c r="O80" s="552">
        <v>-44719.645709999975</v>
      </c>
      <c r="P80" s="552">
        <v>-53222.824780000003</v>
      </c>
      <c r="Q80" s="553">
        <f t="shared" ref="Q80:Q86" si="73">SUM(M80:P80)</f>
        <v>-211416.32432999997</v>
      </c>
      <c r="R80" s="552">
        <v>-55399</v>
      </c>
      <c r="S80" s="552">
        <v>-58656</v>
      </c>
      <c r="T80" s="552">
        <v>-61051</v>
      </c>
      <c r="U80" s="552">
        <v>-25767.687760000001</v>
      </c>
      <c r="V80" s="553">
        <f t="shared" ref="V80:V86" si="74">SUM(R80:U80)</f>
        <v>-200873.68776</v>
      </c>
      <c r="W80" s="552">
        <v>-51474</v>
      </c>
      <c r="X80" s="552">
        <v>-47064</v>
      </c>
      <c r="Y80" s="552">
        <v>-100457</v>
      </c>
      <c r="Z80" s="552">
        <v>-72379</v>
      </c>
      <c r="AA80" s="553">
        <f t="shared" ref="AA80:AA86" si="75">SUM(W80:Z80)</f>
        <v>-271374</v>
      </c>
      <c r="AB80" s="552">
        <v>-19763.92223</v>
      </c>
      <c r="AC80" s="552">
        <v>-9103.2044999999998</v>
      </c>
      <c r="AD80" s="552">
        <v>-9222.9093300000022</v>
      </c>
      <c r="AE80" s="552">
        <v>-1316</v>
      </c>
      <c r="AF80" s="553">
        <v>-39406.036059999999</v>
      </c>
      <c r="AG80" s="552">
        <v>-14051</v>
      </c>
      <c r="AH80" s="552">
        <v>-6052</v>
      </c>
      <c r="AI80" s="552">
        <v>-6560</v>
      </c>
      <c r="AJ80" s="552">
        <v>-10130</v>
      </c>
      <c r="AK80" s="553">
        <v>-36793</v>
      </c>
      <c r="AL80" s="552">
        <v>-15866.54</v>
      </c>
      <c r="AM80" s="552">
        <v>-8253</v>
      </c>
      <c r="AN80" s="552">
        <v>-7821</v>
      </c>
      <c r="AO80" s="552">
        <v>-10738</v>
      </c>
      <c r="AP80" s="553">
        <v>-42678.54</v>
      </c>
      <c r="AQ80" s="552">
        <f t="shared" ref="AQ80:BA80" si="76">SUM(AQ81,AQ84)</f>
        <v>1934</v>
      </c>
      <c r="AR80" s="552">
        <f t="shared" si="76"/>
        <v>-5489</v>
      </c>
      <c r="AS80" s="552">
        <f t="shared" si="76"/>
        <v>-50052</v>
      </c>
      <c r="AT80" s="552">
        <f t="shared" si="76"/>
        <v>-23000</v>
      </c>
      <c r="AU80" s="553">
        <f t="shared" ref="AU80:AU88" si="77">SUM(AQ80:AT80)</f>
        <v>-76607</v>
      </c>
      <c r="AV80" s="552">
        <f t="shared" si="76"/>
        <v>-12030.83872</v>
      </c>
      <c r="AW80" s="552">
        <f t="shared" si="76"/>
        <v>-12270.20105</v>
      </c>
      <c r="AX80" s="552">
        <f t="shared" si="76"/>
        <v>-12284.70141</v>
      </c>
      <c r="AY80" s="552">
        <f t="shared" si="76"/>
        <v>-21842.491520000003</v>
      </c>
      <c r="AZ80" s="553">
        <f t="shared" ref="AZ80:AZ87" si="78">SUM(AV80:AY80)</f>
        <v>-58428.2327</v>
      </c>
      <c r="BA80" s="552">
        <f t="shared" si="76"/>
        <v>-4886</v>
      </c>
    </row>
    <row r="81" spans="1:53">
      <c r="A81" s="73"/>
      <c r="B81" s="73" t="s">
        <v>329</v>
      </c>
      <c r="C81" s="120"/>
      <c r="D81" s="120"/>
      <c r="E81" s="120"/>
      <c r="F81" s="120"/>
      <c r="G81" s="142">
        <f t="shared" si="71"/>
        <v>0</v>
      </c>
      <c r="H81" s="120"/>
      <c r="I81" s="120"/>
      <c r="J81" s="120"/>
      <c r="K81" s="120"/>
      <c r="L81" s="142">
        <f t="shared" si="72"/>
        <v>0</v>
      </c>
      <c r="M81" s="120"/>
      <c r="N81" s="120"/>
      <c r="O81" s="120"/>
      <c r="P81" s="120"/>
      <c r="Q81" s="142">
        <f t="shared" si="73"/>
        <v>0</v>
      </c>
      <c r="R81" s="120"/>
      <c r="S81" s="120"/>
      <c r="T81" s="120"/>
      <c r="U81" s="120"/>
      <c r="V81" s="142">
        <f t="shared" si="74"/>
        <v>0</v>
      </c>
      <c r="W81" s="120"/>
      <c r="X81" s="120"/>
      <c r="Y81" s="120"/>
      <c r="Z81" s="120"/>
      <c r="AA81" s="142">
        <f t="shared" si="75"/>
        <v>0</v>
      </c>
      <c r="AB81" s="120">
        <v>-19763.92223</v>
      </c>
      <c r="AC81" s="120">
        <v>-9103.2044999999998</v>
      </c>
      <c r="AD81" s="120">
        <v>-9222.9093300000022</v>
      </c>
      <c r="AE81" s="120">
        <v>-1316</v>
      </c>
      <c r="AF81" s="142">
        <v>-39406.036059999999</v>
      </c>
      <c r="AG81" s="120">
        <v>-14051</v>
      </c>
      <c r="AH81" s="120">
        <v>-6052</v>
      </c>
      <c r="AI81" s="120">
        <v>-6560</v>
      </c>
      <c r="AJ81" s="120">
        <v>-10130</v>
      </c>
      <c r="AK81" s="142">
        <v>-36793</v>
      </c>
      <c r="AL81" s="120">
        <v>-15868.54</v>
      </c>
      <c r="AM81" s="121">
        <v>-8250</v>
      </c>
      <c r="AN81" s="120">
        <v>-7821</v>
      </c>
      <c r="AO81" s="120">
        <v>-10736</v>
      </c>
      <c r="AP81" s="142">
        <v>-42675.54</v>
      </c>
      <c r="AQ81" s="120">
        <v>0</v>
      </c>
      <c r="AR81" s="120">
        <v>-3758</v>
      </c>
      <c r="AS81" s="120">
        <v>-49997</v>
      </c>
      <c r="AT81" s="120">
        <v>-22821</v>
      </c>
      <c r="AU81" s="142">
        <f t="shared" si="77"/>
        <v>-76576</v>
      </c>
      <c r="AV81" s="120">
        <v>-12207.97579</v>
      </c>
      <c r="AW81" s="120">
        <v>-12260</v>
      </c>
      <c r="AX81" s="120">
        <v>-12099</v>
      </c>
      <c r="AY81" s="120">
        <v>-21587.491520000003</v>
      </c>
      <c r="AZ81" s="142">
        <f t="shared" si="78"/>
        <v>-58154.46731</v>
      </c>
      <c r="BA81" s="120">
        <v>-4877</v>
      </c>
    </row>
    <row r="82" spans="1:53">
      <c r="A82" s="11"/>
      <c r="B82" s="11" t="s">
        <v>331</v>
      </c>
      <c r="C82" s="120"/>
      <c r="D82" s="120"/>
      <c r="E82" s="121"/>
      <c r="F82" s="120"/>
      <c r="G82" s="142">
        <f t="shared" si="71"/>
        <v>0</v>
      </c>
      <c r="H82" s="120"/>
      <c r="I82" s="120"/>
      <c r="J82" s="121"/>
      <c r="K82" s="120"/>
      <c r="L82" s="142">
        <f t="shared" si="72"/>
        <v>0</v>
      </c>
      <c r="M82" s="120"/>
      <c r="N82" s="120"/>
      <c r="O82" s="121"/>
      <c r="P82" s="120"/>
      <c r="Q82" s="142">
        <f t="shared" si="73"/>
        <v>0</v>
      </c>
      <c r="R82" s="120"/>
      <c r="S82" s="120"/>
      <c r="T82" s="123"/>
      <c r="U82" s="120"/>
      <c r="V82" s="142">
        <f t="shared" si="74"/>
        <v>0</v>
      </c>
      <c r="W82" s="120"/>
      <c r="X82" s="120"/>
      <c r="Y82" s="120"/>
      <c r="Z82" s="120"/>
      <c r="AA82" s="142">
        <f t="shared" si="75"/>
        <v>0</v>
      </c>
      <c r="AB82" s="120">
        <v>-14530.70752</v>
      </c>
      <c r="AC82" s="120">
        <v>-6746.7872900000002</v>
      </c>
      <c r="AD82" s="120">
        <v>-6731.5672000000013</v>
      </c>
      <c r="AE82" s="120">
        <v>-1065.7824299999993</v>
      </c>
      <c r="AF82" s="142">
        <v>-29074.844440000001</v>
      </c>
      <c r="AG82" s="120">
        <v>-10352</v>
      </c>
      <c r="AH82" s="120">
        <v>-4449</v>
      </c>
      <c r="AI82" s="120">
        <v>-4822</v>
      </c>
      <c r="AJ82" s="120">
        <v>-7600</v>
      </c>
      <c r="AK82" s="142">
        <v>-27223</v>
      </c>
      <c r="AL82" s="120">
        <v>-11657.25</v>
      </c>
      <c r="AM82" s="121">
        <v>-6073</v>
      </c>
      <c r="AN82" s="120">
        <v>-5912</v>
      </c>
      <c r="AO82" s="120">
        <v>-7895</v>
      </c>
      <c r="AP82" s="142">
        <v>-31537.25</v>
      </c>
      <c r="AQ82" s="120">
        <v>0</v>
      </c>
      <c r="AR82" s="120">
        <v>-2760</v>
      </c>
      <c r="AS82" s="120">
        <v>-36762</v>
      </c>
      <c r="AT82" s="120">
        <v>-16915.5154</v>
      </c>
      <c r="AU82" s="142">
        <f t="shared" si="77"/>
        <v>-56437.515400000004</v>
      </c>
      <c r="AV82" s="120">
        <v>-8974.8645500000002</v>
      </c>
      <c r="AW82" s="120">
        <v>-9012.7148799999995</v>
      </c>
      <c r="AX82" s="120">
        <v>-8895.1372400000018</v>
      </c>
      <c r="AY82" s="120">
        <v>-16053.377030000001</v>
      </c>
      <c r="AZ82" s="142">
        <f t="shared" si="78"/>
        <v>-42936.093700000005</v>
      </c>
      <c r="BA82" s="120">
        <v>-3584.4327400000011</v>
      </c>
    </row>
    <row r="83" spans="1:53">
      <c r="A83" s="11"/>
      <c r="B83" s="11" t="s">
        <v>333</v>
      </c>
      <c r="C83" s="120"/>
      <c r="D83" s="120"/>
      <c r="E83" s="121"/>
      <c r="F83" s="120"/>
      <c r="G83" s="142">
        <f t="shared" si="71"/>
        <v>0</v>
      </c>
      <c r="H83" s="120"/>
      <c r="I83" s="120"/>
      <c r="J83" s="121"/>
      <c r="K83" s="120"/>
      <c r="L83" s="142">
        <f t="shared" si="72"/>
        <v>0</v>
      </c>
      <c r="M83" s="120"/>
      <c r="N83" s="120"/>
      <c r="O83" s="121"/>
      <c r="P83" s="120"/>
      <c r="Q83" s="142">
        <f t="shared" si="73"/>
        <v>0</v>
      </c>
      <c r="R83" s="120"/>
      <c r="S83" s="120"/>
      <c r="T83" s="123"/>
      <c r="U83" s="120"/>
      <c r="V83" s="142">
        <f t="shared" si="74"/>
        <v>0</v>
      </c>
      <c r="W83" s="120"/>
      <c r="X83" s="120"/>
      <c r="Y83" s="120"/>
      <c r="Z83" s="120"/>
      <c r="AA83" s="142">
        <f t="shared" si="75"/>
        <v>0</v>
      </c>
      <c r="AB83" s="120">
        <v>-5233.2147100000002</v>
      </c>
      <c r="AC83" s="120">
        <v>-2356.4172099999996</v>
      </c>
      <c r="AD83" s="120">
        <v>-2491.3421300000009</v>
      </c>
      <c r="AE83" s="120">
        <v>-250.53384000000005</v>
      </c>
      <c r="AF83" s="142">
        <v>-10331.507890000001</v>
      </c>
      <c r="AG83" s="120">
        <v>-3699</v>
      </c>
      <c r="AH83" s="120">
        <v>-1603</v>
      </c>
      <c r="AI83" s="120">
        <v>-1738</v>
      </c>
      <c r="AJ83" s="120">
        <v>-2530</v>
      </c>
      <c r="AK83" s="142">
        <v>-9570</v>
      </c>
      <c r="AL83" s="120">
        <v>-4211.29</v>
      </c>
      <c r="AM83" s="121">
        <v>-2177</v>
      </c>
      <c r="AN83" s="120">
        <v>-1909</v>
      </c>
      <c r="AO83" s="120">
        <v>-2841</v>
      </c>
      <c r="AP83" s="142">
        <v>-11138.29</v>
      </c>
      <c r="AQ83" s="120">
        <v>0</v>
      </c>
      <c r="AR83" s="120">
        <v>-998</v>
      </c>
      <c r="AS83" s="120">
        <v>-13236</v>
      </c>
      <c r="AT83" s="120">
        <v>-5904.8556699999981</v>
      </c>
      <c r="AU83" s="142">
        <f t="shared" si="77"/>
        <v>-20138.855669999997</v>
      </c>
      <c r="AV83" s="120">
        <v>-3233.1112400000002</v>
      </c>
      <c r="AW83" s="120">
        <v>-3246.7373499999994</v>
      </c>
      <c r="AX83" s="120">
        <v>-3204.4094100000002</v>
      </c>
      <c r="AY83" s="120">
        <v>-5534.1144899999999</v>
      </c>
      <c r="AZ83" s="142">
        <f t="shared" si="78"/>
        <v>-15218.37249</v>
      </c>
      <c r="BA83" s="120">
        <v>-1292.5557900000001</v>
      </c>
    </row>
    <row r="84" spans="1:53">
      <c r="A84" s="73"/>
      <c r="B84" s="73" t="s">
        <v>335</v>
      </c>
      <c r="C84" s="120"/>
      <c r="D84" s="120"/>
      <c r="E84" s="120"/>
      <c r="F84" s="120"/>
      <c r="G84" s="142">
        <f t="shared" si="71"/>
        <v>0</v>
      </c>
      <c r="H84" s="120"/>
      <c r="I84" s="120"/>
      <c r="J84" s="120"/>
      <c r="K84" s="120"/>
      <c r="L84" s="142">
        <f t="shared" si="72"/>
        <v>0</v>
      </c>
      <c r="M84" s="120"/>
      <c r="N84" s="120"/>
      <c r="O84" s="120"/>
      <c r="P84" s="120"/>
      <c r="Q84" s="142">
        <f t="shared" si="73"/>
        <v>0</v>
      </c>
      <c r="R84" s="120"/>
      <c r="S84" s="120"/>
      <c r="T84" s="120"/>
      <c r="U84" s="120"/>
      <c r="V84" s="142">
        <f t="shared" si="74"/>
        <v>0</v>
      </c>
      <c r="W84" s="120"/>
      <c r="X84" s="120"/>
      <c r="Y84" s="120"/>
      <c r="Z84" s="120"/>
      <c r="AA84" s="142">
        <f t="shared" si="75"/>
        <v>0</v>
      </c>
      <c r="AB84" s="120">
        <v>0</v>
      </c>
      <c r="AC84" s="120">
        <v>0</v>
      </c>
      <c r="AD84" s="120">
        <v>0</v>
      </c>
      <c r="AE84" s="120">
        <v>0</v>
      </c>
      <c r="AF84" s="142">
        <v>0</v>
      </c>
      <c r="AG84" s="120">
        <v>0</v>
      </c>
      <c r="AH84" s="120">
        <v>0</v>
      </c>
      <c r="AI84" s="120">
        <v>0</v>
      </c>
      <c r="AJ84" s="120">
        <v>0</v>
      </c>
      <c r="AK84" s="142">
        <v>0</v>
      </c>
      <c r="AL84" s="120">
        <v>2</v>
      </c>
      <c r="AM84" s="121">
        <v>-3</v>
      </c>
      <c r="AN84" s="120">
        <v>0</v>
      </c>
      <c r="AO84" s="120">
        <v>-2</v>
      </c>
      <c r="AP84" s="142">
        <v>-3</v>
      </c>
      <c r="AQ84" s="120">
        <v>1934</v>
      </c>
      <c r="AR84" s="120">
        <v>-1731</v>
      </c>
      <c r="AS84" s="120">
        <v>-55</v>
      </c>
      <c r="AT84" s="120">
        <v>-179</v>
      </c>
      <c r="AU84" s="142">
        <f t="shared" si="77"/>
        <v>-31</v>
      </c>
      <c r="AV84" s="120">
        <v>177.13706999999999</v>
      </c>
      <c r="AW84" s="120">
        <v>-10.201050000000032</v>
      </c>
      <c r="AX84" s="120">
        <v>-185.70141000000015</v>
      </c>
      <c r="AY84" s="120">
        <v>-255</v>
      </c>
      <c r="AZ84" s="142">
        <f t="shared" si="78"/>
        <v>-273.7653900000002</v>
      </c>
      <c r="BA84" s="120">
        <v>-9</v>
      </c>
    </row>
    <row r="85" spans="1:53">
      <c r="A85" s="73"/>
      <c r="B85" s="73" t="s">
        <v>375</v>
      </c>
      <c r="C85" s="543">
        <v>0</v>
      </c>
      <c r="D85" s="543">
        <v>0</v>
      </c>
      <c r="E85" s="543">
        <v>0</v>
      </c>
      <c r="F85" s="550">
        <v>807</v>
      </c>
      <c r="G85" s="551">
        <f t="shared" si="71"/>
        <v>807</v>
      </c>
      <c r="H85" s="543">
        <v>0</v>
      </c>
      <c r="I85" s="543">
        <v>0</v>
      </c>
      <c r="J85" s="543">
        <v>0</v>
      </c>
      <c r="K85" s="550">
        <v>858</v>
      </c>
      <c r="L85" s="551">
        <f t="shared" si="72"/>
        <v>858</v>
      </c>
      <c r="M85" s="543">
        <v>0</v>
      </c>
      <c r="N85" s="543">
        <v>0</v>
      </c>
      <c r="O85" s="543">
        <v>0</v>
      </c>
      <c r="P85" s="550">
        <v>1211</v>
      </c>
      <c r="Q85" s="551">
        <f t="shared" si="73"/>
        <v>1211</v>
      </c>
      <c r="R85" s="543">
        <v>0</v>
      </c>
      <c r="S85" s="543">
        <v>0</v>
      </c>
      <c r="T85" s="550">
        <v>334</v>
      </c>
      <c r="U85" s="550">
        <v>635</v>
      </c>
      <c r="V85" s="551">
        <f t="shared" si="74"/>
        <v>969</v>
      </c>
      <c r="W85" s="549">
        <v>24</v>
      </c>
      <c r="X85" s="543">
        <v>0</v>
      </c>
      <c r="Y85" s="543">
        <v>0</v>
      </c>
      <c r="Z85" s="549">
        <v>1021</v>
      </c>
      <c r="AA85" s="551">
        <f t="shared" si="75"/>
        <v>1045</v>
      </c>
      <c r="AB85" s="543">
        <v>0</v>
      </c>
      <c r="AC85" s="543">
        <v>0</v>
      </c>
      <c r="AD85" s="543">
        <v>0</v>
      </c>
      <c r="AE85" s="543">
        <v>0.18190833333333334</v>
      </c>
      <c r="AF85" s="551">
        <v>0.18190833333333334</v>
      </c>
      <c r="AG85" s="120"/>
      <c r="AH85" s="120"/>
      <c r="AI85" s="120"/>
      <c r="AJ85" s="120"/>
      <c r="AK85" s="551">
        <v>0</v>
      </c>
      <c r="AL85" s="543"/>
      <c r="AM85" s="543"/>
      <c r="AN85" s="543"/>
      <c r="AO85" s="543"/>
      <c r="AP85" s="551">
        <v>0</v>
      </c>
      <c r="AQ85" s="540">
        <v>0</v>
      </c>
      <c r="AR85" s="540">
        <v>0</v>
      </c>
      <c r="AS85" s="540">
        <v>0</v>
      </c>
      <c r="AT85" s="540">
        <v>0</v>
      </c>
      <c r="AU85" s="551">
        <f t="shared" si="77"/>
        <v>0</v>
      </c>
      <c r="AV85" s="540">
        <v>0</v>
      </c>
      <c r="AW85" s="540">
        <v>0</v>
      </c>
      <c r="AX85" s="540">
        <v>0</v>
      </c>
      <c r="AY85" s="540">
        <v>0</v>
      </c>
      <c r="AZ85" s="551">
        <f t="shared" si="78"/>
        <v>0</v>
      </c>
      <c r="BA85" s="120"/>
    </row>
    <row r="86" spans="1:53">
      <c r="A86" s="15"/>
      <c r="B86" s="15" t="s">
        <v>367</v>
      </c>
      <c r="C86" s="140">
        <v>260325.72104546329</v>
      </c>
      <c r="D86" s="140">
        <v>233607.79346622509</v>
      </c>
      <c r="E86" s="140">
        <v>250120.88810123503</v>
      </c>
      <c r="F86" s="140">
        <v>271245.43112074159</v>
      </c>
      <c r="G86" s="273">
        <f t="shared" si="71"/>
        <v>1015299.8337336651</v>
      </c>
      <c r="H86" s="140">
        <v>299636.91821039084</v>
      </c>
      <c r="I86" s="140">
        <v>324358.13287195488</v>
      </c>
      <c r="J86" s="140">
        <v>296498.3220766228</v>
      </c>
      <c r="K86" s="140">
        <v>307094.03125319869</v>
      </c>
      <c r="L86" s="273">
        <f t="shared" si="72"/>
        <v>1227587.4044121671</v>
      </c>
      <c r="M86" s="140">
        <v>344791.13819298515</v>
      </c>
      <c r="N86" s="140">
        <v>307198.75655234052</v>
      </c>
      <c r="O86" s="140">
        <v>342830.730937891</v>
      </c>
      <c r="P86" s="140">
        <v>408593.1110860933</v>
      </c>
      <c r="Q86" s="273">
        <f t="shared" si="73"/>
        <v>1403413.73676931</v>
      </c>
      <c r="R86" s="140">
        <v>367904.19373686204</v>
      </c>
      <c r="S86" s="140">
        <v>364632.88342320477</v>
      </c>
      <c r="T86" s="140">
        <v>414877.86385084997</v>
      </c>
      <c r="U86" s="140">
        <v>328616.05831149331</v>
      </c>
      <c r="V86" s="273">
        <f t="shared" si="74"/>
        <v>1476030.9993224102</v>
      </c>
      <c r="W86" s="140">
        <v>394169.03704340296</v>
      </c>
      <c r="X86" s="140">
        <v>372684.29306291486</v>
      </c>
      <c r="Y86" s="140">
        <v>494105.12199499994</v>
      </c>
      <c r="Z86" s="140">
        <v>435215.04735315335</v>
      </c>
      <c r="AA86" s="273">
        <f t="shared" si="75"/>
        <v>1696173.499454471</v>
      </c>
      <c r="AB86" s="140">
        <v>405041.24148999999</v>
      </c>
      <c r="AC86" s="140">
        <v>397954.11887463002</v>
      </c>
      <c r="AD86" s="140">
        <v>465297.61981624999</v>
      </c>
      <c r="AE86" s="140">
        <v>538273.75512531004</v>
      </c>
      <c r="AF86" s="273">
        <v>1806566.7353061901</v>
      </c>
      <c r="AG86" s="140">
        <v>659119</v>
      </c>
      <c r="AH86" s="140">
        <v>659061.42999999993</v>
      </c>
      <c r="AI86" s="140">
        <v>1142869.3149999999</v>
      </c>
      <c r="AJ86" s="140">
        <v>305184</v>
      </c>
      <c r="AK86" s="273">
        <v>2766233.7450000001</v>
      </c>
      <c r="AL86" s="140">
        <v>814371.46</v>
      </c>
      <c r="AM86" s="140">
        <v>869409</v>
      </c>
      <c r="AN86" s="140">
        <v>974313</v>
      </c>
      <c r="AO86" s="140">
        <v>924151</v>
      </c>
      <c r="AP86" s="273">
        <v>3582244.46</v>
      </c>
      <c r="AQ86" s="140">
        <f t="shared" ref="AQ86:AW86" si="79">AQ78+AQ80</f>
        <v>855709</v>
      </c>
      <c r="AR86" s="140">
        <f t="shared" si="79"/>
        <v>653763</v>
      </c>
      <c r="AS86" s="140">
        <f t="shared" si="79"/>
        <v>1088713</v>
      </c>
      <c r="AT86" s="140">
        <f t="shared" si="79"/>
        <v>1166998.8691000002</v>
      </c>
      <c r="AU86" s="273">
        <f t="shared" si="77"/>
        <v>3765183.8691000002</v>
      </c>
      <c r="AV86" s="140">
        <f t="shared" si="79"/>
        <v>1050419.3739100001</v>
      </c>
      <c r="AW86" s="140">
        <f t="shared" si="79"/>
        <v>1028407.8684499998</v>
      </c>
      <c r="AX86" s="140">
        <f>AX78+AX80</f>
        <v>1140754.10406</v>
      </c>
      <c r="AY86" s="140">
        <f>AY78+AY80</f>
        <v>1071978.51675</v>
      </c>
      <c r="AZ86" s="273">
        <f>SUM(AV86:AY86)</f>
        <v>4291559.8631699998</v>
      </c>
      <c r="BA86" s="140">
        <f>BA78+BA80</f>
        <v>1150277.60014</v>
      </c>
    </row>
    <row r="87" spans="1:53">
      <c r="A87" s="9"/>
      <c r="B87" s="9" t="s">
        <v>368</v>
      </c>
      <c r="C87" s="274">
        <v>18187.27895453672</v>
      </c>
      <c r="D87" s="274">
        <v>20656.206533774923</v>
      </c>
      <c r="E87" s="274">
        <v>20856.749418764994</v>
      </c>
      <c r="F87" s="274">
        <v>14592.931359258419</v>
      </c>
      <c r="G87" s="275">
        <v>74293.166266335058</v>
      </c>
      <c r="H87" s="274">
        <v>21592.651269609149</v>
      </c>
      <c r="I87" s="274">
        <v>15983.778238045166</v>
      </c>
      <c r="J87" s="274">
        <v>18152.455953377219</v>
      </c>
      <c r="K87" s="274">
        <v>15533.790506801284</v>
      </c>
      <c r="L87" s="275">
        <v>71262.675967832824</v>
      </c>
      <c r="M87" s="274">
        <v>25355.829697014771</v>
      </c>
      <c r="N87" s="274">
        <v>16255.212067659457</v>
      </c>
      <c r="O87" s="274">
        <v>15983.445532108901</v>
      </c>
      <c r="P87" s="274">
        <v>16599.470323906869</v>
      </c>
      <c r="Q87" s="275">
        <v>74193.957620689995</v>
      </c>
      <c r="R87" s="274">
        <v>27532.806263137943</v>
      </c>
      <c r="S87" s="274">
        <v>19014.116576795255</v>
      </c>
      <c r="T87" s="274">
        <v>22232.136149150007</v>
      </c>
      <c r="U87" s="274">
        <v>-8753.3329314933217</v>
      </c>
      <c r="V87" s="275">
        <v>60025.726057589884</v>
      </c>
      <c r="W87" s="274">
        <v>19760.962956597043</v>
      </c>
      <c r="X87" s="274">
        <v>21253.706937085131</v>
      </c>
      <c r="Y87" s="274">
        <v>14024.878005000122</v>
      </c>
      <c r="Z87" s="274">
        <v>18199.952646846628</v>
      </c>
      <c r="AA87" s="275">
        <v>73239.500545528921</v>
      </c>
      <c r="AB87" s="274">
        <v>26616</v>
      </c>
      <c r="AC87" s="274">
        <v>28679.30739537</v>
      </c>
      <c r="AD87" s="274">
        <v>26839.053043750002</v>
      </c>
      <c r="AE87" s="274">
        <v>7451.24487469</v>
      </c>
      <c r="AF87" s="275">
        <v>89585.605313810011</v>
      </c>
      <c r="AG87" s="274">
        <v>25420</v>
      </c>
      <c r="AH87" s="274">
        <v>14955.57</v>
      </c>
      <c r="AI87" s="274">
        <v>6184.6849999999995</v>
      </c>
      <c r="AJ87" s="274">
        <v>334</v>
      </c>
      <c r="AK87" s="275">
        <v>46894.254999999997</v>
      </c>
      <c r="AL87" s="274">
        <v>0</v>
      </c>
      <c r="AM87" s="342">
        <v>0</v>
      </c>
      <c r="AN87" s="274">
        <v>0</v>
      </c>
      <c r="AO87" s="274">
        <v>0</v>
      </c>
      <c r="AP87" s="275">
        <v>0</v>
      </c>
      <c r="AQ87" s="274">
        <v>0</v>
      </c>
      <c r="AR87" s="274">
        <v>0</v>
      </c>
      <c r="AS87" s="274">
        <v>0</v>
      </c>
      <c r="AT87" s="274">
        <v>0</v>
      </c>
      <c r="AU87" s="275">
        <f t="shared" si="77"/>
        <v>0</v>
      </c>
      <c r="AV87" s="274"/>
      <c r="AW87" s="274"/>
      <c r="AX87" s="274"/>
      <c r="AY87" s="274"/>
      <c r="AZ87" s="275">
        <f t="shared" si="78"/>
        <v>0</v>
      </c>
      <c r="BA87" s="274"/>
    </row>
    <row r="88" spans="1:53" ht="15.75" thickBot="1">
      <c r="A88" s="15"/>
      <c r="B88" s="15" t="s">
        <v>369</v>
      </c>
      <c r="C88" s="140">
        <v>278513</v>
      </c>
      <c r="D88" s="140">
        <v>254264</v>
      </c>
      <c r="E88" s="140">
        <v>270977.63752000005</v>
      </c>
      <c r="F88" s="140">
        <v>285838.36248000001</v>
      </c>
      <c r="G88" s="292">
        <v>1089593</v>
      </c>
      <c r="H88" s="140">
        <v>321229.56948000001</v>
      </c>
      <c r="I88" s="140">
        <v>340341.91111000004</v>
      </c>
      <c r="J88" s="140">
        <v>314650.77803000004</v>
      </c>
      <c r="K88" s="140">
        <v>322627.82175999996</v>
      </c>
      <c r="L88" s="292">
        <v>1298850.0803800002</v>
      </c>
      <c r="M88" s="140">
        <v>370146.96788999991</v>
      </c>
      <c r="N88" s="140">
        <v>323453.96862</v>
      </c>
      <c r="O88" s="140">
        <v>358814.17646999989</v>
      </c>
      <c r="P88" s="140">
        <v>425192.58141000016</v>
      </c>
      <c r="Q88" s="292">
        <v>1477607.6943899998</v>
      </c>
      <c r="R88" s="140">
        <v>395437</v>
      </c>
      <c r="S88" s="140">
        <v>383647</v>
      </c>
      <c r="T88" s="140">
        <v>437110</v>
      </c>
      <c r="U88" s="140">
        <v>319862.72537999996</v>
      </c>
      <c r="V88" s="292">
        <v>1536056.72538</v>
      </c>
      <c r="W88" s="140">
        <v>413930</v>
      </c>
      <c r="X88" s="140">
        <v>393938</v>
      </c>
      <c r="Y88" s="140">
        <v>508130.00000000006</v>
      </c>
      <c r="Z88" s="140">
        <v>453415</v>
      </c>
      <c r="AA88" s="292">
        <v>1769413</v>
      </c>
      <c r="AB88" s="140">
        <v>431657.24148999999</v>
      </c>
      <c r="AC88" s="140">
        <v>426633.42627</v>
      </c>
      <c r="AD88" s="140">
        <v>492136.67285999999</v>
      </c>
      <c r="AE88" s="140">
        <v>545725</v>
      </c>
      <c r="AF88" s="292">
        <v>1896152.3406199999</v>
      </c>
      <c r="AG88" s="140">
        <v>684539</v>
      </c>
      <c r="AH88" s="140">
        <v>674016.99999999988</v>
      </c>
      <c r="AI88" s="140">
        <v>1149054</v>
      </c>
      <c r="AJ88" s="140">
        <v>305518</v>
      </c>
      <c r="AK88" s="292">
        <v>2813128</v>
      </c>
      <c r="AL88" s="140">
        <v>814371.46</v>
      </c>
      <c r="AM88" s="140">
        <v>869409</v>
      </c>
      <c r="AN88" s="140">
        <v>974313</v>
      </c>
      <c r="AO88" s="140">
        <v>924151</v>
      </c>
      <c r="AP88" s="292">
        <v>3582244.46</v>
      </c>
      <c r="AQ88" s="140">
        <f t="shared" ref="AQ88:AX88" si="80">AQ86+AQ87</f>
        <v>855709</v>
      </c>
      <c r="AR88" s="140">
        <f t="shared" si="80"/>
        <v>653763</v>
      </c>
      <c r="AS88" s="140">
        <f t="shared" si="80"/>
        <v>1088713</v>
      </c>
      <c r="AT88" s="140">
        <f t="shared" si="80"/>
        <v>1166998.8691000002</v>
      </c>
      <c r="AU88" s="292">
        <f t="shared" si="77"/>
        <v>3765183.8691000002</v>
      </c>
      <c r="AV88" s="140">
        <f t="shared" si="80"/>
        <v>1050419.3739100001</v>
      </c>
      <c r="AW88" s="140">
        <f t="shared" si="80"/>
        <v>1028407.8684499998</v>
      </c>
      <c r="AX88" s="140">
        <f t="shared" si="80"/>
        <v>1140754.10406</v>
      </c>
      <c r="AY88" s="140">
        <f>AY86+AY87</f>
        <v>1071978.51675</v>
      </c>
      <c r="AZ88" s="292">
        <f>SUM(AV88:AY88)</f>
        <v>4291559.8631699998</v>
      </c>
      <c r="BA88" s="140">
        <f>BA86+BA87</f>
        <v>1150277.60014</v>
      </c>
    </row>
    <row r="89" spans="1:53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103"/>
      <c r="AL89" s="502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</row>
    <row r="90" spans="1:53">
      <c r="A90" s="284"/>
      <c r="B90" s="284" t="s">
        <v>377</v>
      </c>
      <c r="C90" s="52"/>
      <c r="D90" s="52"/>
      <c r="E90" s="52"/>
      <c r="F90" s="52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</row>
    <row r="91" spans="1:53">
      <c r="B91" s="20" t="s">
        <v>408</v>
      </c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</row>
    <row r="92" spans="1:53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</row>
    <row r="93" spans="1:53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04"/>
      <c r="AQ93" s="52"/>
      <c r="AR93" s="52"/>
      <c r="AS93" s="52"/>
      <c r="AT93" s="52"/>
      <c r="AU93" s="504"/>
      <c r="AV93" s="52"/>
      <c r="AW93" s="52"/>
      <c r="AX93" s="52"/>
      <c r="AY93" s="52"/>
      <c r="AZ93" s="52"/>
      <c r="BA93" s="52"/>
    </row>
    <row r="94" spans="1:53"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</row>
    <row r="95" spans="1:53">
      <c r="AZ95" s="103"/>
      <c r="BA95" s="103"/>
    </row>
    <row r="96" spans="1:53">
      <c r="AZ96" s="103"/>
      <c r="BA96" s="103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1F68-CBFA-481D-8F18-176700B012B3}">
  <dimension ref="A1:BE40"/>
  <sheetViews>
    <sheetView showGridLines="0" showRowColHeaders="0" zoomScale="75" zoomScaleNormal="75" workbookViewId="0">
      <pane xSplit="2" topLeftCell="AV1" activePane="topRight" state="frozen"/>
      <selection activeCell="M8" sqref="M8"/>
      <selection pane="topRight" activeCell="C23" sqref="C23"/>
    </sheetView>
  </sheetViews>
  <sheetFormatPr defaultRowHeight="15" outlineLevelCol="1"/>
  <cols>
    <col min="1" max="1" width="3.5703125" customWidth="1"/>
    <col min="2" max="2" width="70.7109375" customWidth="1"/>
    <col min="3" max="3" width="11.42578125" hidden="1" customWidth="1" outlineLevel="1"/>
    <col min="4" max="6" width="9.42578125" hidden="1" customWidth="1" outlineLevel="1"/>
    <col min="7" max="7" width="8.5703125" bestFit="1" customWidth="1" collapsed="1"/>
    <col min="8" max="11" width="8.5703125" hidden="1" customWidth="1" outlineLevel="1"/>
    <col min="12" max="12" width="10.5703125" customWidth="1" collapsed="1"/>
    <col min="13" max="16" width="10.5703125" hidden="1" customWidth="1" outlineLevel="1"/>
    <col min="17" max="17" width="10.5703125" customWidth="1" collapsed="1"/>
    <col min="18" max="21" width="10.5703125" hidden="1" customWidth="1" outlineLevel="1"/>
    <col min="22" max="22" width="10.5703125" customWidth="1" collapsed="1"/>
    <col min="23" max="26" width="10.5703125" hidden="1" customWidth="1" outlineLevel="1"/>
    <col min="27" max="27" width="10.5703125" customWidth="1" collapsed="1"/>
    <col min="28" max="31" width="10.5703125" hidden="1" customWidth="1" outlineLevel="1"/>
    <col min="32" max="32" width="10.5703125" customWidth="1" collapsed="1"/>
    <col min="33" max="36" width="10.5703125" hidden="1" customWidth="1" outlineLevel="1"/>
    <col min="37" max="37" width="10.5703125" customWidth="1" collapsed="1"/>
    <col min="38" max="41" width="10.5703125" hidden="1" customWidth="1" outlineLevel="1"/>
    <col min="42" max="42" width="10.5703125" customWidth="1" collapsed="1"/>
    <col min="43" max="46" width="10.5703125" hidden="1" customWidth="1" outlineLevel="1"/>
    <col min="47" max="47" width="10.5703125" customWidth="1" collapsed="1"/>
    <col min="48" max="51" width="10.5703125" customWidth="1" outlineLevel="1"/>
    <col min="52" max="53" width="10.5703125" customWidth="1"/>
  </cols>
  <sheetData>
    <row r="1" spans="1:57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57" ht="1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32"/>
      <c r="BA2" s="630"/>
    </row>
    <row r="3" spans="1:57" ht="50.1" customHeight="1">
      <c r="A3" s="623"/>
      <c r="B3" s="734" t="s">
        <v>1119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57" ht="10.35" customHeight="1" thickBot="1"/>
    <row r="5" spans="1:57" s="2" customFormat="1" ht="24.4" customHeight="1">
      <c r="A5" s="625"/>
      <c r="B5" s="625" t="s">
        <v>449</v>
      </c>
      <c r="C5" s="626" t="s">
        <v>224</v>
      </c>
      <c r="D5" s="626" t="s">
        <v>225</v>
      </c>
      <c r="E5" s="626" t="s">
        <v>226</v>
      </c>
      <c r="F5" s="626" t="s">
        <v>227</v>
      </c>
      <c r="G5" s="652">
        <v>2016</v>
      </c>
      <c r="H5" s="626" t="s">
        <v>228</v>
      </c>
      <c r="I5" s="626" t="s">
        <v>229</v>
      </c>
      <c r="J5" s="626" t="s">
        <v>230</v>
      </c>
      <c r="K5" s="626" t="s">
        <v>231</v>
      </c>
      <c r="L5" s="652">
        <v>2017</v>
      </c>
      <c r="M5" s="626" t="s">
        <v>232</v>
      </c>
      <c r="N5" s="626" t="s">
        <v>233</v>
      </c>
      <c r="O5" s="626" t="s">
        <v>234</v>
      </c>
      <c r="P5" s="626" t="s">
        <v>235</v>
      </c>
      <c r="Q5" s="652">
        <v>2018</v>
      </c>
      <c r="R5" s="626" t="s">
        <v>236</v>
      </c>
      <c r="S5" s="626" t="s">
        <v>237</v>
      </c>
      <c r="T5" s="626" t="s">
        <v>238</v>
      </c>
      <c r="U5" s="626" t="s">
        <v>239</v>
      </c>
      <c r="V5" s="652">
        <v>2019</v>
      </c>
      <c r="W5" s="626" t="s">
        <v>240</v>
      </c>
      <c r="X5" s="626" t="s">
        <v>241</v>
      </c>
      <c r="Y5" s="626" t="s">
        <v>242</v>
      </c>
      <c r="Z5" s="626" t="s">
        <v>243</v>
      </c>
      <c r="AA5" s="652">
        <v>2020</v>
      </c>
      <c r="AB5" s="626" t="s">
        <v>244</v>
      </c>
      <c r="AC5" s="626" t="s">
        <v>245</v>
      </c>
      <c r="AD5" s="626" t="s">
        <v>246</v>
      </c>
      <c r="AE5" s="626" t="s">
        <v>247</v>
      </c>
      <c r="AF5" s="652">
        <v>2021</v>
      </c>
      <c r="AG5" s="626" t="s">
        <v>248</v>
      </c>
      <c r="AH5" s="626" t="s">
        <v>249</v>
      </c>
      <c r="AI5" s="626" t="s">
        <v>250</v>
      </c>
      <c r="AJ5" s="626" t="s">
        <v>215</v>
      </c>
      <c r="AK5" s="652">
        <v>2022</v>
      </c>
      <c r="AL5" s="626" t="s">
        <v>252</v>
      </c>
      <c r="AM5" s="626" t="s">
        <v>253</v>
      </c>
      <c r="AN5" s="626" t="s">
        <v>254</v>
      </c>
      <c r="AO5" s="626" t="s">
        <v>219</v>
      </c>
      <c r="AP5" s="652">
        <v>2023</v>
      </c>
      <c r="AQ5" s="626" t="s">
        <v>223</v>
      </c>
      <c r="AR5" s="626" t="s">
        <v>256</v>
      </c>
      <c r="AS5" s="626" t="s">
        <v>357</v>
      </c>
      <c r="AT5" s="626" t="s">
        <v>358</v>
      </c>
      <c r="AU5" s="652">
        <v>2024</v>
      </c>
      <c r="AV5" s="626" t="s">
        <v>359</v>
      </c>
      <c r="AW5" s="626" t="s">
        <v>1115</v>
      </c>
      <c r="AX5" s="626" t="s">
        <v>1116</v>
      </c>
      <c r="AY5" s="626" t="s">
        <v>1117</v>
      </c>
      <c r="AZ5" s="653" t="s">
        <v>1118</v>
      </c>
      <c r="BA5" s="645" t="s">
        <v>1124</v>
      </c>
    </row>
    <row r="6" spans="1:57" s="2" customFormat="1">
      <c r="A6" s="9"/>
      <c r="B6" s="9" t="s">
        <v>412</v>
      </c>
      <c r="C6" s="10"/>
      <c r="D6" s="10"/>
      <c r="E6" s="10"/>
      <c r="F6" s="10"/>
      <c r="G6" s="39"/>
      <c r="H6" s="10"/>
      <c r="I6" s="10"/>
      <c r="J6" s="10"/>
      <c r="K6" s="10"/>
      <c r="L6" s="39"/>
      <c r="M6" s="10"/>
      <c r="N6" s="10"/>
      <c r="O6" s="10"/>
      <c r="P6" s="10"/>
      <c r="Q6" s="39"/>
      <c r="R6" s="10"/>
      <c r="S6" s="10"/>
      <c r="T6" s="10"/>
      <c r="U6" s="10"/>
      <c r="V6" s="39"/>
      <c r="W6" s="10"/>
      <c r="X6" s="10"/>
      <c r="Y6" s="10"/>
      <c r="Z6" s="10"/>
      <c r="AA6" s="39"/>
      <c r="AB6" s="10"/>
      <c r="AC6" s="10"/>
      <c r="AD6" s="10"/>
      <c r="AE6" s="10"/>
      <c r="AF6" s="39"/>
      <c r="AG6" s="10"/>
      <c r="AH6" s="10"/>
      <c r="AI6" s="10"/>
      <c r="AJ6" s="10"/>
      <c r="AK6" s="39"/>
      <c r="AL6" s="10"/>
      <c r="AM6" s="10"/>
      <c r="AN6" s="10"/>
      <c r="AO6" s="10"/>
      <c r="AP6" s="39"/>
      <c r="AQ6" s="10"/>
      <c r="AR6" s="10"/>
      <c r="AS6" s="10"/>
      <c r="AT6" s="10"/>
      <c r="AU6" s="39"/>
      <c r="AV6" s="10"/>
      <c r="AW6" s="10"/>
      <c r="AX6" s="10"/>
      <c r="AY6" s="10"/>
      <c r="AZ6" s="39"/>
      <c r="BA6" s="10"/>
    </row>
    <row r="7" spans="1:57">
      <c r="A7" s="11"/>
      <c r="B7" s="11" t="s">
        <v>413</v>
      </c>
      <c r="C7" s="12">
        <v>-2216.6877699999995</v>
      </c>
      <c r="D7" s="12">
        <v>-4126.8672299999998</v>
      </c>
      <c r="E7" s="12">
        <v>-6310.178469999998</v>
      </c>
      <c r="F7" s="12">
        <v>-9359.9636399999981</v>
      </c>
      <c r="G7" s="40">
        <f>SUM(C7:F7)</f>
        <v>-22013.697109999994</v>
      </c>
      <c r="H7" s="12">
        <v>-6669.2848099999983</v>
      </c>
      <c r="I7" s="12">
        <v>-7482.5691600000036</v>
      </c>
      <c r="J7" s="12">
        <v>-8903.9532499999932</v>
      </c>
      <c r="K7" s="12">
        <v>-15634.739829999995</v>
      </c>
      <c r="L7" s="40">
        <f>SUM(H7:K7)</f>
        <v>-38690.547049999994</v>
      </c>
      <c r="M7" s="12">
        <v>-8155.6838599999992</v>
      </c>
      <c r="N7" s="12">
        <v>-10933.564439999995</v>
      </c>
      <c r="O7" s="12">
        <v>-14467.978350000012</v>
      </c>
      <c r="P7" s="12">
        <v>-13158.086229999997</v>
      </c>
      <c r="Q7" s="40">
        <f>SUM(M7:P7)</f>
        <v>-46715.312879999998</v>
      </c>
      <c r="R7" s="12">
        <v>-10460.7711</v>
      </c>
      <c r="S7" s="12">
        <v>-11110.768909999995</v>
      </c>
      <c r="T7" s="12">
        <v>-12026.777290000004</v>
      </c>
      <c r="U7" s="12">
        <v>-11909.429629999995</v>
      </c>
      <c r="V7" s="40">
        <f>SUM(R7:U7)</f>
        <v>-45507.746929999994</v>
      </c>
      <c r="W7" s="12">
        <v>-16810.195630000002</v>
      </c>
      <c r="X7" s="12">
        <v>-11807.021240000002</v>
      </c>
      <c r="Y7" s="12">
        <v>-12318.089829999999</v>
      </c>
      <c r="Z7" s="12">
        <v>-14215.174809999995</v>
      </c>
      <c r="AA7" s="40">
        <f>SUM(W7:Z7)</f>
        <v>-55150.481509999998</v>
      </c>
      <c r="AB7" s="12">
        <v>-13137.83628</v>
      </c>
      <c r="AC7" s="12">
        <v>-18937.28773</v>
      </c>
      <c r="AD7" s="12">
        <v>-14776.066740000002</v>
      </c>
      <c r="AE7" s="12">
        <v>-13919</v>
      </c>
      <c r="AF7" s="40">
        <f>SUM(AB7:AE7)</f>
        <v>-60770.190750000002</v>
      </c>
      <c r="AG7" s="12">
        <v>-18908</v>
      </c>
      <c r="AH7" s="12">
        <v>-21003</v>
      </c>
      <c r="AI7" s="12">
        <v>-19474</v>
      </c>
      <c r="AJ7" s="12">
        <v>-22460</v>
      </c>
      <c r="AK7" s="40">
        <f>SUM(AG7:AJ7)</f>
        <v>-81845</v>
      </c>
      <c r="AL7" s="12">
        <f>'DRE CAIXA SEGURIDADE CONTABIL'!AL70</f>
        <v>-20822</v>
      </c>
      <c r="AM7" s="12">
        <f>'DRE CAIXA SEGURIDADE CONTABIL'!AM70</f>
        <v>-24104</v>
      </c>
      <c r="AN7" s="12">
        <f>'DRE CAIXA SEGURIDADE CONTABIL'!AN70</f>
        <v>-25591</v>
      </c>
      <c r="AO7" s="12">
        <f>'DRE CAIXA SEGURIDADE CONTABIL'!AO70</f>
        <v>-21825</v>
      </c>
      <c r="AP7" s="40">
        <f>SUM(AL7:AO7)</f>
        <v>-92342</v>
      </c>
      <c r="AQ7" s="12">
        <v>-28773</v>
      </c>
      <c r="AR7" s="12">
        <v>-25710</v>
      </c>
      <c r="AS7" s="12">
        <v>-23886</v>
      </c>
      <c r="AT7" s="12">
        <v>-22604.945899999999</v>
      </c>
      <c r="AU7" s="40">
        <f>SUM(AQ7:AT7)</f>
        <v>-100973.94589999999</v>
      </c>
      <c r="AV7" s="12">
        <f>'DRE CAIXA SEGURIDADE CONTABIL'!AV70</f>
        <v>-29449.077309999997</v>
      </c>
      <c r="AW7" s="12">
        <f>'DRE CAIXA SEGURIDADE CONTABIL'!AW70</f>
        <v>-28602.436339999997</v>
      </c>
      <c r="AX7" s="12">
        <f>'DRE CAIXA SEGURIDADE CONTABIL'!AX70</f>
        <v>-32478.447459999996</v>
      </c>
      <c r="AY7" s="12">
        <f>'DRE CAIXA SEGURIDADE CONTABIL'!AY70</f>
        <v>-26856.826140000001</v>
      </c>
      <c r="AZ7" s="40">
        <f>SUM(AV7:AY7)</f>
        <v>-117386.78724999999</v>
      </c>
      <c r="BA7" s="12">
        <f>'DRE CAIXA SEGURIDADE CONTABIL'!BA70</f>
        <v>-37980.320489999969</v>
      </c>
      <c r="BE7" s="8"/>
    </row>
    <row r="8" spans="1:57">
      <c r="A8" s="11"/>
      <c r="B8" s="11" t="s">
        <v>414</v>
      </c>
      <c r="C8" s="13">
        <v>0</v>
      </c>
      <c r="D8" s="13">
        <v>0</v>
      </c>
      <c r="E8" s="13">
        <v>0</v>
      </c>
      <c r="F8" s="13">
        <v>0</v>
      </c>
      <c r="G8" s="41">
        <f t="shared" ref="G8:G19" si="0">SUM(C8:F8)</f>
        <v>0</v>
      </c>
      <c r="H8" s="13">
        <v>0</v>
      </c>
      <c r="I8" s="13">
        <v>0</v>
      </c>
      <c r="J8" s="13">
        <v>0</v>
      </c>
      <c r="K8" s="13">
        <v>0</v>
      </c>
      <c r="L8" s="41">
        <f t="shared" ref="L8:L19" si="1">SUM(H8:K8)</f>
        <v>0</v>
      </c>
      <c r="M8" s="13">
        <v>0</v>
      </c>
      <c r="N8" s="13">
        <v>0</v>
      </c>
      <c r="O8" s="13">
        <v>0</v>
      </c>
      <c r="P8" s="13">
        <v>0</v>
      </c>
      <c r="Q8" s="41">
        <f t="shared" ref="Q8:Q19" si="2">SUM(M8:P8)</f>
        <v>0</v>
      </c>
      <c r="R8" s="13">
        <v>0</v>
      </c>
      <c r="S8" s="13">
        <v>0</v>
      </c>
      <c r="T8" s="13">
        <v>0</v>
      </c>
      <c r="U8" s="13">
        <v>0</v>
      </c>
      <c r="V8" s="41">
        <f t="shared" ref="V8:V19" si="3">SUM(R8:U8)</f>
        <v>0</v>
      </c>
      <c r="W8" s="13">
        <v>0</v>
      </c>
      <c r="X8" s="13">
        <v>0</v>
      </c>
      <c r="Y8" s="13">
        <v>0</v>
      </c>
      <c r="Z8" s="13">
        <v>0</v>
      </c>
      <c r="AA8" s="41">
        <f t="shared" ref="AA8:AA19" si="4">SUM(W8:Z8)</f>
        <v>0</v>
      </c>
      <c r="AB8" s="13">
        <v>0</v>
      </c>
      <c r="AC8" s="13">
        <v>0</v>
      </c>
      <c r="AD8" s="13">
        <v>0</v>
      </c>
      <c r="AE8" s="13">
        <v>0</v>
      </c>
      <c r="AF8" s="41">
        <f t="shared" ref="AF8:AF19" si="5">SUM(AB8:AE8)</f>
        <v>0</v>
      </c>
      <c r="AG8" s="13">
        <v>0</v>
      </c>
      <c r="AH8" s="13">
        <v>0</v>
      </c>
      <c r="AI8" s="13">
        <v>0</v>
      </c>
      <c r="AJ8" s="13">
        <v>0</v>
      </c>
      <c r="AK8" s="41">
        <f t="shared" ref="AK8:AK19" si="6">SUM(AG8:AJ8)</f>
        <v>0</v>
      </c>
      <c r="AL8" s="13">
        <f>'DRE CAIXA SEGURIDADE CONTABIL'!AL71-'DRE NEGÓCIOS DE DISTRIBUIÇÃO'!AL8</f>
        <v>0</v>
      </c>
      <c r="AM8" s="13">
        <f>'DRE CAIXA SEGURIDADE CONTABIL'!AM71-'DRE NEGÓCIOS DE DISTRIBUIÇÃO'!AM8</f>
        <v>0</v>
      </c>
      <c r="AN8" s="13">
        <f>'DRE CAIXA SEGURIDADE CONTABIL'!AN71-'DRE NEGÓCIOS DE DISTRIBUIÇÃO'!AN8</f>
        <v>0</v>
      </c>
      <c r="AO8" s="13">
        <f>'DRE CAIXA SEGURIDADE CONTABIL'!AO71-'DRE NEGÓCIOS DE DISTRIBUIÇÃO'!AO8</f>
        <v>0</v>
      </c>
      <c r="AP8" s="41">
        <f t="shared" ref="AP8:AP12" si="7">SUM(AL8:AO8)</f>
        <v>0</v>
      </c>
      <c r="AQ8" s="13">
        <v>-0.39359999999942374</v>
      </c>
      <c r="AR8" s="13">
        <v>0</v>
      </c>
      <c r="AS8" s="13">
        <v>0</v>
      </c>
      <c r="AT8" s="13">
        <v>0.41475000000536966</v>
      </c>
      <c r="AU8" s="41">
        <f t="shared" ref="AU8:AU12" si="8">SUM(AQ8:AT8)</f>
        <v>2.1150000005945913E-2</v>
      </c>
      <c r="AV8" s="13">
        <f>'DRE CAIXA SEGURIDADE CONTABIL'!AV71-'DRE NEGÓCIOS DE DISTRIBUIÇÃO'!AV8</f>
        <v>0</v>
      </c>
      <c r="AW8" s="13">
        <f>'DRE CAIXA SEGURIDADE CONTABIL'!AW71-'DRE NEGÓCIOS DE DISTRIBUIÇÃO'!AW8</f>
        <v>0</v>
      </c>
      <c r="AX8" s="13">
        <f>'DRE CAIXA SEGURIDADE CONTABIL'!AX71-'DRE NEGÓCIOS DE DISTRIBUIÇÃO'!AX8</f>
        <v>-0.57474999999976717</v>
      </c>
      <c r="AY8" s="13">
        <f>'DRE CAIXA SEGURIDADE CONTABIL'!AY71-'DRE NEGÓCIOS DE DISTRIBUIÇÃO'!AY8</f>
        <v>9.0949470177292824E-12</v>
      </c>
      <c r="AZ8" s="41">
        <f t="shared" ref="AZ8:AZ12" si="9">SUM(AV8:AY8)</f>
        <v>-0.57474999999067222</v>
      </c>
      <c r="BA8" s="13">
        <f>'DRE CAIXA SEGURIDADE CONTABIL'!BA71-'DRE NEGÓCIOS DE DISTRIBUIÇÃO'!BA8</f>
        <v>0</v>
      </c>
      <c r="BE8" s="8"/>
    </row>
    <row r="9" spans="1:57">
      <c r="A9" s="11"/>
      <c r="B9" s="11" t="s">
        <v>415</v>
      </c>
      <c r="C9" s="13">
        <v>-1418</v>
      </c>
      <c r="D9" s="13">
        <v>2676</v>
      </c>
      <c r="E9" s="13">
        <v>5838.2842000000046</v>
      </c>
      <c r="F9" s="13">
        <v>7007.7157999999954</v>
      </c>
      <c r="G9" s="40">
        <f t="shared" si="0"/>
        <v>14104</v>
      </c>
      <c r="H9" s="13">
        <v>4216.8194699999985</v>
      </c>
      <c r="I9" s="13">
        <v>7007.4345200000016</v>
      </c>
      <c r="J9" s="13">
        <v>6577.1029199999975</v>
      </c>
      <c r="K9" s="13">
        <v>6446.7443500000008</v>
      </c>
      <c r="L9" s="40">
        <f t="shared" si="1"/>
        <v>24248.101259999999</v>
      </c>
      <c r="M9" s="13">
        <v>2721.3223500000004</v>
      </c>
      <c r="N9" s="13">
        <v>6622.0339199999999</v>
      </c>
      <c r="O9" s="13">
        <v>6138.9531700000007</v>
      </c>
      <c r="P9" s="13">
        <v>6936.0473200000015</v>
      </c>
      <c r="Q9" s="40">
        <f t="shared" si="2"/>
        <v>22418.356760000002</v>
      </c>
      <c r="R9" s="13">
        <v>3200</v>
      </c>
      <c r="S9" s="13">
        <v>12044</v>
      </c>
      <c r="T9" s="13">
        <v>11193</v>
      </c>
      <c r="U9" s="13">
        <v>4181.4627</v>
      </c>
      <c r="V9" s="40">
        <f t="shared" si="3"/>
        <v>30618.4627</v>
      </c>
      <c r="W9" s="13">
        <v>3377</v>
      </c>
      <c r="X9" s="13">
        <v>4825</v>
      </c>
      <c r="Y9" s="13">
        <v>3084</v>
      </c>
      <c r="Z9" s="13">
        <v>5491</v>
      </c>
      <c r="AA9" s="40">
        <f t="shared" si="4"/>
        <v>16777</v>
      </c>
      <c r="AB9" s="13">
        <v>-282</v>
      </c>
      <c r="AC9" s="13">
        <v>1725.7324400000002</v>
      </c>
      <c r="AD9" s="13">
        <v>2625.8871799999997</v>
      </c>
      <c r="AE9" s="13">
        <v>1006</v>
      </c>
      <c r="AF9" s="40">
        <f t="shared" si="5"/>
        <v>5075.6196199999995</v>
      </c>
      <c r="AG9" s="13">
        <v>5255</v>
      </c>
      <c r="AH9" s="13">
        <v>10266</v>
      </c>
      <c r="AI9" s="13">
        <v>8706</v>
      </c>
      <c r="AJ9" s="13">
        <v>20205</v>
      </c>
      <c r="AK9" s="40">
        <f t="shared" si="6"/>
        <v>44432</v>
      </c>
      <c r="AL9" s="13">
        <f>'DRE CAIXA SEGURIDADE CONTABIL'!AL75</f>
        <v>1038</v>
      </c>
      <c r="AM9" s="13">
        <f>'DRE CAIXA SEGURIDADE CONTABIL'!AM75</f>
        <v>14613</v>
      </c>
      <c r="AN9" s="13">
        <f>'DRE CAIXA SEGURIDADE CONTABIL'!AN75</f>
        <v>12435</v>
      </c>
      <c r="AO9" s="13">
        <f>'DRE CAIXA SEGURIDADE CONTABIL'!AO75</f>
        <v>17611</v>
      </c>
      <c r="AP9" s="40">
        <f t="shared" si="7"/>
        <v>45697</v>
      </c>
      <c r="AQ9" s="13">
        <v>-25469</v>
      </c>
      <c r="AR9" s="13">
        <v>2760</v>
      </c>
      <c r="AS9" s="13">
        <v>17985.450649999999</v>
      </c>
      <c r="AT9" s="13">
        <v>23181.748620000002</v>
      </c>
      <c r="AU9" s="40">
        <f t="shared" si="8"/>
        <v>18458.199270000001</v>
      </c>
      <c r="AV9" s="13">
        <f>'DRE CAIXA SEGURIDADE CONTABIL'!AV75</f>
        <v>13716</v>
      </c>
      <c r="AW9" s="13">
        <f>'DRE CAIXA SEGURIDADE CONTABIL'!AW75</f>
        <v>26528.123450000006</v>
      </c>
      <c r="AX9" s="13">
        <f>'DRE CAIXA SEGURIDADE CONTABIL'!AX75</f>
        <v>30214.252930000006</v>
      </c>
      <c r="AY9" s="13">
        <f>'DRE CAIXA SEGURIDADE CONTABIL'!AY75</f>
        <v>37156.027000000002</v>
      </c>
      <c r="AZ9" s="40">
        <f>SUM(AV9:AY9)</f>
        <v>107614.40338000002</v>
      </c>
      <c r="BA9" s="13">
        <f>'DRE CAIXA SEGURIDADE CONTABIL'!BA75</f>
        <v>12850</v>
      </c>
      <c r="BE9" s="8"/>
    </row>
    <row r="10" spans="1:57">
      <c r="A10" s="11"/>
      <c r="B10" s="11" t="s">
        <v>416</v>
      </c>
      <c r="C10" s="8"/>
      <c r="D10" s="8"/>
      <c r="E10" s="8"/>
      <c r="F10" s="8"/>
      <c r="G10" s="40">
        <f t="shared" si="0"/>
        <v>0</v>
      </c>
      <c r="H10" s="8"/>
      <c r="I10" s="8"/>
      <c r="J10" s="8"/>
      <c r="K10" s="8"/>
      <c r="L10" s="40">
        <f t="shared" si="1"/>
        <v>0</v>
      </c>
      <c r="M10" s="8"/>
      <c r="N10" s="8"/>
      <c r="O10" s="8"/>
      <c r="P10" s="8"/>
      <c r="Q10" s="40">
        <f t="shared" si="2"/>
        <v>0</v>
      </c>
      <c r="R10" s="12"/>
      <c r="S10" s="12"/>
      <c r="T10" s="12"/>
      <c r="U10" s="12"/>
      <c r="V10" s="40">
        <f t="shared" si="3"/>
        <v>0</v>
      </c>
      <c r="W10" s="12"/>
      <c r="X10" s="12"/>
      <c r="Y10" s="12"/>
      <c r="Z10" s="12"/>
      <c r="AA10" s="40">
        <f t="shared" si="4"/>
        <v>0</v>
      </c>
      <c r="AB10" s="12"/>
      <c r="AC10" s="12"/>
      <c r="AD10" s="12"/>
      <c r="AE10" s="12"/>
      <c r="AF10" s="40">
        <f t="shared" si="5"/>
        <v>0</v>
      </c>
      <c r="AG10" s="12">
        <v>0</v>
      </c>
      <c r="AH10" s="12">
        <v>0</v>
      </c>
      <c r="AI10" s="12">
        <v>0</v>
      </c>
      <c r="AJ10" s="12">
        <v>0</v>
      </c>
      <c r="AK10" s="40">
        <f t="shared" si="6"/>
        <v>0</v>
      </c>
      <c r="AL10" s="12">
        <v>0</v>
      </c>
      <c r="AM10" s="12">
        <v>0</v>
      </c>
      <c r="AN10" s="12">
        <v>0</v>
      </c>
      <c r="AO10" s="12">
        <v>0</v>
      </c>
      <c r="AP10" s="40">
        <f t="shared" si="7"/>
        <v>0</v>
      </c>
      <c r="AQ10" s="12">
        <v>0</v>
      </c>
      <c r="AR10" s="12">
        <v>0</v>
      </c>
      <c r="AS10" s="12">
        <v>0</v>
      </c>
      <c r="AT10" s="12">
        <v>0</v>
      </c>
      <c r="AU10" s="40">
        <f t="shared" si="8"/>
        <v>0</v>
      </c>
      <c r="AV10" s="12">
        <v>0</v>
      </c>
      <c r="AW10" s="12">
        <v>0</v>
      </c>
      <c r="AX10" s="12">
        <v>0</v>
      </c>
      <c r="AY10" s="12">
        <v>0</v>
      </c>
      <c r="AZ10" s="40">
        <f t="shared" si="9"/>
        <v>0</v>
      </c>
      <c r="BA10" s="12">
        <v>0</v>
      </c>
      <c r="BE10" s="8"/>
    </row>
    <row r="11" spans="1:57">
      <c r="A11" s="11"/>
      <c r="B11" s="11" t="s">
        <v>417</v>
      </c>
      <c r="C11" s="13">
        <v>0</v>
      </c>
      <c r="D11" s="13">
        <v>0</v>
      </c>
      <c r="E11" s="13">
        <v>0</v>
      </c>
      <c r="F11" s="13">
        <v>0</v>
      </c>
      <c r="G11" s="41">
        <f t="shared" si="0"/>
        <v>0</v>
      </c>
      <c r="H11" s="13">
        <v>0</v>
      </c>
      <c r="I11" s="13">
        <v>0</v>
      </c>
      <c r="J11" s="13">
        <v>0</v>
      </c>
      <c r="K11" s="13">
        <v>0</v>
      </c>
      <c r="L11" s="41">
        <f t="shared" si="1"/>
        <v>0</v>
      </c>
      <c r="M11" s="13">
        <v>0</v>
      </c>
      <c r="N11" s="13">
        <v>0</v>
      </c>
      <c r="O11" s="13">
        <v>0</v>
      </c>
      <c r="P11" s="13">
        <v>0</v>
      </c>
      <c r="Q11" s="41">
        <f t="shared" si="2"/>
        <v>0</v>
      </c>
      <c r="R11" s="13">
        <v>0</v>
      </c>
      <c r="S11" s="13">
        <v>0</v>
      </c>
      <c r="T11" s="13">
        <v>0</v>
      </c>
      <c r="U11" s="13">
        <v>0</v>
      </c>
      <c r="V11" s="41">
        <f t="shared" si="3"/>
        <v>0</v>
      </c>
      <c r="W11" s="13">
        <v>0</v>
      </c>
      <c r="X11" s="13">
        <v>0</v>
      </c>
      <c r="Y11" s="13">
        <v>0</v>
      </c>
      <c r="Z11" s="13">
        <v>0</v>
      </c>
      <c r="AA11" s="41">
        <f t="shared" si="4"/>
        <v>0</v>
      </c>
      <c r="AB11" s="13">
        <v>0</v>
      </c>
      <c r="AC11" s="13">
        <v>1809.0078899999999</v>
      </c>
      <c r="AD11" s="13">
        <v>5934.6343400000005</v>
      </c>
      <c r="AE11" s="13">
        <v>6.7999999970197672E-4</v>
      </c>
      <c r="AF11" s="41">
        <f t="shared" si="5"/>
        <v>7743.6429100000005</v>
      </c>
      <c r="AG11" s="13">
        <v>0</v>
      </c>
      <c r="AH11" s="13">
        <v>0</v>
      </c>
      <c r="AI11" s="13">
        <v>5</v>
      </c>
      <c r="AJ11" s="13">
        <v>296732</v>
      </c>
      <c r="AK11" s="41">
        <f t="shared" si="6"/>
        <v>296737</v>
      </c>
      <c r="AL11" s="13">
        <f>'DRE CAIXA SEGURIDADE CONTABIL'!AL72</f>
        <v>30681</v>
      </c>
      <c r="AM11" s="13">
        <f>'DRE CAIXA SEGURIDADE CONTABIL'!AM44</f>
        <v>1</v>
      </c>
      <c r="AN11" s="13">
        <f>'DRE CAIXA SEGURIDADE CONTABIL'!AN44</f>
        <v>8</v>
      </c>
      <c r="AO11" s="13">
        <f>'DRE CAIXA SEGURIDADE CONTABIL'!AO44</f>
        <v>0</v>
      </c>
      <c r="AP11" s="41">
        <f t="shared" si="7"/>
        <v>30690</v>
      </c>
      <c r="AQ11" s="13">
        <v>1</v>
      </c>
      <c r="AR11" s="13">
        <v>3106</v>
      </c>
      <c r="AS11" s="13">
        <v>0</v>
      </c>
      <c r="AT11" s="13">
        <v>0</v>
      </c>
      <c r="AU11" s="41">
        <f t="shared" si="8"/>
        <v>3107</v>
      </c>
      <c r="AV11" s="13">
        <f>'DRE CAIXA SEG_CONTAB_IFRS4'!AV72</f>
        <v>-383.71208000000001</v>
      </c>
      <c r="AW11" s="13">
        <f>'DRE CAIXA SEG_CONTAB_IFRS4'!AW72</f>
        <v>385.85464000000013</v>
      </c>
      <c r="AX11" s="13">
        <f>'DRE CAIXA SEG_CONTAB_IFRS4'!AX72</f>
        <v>-3.7834979593753813E-13</v>
      </c>
      <c r="AY11" s="13">
        <f>'DRE CAIXA SEG_CONTAB_IFRS4'!AY72</f>
        <v>0.76277000000000394</v>
      </c>
      <c r="AZ11" s="41">
        <f t="shared" si="9"/>
        <v>2.9053299999997426</v>
      </c>
      <c r="BA11" s="13">
        <f>'DRE CAIXA SEG_CONTAB_IFRS4'!BA72</f>
        <v>0</v>
      </c>
      <c r="BE11" s="8"/>
    </row>
    <row r="12" spans="1:57" s="2" customFormat="1">
      <c r="A12" s="9"/>
      <c r="B12" s="9" t="s">
        <v>418</v>
      </c>
      <c r="C12" s="10">
        <v>-3635</v>
      </c>
      <c r="D12" s="10">
        <v>-1450</v>
      </c>
      <c r="E12" s="10">
        <v>-473.7157999999954</v>
      </c>
      <c r="F12" s="10">
        <v>-1543.2842000000046</v>
      </c>
      <c r="G12" s="39">
        <f t="shared" si="0"/>
        <v>-7102</v>
      </c>
      <c r="H12" s="10">
        <v>-2452.4053400000003</v>
      </c>
      <c r="I12" s="10">
        <v>-475.01014000000214</v>
      </c>
      <c r="J12" s="10">
        <v>-2325.6518299999934</v>
      </c>
      <c r="K12" s="10">
        <v>-8331.0668300000016</v>
      </c>
      <c r="L12" s="39">
        <f t="shared" si="1"/>
        <v>-13584.134139999998</v>
      </c>
      <c r="M12" s="10">
        <v>-5435.1264599999986</v>
      </c>
      <c r="N12" s="10">
        <v>-4311.4490699999969</v>
      </c>
      <c r="O12" s="10">
        <v>-8327.3741000000118</v>
      </c>
      <c r="P12" s="10">
        <v>-5011.6521299999877</v>
      </c>
      <c r="Q12" s="39">
        <f t="shared" si="2"/>
        <v>-23085.601759999994</v>
      </c>
      <c r="R12" s="10">
        <v>-7261</v>
      </c>
      <c r="S12" s="10">
        <v>933</v>
      </c>
      <c r="T12" s="10">
        <v>-509</v>
      </c>
      <c r="U12" s="10">
        <v>-7083.0841999999939</v>
      </c>
      <c r="V12" s="39">
        <f t="shared" si="3"/>
        <v>-13920.084199999994</v>
      </c>
      <c r="W12" s="10">
        <v>-13409</v>
      </c>
      <c r="X12" s="10">
        <v>-6982</v>
      </c>
      <c r="Y12" s="10">
        <v>-9231</v>
      </c>
      <c r="Z12" s="10">
        <v>-7702</v>
      </c>
      <c r="AA12" s="39">
        <f t="shared" si="4"/>
        <v>-37324</v>
      </c>
      <c r="AB12" s="10">
        <v>-13419.83628</v>
      </c>
      <c r="AC12" s="10">
        <v>-15402.547399999999</v>
      </c>
      <c r="AD12" s="10">
        <v>-6215.5452200000018</v>
      </c>
      <c r="AE12" s="10">
        <v>-12912.999320000001</v>
      </c>
      <c r="AF12" s="39">
        <f t="shared" si="5"/>
        <v>-47950.928220000002</v>
      </c>
      <c r="AG12" s="10">
        <f>SUM(AG6:AG11)</f>
        <v>-13653</v>
      </c>
      <c r="AH12" s="10">
        <f t="shared" ref="AH12:AJ12" si="10">SUM(AH6:AH11)</f>
        <v>-10737</v>
      </c>
      <c r="AI12" s="10">
        <f t="shared" si="10"/>
        <v>-10763</v>
      </c>
      <c r="AJ12" s="10">
        <f t="shared" si="10"/>
        <v>294477</v>
      </c>
      <c r="AK12" s="39">
        <f t="shared" si="6"/>
        <v>259324</v>
      </c>
      <c r="AL12" s="10">
        <f>SUM(AL6:AL11)</f>
        <v>10897</v>
      </c>
      <c r="AM12" s="10">
        <f>SUM(AM6:AM11)</f>
        <v>-9490</v>
      </c>
      <c r="AN12" s="10">
        <f>SUM(AN6:AN11)</f>
        <v>-13148</v>
      </c>
      <c r="AO12" s="10">
        <f>SUM(AO6:AO11)</f>
        <v>-4214</v>
      </c>
      <c r="AP12" s="39">
        <f t="shared" si="7"/>
        <v>-15955</v>
      </c>
      <c r="AQ12" s="10">
        <f>SUM(AQ6:AQ11)</f>
        <v>-54241.393599999996</v>
      </c>
      <c r="AR12" s="10">
        <f t="shared" ref="AR12:AT12" si="11">SUM(AR6:AR11)</f>
        <v>-19844</v>
      </c>
      <c r="AS12" s="10">
        <f t="shared" si="11"/>
        <v>-5900.5493500000011</v>
      </c>
      <c r="AT12" s="10">
        <f t="shared" si="11"/>
        <v>577.21747000000687</v>
      </c>
      <c r="AU12" s="39">
        <f t="shared" si="8"/>
        <v>-79408.725479999994</v>
      </c>
      <c r="AV12" s="10">
        <f t="shared" ref="AV12" si="12">SUM(AV6:AV11)</f>
        <v>-16116.789389999996</v>
      </c>
      <c r="AW12" s="10">
        <f t="shared" ref="AW12:AX12" si="13">SUM(AW6:AW11)</f>
        <v>-1688.4582499999901</v>
      </c>
      <c r="AX12" s="10">
        <f t="shared" si="13"/>
        <v>-2264.76927999999</v>
      </c>
      <c r="AY12" s="10">
        <f t="shared" ref="AY12:BA12" si="14">SUM(AY6:AY11)</f>
        <v>10299.963630000011</v>
      </c>
      <c r="AZ12" s="39">
        <f t="shared" si="9"/>
        <v>-9770.0532899999653</v>
      </c>
      <c r="BA12" s="10">
        <f t="shared" si="14"/>
        <v>-25130.320489999969</v>
      </c>
      <c r="BE12" s="8"/>
    </row>
    <row r="13" spans="1:57">
      <c r="A13" s="11"/>
      <c r="B13" s="11" t="s">
        <v>419</v>
      </c>
      <c r="C13" s="13"/>
      <c r="D13" s="13"/>
      <c r="E13" s="13"/>
      <c r="F13" s="13"/>
      <c r="G13" s="41"/>
      <c r="H13" s="13"/>
      <c r="I13" s="13"/>
      <c r="J13" s="13"/>
      <c r="K13" s="13"/>
      <c r="L13" s="41"/>
      <c r="M13" s="13"/>
      <c r="N13" s="13"/>
      <c r="O13" s="13"/>
      <c r="P13" s="13"/>
      <c r="Q13" s="41"/>
      <c r="R13" s="13"/>
      <c r="S13" s="13"/>
      <c r="T13" s="13"/>
      <c r="U13" s="13"/>
      <c r="V13" s="41"/>
      <c r="W13" s="13"/>
      <c r="X13" s="13"/>
      <c r="Y13" s="13"/>
      <c r="Z13" s="13"/>
      <c r="AA13" s="41"/>
      <c r="AB13" s="13"/>
      <c r="AC13" s="13"/>
      <c r="AD13" s="13"/>
      <c r="AE13" s="13"/>
      <c r="AF13" s="41"/>
      <c r="AG13" s="13"/>
      <c r="AH13" s="13"/>
      <c r="AI13" s="13"/>
      <c r="AJ13" s="13"/>
      <c r="AK13" s="41"/>
      <c r="AL13" s="13"/>
      <c r="AM13" s="13"/>
      <c r="AN13" s="13"/>
      <c r="AO13" s="13"/>
      <c r="AP13" s="41"/>
      <c r="AQ13" s="13"/>
      <c r="AR13" s="13"/>
      <c r="AS13" s="13"/>
      <c r="AT13" s="13"/>
      <c r="AU13" s="41"/>
      <c r="AV13" s="13"/>
      <c r="AW13" s="13"/>
      <c r="AX13" s="13"/>
      <c r="AY13" s="13"/>
      <c r="AZ13" s="41"/>
      <c r="BA13" s="13"/>
      <c r="BE13" s="8"/>
    </row>
    <row r="14" spans="1:57" s="2" customFormat="1">
      <c r="A14" s="9"/>
      <c r="B14" s="9" t="s">
        <v>420</v>
      </c>
      <c r="C14" s="10">
        <v>-3635</v>
      </c>
      <c r="D14" s="10">
        <v>-1450</v>
      </c>
      <c r="E14" s="10">
        <v>-473.7157999999954</v>
      </c>
      <c r="F14" s="10">
        <v>-1543.2842000000046</v>
      </c>
      <c r="G14" s="39">
        <f t="shared" si="0"/>
        <v>-7102</v>
      </c>
      <c r="H14" s="10">
        <v>-2452.4053400000003</v>
      </c>
      <c r="I14" s="10">
        <v>-475.01014000000214</v>
      </c>
      <c r="J14" s="10">
        <v>-2325.6518299999934</v>
      </c>
      <c r="K14" s="10">
        <v>-8331.0668300000016</v>
      </c>
      <c r="L14" s="39">
        <f t="shared" si="1"/>
        <v>-13584.134139999998</v>
      </c>
      <c r="M14" s="10">
        <v>-5435.1264599999986</v>
      </c>
      <c r="N14" s="10">
        <v>-4311.4490699999969</v>
      </c>
      <c r="O14" s="10">
        <v>-8327.3741000000118</v>
      </c>
      <c r="P14" s="10">
        <v>-5011.6521299999877</v>
      </c>
      <c r="Q14" s="39">
        <f t="shared" si="2"/>
        <v>-23085.601759999994</v>
      </c>
      <c r="R14" s="10">
        <v>-7261</v>
      </c>
      <c r="S14" s="10">
        <v>933</v>
      </c>
      <c r="T14" s="10">
        <v>-509</v>
      </c>
      <c r="U14" s="10">
        <v>-7083.0841999999939</v>
      </c>
      <c r="V14" s="39">
        <f t="shared" si="3"/>
        <v>-13920.084199999994</v>
      </c>
      <c r="W14" s="10">
        <v>-13409</v>
      </c>
      <c r="X14" s="10">
        <v>-6982</v>
      </c>
      <c r="Y14" s="10">
        <v>-9231</v>
      </c>
      <c r="Z14" s="10">
        <v>-7702</v>
      </c>
      <c r="AA14" s="39">
        <f t="shared" si="4"/>
        <v>-37324</v>
      </c>
      <c r="AB14" s="10">
        <v>-13419.83628</v>
      </c>
      <c r="AC14" s="10">
        <v>-15402.547399999999</v>
      </c>
      <c r="AD14" s="10">
        <v>-6215.5452200000018</v>
      </c>
      <c r="AE14" s="10">
        <v>-12912.999320000001</v>
      </c>
      <c r="AF14" s="39">
        <f t="shared" si="5"/>
        <v>-47950.928220000002</v>
      </c>
      <c r="AG14" s="10">
        <f>SUM(AG12:AG13)</f>
        <v>-13653</v>
      </c>
      <c r="AH14" s="10">
        <f t="shared" ref="AH14:AJ14" si="15">SUM(AH12:AH13)</f>
        <v>-10737</v>
      </c>
      <c r="AI14" s="10">
        <f t="shared" si="15"/>
        <v>-10763</v>
      </c>
      <c r="AJ14" s="10">
        <f t="shared" si="15"/>
        <v>294477</v>
      </c>
      <c r="AK14" s="39">
        <f t="shared" si="6"/>
        <v>259324</v>
      </c>
      <c r="AL14" s="10">
        <f>SUM(AL12:AL13)</f>
        <v>10897</v>
      </c>
      <c r="AM14" s="10">
        <f>SUM(AM12:AM13)</f>
        <v>-9490</v>
      </c>
      <c r="AN14" s="10">
        <f>SUM(AN12:AN13)</f>
        <v>-13148</v>
      </c>
      <c r="AO14" s="10">
        <f>SUM(AO12:AO13)</f>
        <v>-4214</v>
      </c>
      <c r="AP14" s="39">
        <f t="shared" ref="AP14:AP19" si="16">SUM(AL14:AO14)</f>
        <v>-15955</v>
      </c>
      <c r="AQ14" s="10">
        <f>SUM(AQ12:AQ13)</f>
        <v>-54241.393599999996</v>
      </c>
      <c r="AR14" s="10">
        <f t="shared" ref="AR14:AT14" si="17">SUM(AR12:AR13)</f>
        <v>-19844</v>
      </c>
      <c r="AS14" s="10">
        <f t="shared" si="17"/>
        <v>-5900.5493500000011</v>
      </c>
      <c r="AT14" s="10">
        <f t="shared" si="17"/>
        <v>577.21747000000687</v>
      </c>
      <c r="AU14" s="39">
        <f t="shared" ref="AU14" si="18">SUM(AQ14:AT14)</f>
        <v>-79408.725479999994</v>
      </c>
      <c r="AV14" s="10">
        <f t="shared" ref="AV14" si="19">SUM(AV12:AV13)</f>
        <v>-16116.789389999996</v>
      </c>
      <c r="AW14" s="10">
        <f t="shared" ref="AW14:AX14" si="20">SUM(AW12:AW13)</f>
        <v>-1688.4582499999901</v>
      </c>
      <c r="AX14" s="10">
        <f t="shared" si="20"/>
        <v>-2264.76927999999</v>
      </c>
      <c r="AY14" s="10">
        <f t="shared" ref="AY14:BA14" si="21">SUM(AY12:AY13)</f>
        <v>10299.963630000011</v>
      </c>
      <c r="AZ14" s="39">
        <f t="shared" ref="AZ14:AZ19" si="22">SUM(AV14:AY14)</f>
        <v>-9770.0532899999653</v>
      </c>
      <c r="BA14" s="10">
        <f t="shared" si="21"/>
        <v>-25130.320489999969</v>
      </c>
      <c r="BE14" s="8"/>
    </row>
    <row r="15" spans="1:57">
      <c r="A15" s="11"/>
      <c r="B15" s="11" t="s">
        <v>421</v>
      </c>
      <c r="C15" s="13"/>
      <c r="D15" s="13"/>
      <c r="E15" s="13"/>
      <c r="F15" s="13"/>
      <c r="G15" s="41">
        <f t="shared" si="0"/>
        <v>0</v>
      </c>
      <c r="H15" s="13"/>
      <c r="I15" s="13"/>
      <c r="J15" s="13"/>
      <c r="K15" s="13"/>
      <c r="L15" s="41">
        <f t="shared" si="1"/>
        <v>0</v>
      </c>
      <c r="M15" s="13"/>
      <c r="N15" s="13"/>
      <c r="O15" s="13"/>
      <c r="P15" s="13"/>
      <c r="Q15" s="41">
        <f t="shared" si="2"/>
        <v>0</v>
      </c>
      <c r="R15" s="13"/>
      <c r="S15" s="13"/>
      <c r="T15" s="13"/>
      <c r="U15" s="13"/>
      <c r="V15" s="41">
        <f t="shared" si="3"/>
        <v>0</v>
      </c>
      <c r="W15" s="13"/>
      <c r="X15" s="13"/>
      <c r="Y15" s="13"/>
      <c r="Z15" s="13"/>
      <c r="AA15" s="41">
        <f t="shared" si="4"/>
        <v>0</v>
      </c>
      <c r="AB15" s="13"/>
      <c r="AC15" s="13"/>
      <c r="AD15" s="13"/>
      <c r="AE15" s="13"/>
      <c r="AF15" s="41">
        <f t="shared" si="5"/>
        <v>0</v>
      </c>
      <c r="AG15" s="13"/>
      <c r="AH15" s="13"/>
      <c r="AI15" s="13"/>
      <c r="AJ15" s="13">
        <v>-74181</v>
      </c>
      <c r="AK15" s="41">
        <f t="shared" si="6"/>
        <v>-74181</v>
      </c>
      <c r="AL15" s="8">
        <v>-7670.25</v>
      </c>
      <c r="AM15" s="8"/>
      <c r="AN15" s="8"/>
      <c r="AO15" s="13"/>
      <c r="AP15" s="41">
        <f>SUM(AL15:AO15)</f>
        <v>-7670.25</v>
      </c>
      <c r="AQ15" s="13"/>
      <c r="AR15" s="13">
        <f>'DRE CAIXA SEGURIDADE CONTABIL'!AR84</f>
        <v>-1731</v>
      </c>
      <c r="AS15" s="13">
        <f>'DRE CAIXA SEGURIDADE CONTABIL'!AS84</f>
        <v>-55</v>
      </c>
      <c r="AT15" s="13">
        <f>'DRE CAIXA SEGURIDADE CONTABIL'!AT84</f>
        <v>-179</v>
      </c>
      <c r="AU15" s="41">
        <f t="shared" ref="AU15:AU16" si="23">SUM(AQ15:AT15)</f>
        <v>-1965</v>
      </c>
      <c r="AV15" s="13">
        <f>'DRE CAIXA SEGURIDADE CONTABIL'!AV84</f>
        <v>177.13706999999999</v>
      </c>
      <c r="AW15" s="13">
        <f>'DRE CAIXA SEGURIDADE CONTABIL'!AW84</f>
        <v>-10.201050000000032</v>
      </c>
      <c r="AX15" s="13">
        <f>'DRE CAIXA SEGURIDADE CONTABIL'!AX84</f>
        <v>-185.70141000000015</v>
      </c>
      <c r="AY15" s="13">
        <f>'DRE CAIXA SEGURIDADE CONTABIL'!AY84</f>
        <v>-255</v>
      </c>
      <c r="AZ15" s="41">
        <f t="shared" si="22"/>
        <v>-273.7653900000002</v>
      </c>
      <c r="BA15" s="13">
        <f>'DRE CAIXA SEGURIDADE CONTABIL'!BA84</f>
        <v>-9</v>
      </c>
      <c r="BE15" s="8"/>
    </row>
    <row r="16" spans="1:57">
      <c r="A16" s="11"/>
      <c r="B16" s="11" t="s">
        <v>422</v>
      </c>
      <c r="C16" s="13"/>
      <c r="D16" s="13"/>
      <c r="E16" s="13"/>
      <c r="F16" s="13"/>
      <c r="G16" s="41">
        <f t="shared" si="0"/>
        <v>0</v>
      </c>
      <c r="H16" s="13"/>
      <c r="I16" s="13"/>
      <c r="J16" s="13"/>
      <c r="K16" s="13"/>
      <c r="L16" s="41">
        <f t="shared" si="1"/>
        <v>0</v>
      </c>
      <c r="M16" s="13"/>
      <c r="N16" s="13"/>
      <c r="O16" s="13"/>
      <c r="P16" s="13"/>
      <c r="Q16" s="41">
        <f t="shared" si="2"/>
        <v>0</v>
      </c>
      <c r="R16" s="13"/>
      <c r="S16" s="13"/>
      <c r="T16" s="13"/>
      <c r="U16" s="13"/>
      <c r="V16" s="41">
        <f t="shared" si="3"/>
        <v>0</v>
      </c>
      <c r="W16" s="13"/>
      <c r="X16" s="13"/>
      <c r="Y16" s="13"/>
      <c r="Z16" s="13"/>
      <c r="AA16" s="41">
        <f t="shared" si="4"/>
        <v>0</v>
      </c>
      <c r="AB16" s="13"/>
      <c r="AC16" s="13"/>
      <c r="AD16" s="13"/>
      <c r="AE16" s="13"/>
      <c r="AF16" s="41">
        <f t="shared" si="5"/>
        <v>0</v>
      </c>
      <c r="AG16" s="13"/>
      <c r="AH16" s="13"/>
      <c r="AI16" s="13"/>
      <c r="AJ16" s="13">
        <v>-26705</v>
      </c>
      <c r="AK16" s="41">
        <f t="shared" si="6"/>
        <v>-26705</v>
      </c>
      <c r="AL16" s="8">
        <v>-2761.29</v>
      </c>
      <c r="AM16" s="8"/>
      <c r="AN16" s="8"/>
      <c r="AO16" s="13"/>
      <c r="AP16" s="41">
        <f>SUM(AL16:AO16)</f>
        <v>-2761.29</v>
      </c>
      <c r="AQ16" s="8"/>
      <c r="AR16" s="8"/>
      <c r="AS16" s="8"/>
      <c r="AT16" s="13"/>
      <c r="AU16" s="41">
        <f t="shared" si="23"/>
        <v>0</v>
      </c>
      <c r="AV16" s="13"/>
      <c r="AW16" s="13"/>
      <c r="AX16" s="13"/>
      <c r="AY16" s="13"/>
      <c r="AZ16" s="41">
        <f t="shared" si="22"/>
        <v>0</v>
      </c>
      <c r="BA16" s="13"/>
      <c r="BE16" s="8"/>
    </row>
    <row r="17" spans="1:57">
      <c r="A17" s="11"/>
      <c r="B17" s="11" t="s">
        <v>423</v>
      </c>
      <c r="C17" s="13"/>
      <c r="D17" s="13"/>
      <c r="E17" s="13"/>
      <c r="F17" s="13"/>
      <c r="G17" s="41">
        <f t="shared" si="0"/>
        <v>0</v>
      </c>
      <c r="H17" s="13"/>
      <c r="I17" s="13"/>
      <c r="J17" s="13"/>
      <c r="K17" s="13"/>
      <c r="L17" s="41">
        <f t="shared" si="1"/>
        <v>0</v>
      </c>
      <c r="M17" s="13"/>
      <c r="N17" s="13"/>
      <c r="O17" s="13"/>
      <c r="P17" s="13"/>
      <c r="Q17" s="41">
        <f t="shared" si="2"/>
        <v>0</v>
      </c>
      <c r="R17" s="13"/>
      <c r="S17" s="13"/>
      <c r="T17" s="13"/>
      <c r="U17" s="13"/>
      <c r="V17" s="41">
        <f t="shared" si="3"/>
        <v>0</v>
      </c>
      <c r="W17" s="13"/>
      <c r="X17" s="13"/>
      <c r="Y17" s="13"/>
      <c r="Z17" s="13"/>
      <c r="AA17" s="41">
        <f t="shared" si="4"/>
        <v>0</v>
      </c>
      <c r="AB17" s="13"/>
      <c r="AC17" s="13"/>
      <c r="AD17" s="13"/>
      <c r="AE17" s="13"/>
      <c r="AF17" s="41">
        <f t="shared" si="5"/>
        <v>0</v>
      </c>
      <c r="AG17" s="13"/>
      <c r="AH17" s="13"/>
      <c r="AI17" s="13"/>
      <c r="AJ17" s="13"/>
      <c r="AK17" s="41">
        <f t="shared" si="6"/>
        <v>0</v>
      </c>
      <c r="AL17" s="13"/>
      <c r="AM17" s="13"/>
      <c r="AN17" s="13"/>
      <c r="AO17" s="13"/>
      <c r="AP17" s="41">
        <f t="shared" si="16"/>
        <v>0</v>
      </c>
      <c r="AQ17" s="13"/>
      <c r="AR17" s="13"/>
      <c r="AS17" s="13"/>
      <c r="AT17" s="13"/>
      <c r="AU17" s="41">
        <f t="shared" ref="AU17:AU19" si="24">SUM(AQ17:AT17)</f>
        <v>0</v>
      </c>
      <c r="AV17" s="13"/>
      <c r="AW17" s="13"/>
      <c r="AX17" s="13"/>
      <c r="AY17" s="13"/>
      <c r="AZ17" s="41">
        <f t="shared" si="22"/>
        <v>0</v>
      </c>
      <c r="BA17" s="13"/>
      <c r="BE17" s="8"/>
    </row>
    <row r="18" spans="1:57">
      <c r="A18" s="11"/>
      <c r="B18" s="11" t="s">
        <v>424</v>
      </c>
      <c r="C18" s="13"/>
      <c r="D18" s="13"/>
      <c r="E18" s="13"/>
      <c r="F18" s="13"/>
      <c r="G18" s="41">
        <f t="shared" si="0"/>
        <v>0</v>
      </c>
      <c r="H18" s="13"/>
      <c r="I18" s="13"/>
      <c r="J18" s="13"/>
      <c r="K18" s="13"/>
      <c r="L18" s="41">
        <f t="shared" si="1"/>
        <v>0</v>
      </c>
      <c r="M18" s="13"/>
      <c r="N18" s="13"/>
      <c r="O18" s="13"/>
      <c r="P18" s="13"/>
      <c r="Q18" s="41">
        <f t="shared" si="2"/>
        <v>0</v>
      </c>
      <c r="R18" s="13"/>
      <c r="S18" s="13"/>
      <c r="T18" s="13"/>
      <c r="U18" s="13"/>
      <c r="V18" s="41">
        <f t="shared" si="3"/>
        <v>0</v>
      </c>
      <c r="W18" s="13"/>
      <c r="X18" s="13"/>
      <c r="Y18" s="13"/>
      <c r="Z18" s="13"/>
      <c r="AA18" s="41">
        <f t="shared" si="4"/>
        <v>0</v>
      </c>
      <c r="AB18" s="13"/>
      <c r="AC18" s="13"/>
      <c r="AD18" s="13"/>
      <c r="AE18" s="13"/>
      <c r="AF18" s="41">
        <f t="shared" si="5"/>
        <v>0</v>
      </c>
      <c r="AG18" s="13"/>
      <c r="AH18" s="13"/>
      <c r="AI18" s="13"/>
      <c r="AJ18" s="13"/>
      <c r="AK18" s="41">
        <f t="shared" si="6"/>
        <v>0</v>
      </c>
      <c r="AL18" s="13"/>
      <c r="AM18" s="13"/>
      <c r="AN18" s="13"/>
      <c r="AO18" s="13"/>
      <c r="AP18" s="41">
        <f t="shared" si="16"/>
        <v>0</v>
      </c>
      <c r="AQ18" s="13"/>
      <c r="AR18" s="13"/>
      <c r="AS18" s="13"/>
      <c r="AT18" s="13"/>
      <c r="AU18" s="41">
        <f t="shared" si="24"/>
        <v>0</v>
      </c>
      <c r="AV18" s="13"/>
      <c r="AW18" s="13"/>
      <c r="AX18" s="13"/>
      <c r="AY18" s="13"/>
      <c r="AZ18" s="41">
        <f t="shared" si="22"/>
        <v>0</v>
      </c>
      <c r="BA18" s="13"/>
      <c r="BE18" s="8"/>
    </row>
    <row r="19" spans="1:57" s="2" customFormat="1">
      <c r="A19" s="15"/>
      <c r="B19" s="15" t="s">
        <v>450</v>
      </c>
      <c r="C19" s="16">
        <v>-3635</v>
      </c>
      <c r="D19" s="16">
        <v>-1450</v>
      </c>
      <c r="E19" s="16">
        <v>-473.7157999999954</v>
      </c>
      <c r="F19" s="16">
        <v>-2350.2842000000046</v>
      </c>
      <c r="G19" s="45">
        <f t="shared" si="0"/>
        <v>-7909</v>
      </c>
      <c r="H19" s="16">
        <v>-2452.4053400000003</v>
      </c>
      <c r="I19" s="16">
        <v>-475.01014000000214</v>
      </c>
      <c r="J19" s="16">
        <v>-2325.6518299999934</v>
      </c>
      <c r="K19" s="16">
        <v>-9188.7584800000022</v>
      </c>
      <c r="L19" s="45">
        <f t="shared" si="1"/>
        <v>-14441.825789999999</v>
      </c>
      <c r="M19" s="16">
        <v>-5435.1264599999986</v>
      </c>
      <c r="N19" s="16">
        <v>-4311.4490699999969</v>
      </c>
      <c r="O19" s="16">
        <v>-8327.3741000000118</v>
      </c>
      <c r="P19" s="16">
        <v>-6222.7684899999877</v>
      </c>
      <c r="Q19" s="45">
        <f t="shared" si="2"/>
        <v>-24296.718119999994</v>
      </c>
      <c r="R19" s="16">
        <v>-7261</v>
      </c>
      <c r="S19" s="16">
        <v>933</v>
      </c>
      <c r="T19" s="16">
        <v>-842</v>
      </c>
      <c r="U19" s="16">
        <v>-7719.1776299999938</v>
      </c>
      <c r="V19" s="45">
        <f t="shared" si="3"/>
        <v>-14889.177629999995</v>
      </c>
      <c r="W19" s="16">
        <v>-13433</v>
      </c>
      <c r="X19" s="16">
        <v>-6982</v>
      </c>
      <c r="Y19" s="16">
        <v>-9231</v>
      </c>
      <c r="Z19" s="16">
        <v>-8723</v>
      </c>
      <c r="AA19" s="45">
        <f t="shared" si="4"/>
        <v>-38369</v>
      </c>
      <c r="AB19" s="16">
        <v>-13419.83628</v>
      </c>
      <c r="AC19" s="16">
        <v>-15402.547399999999</v>
      </c>
      <c r="AD19" s="16">
        <v>-6215.5452200000018</v>
      </c>
      <c r="AE19" s="16">
        <v>-12912.999320000001</v>
      </c>
      <c r="AF19" s="45">
        <f t="shared" si="5"/>
        <v>-47950.928220000002</v>
      </c>
      <c r="AG19" s="16">
        <f>AG14+AG15+AG16</f>
        <v>-13653</v>
      </c>
      <c r="AH19" s="16">
        <f>AH14+AH15+AH16</f>
        <v>-10737</v>
      </c>
      <c r="AI19" s="16">
        <f>AI14+AI15+AI16</f>
        <v>-10763</v>
      </c>
      <c r="AJ19" s="16">
        <f>AJ14+AJ15+AJ16</f>
        <v>193591</v>
      </c>
      <c r="AK19" s="45">
        <f t="shared" si="6"/>
        <v>158438</v>
      </c>
      <c r="AL19" s="16">
        <f>AL14+AL15+AL16</f>
        <v>465.46000000000004</v>
      </c>
      <c r="AM19" s="16">
        <f>AM14+AM15+AM16</f>
        <v>-9490</v>
      </c>
      <c r="AN19" s="16">
        <f>AN14+AN15+AN16</f>
        <v>-13148</v>
      </c>
      <c r="AO19" s="16">
        <f>AO14+AO15+AO16</f>
        <v>-4214</v>
      </c>
      <c r="AP19" s="45">
        <f t="shared" si="16"/>
        <v>-26386.54</v>
      </c>
      <c r="AQ19" s="16">
        <f>AQ14+AQ15+AQ16</f>
        <v>-54241.393599999996</v>
      </c>
      <c r="AR19" s="16">
        <f>AR14+AR15+AR16</f>
        <v>-21575</v>
      </c>
      <c r="AS19" s="16">
        <f>AS14+AS15+AS16</f>
        <v>-5955.5493500000011</v>
      </c>
      <c r="AT19" s="16">
        <f>AT14+AT15+AT16</f>
        <v>398.21747000000687</v>
      </c>
      <c r="AU19" s="45">
        <f t="shared" si="24"/>
        <v>-81373.725479999994</v>
      </c>
      <c r="AV19" s="16">
        <f>AV14+AV15+AV16</f>
        <v>-15939.652319999996</v>
      </c>
      <c r="AW19" s="16">
        <f t="shared" ref="AW19:AX19" si="25">AW14+AW15+AW16</f>
        <v>-1698.6592999999903</v>
      </c>
      <c r="AX19" s="16">
        <f t="shared" si="25"/>
        <v>-2450.4706899999901</v>
      </c>
      <c r="AY19" s="16">
        <f t="shared" ref="AY19" si="26">AY14+AY15+AY16</f>
        <v>10044.963630000011</v>
      </c>
      <c r="AZ19" s="45">
        <f t="shared" si="22"/>
        <v>-10043.818679999966</v>
      </c>
      <c r="BA19" s="16">
        <f>BA14+BA15+BA16</f>
        <v>-25139.320489999969</v>
      </c>
      <c r="BE19" s="8"/>
    </row>
    <row r="20" spans="1:57" s="2" customFormat="1" ht="15.75" thickBot="1">
      <c r="A20" s="17"/>
      <c r="B20" s="17" t="s">
        <v>451</v>
      </c>
      <c r="C20" s="18">
        <v>1</v>
      </c>
      <c r="D20" s="18">
        <v>1</v>
      </c>
      <c r="E20" s="18">
        <v>1</v>
      </c>
      <c r="F20" s="18">
        <v>1</v>
      </c>
      <c r="G20" s="48">
        <v>1</v>
      </c>
      <c r="H20" s="18">
        <v>1</v>
      </c>
      <c r="I20" s="18">
        <v>1</v>
      </c>
      <c r="J20" s="18">
        <v>1</v>
      </c>
      <c r="K20" s="18">
        <v>1</v>
      </c>
      <c r="L20" s="48">
        <v>1</v>
      </c>
      <c r="M20" s="18">
        <v>1</v>
      </c>
      <c r="N20" s="18">
        <v>1</v>
      </c>
      <c r="O20" s="18">
        <v>1</v>
      </c>
      <c r="P20" s="18">
        <v>1</v>
      </c>
      <c r="Q20" s="48">
        <v>1</v>
      </c>
      <c r="R20" s="18">
        <v>1</v>
      </c>
      <c r="S20" s="18">
        <v>1</v>
      </c>
      <c r="T20" s="18">
        <v>1</v>
      </c>
      <c r="U20" s="18">
        <v>1</v>
      </c>
      <c r="V20" s="48">
        <v>1</v>
      </c>
      <c r="W20" s="18">
        <v>1</v>
      </c>
      <c r="X20" s="18">
        <v>1</v>
      </c>
      <c r="Y20" s="18">
        <v>1</v>
      </c>
      <c r="Z20" s="18">
        <v>1</v>
      </c>
      <c r="AA20" s="48">
        <v>1</v>
      </c>
      <c r="AB20" s="18">
        <v>1</v>
      </c>
      <c r="AC20" s="18">
        <v>1</v>
      </c>
      <c r="AD20" s="18">
        <v>1</v>
      </c>
      <c r="AE20" s="18">
        <v>1</v>
      </c>
      <c r="AF20" s="48">
        <v>1</v>
      </c>
      <c r="AG20" s="18">
        <v>1</v>
      </c>
      <c r="AH20" s="18">
        <v>1</v>
      </c>
      <c r="AI20" s="18">
        <v>1</v>
      </c>
      <c r="AJ20" s="18">
        <v>1</v>
      </c>
      <c r="AK20" s="48">
        <v>1</v>
      </c>
      <c r="AL20" s="18">
        <v>1</v>
      </c>
      <c r="AM20" s="18">
        <v>1</v>
      </c>
      <c r="AN20" s="18">
        <v>1</v>
      </c>
      <c r="AO20" s="18">
        <v>1</v>
      </c>
      <c r="AP20" s="48">
        <v>1</v>
      </c>
      <c r="AQ20" s="18">
        <v>1</v>
      </c>
      <c r="AR20" s="18">
        <v>1</v>
      </c>
      <c r="AS20" s="18">
        <v>1</v>
      </c>
      <c r="AT20" s="18">
        <v>1</v>
      </c>
      <c r="AU20" s="48">
        <v>1</v>
      </c>
      <c r="AV20" s="18">
        <v>1</v>
      </c>
      <c r="AW20" s="18">
        <v>1</v>
      </c>
      <c r="AX20" s="18">
        <v>1</v>
      </c>
      <c r="AY20" s="18">
        <v>1</v>
      </c>
      <c r="AZ20" s="48">
        <v>1</v>
      </c>
      <c r="BA20" s="18">
        <v>1</v>
      </c>
    </row>
    <row r="21" spans="1:57" ht="15.75" thickBot="1"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</row>
    <row r="22" spans="1:57" s="2" customFormat="1" ht="24.4" customHeight="1">
      <c r="A22" s="625"/>
      <c r="B22" s="625" t="s">
        <v>452</v>
      </c>
      <c r="C22" s="626" t="s">
        <v>224</v>
      </c>
      <c r="D22" s="626" t="s">
        <v>225</v>
      </c>
      <c r="E22" s="626" t="s">
        <v>226</v>
      </c>
      <c r="F22" s="626" t="s">
        <v>227</v>
      </c>
      <c r="G22" s="652">
        <v>2016</v>
      </c>
      <c r="H22" s="626" t="s">
        <v>228</v>
      </c>
      <c r="I22" s="626" t="s">
        <v>229</v>
      </c>
      <c r="J22" s="626" t="s">
        <v>230</v>
      </c>
      <c r="K22" s="626" t="s">
        <v>231</v>
      </c>
      <c r="L22" s="652">
        <v>2017</v>
      </c>
      <c r="M22" s="626" t="s">
        <v>232</v>
      </c>
      <c r="N22" s="626" t="s">
        <v>233</v>
      </c>
      <c r="O22" s="626" t="s">
        <v>234</v>
      </c>
      <c r="P22" s="626" t="s">
        <v>235</v>
      </c>
      <c r="Q22" s="652">
        <v>2018</v>
      </c>
      <c r="R22" s="626" t="s">
        <v>236</v>
      </c>
      <c r="S22" s="626" t="s">
        <v>237</v>
      </c>
      <c r="T22" s="626" t="s">
        <v>238</v>
      </c>
      <c r="U22" s="626" t="s">
        <v>239</v>
      </c>
      <c r="V22" s="652">
        <v>2019</v>
      </c>
      <c r="W22" s="626" t="s">
        <v>240</v>
      </c>
      <c r="X22" s="626" t="s">
        <v>241</v>
      </c>
      <c r="Y22" s="626" t="s">
        <v>242</v>
      </c>
      <c r="Z22" s="626" t="s">
        <v>243</v>
      </c>
      <c r="AA22" s="652">
        <v>2020</v>
      </c>
      <c r="AB22" s="626" t="s">
        <v>244</v>
      </c>
      <c r="AC22" s="626" t="s">
        <v>245</v>
      </c>
      <c r="AD22" s="626" t="s">
        <v>246</v>
      </c>
      <c r="AE22" s="626" t="s">
        <v>247</v>
      </c>
      <c r="AF22" s="652">
        <v>2021</v>
      </c>
      <c r="AG22" s="626" t="s">
        <v>248</v>
      </c>
      <c r="AH22" s="626" t="s">
        <v>249</v>
      </c>
      <c r="AI22" s="626" t="s">
        <v>250</v>
      </c>
      <c r="AJ22" s="626" t="s">
        <v>215</v>
      </c>
      <c r="AK22" s="652">
        <v>2022</v>
      </c>
      <c r="AL22" s="626" t="s">
        <v>252</v>
      </c>
      <c r="AM22" s="626" t="s">
        <v>253</v>
      </c>
      <c r="AN22" s="626" t="s">
        <v>254</v>
      </c>
      <c r="AO22" s="626" t="s">
        <v>219</v>
      </c>
      <c r="AP22" s="652">
        <v>2023</v>
      </c>
      <c r="AQ22" s="626" t="s">
        <v>223</v>
      </c>
      <c r="AR22" s="626" t="s">
        <v>256</v>
      </c>
      <c r="AS22" s="626" t="s">
        <v>357</v>
      </c>
      <c r="AT22" s="626" t="s">
        <v>358</v>
      </c>
      <c r="AU22" s="652">
        <v>2024</v>
      </c>
      <c r="AV22" s="626" t="s">
        <v>359</v>
      </c>
      <c r="AW22" s="626" t="s">
        <v>1115</v>
      </c>
      <c r="AX22" s="626" t="s">
        <v>1116</v>
      </c>
      <c r="AY22" s="626" t="s">
        <v>1117</v>
      </c>
      <c r="AZ22" s="653" t="s">
        <v>1118</v>
      </c>
      <c r="BA22" s="645" t="s">
        <v>1124</v>
      </c>
    </row>
    <row r="23" spans="1:57" s="2" customFormat="1">
      <c r="A23" s="9"/>
      <c r="B23" s="9" t="s">
        <v>412</v>
      </c>
      <c r="C23" s="10">
        <v>0</v>
      </c>
      <c r="D23" s="10">
        <v>0</v>
      </c>
      <c r="E23" s="10">
        <v>0</v>
      </c>
      <c r="F23" s="10">
        <v>0</v>
      </c>
      <c r="G23" s="39"/>
      <c r="H23" s="10"/>
      <c r="I23" s="10"/>
      <c r="J23" s="10"/>
      <c r="K23" s="10"/>
      <c r="L23" s="39"/>
      <c r="M23" s="10"/>
      <c r="N23" s="10"/>
      <c r="O23" s="10"/>
      <c r="P23" s="10"/>
      <c r="Q23" s="39"/>
      <c r="R23" s="10"/>
      <c r="S23" s="10"/>
      <c r="T23" s="10"/>
      <c r="U23" s="10"/>
      <c r="V23" s="39"/>
      <c r="W23" s="10"/>
      <c r="X23" s="10"/>
      <c r="Y23" s="10"/>
      <c r="Z23" s="10"/>
      <c r="AA23" s="39"/>
      <c r="AB23" s="10"/>
      <c r="AC23" s="10"/>
      <c r="AD23" s="10"/>
      <c r="AE23" s="10"/>
      <c r="AF23" s="39"/>
      <c r="AG23" s="10"/>
      <c r="AH23" s="10"/>
      <c r="AI23" s="10"/>
      <c r="AJ23" s="10"/>
      <c r="AK23" s="39"/>
      <c r="AL23" s="10"/>
      <c r="AM23" s="10"/>
      <c r="AN23" s="10"/>
      <c r="AO23" s="10"/>
      <c r="AP23" s="39"/>
      <c r="AQ23" s="10"/>
      <c r="AR23" s="76"/>
      <c r="AS23" s="10"/>
      <c r="AT23" s="10"/>
      <c r="AU23" s="39">
        <f t="shared" ref="AU23:AU36" si="27">SUM(AQ23:AT23)</f>
        <v>0</v>
      </c>
      <c r="AV23" s="10"/>
      <c r="AW23" s="10"/>
      <c r="AX23" s="10"/>
      <c r="AY23" s="10"/>
      <c r="AZ23" s="39">
        <f t="shared" ref="AZ23:AZ35" si="28">SUM(AV23:AY23)</f>
        <v>0</v>
      </c>
      <c r="BA23" s="10"/>
    </row>
    <row r="24" spans="1:57">
      <c r="A24" s="11"/>
      <c r="B24" s="11" t="s">
        <v>413</v>
      </c>
      <c r="C24" s="1">
        <v>0</v>
      </c>
      <c r="D24" s="1">
        <v>0</v>
      </c>
      <c r="E24" s="1">
        <v>0</v>
      </c>
      <c r="F24" s="1">
        <v>0</v>
      </c>
      <c r="G24" s="40">
        <f t="shared" ref="G24:G31" si="29">SUM(C24:F24)</f>
        <v>0</v>
      </c>
      <c r="H24" s="1">
        <v>0</v>
      </c>
      <c r="I24" s="1">
        <v>0</v>
      </c>
      <c r="J24" s="1">
        <v>0</v>
      </c>
      <c r="K24" s="1">
        <v>0</v>
      </c>
      <c r="L24" s="40">
        <f t="shared" ref="L24:L31" si="30">SUM(H24:K24)</f>
        <v>0</v>
      </c>
      <c r="M24" s="1">
        <v>0</v>
      </c>
      <c r="N24" s="1">
        <v>0</v>
      </c>
      <c r="O24" s="1">
        <v>0</v>
      </c>
      <c r="P24" s="1">
        <v>0</v>
      </c>
      <c r="Q24" s="40">
        <f t="shared" ref="Q24:Q31" si="31">SUM(M24:P24)</f>
        <v>0</v>
      </c>
      <c r="R24" s="12">
        <v>0</v>
      </c>
      <c r="S24" s="12">
        <v>0</v>
      </c>
      <c r="T24" s="12">
        <v>0</v>
      </c>
      <c r="U24" s="12">
        <v>0</v>
      </c>
      <c r="V24" s="40">
        <f t="shared" ref="V24:V31" si="32">SUM(R24:U24)</f>
        <v>0</v>
      </c>
      <c r="W24" s="12">
        <v>0</v>
      </c>
      <c r="X24" s="12">
        <v>0</v>
      </c>
      <c r="Y24" s="12">
        <v>0</v>
      </c>
      <c r="Z24" s="12">
        <v>0</v>
      </c>
      <c r="AA24" s="40">
        <f t="shared" ref="AA24:AA31" si="33">SUM(W24:Z24)</f>
        <v>0</v>
      </c>
      <c r="AB24" s="12">
        <v>0</v>
      </c>
      <c r="AC24" s="13">
        <v>0</v>
      </c>
      <c r="AD24" s="13">
        <v>-1</v>
      </c>
      <c r="AE24" s="13">
        <v>0</v>
      </c>
      <c r="AF24" s="40">
        <f t="shared" ref="AF24:AF31" si="34">SUM(AB24:AE24)</f>
        <v>-1</v>
      </c>
      <c r="AG24" s="12">
        <v>1</v>
      </c>
      <c r="AH24" s="12">
        <v>0</v>
      </c>
      <c r="AI24" s="12">
        <v>0</v>
      </c>
      <c r="AJ24" s="13">
        <v>1</v>
      </c>
      <c r="AK24" s="40">
        <f t="shared" ref="AK24:AK31" si="35">SUM(AG24:AJ24)</f>
        <v>2</v>
      </c>
      <c r="AL24" s="12">
        <v>1</v>
      </c>
      <c r="AM24" s="12">
        <v>1</v>
      </c>
      <c r="AN24" s="12">
        <v>0</v>
      </c>
      <c r="AO24" s="12">
        <v>2</v>
      </c>
      <c r="AP24" s="40">
        <f t="shared" ref="AP24:AP36" si="36">SUM(AL24:AO24)</f>
        <v>4</v>
      </c>
      <c r="AQ24" s="12">
        <v>0</v>
      </c>
      <c r="AR24" s="12">
        <v>0</v>
      </c>
      <c r="AS24" s="12">
        <v>-1</v>
      </c>
      <c r="AT24" s="12">
        <v>0</v>
      </c>
      <c r="AU24" s="40">
        <f t="shared" si="27"/>
        <v>-1</v>
      </c>
      <c r="AV24" s="12">
        <v>0</v>
      </c>
      <c r="AW24" s="12">
        <v>0</v>
      </c>
      <c r="AX24" s="12">
        <v>-1</v>
      </c>
      <c r="AY24" s="12">
        <v>-3</v>
      </c>
      <c r="AZ24" s="40">
        <f t="shared" si="28"/>
        <v>-4</v>
      </c>
      <c r="BA24" s="8">
        <v>-3</v>
      </c>
      <c r="BE24" s="8"/>
    </row>
    <row r="25" spans="1:57">
      <c r="A25" s="11"/>
      <c r="B25" s="11" t="s">
        <v>414</v>
      </c>
      <c r="C25" s="13">
        <v>0</v>
      </c>
      <c r="D25" s="13">
        <v>0</v>
      </c>
      <c r="E25" s="13">
        <v>0</v>
      </c>
      <c r="F25" s="13">
        <v>0</v>
      </c>
      <c r="G25" s="41">
        <f t="shared" si="29"/>
        <v>0</v>
      </c>
      <c r="H25" s="13">
        <v>0</v>
      </c>
      <c r="I25" s="13">
        <v>0</v>
      </c>
      <c r="J25" s="13">
        <v>0</v>
      </c>
      <c r="K25" s="13">
        <v>-2367</v>
      </c>
      <c r="L25" s="41">
        <f t="shared" si="30"/>
        <v>-2367</v>
      </c>
      <c r="M25" s="13">
        <v>-6</v>
      </c>
      <c r="N25" s="13">
        <v>-1</v>
      </c>
      <c r="O25" s="13">
        <v>-34</v>
      </c>
      <c r="P25" s="13">
        <v>-2109</v>
      </c>
      <c r="Q25" s="41">
        <f t="shared" si="31"/>
        <v>-2150</v>
      </c>
      <c r="R25" s="13">
        <v>-44</v>
      </c>
      <c r="S25" s="13">
        <v>-1030</v>
      </c>
      <c r="T25" s="13">
        <v>-466</v>
      </c>
      <c r="U25" s="13">
        <v>-370</v>
      </c>
      <c r="V25" s="41">
        <f t="shared" si="32"/>
        <v>-1910</v>
      </c>
      <c r="W25" s="1">
        <v>-390</v>
      </c>
      <c r="X25" s="1">
        <v>-356</v>
      </c>
      <c r="Y25" s="1">
        <v>-320</v>
      </c>
      <c r="Z25" s="1">
        <v>-269</v>
      </c>
      <c r="AA25" s="41">
        <f t="shared" si="33"/>
        <v>-1335</v>
      </c>
      <c r="AB25" s="13">
        <v>-281</v>
      </c>
      <c r="AC25" s="13">
        <v>-301</v>
      </c>
      <c r="AD25" s="13">
        <v>-316</v>
      </c>
      <c r="AE25" s="13">
        <v>-347</v>
      </c>
      <c r="AF25" s="41">
        <f t="shared" si="34"/>
        <v>-1245</v>
      </c>
      <c r="AG25" s="13">
        <v>-442</v>
      </c>
      <c r="AH25" s="13">
        <v>-518</v>
      </c>
      <c r="AI25" s="13">
        <v>-563</v>
      </c>
      <c r="AJ25" s="13">
        <v>-442</v>
      </c>
      <c r="AK25" s="41">
        <f t="shared" si="35"/>
        <v>-1965</v>
      </c>
      <c r="AL25" s="13">
        <v>-666</v>
      </c>
      <c r="AM25" s="13">
        <v>-685</v>
      </c>
      <c r="AN25" s="13">
        <v>-542</v>
      </c>
      <c r="AO25" s="13">
        <v>-557</v>
      </c>
      <c r="AP25" s="41">
        <f t="shared" si="36"/>
        <v>-2450</v>
      </c>
      <c r="AQ25" s="13">
        <v>-669</v>
      </c>
      <c r="AR25" s="13">
        <v>-576</v>
      </c>
      <c r="AS25" s="12">
        <v>-597</v>
      </c>
      <c r="AT25" s="1">
        <v>-572</v>
      </c>
      <c r="AU25" s="41">
        <f t="shared" si="27"/>
        <v>-2414</v>
      </c>
      <c r="AV25" s="1">
        <v>-785</v>
      </c>
      <c r="AW25" s="1">
        <v>-749</v>
      </c>
      <c r="AX25" s="1">
        <v>-631</v>
      </c>
      <c r="AY25" s="1">
        <v>-639</v>
      </c>
      <c r="AZ25" s="41">
        <f t="shared" si="28"/>
        <v>-2804</v>
      </c>
      <c r="BA25" s="13">
        <v>-881</v>
      </c>
      <c r="BE25" s="8"/>
    </row>
    <row r="26" spans="1:57">
      <c r="A26" s="11"/>
      <c r="B26" s="11" t="s">
        <v>415</v>
      </c>
      <c r="C26" s="13">
        <v>0</v>
      </c>
      <c r="D26" s="13">
        <v>0</v>
      </c>
      <c r="E26" s="13">
        <v>0</v>
      </c>
      <c r="F26" s="13">
        <v>0</v>
      </c>
      <c r="G26" s="41">
        <f t="shared" si="29"/>
        <v>0</v>
      </c>
      <c r="H26" s="13">
        <v>0</v>
      </c>
      <c r="I26" s="13">
        <v>0</v>
      </c>
      <c r="J26" s="13">
        <v>0</v>
      </c>
      <c r="K26" s="13">
        <v>0</v>
      </c>
      <c r="L26" s="41">
        <f t="shared" si="30"/>
        <v>0</v>
      </c>
      <c r="M26" s="13">
        <v>13</v>
      </c>
      <c r="N26" s="13">
        <v>7</v>
      </c>
      <c r="O26" s="13">
        <v>733</v>
      </c>
      <c r="P26" s="13">
        <v>724</v>
      </c>
      <c r="Q26" s="41">
        <f t="shared" si="31"/>
        <v>1477</v>
      </c>
      <c r="R26" s="13">
        <v>940</v>
      </c>
      <c r="S26" s="13">
        <v>1194</v>
      </c>
      <c r="T26" s="13">
        <v>1023</v>
      </c>
      <c r="U26" s="13">
        <v>1168</v>
      </c>
      <c r="V26" s="41">
        <f t="shared" si="32"/>
        <v>4325</v>
      </c>
      <c r="W26" s="1">
        <v>1270</v>
      </c>
      <c r="X26" s="1">
        <v>1087</v>
      </c>
      <c r="Y26" s="1">
        <v>708</v>
      </c>
      <c r="Z26" s="1">
        <v>442</v>
      </c>
      <c r="AA26" s="41">
        <f t="shared" si="33"/>
        <v>3507</v>
      </c>
      <c r="AB26" s="13">
        <v>42</v>
      </c>
      <c r="AC26" s="13">
        <v>140</v>
      </c>
      <c r="AD26" s="13">
        <v>167</v>
      </c>
      <c r="AE26" s="13">
        <v>344</v>
      </c>
      <c r="AF26" s="41">
        <f t="shared" si="34"/>
        <v>693</v>
      </c>
      <c r="AG26" s="13">
        <v>1276</v>
      </c>
      <c r="AH26" s="13">
        <v>1927</v>
      </c>
      <c r="AI26" s="13">
        <v>2627</v>
      </c>
      <c r="AJ26" s="13">
        <v>1276</v>
      </c>
      <c r="AK26" s="41">
        <f t="shared" si="35"/>
        <v>7106</v>
      </c>
      <c r="AL26" s="13">
        <v>2205</v>
      </c>
      <c r="AM26" s="13">
        <v>2970</v>
      </c>
      <c r="AN26" s="13">
        <v>340</v>
      </c>
      <c r="AO26" s="13">
        <v>2268</v>
      </c>
      <c r="AP26" s="41">
        <f t="shared" si="36"/>
        <v>7783</v>
      </c>
      <c r="AQ26" s="13">
        <v>2304</v>
      </c>
      <c r="AR26" s="13">
        <v>38</v>
      </c>
      <c r="AS26" s="12">
        <v>81</v>
      </c>
      <c r="AT26" s="1">
        <v>135</v>
      </c>
      <c r="AU26" s="41">
        <f t="shared" si="27"/>
        <v>2558</v>
      </c>
      <c r="AV26" s="1">
        <v>381</v>
      </c>
      <c r="AW26" s="1">
        <v>90</v>
      </c>
      <c r="AX26" s="1">
        <v>29</v>
      </c>
      <c r="AY26" s="1">
        <v>29</v>
      </c>
      <c r="AZ26" s="41">
        <f t="shared" si="28"/>
        <v>529</v>
      </c>
      <c r="BA26" s="13">
        <v>43</v>
      </c>
      <c r="BE26" s="8"/>
    </row>
    <row r="27" spans="1:57">
      <c r="A27" s="11"/>
      <c r="B27" s="11" t="s">
        <v>416</v>
      </c>
      <c r="C27" s="8">
        <v>0</v>
      </c>
      <c r="D27" s="8">
        <v>0</v>
      </c>
      <c r="E27" s="8">
        <v>0</v>
      </c>
      <c r="F27" s="8">
        <v>0</v>
      </c>
      <c r="G27" s="40">
        <f t="shared" si="29"/>
        <v>0</v>
      </c>
      <c r="H27" s="8">
        <v>0</v>
      </c>
      <c r="I27" s="8">
        <v>0</v>
      </c>
      <c r="J27" s="8">
        <v>0</v>
      </c>
      <c r="K27" s="8">
        <v>0</v>
      </c>
      <c r="L27" s="40">
        <f t="shared" si="30"/>
        <v>0</v>
      </c>
      <c r="M27" s="8">
        <v>0</v>
      </c>
      <c r="N27" s="8">
        <v>0</v>
      </c>
      <c r="O27" s="8">
        <v>0</v>
      </c>
      <c r="P27" s="8">
        <v>0</v>
      </c>
      <c r="Q27" s="40">
        <f t="shared" si="31"/>
        <v>0</v>
      </c>
      <c r="R27" s="12">
        <v>0</v>
      </c>
      <c r="S27" s="12">
        <v>0</v>
      </c>
      <c r="T27" s="12">
        <v>0</v>
      </c>
      <c r="U27" s="12">
        <v>0</v>
      </c>
      <c r="V27" s="40">
        <f t="shared" si="32"/>
        <v>0</v>
      </c>
      <c r="W27" s="12">
        <v>0</v>
      </c>
      <c r="X27" s="12">
        <v>0</v>
      </c>
      <c r="Y27" s="12">
        <v>0</v>
      </c>
      <c r="Z27" s="12">
        <v>0</v>
      </c>
      <c r="AA27" s="40">
        <f t="shared" si="33"/>
        <v>0</v>
      </c>
      <c r="AB27" s="12">
        <v>0</v>
      </c>
      <c r="AC27" s="13">
        <v>0</v>
      </c>
      <c r="AD27" s="13">
        <v>0</v>
      </c>
      <c r="AE27" s="13">
        <v>0</v>
      </c>
      <c r="AF27" s="40">
        <f t="shared" si="34"/>
        <v>0</v>
      </c>
      <c r="AG27" s="12">
        <v>0</v>
      </c>
      <c r="AH27" s="12">
        <v>0</v>
      </c>
      <c r="AI27" s="12">
        <v>0</v>
      </c>
      <c r="AJ27" s="13">
        <v>0</v>
      </c>
      <c r="AK27" s="40">
        <f t="shared" si="35"/>
        <v>0</v>
      </c>
      <c r="AL27" s="12">
        <v>0</v>
      </c>
      <c r="AM27" s="12">
        <v>0</v>
      </c>
      <c r="AN27" s="12">
        <v>0</v>
      </c>
      <c r="AO27" s="12">
        <v>0</v>
      </c>
      <c r="AP27" s="40">
        <f t="shared" si="36"/>
        <v>0</v>
      </c>
      <c r="AQ27" s="12">
        <v>0</v>
      </c>
      <c r="AR27" s="12">
        <v>0</v>
      </c>
      <c r="AS27" s="12">
        <v>0</v>
      </c>
      <c r="AT27" s="12">
        <v>0</v>
      </c>
      <c r="AU27" s="40">
        <f t="shared" si="27"/>
        <v>0</v>
      </c>
      <c r="AV27" s="12">
        <v>0</v>
      </c>
      <c r="AW27" s="12">
        <v>0</v>
      </c>
      <c r="AX27" s="12">
        <v>0</v>
      </c>
      <c r="AY27" s="12">
        <v>0</v>
      </c>
      <c r="AZ27" s="40">
        <f t="shared" si="28"/>
        <v>0</v>
      </c>
      <c r="BA27" s="12">
        <v>0</v>
      </c>
      <c r="BE27" s="8"/>
    </row>
    <row r="28" spans="1:57">
      <c r="A28" s="11"/>
      <c r="B28" s="11" t="s">
        <v>417</v>
      </c>
      <c r="C28" s="13">
        <v>0</v>
      </c>
      <c r="D28" s="13">
        <v>0</v>
      </c>
      <c r="E28" s="13">
        <v>0</v>
      </c>
      <c r="F28" s="13">
        <v>0</v>
      </c>
      <c r="G28" s="41">
        <f t="shared" si="29"/>
        <v>0</v>
      </c>
      <c r="H28" s="13">
        <v>0</v>
      </c>
      <c r="I28" s="13">
        <v>0</v>
      </c>
      <c r="J28" s="13">
        <v>0</v>
      </c>
      <c r="K28" s="13">
        <v>0</v>
      </c>
      <c r="L28" s="41">
        <f t="shared" si="30"/>
        <v>0</v>
      </c>
      <c r="M28" s="13">
        <v>0</v>
      </c>
      <c r="N28" s="13">
        <v>0</v>
      </c>
      <c r="O28" s="13">
        <v>0</v>
      </c>
      <c r="P28" s="13">
        <v>0</v>
      </c>
      <c r="Q28" s="41">
        <f t="shared" si="31"/>
        <v>0</v>
      </c>
      <c r="R28" s="13">
        <v>0</v>
      </c>
      <c r="S28" s="13">
        <v>0</v>
      </c>
      <c r="T28" s="13">
        <v>0</v>
      </c>
      <c r="U28" s="13">
        <v>0</v>
      </c>
      <c r="V28" s="41">
        <f t="shared" si="32"/>
        <v>0</v>
      </c>
      <c r="W28" s="1">
        <v>0</v>
      </c>
      <c r="X28" s="1">
        <v>0</v>
      </c>
      <c r="Y28" s="1">
        <v>0</v>
      </c>
      <c r="Z28" s="1">
        <v>0</v>
      </c>
      <c r="AA28" s="41">
        <f t="shared" si="33"/>
        <v>0</v>
      </c>
      <c r="AB28" s="13">
        <v>0</v>
      </c>
      <c r="AC28" s="13">
        <v>-1</v>
      </c>
      <c r="AD28" s="13">
        <v>0</v>
      </c>
      <c r="AE28" s="13">
        <v>0</v>
      </c>
      <c r="AF28" s="41">
        <f t="shared" si="34"/>
        <v>-1</v>
      </c>
      <c r="AG28" s="13">
        <v>0</v>
      </c>
      <c r="AH28" s="13">
        <v>0</v>
      </c>
      <c r="AI28" s="13">
        <v>0</v>
      </c>
      <c r="AJ28" s="13">
        <v>0</v>
      </c>
      <c r="AK28" s="41">
        <f t="shared" si="35"/>
        <v>0</v>
      </c>
      <c r="AL28" s="13">
        <v>0</v>
      </c>
      <c r="AM28" s="13">
        <v>0</v>
      </c>
      <c r="AN28" s="13">
        <v>1</v>
      </c>
      <c r="AO28" s="13">
        <v>0</v>
      </c>
      <c r="AP28" s="41">
        <f t="shared" si="36"/>
        <v>1</v>
      </c>
      <c r="AQ28" s="13">
        <v>0</v>
      </c>
      <c r="AR28" s="13">
        <v>0</v>
      </c>
      <c r="AS28" s="12">
        <v>0</v>
      </c>
      <c r="AT28" s="1">
        <v>0</v>
      </c>
      <c r="AU28" s="41">
        <f t="shared" si="27"/>
        <v>0</v>
      </c>
      <c r="AV28" s="1">
        <v>0</v>
      </c>
      <c r="AW28" s="1">
        <v>0</v>
      </c>
      <c r="AX28" s="1">
        <v>0</v>
      </c>
      <c r="AY28" s="1">
        <v>0</v>
      </c>
      <c r="AZ28" s="41">
        <f t="shared" si="28"/>
        <v>0</v>
      </c>
      <c r="BA28" s="1">
        <v>0</v>
      </c>
      <c r="BE28" s="8"/>
    </row>
    <row r="29" spans="1:57" s="2" customFormat="1">
      <c r="A29" s="9"/>
      <c r="B29" s="9" t="s">
        <v>418</v>
      </c>
      <c r="C29" s="10">
        <v>0</v>
      </c>
      <c r="D29" s="10">
        <v>0</v>
      </c>
      <c r="E29" s="10">
        <v>0</v>
      </c>
      <c r="F29" s="10">
        <v>0</v>
      </c>
      <c r="G29" s="39">
        <f t="shared" si="29"/>
        <v>0</v>
      </c>
      <c r="H29" s="10">
        <v>0</v>
      </c>
      <c r="I29" s="10">
        <v>0</v>
      </c>
      <c r="J29" s="10">
        <v>0</v>
      </c>
      <c r="K29" s="10">
        <v>-2367</v>
      </c>
      <c r="L29" s="39">
        <f t="shared" si="30"/>
        <v>-2367</v>
      </c>
      <c r="M29" s="10">
        <v>7</v>
      </c>
      <c r="N29" s="10">
        <v>6</v>
      </c>
      <c r="O29" s="10">
        <v>699</v>
      </c>
      <c r="P29" s="10">
        <v>-1385</v>
      </c>
      <c r="Q29" s="39">
        <f t="shared" si="31"/>
        <v>-673</v>
      </c>
      <c r="R29" s="10">
        <v>896</v>
      </c>
      <c r="S29" s="10">
        <v>164</v>
      </c>
      <c r="T29" s="10">
        <v>557</v>
      </c>
      <c r="U29" s="10">
        <v>798</v>
      </c>
      <c r="V29" s="39">
        <f t="shared" si="32"/>
        <v>2415</v>
      </c>
      <c r="W29" s="10">
        <v>880</v>
      </c>
      <c r="X29" s="10">
        <v>731</v>
      </c>
      <c r="Y29" s="10">
        <v>388</v>
      </c>
      <c r="Z29" s="10">
        <v>173</v>
      </c>
      <c r="AA29" s="39">
        <f t="shared" si="33"/>
        <v>2172</v>
      </c>
      <c r="AB29" s="10">
        <v>-239</v>
      </c>
      <c r="AC29" s="10">
        <v>-162</v>
      </c>
      <c r="AD29" s="10">
        <v>-150</v>
      </c>
      <c r="AE29" s="10">
        <v>-3</v>
      </c>
      <c r="AF29" s="39">
        <f t="shared" si="34"/>
        <v>-554</v>
      </c>
      <c r="AG29" s="10">
        <f t="shared" ref="AG29:AJ29" si="37">SUM(AG23:AG28)</f>
        <v>835</v>
      </c>
      <c r="AH29" s="10">
        <f>SUM(AH23:AH28)</f>
        <v>1409</v>
      </c>
      <c r="AI29" s="10">
        <f t="shared" si="37"/>
        <v>2064</v>
      </c>
      <c r="AJ29" s="10">
        <f t="shared" si="37"/>
        <v>835</v>
      </c>
      <c r="AK29" s="39">
        <f t="shared" si="35"/>
        <v>5143</v>
      </c>
      <c r="AL29" s="10">
        <f t="shared" ref="AL29" si="38">SUM(AL23:AL28)</f>
        <v>1540</v>
      </c>
      <c r="AM29" s="10">
        <f>SUM(AM23:AM28)</f>
        <v>2286</v>
      </c>
      <c r="AN29" s="10">
        <f t="shared" ref="AN29:AO29" si="39">SUM(AN23:AN28)</f>
        <v>-201</v>
      </c>
      <c r="AO29" s="10">
        <f t="shared" si="39"/>
        <v>1713</v>
      </c>
      <c r="AP29" s="39">
        <f t="shared" si="36"/>
        <v>5338</v>
      </c>
      <c r="AQ29" s="10">
        <f t="shared" ref="AQ29:AV29" si="40">SUM(AQ23:AQ28)</f>
        <v>1635</v>
      </c>
      <c r="AR29" s="10">
        <f>SUM(AR23:AR28)</f>
        <v>-538</v>
      </c>
      <c r="AS29" s="10">
        <f t="shared" si="40"/>
        <v>-517</v>
      </c>
      <c r="AT29" s="10">
        <f t="shared" si="40"/>
        <v>-437</v>
      </c>
      <c r="AU29" s="39">
        <f t="shared" si="27"/>
        <v>143</v>
      </c>
      <c r="AV29" s="10">
        <f t="shared" si="40"/>
        <v>-404</v>
      </c>
      <c r="AW29" s="10">
        <f t="shared" ref="AW29:AY29" si="41">SUM(AW23:AW28)</f>
        <v>-659</v>
      </c>
      <c r="AX29" s="10">
        <f t="shared" si="41"/>
        <v>-603</v>
      </c>
      <c r="AY29" s="10">
        <f t="shared" si="41"/>
        <v>-613</v>
      </c>
      <c r="AZ29" s="39">
        <f t="shared" si="28"/>
        <v>-2279</v>
      </c>
      <c r="BA29" s="10">
        <f t="shared" ref="BA29" si="42">SUM(BA23:BA28)</f>
        <v>-841</v>
      </c>
      <c r="BE29" s="8"/>
    </row>
    <row r="30" spans="1:57">
      <c r="A30" s="11"/>
      <c r="B30" s="11" t="s">
        <v>419</v>
      </c>
      <c r="C30" s="13">
        <v>0</v>
      </c>
      <c r="D30" s="13">
        <v>0</v>
      </c>
      <c r="E30" s="13">
        <v>0</v>
      </c>
      <c r="F30" s="13">
        <v>0</v>
      </c>
      <c r="G30" s="41">
        <v>0</v>
      </c>
      <c r="H30" s="13">
        <v>0</v>
      </c>
      <c r="I30" s="13">
        <v>0</v>
      </c>
      <c r="J30" s="13">
        <v>0</v>
      </c>
      <c r="K30" s="13">
        <v>0</v>
      </c>
      <c r="L30" s="41">
        <v>0</v>
      </c>
      <c r="M30" s="13">
        <v>0</v>
      </c>
      <c r="N30" s="13">
        <v>0</v>
      </c>
      <c r="O30" s="13">
        <v>0</v>
      </c>
      <c r="P30" s="13">
        <v>0</v>
      </c>
      <c r="Q30" s="41">
        <v>0</v>
      </c>
      <c r="R30" s="13">
        <v>0</v>
      </c>
      <c r="S30" s="13">
        <v>0</v>
      </c>
      <c r="T30" s="13">
        <v>0</v>
      </c>
      <c r="U30" s="13">
        <v>0</v>
      </c>
      <c r="V30" s="41">
        <v>0</v>
      </c>
      <c r="W30" s="13">
        <v>0</v>
      </c>
      <c r="X30" s="13">
        <v>0</v>
      </c>
      <c r="Y30" s="13">
        <v>0</v>
      </c>
      <c r="Z30" s="13">
        <v>0</v>
      </c>
      <c r="AA30" s="41">
        <v>0</v>
      </c>
      <c r="AB30" s="13">
        <v>0</v>
      </c>
      <c r="AC30" s="13">
        <v>0</v>
      </c>
      <c r="AD30" s="13">
        <v>0</v>
      </c>
      <c r="AE30" s="13">
        <v>0</v>
      </c>
      <c r="AF30" s="41">
        <v>0</v>
      </c>
      <c r="AG30" s="13">
        <v>0</v>
      </c>
      <c r="AH30" s="13">
        <v>0</v>
      </c>
      <c r="AI30" s="13">
        <v>0</v>
      </c>
      <c r="AJ30" s="13">
        <v>0</v>
      </c>
      <c r="AK30" s="41">
        <v>0</v>
      </c>
      <c r="AL30" s="13">
        <v>0</v>
      </c>
      <c r="AM30" s="13">
        <v>0</v>
      </c>
      <c r="AN30" s="13">
        <v>0</v>
      </c>
      <c r="AO30" s="13">
        <v>0</v>
      </c>
      <c r="AP30" s="41">
        <v>0</v>
      </c>
      <c r="AQ30" s="13">
        <v>0</v>
      </c>
      <c r="AR30" s="13">
        <v>0</v>
      </c>
      <c r="AS30" s="12">
        <v>0</v>
      </c>
      <c r="AT30" s="1">
        <v>0</v>
      </c>
      <c r="AU30" s="41">
        <v>0</v>
      </c>
      <c r="AV30" s="1"/>
      <c r="AW30" s="1"/>
      <c r="AX30" s="1"/>
      <c r="AY30" s="1"/>
      <c r="AZ30" s="41">
        <v>0</v>
      </c>
      <c r="BA30" s="13"/>
      <c r="BE30" s="8"/>
    </row>
    <row r="31" spans="1:57" s="2" customFormat="1">
      <c r="A31" s="9"/>
      <c r="B31" s="9" t="s">
        <v>420</v>
      </c>
      <c r="C31" s="10">
        <v>0</v>
      </c>
      <c r="D31" s="10">
        <v>0</v>
      </c>
      <c r="E31" s="10">
        <v>0</v>
      </c>
      <c r="F31" s="10">
        <v>0</v>
      </c>
      <c r="G31" s="39">
        <f t="shared" si="29"/>
        <v>0</v>
      </c>
      <c r="H31" s="10">
        <v>0</v>
      </c>
      <c r="I31" s="10">
        <v>0</v>
      </c>
      <c r="J31" s="10">
        <v>0</v>
      </c>
      <c r="K31" s="10">
        <v>-2367</v>
      </c>
      <c r="L31" s="39">
        <f t="shared" si="30"/>
        <v>-2367</v>
      </c>
      <c r="M31" s="10">
        <v>7</v>
      </c>
      <c r="N31" s="10">
        <v>6</v>
      </c>
      <c r="O31" s="10">
        <v>699</v>
      </c>
      <c r="P31" s="10">
        <v>-1385</v>
      </c>
      <c r="Q31" s="39">
        <f t="shared" si="31"/>
        <v>-673</v>
      </c>
      <c r="R31" s="10">
        <v>896</v>
      </c>
      <c r="S31" s="10">
        <v>164</v>
      </c>
      <c r="T31" s="10">
        <v>557</v>
      </c>
      <c r="U31" s="10">
        <v>798</v>
      </c>
      <c r="V31" s="39">
        <f t="shared" si="32"/>
        <v>2415</v>
      </c>
      <c r="W31" s="10">
        <v>880</v>
      </c>
      <c r="X31" s="10">
        <v>731</v>
      </c>
      <c r="Y31" s="10">
        <v>388</v>
      </c>
      <c r="Z31" s="10">
        <v>173</v>
      </c>
      <c r="AA31" s="39">
        <f t="shared" si="33"/>
        <v>2172</v>
      </c>
      <c r="AB31" s="10">
        <v>-239</v>
      </c>
      <c r="AC31" s="10">
        <v>-162</v>
      </c>
      <c r="AD31" s="10">
        <v>-150</v>
      </c>
      <c r="AE31" s="10">
        <v>-3</v>
      </c>
      <c r="AF31" s="39">
        <f t="shared" si="34"/>
        <v>-554</v>
      </c>
      <c r="AG31" s="10">
        <f t="shared" ref="AG31:AJ31" si="43">SUM(AG29:AG30)</f>
        <v>835</v>
      </c>
      <c r="AH31" s="10">
        <f>SUM(AH29:AH30)</f>
        <v>1409</v>
      </c>
      <c r="AI31" s="10">
        <f t="shared" si="43"/>
        <v>2064</v>
      </c>
      <c r="AJ31" s="10">
        <f t="shared" si="43"/>
        <v>835</v>
      </c>
      <c r="AK31" s="39">
        <f t="shared" si="35"/>
        <v>5143</v>
      </c>
      <c r="AL31" s="10">
        <f t="shared" ref="AL31" si="44">SUM(AL29:AL30)</f>
        <v>1540</v>
      </c>
      <c r="AM31" s="10">
        <f>SUM(AM29:AM30)</f>
        <v>2286</v>
      </c>
      <c r="AN31" s="10">
        <f t="shared" ref="AN31:AO31" si="45">SUM(AN29:AN30)</f>
        <v>-201</v>
      </c>
      <c r="AO31" s="10">
        <f t="shared" si="45"/>
        <v>1713</v>
      </c>
      <c r="AP31" s="39">
        <f t="shared" si="36"/>
        <v>5338</v>
      </c>
      <c r="AQ31" s="10">
        <f t="shared" ref="AQ31:AV31" si="46">SUM(AQ29:AQ30)</f>
        <v>1635</v>
      </c>
      <c r="AR31" s="10">
        <f>SUM(AR29:AR30)</f>
        <v>-538</v>
      </c>
      <c r="AS31" s="10">
        <f t="shared" si="46"/>
        <v>-517</v>
      </c>
      <c r="AT31" s="10">
        <f t="shared" si="46"/>
        <v>-437</v>
      </c>
      <c r="AU31" s="39">
        <f t="shared" si="27"/>
        <v>143</v>
      </c>
      <c r="AV31" s="10">
        <f t="shared" si="46"/>
        <v>-404</v>
      </c>
      <c r="AW31" s="10">
        <f t="shared" ref="AW31:AY31" si="47">SUM(AW29:AW30)</f>
        <v>-659</v>
      </c>
      <c r="AX31" s="10">
        <f>SUM(AX29:AX30)</f>
        <v>-603</v>
      </c>
      <c r="AY31" s="10">
        <f t="shared" si="47"/>
        <v>-613</v>
      </c>
      <c r="AZ31" s="39">
        <f t="shared" si="28"/>
        <v>-2279</v>
      </c>
      <c r="BA31" s="10">
        <f t="shared" ref="BA31" si="48">SUM(BA29:BA30)</f>
        <v>-841</v>
      </c>
      <c r="BE31" s="8"/>
    </row>
    <row r="32" spans="1:57">
      <c r="A32" s="243"/>
      <c r="B32" s="243" t="s">
        <v>421</v>
      </c>
      <c r="C32" s="13">
        <v>0</v>
      </c>
      <c r="D32" s="13">
        <v>0</v>
      </c>
      <c r="E32" s="13">
        <v>0</v>
      </c>
      <c r="F32" s="13">
        <v>0</v>
      </c>
      <c r="G32" s="41">
        <f>SUM(C32:F32)</f>
        <v>0</v>
      </c>
      <c r="H32" s="13">
        <v>0</v>
      </c>
      <c r="I32" s="13">
        <v>0</v>
      </c>
      <c r="J32" s="13">
        <v>0</v>
      </c>
      <c r="K32" s="13">
        <v>-5779</v>
      </c>
      <c r="L32" s="41">
        <f>SUM(H32:K32)</f>
        <v>-5779</v>
      </c>
      <c r="M32" s="13">
        <v>-1</v>
      </c>
      <c r="N32" s="13">
        <v>-1</v>
      </c>
      <c r="O32" s="13">
        <v>-158</v>
      </c>
      <c r="P32" s="13">
        <v>-5258</v>
      </c>
      <c r="Q32" s="41">
        <f>SUM(M32:P32)</f>
        <v>-5418</v>
      </c>
      <c r="R32" s="13">
        <v>-218</v>
      </c>
      <c r="S32" s="13">
        <v>-2657</v>
      </c>
      <c r="T32" s="13">
        <v>-1260</v>
      </c>
      <c r="U32" s="13">
        <v>-1063</v>
      </c>
      <c r="V32" s="41">
        <f>SUM(R32:U32)</f>
        <v>-5198</v>
      </c>
      <c r="W32" s="1">
        <v>-1101</v>
      </c>
      <c r="X32" s="1">
        <v>-997</v>
      </c>
      <c r="Y32" s="1">
        <v>-857</v>
      </c>
      <c r="Z32" s="1">
        <v>-732</v>
      </c>
      <c r="AA32" s="41">
        <f>SUM(W32:Z32)</f>
        <v>-3687</v>
      </c>
      <c r="AB32" s="13">
        <v>-683</v>
      </c>
      <c r="AC32" s="13">
        <v>-737</v>
      </c>
      <c r="AD32" s="13">
        <v>-788</v>
      </c>
      <c r="AE32" s="13">
        <v>-892</v>
      </c>
      <c r="AF32" s="41">
        <f>SUM(AB32:AE32)</f>
        <v>-3100</v>
      </c>
      <c r="AG32" s="13">
        <v>-1229</v>
      </c>
      <c r="AH32" s="13">
        <v>-1499</v>
      </c>
      <c r="AI32" s="13">
        <v>-1695</v>
      </c>
      <c r="AJ32" s="13">
        <v>-1229</v>
      </c>
      <c r="AK32" s="41">
        <f>SUM(AG32:AJ32)</f>
        <v>-5652</v>
      </c>
      <c r="AL32" s="13">
        <v>-1895</v>
      </c>
      <c r="AM32" s="13">
        <v>-2037</v>
      </c>
      <c r="AN32" s="13">
        <v>-1359</v>
      </c>
      <c r="AO32" s="13">
        <v>-1660</v>
      </c>
      <c r="AP32" s="41">
        <f t="shared" si="36"/>
        <v>-6951</v>
      </c>
      <c r="AQ32" s="13">
        <v>-1914</v>
      </c>
      <c r="AR32" s="13">
        <v>-1404</v>
      </c>
      <c r="AS32" s="12">
        <v>-1464</v>
      </c>
      <c r="AT32" s="110">
        <v>-1434</v>
      </c>
      <c r="AU32" s="41">
        <f>SUM(AQ32:AT32)</f>
        <v>-6216</v>
      </c>
      <c r="AV32" s="110">
        <v>-1939</v>
      </c>
      <c r="AW32" s="110">
        <v>-1468</v>
      </c>
      <c r="AX32" s="110">
        <v>-1541</v>
      </c>
      <c r="AY32" s="110">
        <v>-1582</v>
      </c>
      <c r="AZ32" s="41">
        <f>SUM(AV32:AY32)</f>
        <v>-6530</v>
      </c>
      <c r="BA32" s="162">
        <v>-2155</v>
      </c>
      <c r="BE32" s="8"/>
    </row>
    <row r="33" spans="1:57">
      <c r="A33" s="243"/>
      <c r="B33" s="243" t="s">
        <v>422</v>
      </c>
      <c r="C33" s="13">
        <v>0</v>
      </c>
      <c r="D33" s="13">
        <v>0</v>
      </c>
      <c r="E33" s="13">
        <v>0</v>
      </c>
      <c r="F33" s="13">
        <v>0</v>
      </c>
      <c r="G33" s="41">
        <f>SUM(C33:F33)</f>
        <v>0</v>
      </c>
      <c r="H33" s="13">
        <v>0</v>
      </c>
      <c r="I33" s="13">
        <v>0</v>
      </c>
      <c r="J33" s="13">
        <v>0</v>
      </c>
      <c r="K33" s="13">
        <v>-2089</v>
      </c>
      <c r="L33" s="41">
        <f>SUM(H33:K33)</f>
        <v>-2089</v>
      </c>
      <c r="M33" s="13">
        <v>-1</v>
      </c>
      <c r="N33" s="13">
        <v>0</v>
      </c>
      <c r="O33" s="13">
        <v>-63</v>
      </c>
      <c r="P33" s="13">
        <v>-1895</v>
      </c>
      <c r="Q33" s="41">
        <f>SUM(M33:P33)</f>
        <v>-1959</v>
      </c>
      <c r="R33" s="13">
        <v>-81</v>
      </c>
      <c r="S33" s="13">
        <v>-963</v>
      </c>
      <c r="T33" s="13">
        <v>-457</v>
      </c>
      <c r="U33" s="13">
        <v>-379</v>
      </c>
      <c r="V33" s="41">
        <f>SUM(R33:U33)</f>
        <v>-1880</v>
      </c>
      <c r="W33" s="1">
        <v>-401</v>
      </c>
      <c r="X33" s="1">
        <v>-363</v>
      </c>
      <c r="Y33" s="1">
        <v>-314</v>
      </c>
      <c r="Z33" s="1">
        <v>-256</v>
      </c>
      <c r="AA33" s="41">
        <f>SUM(W33:Z33)</f>
        <v>-1334</v>
      </c>
      <c r="AB33" s="13">
        <v>-250</v>
      </c>
      <c r="AC33" s="13">
        <v>-270</v>
      </c>
      <c r="AD33" s="13">
        <v>-288</v>
      </c>
      <c r="AE33" s="13">
        <v>-316</v>
      </c>
      <c r="AF33" s="41">
        <f>SUM(AB33:AE33)</f>
        <v>-1124</v>
      </c>
      <c r="AG33" s="13">
        <v>-447</v>
      </c>
      <c r="AH33" s="13">
        <v>-544</v>
      </c>
      <c r="AI33" s="13">
        <v>-614</v>
      </c>
      <c r="AJ33" s="13">
        <v>-447</v>
      </c>
      <c r="AK33" s="41">
        <f>SUM(AG33:AJ33)</f>
        <v>-2052</v>
      </c>
      <c r="AL33" s="13">
        <v>-687</v>
      </c>
      <c r="AM33" s="13">
        <v>-737</v>
      </c>
      <c r="AN33" s="13">
        <v>-494</v>
      </c>
      <c r="AO33" s="13">
        <v>-593</v>
      </c>
      <c r="AP33" s="41">
        <f t="shared" si="36"/>
        <v>-2511</v>
      </c>
      <c r="AQ33" s="13">
        <v>-693</v>
      </c>
      <c r="AR33" s="13">
        <v>-510</v>
      </c>
      <c r="AS33" s="12">
        <v>-532</v>
      </c>
      <c r="AT33" s="110">
        <v>-511</v>
      </c>
      <c r="AU33" s="41">
        <f>SUM(AQ33:AT33)</f>
        <v>-2246</v>
      </c>
      <c r="AV33" s="110">
        <v>-702</v>
      </c>
      <c r="AW33" s="110">
        <v>-533</v>
      </c>
      <c r="AX33" s="110">
        <v>-559</v>
      </c>
      <c r="AY33" s="110">
        <v>-566</v>
      </c>
      <c r="AZ33" s="41">
        <f>SUM(AV33:AY33)</f>
        <v>-2360</v>
      </c>
      <c r="BA33" s="162">
        <v>-779</v>
      </c>
      <c r="BE33" s="8"/>
    </row>
    <row r="34" spans="1:57">
      <c r="A34" s="243"/>
      <c r="B34" s="243" t="s">
        <v>423</v>
      </c>
      <c r="C34" s="13">
        <v>0</v>
      </c>
      <c r="D34" s="13">
        <v>0</v>
      </c>
      <c r="E34" s="13">
        <v>0</v>
      </c>
      <c r="F34" s="13">
        <v>0</v>
      </c>
      <c r="G34" s="41">
        <f>SUM(C34:F34)</f>
        <v>0</v>
      </c>
      <c r="H34" s="13">
        <v>0</v>
      </c>
      <c r="I34" s="13">
        <v>0</v>
      </c>
      <c r="J34" s="13">
        <v>0</v>
      </c>
      <c r="K34" s="13">
        <v>0</v>
      </c>
      <c r="L34" s="41">
        <f>SUM(H34:K34)</f>
        <v>0</v>
      </c>
      <c r="M34" s="13">
        <v>0</v>
      </c>
      <c r="N34" s="13">
        <v>0</v>
      </c>
      <c r="O34" s="13">
        <v>0</v>
      </c>
      <c r="P34" s="13">
        <v>0</v>
      </c>
      <c r="Q34" s="41">
        <f>SUM(M34:P34)</f>
        <v>0</v>
      </c>
      <c r="R34" s="13">
        <v>0</v>
      </c>
      <c r="S34" s="13">
        <v>0</v>
      </c>
      <c r="T34" s="13">
        <v>0</v>
      </c>
      <c r="U34" s="13">
        <v>0</v>
      </c>
      <c r="V34" s="41">
        <f>SUM(R34:U34)</f>
        <v>0</v>
      </c>
      <c r="W34" s="1">
        <v>0</v>
      </c>
      <c r="X34" s="1">
        <v>0</v>
      </c>
      <c r="Y34" s="1">
        <v>0</v>
      </c>
      <c r="Z34" s="1">
        <v>0</v>
      </c>
      <c r="AA34" s="41">
        <f>SUM(W34:Z34)</f>
        <v>0</v>
      </c>
      <c r="AB34" s="13">
        <v>0</v>
      </c>
      <c r="AC34" s="13">
        <v>0</v>
      </c>
      <c r="AD34" s="13">
        <v>0</v>
      </c>
      <c r="AE34" s="13">
        <v>0</v>
      </c>
      <c r="AF34" s="41">
        <f>SUM(AB34:AE34)</f>
        <v>0</v>
      </c>
      <c r="AG34" s="13">
        <v>0</v>
      </c>
      <c r="AH34" s="13">
        <v>0</v>
      </c>
      <c r="AI34" s="13">
        <v>0</v>
      </c>
      <c r="AJ34" s="13"/>
      <c r="AK34" s="41">
        <f>SUM(AG34:AJ34)</f>
        <v>0</v>
      </c>
      <c r="AL34" s="13">
        <v>0</v>
      </c>
      <c r="AM34" s="13">
        <v>0</v>
      </c>
      <c r="AN34" s="13">
        <v>0</v>
      </c>
      <c r="AO34" s="13">
        <v>0</v>
      </c>
      <c r="AP34" s="41">
        <f t="shared" si="36"/>
        <v>0</v>
      </c>
      <c r="AQ34" s="13">
        <v>0</v>
      </c>
      <c r="AR34" s="13">
        <v>0</v>
      </c>
      <c r="AS34" s="12">
        <v>0</v>
      </c>
      <c r="AT34" s="1">
        <v>0</v>
      </c>
      <c r="AU34" s="41">
        <f t="shared" si="27"/>
        <v>0</v>
      </c>
      <c r="AV34" s="1">
        <v>0</v>
      </c>
      <c r="AW34" s="1">
        <v>0</v>
      </c>
      <c r="AX34" s="1">
        <v>0</v>
      </c>
      <c r="AY34" s="1">
        <v>0</v>
      </c>
      <c r="AZ34" s="41">
        <f t="shared" si="28"/>
        <v>0</v>
      </c>
      <c r="BA34" s="13"/>
      <c r="BE34" s="8"/>
    </row>
    <row r="35" spans="1:57">
      <c r="A35" s="243"/>
      <c r="B35" s="243" t="s">
        <v>424</v>
      </c>
      <c r="C35" s="13">
        <v>0</v>
      </c>
      <c r="D35" s="13">
        <v>0</v>
      </c>
      <c r="E35" s="13">
        <v>0</v>
      </c>
      <c r="F35" s="13">
        <v>0</v>
      </c>
      <c r="G35" s="41">
        <f>SUM(C35:F35)</f>
        <v>0</v>
      </c>
      <c r="H35" s="13">
        <v>0</v>
      </c>
      <c r="I35" s="13">
        <v>0</v>
      </c>
      <c r="J35" s="13">
        <v>0</v>
      </c>
      <c r="K35" s="13">
        <v>0</v>
      </c>
      <c r="L35" s="41">
        <f>SUM(H35:K35)</f>
        <v>0</v>
      </c>
      <c r="M35" s="13">
        <v>0</v>
      </c>
      <c r="N35" s="13">
        <v>0</v>
      </c>
      <c r="O35" s="13">
        <v>0</v>
      </c>
      <c r="P35" s="13">
        <v>0</v>
      </c>
      <c r="Q35" s="41">
        <f>SUM(M35:P35)</f>
        <v>0</v>
      </c>
      <c r="R35" s="13">
        <v>0</v>
      </c>
      <c r="S35" s="13">
        <v>0</v>
      </c>
      <c r="T35" s="13">
        <v>0</v>
      </c>
      <c r="U35" s="13">
        <v>0</v>
      </c>
      <c r="V35" s="41">
        <f>SUM(R35:U35)</f>
        <v>0</v>
      </c>
      <c r="W35" s="1">
        <v>0</v>
      </c>
      <c r="X35" s="1">
        <v>0</v>
      </c>
      <c r="Y35" s="1">
        <v>0</v>
      </c>
      <c r="Z35" s="1">
        <v>0</v>
      </c>
      <c r="AA35" s="41">
        <f>SUM(W35:Z35)</f>
        <v>0</v>
      </c>
      <c r="AB35" s="13">
        <v>0</v>
      </c>
      <c r="AC35" s="13">
        <v>0</v>
      </c>
      <c r="AD35" s="13">
        <v>0</v>
      </c>
      <c r="AE35" s="13">
        <v>0</v>
      </c>
      <c r="AF35" s="41">
        <f>SUM(AB35:AE35)</f>
        <v>0</v>
      </c>
      <c r="AG35" s="13">
        <v>0</v>
      </c>
      <c r="AH35" s="13">
        <v>0</v>
      </c>
      <c r="AI35" s="13">
        <v>0</v>
      </c>
      <c r="AJ35" s="13"/>
      <c r="AK35" s="41">
        <f>SUM(AG35:AJ35)</f>
        <v>0</v>
      </c>
      <c r="AL35" s="13">
        <v>0</v>
      </c>
      <c r="AM35" s="13">
        <v>0</v>
      </c>
      <c r="AN35" s="13">
        <v>0</v>
      </c>
      <c r="AO35" s="13">
        <v>0</v>
      </c>
      <c r="AP35" s="41">
        <f t="shared" si="36"/>
        <v>0</v>
      </c>
      <c r="AQ35" s="13">
        <v>0</v>
      </c>
      <c r="AR35" s="13">
        <v>0</v>
      </c>
      <c r="AS35" s="12">
        <v>0</v>
      </c>
      <c r="AT35" s="1">
        <v>0</v>
      </c>
      <c r="AU35" s="41">
        <f t="shared" si="27"/>
        <v>0</v>
      </c>
      <c r="AV35" s="1">
        <v>0</v>
      </c>
      <c r="AW35" s="1">
        <v>0</v>
      </c>
      <c r="AX35" s="1">
        <v>0</v>
      </c>
      <c r="AY35" s="1">
        <v>0</v>
      </c>
      <c r="AZ35" s="41">
        <f t="shared" si="28"/>
        <v>0</v>
      </c>
      <c r="BA35" s="13"/>
      <c r="BE35" s="8"/>
    </row>
    <row r="36" spans="1:57" s="2" customFormat="1">
      <c r="A36" s="15"/>
      <c r="B36" s="15" t="s">
        <v>450</v>
      </c>
      <c r="C36" s="16">
        <v>0</v>
      </c>
      <c r="D36" s="16">
        <v>0</v>
      </c>
      <c r="E36" s="16">
        <v>0</v>
      </c>
      <c r="F36" s="16">
        <v>0</v>
      </c>
      <c r="G36" s="45">
        <f>SUM(C36:F36)</f>
        <v>0</v>
      </c>
      <c r="H36" s="16">
        <v>0</v>
      </c>
      <c r="I36" s="16">
        <v>0</v>
      </c>
      <c r="J36" s="16">
        <v>0</v>
      </c>
      <c r="K36" s="16">
        <v>-10235</v>
      </c>
      <c r="L36" s="45">
        <f>SUM(H36:K36)</f>
        <v>-10235</v>
      </c>
      <c r="M36" s="16">
        <v>5</v>
      </c>
      <c r="N36" s="16">
        <v>5</v>
      </c>
      <c r="O36" s="16">
        <v>478</v>
      </c>
      <c r="P36" s="16">
        <v>-8538</v>
      </c>
      <c r="Q36" s="45">
        <f>SUM(M36:P36)</f>
        <v>-8050</v>
      </c>
      <c r="R36" s="16">
        <v>597</v>
      </c>
      <c r="S36" s="16">
        <v>-3456</v>
      </c>
      <c r="T36" s="16">
        <v>-1160</v>
      </c>
      <c r="U36" s="16">
        <v>-644</v>
      </c>
      <c r="V36" s="45">
        <f>SUM(R36:U36)</f>
        <v>-4663</v>
      </c>
      <c r="W36" s="16">
        <v>-622</v>
      </c>
      <c r="X36" s="16">
        <v>-629</v>
      </c>
      <c r="Y36" s="16">
        <v>-783</v>
      </c>
      <c r="Z36" s="16">
        <v>-815</v>
      </c>
      <c r="AA36" s="45">
        <f>SUM(W36:Z36)</f>
        <v>-2849</v>
      </c>
      <c r="AB36" s="16">
        <v>-1172</v>
      </c>
      <c r="AC36" s="16">
        <v>-1169</v>
      </c>
      <c r="AD36" s="16">
        <v>-1226</v>
      </c>
      <c r="AE36" s="16">
        <v>-1211</v>
      </c>
      <c r="AF36" s="45">
        <f>SUM(AB36:AE36)</f>
        <v>-4778</v>
      </c>
      <c r="AG36" s="16">
        <f>SUM(AG31:AG35)</f>
        <v>-841</v>
      </c>
      <c r="AH36" s="16">
        <f>SUM(AH31:AH35)</f>
        <v>-634</v>
      </c>
      <c r="AI36" s="16">
        <f t="shared" ref="AI36:AJ36" si="49">SUM(AI31:AI35)</f>
        <v>-245</v>
      </c>
      <c r="AJ36" s="16">
        <f t="shared" si="49"/>
        <v>-841</v>
      </c>
      <c r="AK36" s="45">
        <f>SUM(AG36:AJ36)</f>
        <v>-2561</v>
      </c>
      <c r="AL36" s="16">
        <f>SUM(AL31:AL35)</f>
        <v>-1042</v>
      </c>
      <c r="AM36" s="16">
        <f>SUM(AM31:AM35)</f>
        <v>-488</v>
      </c>
      <c r="AN36" s="16">
        <f t="shared" ref="AN36:AO36" si="50">SUM(AN31:AN35)</f>
        <v>-2054</v>
      </c>
      <c r="AO36" s="16">
        <f t="shared" si="50"/>
        <v>-540</v>
      </c>
      <c r="AP36" s="45">
        <f t="shared" si="36"/>
        <v>-4124</v>
      </c>
      <c r="AQ36" s="16">
        <f>SUM(AQ31:AQ35)</f>
        <v>-972</v>
      </c>
      <c r="AR36" s="16">
        <f>SUM(AR31:AR35)</f>
        <v>-2452</v>
      </c>
      <c r="AS36" s="16">
        <f t="shared" ref="AS36:AV36" si="51">SUM(AS31:AS35)</f>
        <v>-2513</v>
      </c>
      <c r="AT36" s="16">
        <f t="shared" si="51"/>
        <v>-2382</v>
      </c>
      <c r="AU36" s="45">
        <f t="shared" si="27"/>
        <v>-8319</v>
      </c>
      <c r="AV36" s="16">
        <f t="shared" si="51"/>
        <v>-3045</v>
      </c>
      <c r="AW36" s="16">
        <f>SUM(AW31:AW35)</f>
        <v>-2660</v>
      </c>
      <c r="AX36" s="16">
        <f>SUM(AX31:AX35)</f>
        <v>-2703</v>
      </c>
      <c r="AY36" s="16">
        <f t="shared" ref="AY36" si="52">SUM(AY31:AY35)</f>
        <v>-2761</v>
      </c>
      <c r="AZ36" s="45">
        <f>SUM(AV36:AY36)</f>
        <v>-11169</v>
      </c>
      <c r="BA36" s="16">
        <f t="shared" ref="BA36" si="53">SUM(BA31:BA35)</f>
        <v>-3775</v>
      </c>
      <c r="BE36" s="8"/>
    </row>
    <row r="37" spans="1:57" s="2" customFormat="1" ht="15.75" thickBot="1">
      <c r="A37" s="17"/>
      <c r="B37" s="17" t="s">
        <v>451</v>
      </c>
      <c r="C37" s="18">
        <v>1</v>
      </c>
      <c r="D37" s="18">
        <v>1</v>
      </c>
      <c r="E37" s="18">
        <v>1</v>
      </c>
      <c r="F37" s="18">
        <v>1</v>
      </c>
      <c r="G37" s="48">
        <v>1</v>
      </c>
      <c r="H37" s="18">
        <v>1</v>
      </c>
      <c r="I37" s="18">
        <v>1</v>
      </c>
      <c r="J37" s="18">
        <v>1</v>
      </c>
      <c r="K37" s="18">
        <v>1</v>
      </c>
      <c r="L37" s="48">
        <v>1</v>
      </c>
      <c r="M37" s="18">
        <v>1</v>
      </c>
      <c r="N37" s="18">
        <v>1</v>
      </c>
      <c r="O37" s="18">
        <v>1</v>
      </c>
      <c r="P37" s="18">
        <v>1</v>
      </c>
      <c r="Q37" s="48">
        <v>1</v>
      </c>
      <c r="R37" s="18">
        <v>1</v>
      </c>
      <c r="S37" s="18">
        <v>1</v>
      </c>
      <c r="T37" s="18">
        <v>1</v>
      </c>
      <c r="U37" s="18">
        <v>1</v>
      </c>
      <c r="V37" s="48">
        <v>1</v>
      </c>
      <c r="W37" s="18">
        <v>1</v>
      </c>
      <c r="X37" s="18">
        <v>1</v>
      </c>
      <c r="Y37" s="18">
        <v>1</v>
      </c>
      <c r="Z37" s="18">
        <v>1</v>
      </c>
      <c r="AA37" s="48">
        <v>1</v>
      </c>
      <c r="AB37" s="18">
        <v>1</v>
      </c>
      <c r="AC37" s="18">
        <v>1</v>
      </c>
      <c r="AD37" s="18">
        <v>1</v>
      </c>
      <c r="AE37" s="18">
        <v>1</v>
      </c>
      <c r="AF37" s="48">
        <v>1</v>
      </c>
      <c r="AG37" s="18">
        <v>1</v>
      </c>
      <c r="AH37" s="18">
        <v>1</v>
      </c>
      <c r="AI37" s="18">
        <v>1</v>
      </c>
      <c r="AJ37" s="18">
        <v>1</v>
      </c>
      <c r="AK37" s="48">
        <v>1</v>
      </c>
      <c r="AL37" s="18">
        <v>1</v>
      </c>
      <c r="AM37" s="18">
        <v>1</v>
      </c>
      <c r="AN37" s="18">
        <v>1</v>
      </c>
      <c r="AO37" s="18">
        <v>1</v>
      </c>
      <c r="AP37" s="18">
        <v>1</v>
      </c>
      <c r="AQ37" s="18">
        <v>1</v>
      </c>
      <c r="AR37" s="18">
        <v>1</v>
      </c>
      <c r="AS37" s="18">
        <v>1</v>
      </c>
      <c r="AT37" s="18">
        <v>1</v>
      </c>
      <c r="AU37" s="18">
        <v>1</v>
      </c>
      <c r="AV37" s="18">
        <v>1</v>
      </c>
      <c r="AW37" s="18">
        <v>1</v>
      </c>
      <c r="AX37" s="18">
        <v>1</v>
      </c>
      <c r="AY37" s="18">
        <v>1</v>
      </c>
      <c r="AZ37" s="18">
        <v>1</v>
      </c>
      <c r="BA37" s="18">
        <v>1</v>
      </c>
    </row>
    <row r="38" spans="1:57">
      <c r="AK38" s="8"/>
      <c r="AL38" s="8"/>
      <c r="AM38" s="8"/>
      <c r="AN38" s="8"/>
      <c r="AO38" s="8"/>
      <c r="AP38" s="476"/>
      <c r="AQ38" s="8"/>
      <c r="AR38" s="8"/>
      <c r="AS38" s="8"/>
      <c r="AT38" s="8"/>
      <c r="AU38" s="476"/>
      <c r="AV38" s="8"/>
      <c r="AW38" s="8"/>
      <c r="AX38" s="8"/>
      <c r="AY38" s="8"/>
      <c r="AZ38" s="476"/>
    </row>
    <row r="39" spans="1:57"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</row>
    <row r="40" spans="1:57">
      <c r="AQ40" s="534"/>
      <c r="AR40" s="534"/>
      <c r="AS40" s="534"/>
      <c r="AT40" s="534"/>
      <c r="AV40" s="534"/>
      <c r="AW40" s="534"/>
      <c r="AX40" s="534"/>
      <c r="AY40" s="534"/>
      <c r="AZ40" s="534"/>
      <c r="BA40" s="534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52D4-CC45-4738-8D31-05B4E1DA26FA}">
  <dimension ref="A1:BA137"/>
  <sheetViews>
    <sheetView showGridLines="0" showRowColHeaders="0" zoomScale="75" zoomScaleNormal="75" workbookViewId="0">
      <pane xSplit="2" ySplit="5" topLeftCell="AV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2"/>
  <cols>
    <col min="1" max="1" width="2.140625" customWidth="1"/>
    <col min="2" max="2" width="75.7109375" customWidth="1"/>
    <col min="3" max="6" width="9.5703125" hidden="1" customWidth="1" outlineLevel="1"/>
    <col min="7" max="7" width="11.42578125" bestFit="1" customWidth="1" collapsed="1"/>
    <col min="8" max="11" width="9.5703125" hidden="1" customWidth="1" outlineLevel="1"/>
    <col min="12" max="12" width="11.42578125" bestFit="1" customWidth="1" collapsed="1"/>
    <col min="13" max="16" width="9.5703125" hidden="1" customWidth="1" outlineLevel="1"/>
    <col min="17" max="17" width="11.42578125" bestFit="1" customWidth="1" collapsed="1"/>
    <col min="18" max="21" width="9.5703125" hidden="1" customWidth="1" outlineLevel="1"/>
    <col min="22" max="22" width="11.42578125" bestFit="1" customWidth="1" collapsed="1"/>
    <col min="23" max="26" width="9.5703125" hidden="1" customWidth="1" outlineLevel="1"/>
    <col min="27" max="27" width="11.42578125" bestFit="1" customWidth="1" collapsed="1"/>
    <col min="28" max="31" width="9.5703125" hidden="1" customWidth="1" outlineLevel="1"/>
    <col min="32" max="32" width="11.42578125" bestFit="1" customWidth="1" collapsed="1"/>
    <col min="33" max="36" width="11.42578125" hidden="1" customWidth="1" outlineLevel="2"/>
    <col min="37" max="37" width="11.42578125" bestFit="1" customWidth="1" collapsed="1"/>
    <col min="38" max="41" width="11.42578125" hidden="1" customWidth="1" outlineLevel="2"/>
    <col min="42" max="42" width="11.42578125" bestFit="1" customWidth="1" collapsed="1"/>
    <col min="43" max="46" width="11.42578125" hidden="1" customWidth="1" outlineLevel="2"/>
    <col min="47" max="47" width="11.42578125" bestFit="1" customWidth="1" collapsed="1"/>
    <col min="48" max="51" width="11.42578125" customWidth="1" outlineLevel="2"/>
    <col min="52" max="52" width="11.42578125" bestFit="1" customWidth="1"/>
    <col min="53" max="53" width="12.5703125" customWidth="1"/>
    <col min="54" max="85" width="11.5703125" bestFit="1" customWidth="1"/>
  </cols>
  <sheetData>
    <row r="1" spans="1:5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65"/>
      <c r="AE1" s="665"/>
      <c r="AF1" s="665"/>
      <c r="AG1" s="665"/>
      <c r="AH1" s="665"/>
      <c r="AI1" s="665"/>
      <c r="AJ1" s="665"/>
      <c r="AK1" s="665"/>
      <c r="AL1" s="665"/>
      <c r="AM1" s="665"/>
      <c r="AN1" s="665"/>
      <c r="AO1" s="665"/>
      <c r="AP1" s="665"/>
      <c r="AQ1" s="665"/>
      <c r="AR1" s="665"/>
      <c r="AS1" s="665"/>
      <c r="AT1" s="665"/>
      <c r="AU1" s="665"/>
      <c r="AV1" s="665"/>
      <c r="AW1" s="665"/>
      <c r="AX1" s="665"/>
      <c r="AY1" s="665"/>
      <c r="AZ1" s="631"/>
      <c r="BA1" s="630"/>
    </row>
    <row r="2" spans="1:53" ht="15" customHeight="1">
      <c r="A2" s="619"/>
      <c r="B2" s="619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619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665"/>
      <c r="AY2" s="665"/>
      <c r="AZ2" s="632"/>
      <c r="BA2" s="630"/>
    </row>
    <row r="3" spans="1:53" ht="50.1" customHeight="1">
      <c r="A3" s="623"/>
      <c r="B3" s="635" t="s">
        <v>409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53" ht="5.0999999999999996" customHeight="1"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</row>
    <row r="5" spans="1:53" s="103" customFormat="1" ht="23.25">
      <c r="A5" s="74"/>
      <c r="B5" s="74" t="s">
        <v>410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351"/>
      <c r="AM5" s="351"/>
      <c r="AN5" s="75"/>
      <c r="AO5" s="75"/>
      <c r="AP5" s="75"/>
      <c r="AQ5" s="351"/>
      <c r="AR5" s="351"/>
      <c r="AS5" s="75"/>
      <c r="AT5" s="75"/>
      <c r="AU5" s="75"/>
      <c r="AV5" s="75"/>
      <c r="AW5" s="75"/>
      <c r="AX5" s="75"/>
      <c r="AY5" s="75"/>
      <c r="AZ5" s="75"/>
      <c r="BA5" s="75"/>
    </row>
    <row r="6" spans="1:53" ht="5.0999999999999996" customHeight="1" thickBot="1"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</row>
    <row r="7" spans="1:53" s="30" customFormat="1" ht="24.4" customHeight="1">
      <c r="A7" s="625"/>
      <c r="B7" s="625" t="s">
        <v>411</v>
      </c>
      <c r="C7" s="626" t="s">
        <v>224</v>
      </c>
      <c r="D7" s="626" t="s">
        <v>225</v>
      </c>
      <c r="E7" s="626" t="s">
        <v>226</v>
      </c>
      <c r="F7" s="626" t="s">
        <v>227</v>
      </c>
      <c r="G7" s="652">
        <v>2016</v>
      </c>
      <c r="H7" s="626" t="s">
        <v>228</v>
      </c>
      <c r="I7" s="626" t="s">
        <v>229</v>
      </c>
      <c r="J7" s="626" t="s">
        <v>230</v>
      </c>
      <c r="K7" s="626" t="s">
        <v>231</v>
      </c>
      <c r="L7" s="652">
        <v>2017</v>
      </c>
      <c r="M7" s="626" t="s">
        <v>232</v>
      </c>
      <c r="N7" s="626" t="s">
        <v>233</v>
      </c>
      <c r="O7" s="626" t="s">
        <v>234</v>
      </c>
      <c r="P7" s="626" t="s">
        <v>235</v>
      </c>
      <c r="Q7" s="652">
        <v>2018</v>
      </c>
      <c r="R7" s="626" t="s">
        <v>236</v>
      </c>
      <c r="S7" s="626" t="s">
        <v>237</v>
      </c>
      <c r="T7" s="626" t="s">
        <v>238</v>
      </c>
      <c r="U7" s="626" t="s">
        <v>239</v>
      </c>
      <c r="V7" s="652">
        <v>2019</v>
      </c>
      <c r="W7" s="626" t="s">
        <v>240</v>
      </c>
      <c r="X7" s="626" t="s">
        <v>241</v>
      </c>
      <c r="Y7" s="626" t="s">
        <v>242</v>
      </c>
      <c r="Z7" s="626" t="s">
        <v>243</v>
      </c>
      <c r="AA7" s="652">
        <v>2020</v>
      </c>
      <c r="AB7" s="626" t="s">
        <v>244</v>
      </c>
      <c r="AC7" s="626" t="s">
        <v>245</v>
      </c>
      <c r="AD7" s="626" t="s">
        <v>246</v>
      </c>
      <c r="AE7" s="626" t="s">
        <v>247</v>
      </c>
      <c r="AF7" s="652">
        <v>2021</v>
      </c>
      <c r="AG7" s="626" t="s">
        <v>248</v>
      </c>
      <c r="AH7" s="626" t="s">
        <v>249</v>
      </c>
      <c r="AI7" s="626" t="s">
        <v>250</v>
      </c>
      <c r="AJ7" s="626" t="s">
        <v>215</v>
      </c>
      <c r="AK7" s="652">
        <v>2022</v>
      </c>
      <c r="AL7" s="626" t="s">
        <v>252</v>
      </c>
      <c r="AM7" s="626" t="s">
        <v>253</v>
      </c>
      <c r="AN7" s="626" t="s">
        <v>254</v>
      </c>
      <c r="AO7" s="626" t="s">
        <v>219</v>
      </c>
      <c r="AP7" s="652">
        <v>2023</v>
      </c>
      <c r="AQ7" s="626" t="s">
        <v>223</v>
      </c>
      <c r="AR7" s="626" t="s">
        <v>256</v>
      </c>
      <c r="AS7" s="626" t="s">
        <v>357</v>
      </c>
      <c r="AT7" s="626" t="s">
        <v>358</v>
      </c>
      <c r="AU7" s="652" t="s">
        <v>396</v>
      </c>
      <c r="AV7" s="626" t="s">
        <v>359</v>
      </c>
      <c r="AW7" s="626" t="s">
        <v>1115</v>
      </c>
      <c r="AX7" s="626" t="s">
        <v>1116</v>
      </c>
      <c r="AY7" s="626" t="s">
        <v>1117</v>
      </c>
      <c r="AZ7" s="653" t="s">
        <v>1118</v>
      </c>
      <c r="BA7" s="645" t="s">
        <v>1124</v>
      </c>
    </row>
    <row r="8" spans="1:53">
      <c r="A8" s="586"/>
      <c r="B8" s="9" t="s">
        <v>412</v>
      </c>
      <c r="C8" s="10">
        <v>415823.26438198285</v>
      </c>
      <c r="D8" s="10">
        <v>380868.7520048506</v>
      </c>
      <c r="E8" s="10">
        <v>415838.73449686833</v>
      </c>
      <c r="F8" s="10">
        <v>437762.0302765643</v>
      </c>
      <c r="G8" s="39">
        <f t="shared" ref="G8:G24" si="0">SUM(C8:F8)</f>
        <v>1650292.7811602661</v>
      </c>
      <c r="H8" s="10">
        <v>454328.12709957245</v>
      </c>
      <c r="I8" s="10">
        <v>481329.57934507431</v>
      </c>
      <c r="J8" s="10">
        <v>417798.60252892971</v>
      </c>
      <c r="K8" s="10">
        <v>499143.48020784458</v>
      </c>
      <c r="L8" s="39">
        <f t="shared" ref="L8:L24" si="1">SUM(H8:K8)</f>
        <v>1852599.789181421</v>
      </c>
      <c r="M8" s="10">
        <v>594734.38252215669</v>
      </c>
      <c r="N8" s="10">
        <v>539425.98412049399</v>
      </c>
      <c r="O8" s="10">
        <v>899077.1609508337</v>
      </c>
      <c r="P8" s="10">
        <v>444396.46995861945</v>
      </c>
      <c r="Q8" s="39">
        <f t="shared" ref="Q8:Q24" si="2">SUM(M8:P8)</f>
        <v>2477633.9975521038</v>
      </c>
      <c r="R8" s="10">
        <v>585270.11541049602</v>
      </c>
      <c r="S8" s="10">
        <v>671874.78026370914</v>
      </c>
      <c r="T8" s="10">
        <v>659672.26635802211</v>
      </c>
      <c r="U8" s="10">
        <v>638302.51665880496</v>
      </c>
      <c r="V8" s="39">
        <f t="shared" ref="V8:V24" si="3">SUM(R8:U8)</f>
        <v>2555119.6786910323</v>
      </c>
      <c r="W8" s="10">
        <v>639372.96252230799</v>
      </c>
      <c r="X8" s="10">
        <v>644726.34522798145</v>
      </c>
      <c r="Y8" s="10">
        <v>763878.23914650385</v>
      </c>
      <c r="Z8" s="10">
        <v>759831.56862485805</v>
      </c>
      <c r="AA8" s="39">
        <f t="shared" ref="AA8:AA24" si="4">SUM(W8:Z8)</f>
        <v>2807809.1155216512</v>
      </c>
      <c r="AB8" s="10">
        <v>650842.72089437163</v>
      </c>
      <c r="AC8" s="10">
        <v>642412.16558500391</v>
      </c>
      <c r="AD8" s="10">
        <v>829707.68513139721</v>
      </c>
      <c r="AE8" s="10">
        <v>904661.39497558959</v>
      </c>
      <c r="AF8" s="39">
        <f t="shared" ref="AF8:AF24" si="5">SUM(AB8:AE8)</f>
        <v>3027623.9665863621</v>
      </c>
      <c r="AG8" s="10">
        <f t="shared" ref="AG8:AJ13" si="6">AG29+AG84+AG102+AG120</f>
        <v>1003981.0084997592</v>
      </c>
      <c r="AH8" s="10">
        <f t="shared" si="6"/>
        <v>1224124.4052461069</v>
      </c>
      <c r="AI8" s="10">
        <f t="shared" si="6"/>
        <v>1308462.5118663332</v>
      </c>
      <c r="AJ8" s="10">
        <f t="shared" si="6"/>
        <v>1312758.43124389</v>
      </c>
      <c r="AK8" s="39">
        <f t="shared" ref="AK8:AK24" si="7">SUM(AG8:AJ8)</f>
        <v>4849326.3568560891</v>
      </c>
      <c r="AL8" s="10">
        <f t="shared" ref="AL8:AO13" si="8">AL29+AL84+AL102+AL120</f>
        <v>1459399.1207586899</v>
      </c>
      <c r="AM8" s="10">
        <f t="shared" si="8"/>
        <v>1522058.2805943401</v>
      </c>
      <c r="AN8" s="10">
        <f t="shared" si="8"/>
        <v>1564812.7038045509</v>
      </c>
      <c r="AO8" s="10">
        <f t="shared" si="8"/>
        <v>1615584.3114817999</v>
      </c>
      <c r="AP8" s="39">
        <f t="shared" ref="AP8:AP24" si="9">SUM(AL8:AO8)</f>
        <v>6161854.4166393811</v>
      </c>
      <c r="AQ8" s="10">
        <f t="shared" ref="AQ8:AT13" si="10">AQ29+AQ84+AQ102+AQ120</f>
        <v>1673959.63937355</v>
      </c>
      <c r="AR8" s="10">
        <f t="shared" si="10"/>
        <v>1398756.4290988501</v>
      </c>
      <c r="AS8" s="10">
        <f t="shared" si="10"/>
        <v>1748459.0295482299</v>
      </c>
      <c r="AT8" s="10">
        <f t="shared" si="10"/>
        <v>1857430.1832339</v>
      </c>
      <c r="AU8" s="39">
        <f>SUM(AQ8:AT8)</f>
        <v>6678605.28125453</v>
      </c>
      <c r="AV8" s="10">
        <f t="shared" ref="AV8:AY13" si="11">AV29+AV84+AV102+AV120</f>
        <v>1770544.5118644002</v>
      </c>
      <c r="AW8" s="10">
        <f t="shared" si="11"/>
        <v>1778519.7309634499</v>
      </c>
      <c r="AX8" s="10">
        <f t="shared" si="11"/>
        <v>1891460.0010115618</v>
      </c>
      <c r="AY8" s="10">
        <f t="shared" si="11"/>
        <v>1880764.5220752</v>
      </c>
      <c r="AZ8" s="39">
        <f>SUM(AV8:AY8)</f>
        <v>7321288.7659146115</v>
      </c>
      <c r="BA8" s="10">
        <f t="shared" ref="BA8:BA13" si="12">BA29+BA84+BA102+BA120</f>
        <v>1963118.6873061599</v>
      </c>
    </row>
    <row r="9" spans="1:53">
      <c r="A9" s="184"/>
      <c r="B9" s="11" t="s">
        <v>413</v>
      </c>
      <c r="C9" s="12">
        <v>-67593.27955948755</v>
      </c>
      <c r="D9" s="12">
        <v>-74696.917837713001</v>
      </c>
      <c r="E9" s="12">
        <v>-80218.430189923456</v>
      </c>
      <c r="F9" s="12">
        <v>-98556.221931894615</v>
      </c>
      <c r="G9" s="40">
        <f t="shared" si="0"/>
        <v>-321064.84951901861</v>
      </c>
      <c r="H9" s="12">
        <v>-81013.876887178791</v>
      </c>
      <c r="I9" s="12">
        <v>-87916.563031411322</v>
      </c>
      <c r="J9" s="12">
        <v>-94480.827653570086</v>
      </c>
      <c r="K9" s="12">
        <v>-124966.3237197986</v>
      </c>
      <c r="L9" s="40">
        <f t="shared" si="1"/>
        <v>-388377.59129195882</v>
      </c>
      <c r="M9" s="12">
        <v>-90317.397533707364</v>
      </c>
      <c r="N9" s="12">
        <v>-101886.52448923176</v>
      </c>
      <c r="O9" s="12">
        <v>-127824.10930342547</v>
      </c>
      <c r="P9" s="12">
        <v>-131579.90917098406</v>
      </c>
      <c r="Q9" s="40">
        <f t="shared" si="2"/>
        <v>-451607.94049734867</v>
      </c>
      <c r="R9" s="12">
        <v>-103497.13435016604</v>
      </c>
      <c r="S9" s="12">
        <v>-104248.30307200119</v>
      </c>
      <c r="T9" s="12">
        <v>-113589.86728842449</v>
      </c>
      <c r="U9" s="12">
        <v>-147161.95562384609</v>
      </c>
      <c r="V9" s="40">
        <f t="shared" si="3"/>
        <v>-468497.26033443777</v>
      </c>
      <c r="W9" s="12">
        <v>-107381.75738620087</v>
      </c>
      <c r="X9" s="12">
        <v>-114703.77525571885</v>
      </c>
      <c r="Y9" s="12">
        <v>-115713.14163388904</v>
      </c>
      <c r="Z9" s="12">
        <v>-151746.87476988733</v>
      </c>
      <c r="AA9" s="40">
        <f t="shared" si="4"/>
        <v>-489545.54904569616</v>
      </c>
      <c r="AB9" s="12">
        <v>-171910.9715633383</v>
      </c>
      <c r="AC9" s="12">
        <v>-204890.52653502495</v>
      </c>
      <c r="AD9" s="12">
        <v>-200814.53744391529</v>
      </c>
      <c r="AE9" s="12">
        <v>-213526.68683031612</v>
      </c>
      <c r="AF9" s="40">
        <f t="shared" si="5"/>
        <v>-791142.72237259464</v>
      </c>
      <c r="AG9" s="12">
        <f t="shared" si="6"/>
        <v>-214011.02907191083</v>
      </c>
      <c r="AH9" s="12">
        <f t="shared" si="6"/>
        <v>-230537.33070878737</v>
      </c>
      <c r="AI9" s="1">
        <f t="shared" si="6"/>
        <v>-199080.3630086614</v>
      </c>
      <c r="AJ9" s="1">
        <f t="shared" si="6"/>
        <v>-265862.2410683342</v>
      </c>
      <c r="AK9" s="40">
        <f t="shared" si="7"/>
        <v>-909490.96385769383</v>
      </c>
      <c r="AL9" s="12">
        <f t="shared" si="8"/>
        <v>-253086.57210075998</v>
      </c>
      <c r="AM9" s="12">
        <f t="shared" si="8"/>
        <v>-250303.70864657999</v>
      </c>
      <c r="AN9" s="1">
        <f t="shared" si="8"/>
        <v>-248331.60723761338</v>
      </c>
      <c r="AO9" s="1">
        <f t="shared" si="8"/>
        <v>-297200.40323502</v>
      </c>
      <c r="AP9" s="40">
        <f t="shared" si="9"/>
        <v>-1048922.2912199735</v>
      </c>
      <c r="AQ9" s="12">
        <f t="shared" si="10"/>
        <v>-271543.73120005999</v>
      </c>
      <c r="AR9" s="12">
        <f t="shared" si="10"/>
        <v>-278532.91810279002</v>
      </c>
      <c r="AS9" s="12">
        <f t="shared" si="10"/>
        <v>-292719.82124972</v>
      </c>
      <c r="AT9" s="12">
        <f t="shared" si="10"/>
        <v>-333609.28875755001</v>
      </c>
      <c r="AU9" s="40">
        <f t="shared" ref="AU9:AU24" si="13">SUM(AQ9:AT9)</f>
        <v>-1176405.75931012</v>
      </c>
      <c r="AV9" s="12">
        <f t="shared" si="11"/>
        <v>-301503.52774135006</v>
      </c>
      <c r="AW9" s="12">
        <f t="shared" si="11"/>
        <v>-292802.87885535002</v>
      </c>
      <c r="AX9" s="12">
        <f t="shared" si="11"/>
        <v>-321537.05773532885</v>
      </c>
      <c r="AY9" s="12">
        <f t="shared" si="11"/>
        <v>-396236.29230067006</v>
      </c>
      <c r="AZ9" s="40">
        <f t="shared" ref="AZ9:AZ24" si="14">SUM(AV9:AY9)</f>
        <v>-1312079.7566326992</v>
      </c>
      <c r="BA9" s="12">
        <f t="shared" si="12"/>
        <v>-331514.69300770998</v>
      </c>
    </row>
    <row r="10" spans="1:53">
      <c r="A10" s="184"/>
      <c r="B10" s="11" t="s">
        <v>414</v>
      </c>
      <c r="C10" s="13">
        <v>-51995.647894911257</v>
      </c>
      <c r="D10" s="13">
        <v>-51785.471395358349</v>
      </c>
      <c r="E10" s="13">
        <v>-53832.369226291812</v>
      </c>
      <c r="F10" s="13">
        <v>-61971.189452792634</v>
      </c>
      <c r="G10" s="41">
        <f t="shared" si="0"/>
        <v>-219584.67796935406</v>
      </c>
      <c r="H10" s="13">
        <v>-60677.645910103143</v>
      </c>
      <c r="I10" s="13">
        <v>-56709.318655742194</v>
      </c>
      <c r="J10" s="13">
        <v>-57742.46967332116</v>
      </c>
      <c r="K10" s="13">
        <v>-31484.909401405221</v>
      </c>
      <c r="L10" s="41">
        <f t="shared" si="1"/>
        <v>-206614.34364057172</v>
      </c>
      <c r="M10" s="13">
        <v>-65686.351311731836</v>
      </c>
      <c r="N10" s="13">
        <v>-63098.18446894893</v>
      </c>
      <c r="O10" s="13">
        <v>-80923.510623151786</v>
      </c>
      <c r="P10" s="13">
        <v>-70033.105880154442</v>
      </c>
      <c r="Q10" s="41">
        <f t="shared" si="2"/>
        <v>-279741.15228398703</v>
      </c>
      <c r="R10" s="13">
        <v>-65015.546162196501</v>
      </c>
      <c r="S10" s="13">
        <v>-69534.008265163749</v>
      </c>
      <c r="T10" s="13">
        <v>-73567.388870922325</v>
      </c>
      <c r="U10" s="13">
        <v>-65556.999258169642</v>
      </c>
      <c r="V10" s="41">
        <f t="shared" si="3"/>
        <v>-273673.94255645224</v>
      </c>
      <c r="W10" s="13">
        <v>-69856.863333950037</v>
      </c>
      <c r="X10" s="13">
        <v>-73621.491288762234</v>
      </c>
      <c r="Y10" s="13">
        <v>-84629.699026270668</v>
      </c>
      <c r="Z10" s="13">
        <v>-80892.939881024766</v>
      </c>
      <c r="AA10" s="41">
        <f t="shared" si="4"/>
        <v>-309000.99353000772</v>
      </c>
      <c r="AB10" s="13">
        <v>-73511.248023790482</v>
      </c>
      <c r="AC10" s="13">
        <v>-74391.948293201247</v>
      </c>
      <c r="AD10" s="13">
        <v>-96418.561942322471</v>
      </c>
      <c r="AE10" s="13">
        <v>-111376.37046085951</v>
      </c>
      <c r="AF10" s="41">
        <f t="shared" si="5"/>
        <v>-355698.12872017373</v>
      </c>
      <c r="AG10" s="13">
        <f t="shared" si="6"/>
        <v>-108786.74321796172</v>
      </c>
      <c r="AH10" s="13">
        <f t="shared" si="6"/>
        <v>-124779.1860306489</v>
      </c>
      <c r="AI10" s="1">
        <f t="shared" si="6"/>
        <v>-151307.82239148929</v>
      </c>
      <c r="AJ10" s="1">
        <f t="shared" si="6"/>
        <v>-139708.0929037696</v>
      </c>
      <c r="AK10" s="41">
        <f t="shared" si="7"/>
        <v>-524581.84454386949</v>
      </c>
      <c r="AL10" s="13">
        <f t="shared" si="8"/>
        <v>-156692.46287923001</v>
      </c>
      <c r="AM10" s="13">
        <f t="shared" si="8"/>
        <v>-159997.78084379999</v>
      </c>
      <c r="AN10" s="1">
        <f t="shared" si="8"/>
        <v>-166986.36956367682</v>
      </c>
      <c r="AO10" s="1">
        <f t="shared" si="8"/>
        <v>-172292.68182348998</v>
      </c>
      <c r="AP10" s="41">
        <f t="shared" si="9"/>
        <v>-655969.29511019681</v>
      </c>
      <c r="AQ10" s="13">
        <f t="shared" si="10"/>
        <v>-177596.11045832999</v>
      </c>
      <c r="AR10" s="13">
        <f t="shared" si="10"/>
        <v>-180212.21601222001</v>
      </c>
      <c r="AS10" s="13">
        <f t="shared" si="10"/>
        <v>-182568.03920573002</v>
      </c>
      <c r="AT10" s="13">
        <f t="shared" si="10"/>
        <v>-200209.57882290002</v>
      </c>
      <c r="AU10" s="41">
        <f t="shared" si="13"/>
        <v>-740585.94449918019</v>
      </c>
      <c r="AV10" s="13">
        <f t="shared" si="11"/>
        <v>-198733.58506384</v>
      </c>
      <c r="AW10" s="13">
        <f t="shared" si="11"/>
        <v>-191565.64472906996</v>
      </c>
      <c r="AX10" s="13">
        <f t="shared" si="11"/>
        <v>-200203.82416675033</v>
      </c>
      <c r="AY10" s="13">
        <f t="shared" si="11"/>
        <v>-200916.28074497002</v>
      </c>
      <c r="AZ10" s="41">
        <f t="shared" si="14"/>
        <v>-791419.33470463031</v>
      </c>
      <c r="BA10" s="13">
        <f t="shared" si="12"/>
        <v>-200192.92188529993</v>
      </c>
    </row>
    <row r="11" spans="1:53">
      <c r="A11" s="184"/>
      <c r="B11" s="11" t="s">
        <v>415</v>
      </c>
      <c r="C11" s="13">
        <v>189937.36879600701</v>
      </c>
      <c r="D11" s="13">
        <v>203177.8868931825</v>
      </c>
      <c r="E11" s="13">
        <v>201063.57801596742</v>
      </c>
      <c r="F11" s="13">
        <v>194646.38552001337</v>
      </c>
      <c r="G11" s="41">
        <f t="shared" si="0"/>
        <v>788825.21922517032</v>
      </c>
      <c r="H11" s="13">
        <v>232442.064965717</v>
      </c>
      <c r="I11" s="13">
        <v>178378.25764100699</v>
      </c>
      <c r="J11" s="13">
        <v>221681.96856492941</v>
      </c>
      <c r="K11" s="13">
        <v>249550.26752035567</v>
      </c>
      <c r="L11" s="41">
        <f t="shared" si="1"/>
        <v>882052.55869200907</v>
      </c>
      <c r="M11" s="13">
        <v>197376.00284782657</v>
      </c>
      <c r="N11" s="13">
        <v>171089.6359616901</v>
      </c>
      <c r="O11" s="13">
        <v>175751.09822070555</v>
      </c>
      <c r="P11" s="13">
        <v>193194.14605244977</v>
      </c>
      <c r="Q11" s="41">
        <f t="shared" si="2"/>
        <v>737410.88308267202</v>
      </c>
      <c r="R11" s="13">
        <v>211707.71132067498</v>
      </c>
      <c r="S11" s="13">
        <v>202621.47187891515</v>
      </c>
      <c r="T11" s="13">
        <v>216237.93481520942</v>
      </c>
      <c r="U11" s="13">
        <v>233540.25522827127</v>
      </c>
      <c r="V11" s="41">
        <f t="shared" si="3"/>
        <v>864107.37324307079</v>
      </c>
      <c r="W11" s="13">
        <v>216411.80044345715</v>
      </c>
      <c r="X11" s="13">
        <v>234986.66970613381</v>
      </c>
      <c r="Y11" s="13">
        <v>233767.59189811535</v>
      </c>
      <c r="Z11" s="13">
        <v>228404.40432558139</v>
      </c>
      <c r="AA11" s="41">
        <f t="shared" si="4"/>
        <v>913570.46637328772</v>
      </c>
      <c r="AB11" s="13">
        <v>244076.99347052828</v>
      </c>
      <c r="AC11" s="13">
        <v>259184.91781562596</v>
      </c>
      <c r="AD11" s="13">
        <v>242069.40629075136</v>
      </c>
      <c r="AE11" s="13">
        <v>294459.35686592164</v>
      </c>
      <c r="AF11" s="41">
        <f t="shared" si="5"/>
        <v>1039790.6744428272</v>
      </c>
      <c r="AG11" s="13">
        <f t="shared" si="6"/>
        <v>148653.22890335164</v>
      </c>
      <c r="AH11" s="13">
        <f t="shared" si="6"/>
        <v>116719.19088680801</v>
      </c>
      <c r="AI11" s="1">
        <f t="shared" si="6"/>
        <v>194309.20633091731</v>
      </c>
      <c r="AJ11" s="1">
        <f t="shared" si="6"/>
        <v>231811.10515156706</v>
      </c>
      <c r="AK11" s="41">
        <f t="shared" si="7"/>
        <v>691492.73127264401</v>
      </c>
      <c r="AL11" s="13">
        <f t="shared" si="8"/>
        <v>265612.07387496455</v>
      </c>
      <c r="AM11" s="13">
        <f t="shared" si="8"/>
        <v>270605.9955929608</v>
      </c>
      <c r="AN11" s="1">
        <f t="shared" si="8"/>
        <v>337345.26923386619</v>
      </c>
      <c r="AO11" s="1">
        <f t="shared" si="8"/>
        <v>322395.34925404517</v>
      </c>
      <c r="AP11" s="41">
        <f t="shared" si="9"/>
        <v>1195958.6879558368</v>
      </c>
      <c r="AQ11" s="13">
        <f t="shared" si="10"/>
        <v>254207.51368407009</v>
      </c>
      <c r="AR11" s="13">
        <f t="shared" si="10"/>
        <v>279000.55516065098</v>
      </c>
      <c r="AS11" s="13">
        <f t="shared" si="10"/>
        <v>318926.52205068874</v>
      </c>
      <c r="AT11" s="13">
        <f t="shared" si="10"/>
        <v>333199.10114193003</v>
      </c>
      <c r="AU11" s="41">
        <f t="shared" si="13"/>
        <v>1185333.6920373398</v>
      </c>
      <c r="AV11" s="13">
        <f t="shared" si="11"/>
        <v>348122.02770635922</v>
      </c>
      <c r="AW11" s="13">
        <f t="shared" si="11"/>
        <v>386135.97790392063</v>
      </c>
      <c r="AX11" s="13">
        <f t="shared" si="11"/>
        <v>471452.44933601568</v>
      </c>
      <c r="AY11" s="13">
        <f t="shared" si="11"/>
        <v>457183.14560519246</v>
      </c>
      <c r="AZ11" s="41">
        <f t="shared" si="14"/>
        <v>1662893.6005514881</v>
      </c>
      <c r="BA11" s="13">
        <f t="shared" si="12"/>
        <v>401410.86763938918</v>
      </c>
    </row>
    <row r="12" spans="1:53">
      <c r="A12" s="184"/>
      <c r="B12" s="11" t="s">
        <v>416</v>
      </c>
      <c r="C12" s="12">
        <v>2562.0370006839817</v>
      </c>
      <c r="D12" s="12">
        <v>3966.9473145001152</v>
      </c>
      <c r="E12" s="12">
        <v>4390.2850902736827</v>
      </c>
      <c r="F12" s="12">
        <v>5430.0804500303202</v>
      </c>
      <c r="G12" s="40">
        <f t="shared" si="0"/>
        <v>16349.349855488101</v>
      </c>
      <c r="H12" s="12">
        <v>4801.7615448500001</v>
      </c>
      <c r="I12" s="12">
        <v>48552.526402198055</v>
      </c>
      <c r="J12" s="12">
        <v>28316.288603320885</v>
      </c>
      <c r="K12" s="12">
        <v>-66592.226105724549</v>
      </c>
      <c r="L12" s="40">
        <f t="shared" si="1"/>
        <v>15078.350444644399</v>
      </c>
      <c r="M12" s="12">
        <v>-39419.045649818014</v>
      </c>
      <c r="N12" s="12">
        <v>42881.191422382362</v>
      </c>
      <c r="O12" s="12">
        <v>-75084.705703971355</v>
      </c>
      <c r="P12" s="12">
        <v>82540.801073966373</v>
      </c>
      <c r="Q12" s="40">
        <f t="shared" si="2"/>
        <v>10918.24114255936</v>
      </c>
      <c r="R12" s="12">
        <v>2105.9464365730551</v>
      </c>
      <c r="S12" s="12">
        <v>11081.455958948913</v>
      </c>
      <c r="T12" s="12">
        <v>4105.6218778666453</v>
      </c>
      <c r="U12" s="12">
        <v>-34419.144408160741</v>
      </c>
      <c r="V12" s="40">
        <f t="shared" si="3"/>
        <v>-17126.120134772129</v>
      </c>
      <c r="W12" s="12">
        <v>4446.8337725339816</v>
      </c>
      <c r="X12" s="12">
        <v>4012.7446459499993</v>
      </c>
      <c r="Y12" s="12">
        <v>8761.5375592138444</v>
      </c>
      <c r="Z12" s="12">
        <v>-8405.915751779632</v>
      </c>
      <c r="AA12" s="40">
        <f t="shared" si="4"/>
        <v>8815.2002259181918</v>
      </c>
      <c r="AB12" s="12">
        <v>6491.5474999999997</v>
      </c>
      <c r="AC12" s="12">
        <v>12599.523399999998</v>
      </c>
      <c r="AD12" s="12">
        <v>6947.5174999999999</v>
      </c>
      <c r="AE12" s="12">
        <v>10721.6325</v>
      </c>
      <c r="AF12" s="40">
        <f t="shared" si="5"/>
        <v>36760.2209</v>
      </c>
      <c r="AG12" s="12">
        <f t="shared" si="6"/>
        <v>5640.4230127000001</v>
      </c>
      <c r="AH12" s="12">
        <f t="shared" si="6"/>
        <v>2991.9814458300002</v>
      </c>
      <c r="AI12" s="1">
        <f t="shared" si="6"/>
        <v>13103.247883310001</v>
      </c>
      <c r="AJ12" s="1">
        <f t="shared" si="6"/>
        <v>30138.869381120003</v>
      </c>
      <c r="AK12" s="40">
        <f t="shared" si="7"/>
        <v>51874.521722960009</v>
      </c>
      <c r="AL12" s="12">
        <f t="shared" si="8"/>
        <v>1796.82936692</v>
      </c>
      <c r="AM12" s="12">
        <f t="shared" si="8"/>
        <v>4167.3510317099999</v>
      </c>
      <c r="AN12" s="1">
        <f t="shared" si="8"/>
        <v>14565.222368210001</v>
      </c>
      <c r="AO12" s="1">
        <f t="shared" si="8"/>
        <v>10193.29140858</v>
      </c>
      <c r="AP12" s="40">
        <f t="shared" si="9"/>
        <v>30722.694175420002</v>
      </c>
      <c r="AQ12" s="12">
        <f t="shared" si="10"/>
        <v>8413.3495357100001</v>
      </c>
      <c r="AR12" s="12">
        <f t="shared" si="10"/>
        <v>10346.72635452</v>
      </c>
      <c r="AS12" s="12">
        <f t="shared" si="10"/>
        <v>10846.596178400001</v>
      </c>
      <c r="AT12" s="12">
        <f t="shared" si="10"/>
        <v>3253.97885352</v>
      </c>
      <c r="AU12" s="40">
        <f t="shared" si="13"/>
        <v>32860.650922150002</v>
      </c>
      <c r="AV12" s="12">
        <f t="shared" si="11"/>
        <v>4117.17104939</v>
      </c>
      <c r="AW12" s="12">
        <f t="shared" si="11"/>
        <v>2002.8567943300002</v>
      </c>
      <c r="AX12" s="12">
        <f t="shared" si="11"/>
        <v>1672.8269106100001</v>
      </c>
      <c r="AY12" s="12">
        <f t="shared" si="11"/>
        <v>-6539.3201959900007</v>
      </c>
      <c r="AZ12" s="40">
        <f t="shared" si="14"/>
        <v>1253.5345583400003</v>
      </c>
      <c r="BA12" s="12">
        <f t="shared" si="12"/>
        <v>0</v>
      </c>
    </row>
    <row r="13" spans="1:53">
      <c r="A13" s="184"/>
      <c r="B13" s="11" t="s">
        <v>417</v>
      </c>
      <c r="C13" s="12">
        <v>-186.69</v>
      </c>
      <c r="D13" s="12">
        <v>-1064.27</v>
      </c>
      <c r="E13" s="12">
        <v>-66.136679999999927</v>
      </c>
      <c r="F13" s="12">
        <v>-60.153320000000065</v>
      </c>
      <c r="G13" s="41">
        <f t="shared" si="0"/>
        <v>-1377.25</v>
      </c>
      <c r="H13" s="12">
        <v>-102.7123055</v>
      </c>
      <c r="I13" s="12">
        <v>0</v>
      </c>
      <c r="J13" s="12">
        <v>-136.51401469999996</v>
      </c>
      <c r="K13" s="12">
        <v>0</v>
      </c>
      <c r="L13" s="41">
        <f t="shared" si="1"/>
        <v>-239.22632019999998</v>
      </c>
      <c r="M13" s="12">
        <v>0</v>
      </c>
      <c r="N13" s="12">
        <v>2.8860999999999999</v>
      </c>
      <c r="O13" s="12">
        <v>0</v>
      </c>
      <c r="P13" s="12">
        <v>30261.016889999995</v>
      </c>
      <c r="Q13" s="41">
        <f t="shared" si="2"/>
        <v>30263.902989999995</v>
      </c>
      <c r="R13" s="12">
        <v>0</v>
      </c>
      <c r="S13" s="12">
        <v>0</v>
      </c>
      <c r="T13" s="12">
        <v>0</v>
      </c>
      <c r="U13" s="12">
        <v>-22.79496</v>
      </c>
      <c r="V13" s="41">
        <f t="shared" si="3"/>
        <v>-22.79496</v>
      </c>
      <c r="W13" s="12">
        <v>0</v>
      </c>
      <c r="X13" s="12">
        <v>-10</v>
      </c>
      <c r="Y13" s="12">
        <v>-29</v>
      </c>
      <c r="Z13" s="12">
        <v>2</v>
      </c>
      <c r="AA13" s="41">
        <f t="shared" si="4"/>
        <v>-37</v>
      </c>
      <c r="AB13" s="12">
        <v>0</v>
      </c>
      <c r="AC13" s="12">
        <v>1808.0078899999999</v>
      </c>
      <c r="AD13" s="12">
        <v>5933.654340000001</v>
      </c>
      <c r="AE13" s="12">
        <v>-212.16932000000028</v>
      </c>
      <c r="AF13" s="41">
        <f t="shared" si="5"/>
        <v>7529.4929100000008</v>
      </c>
      <c r="AG13" s="12">
        <f t="shared" si="6"/>
        <v>11422.46046</v>
      </c>
      <c r="AH13" s="12">
        <f t="shared" si="6"/>
        <v>-0.48998999999999998</v>
      </c>
      <c r="AI13" s="110">
        <f t="shared" si="6"/>
        <v>5</v>
      </c>
      <c r="AJ13" s="110">
        <f t="shared" si="6"/>
        <v>296803.04855000001</v>
      </c>
      <c r="AK13" s="41">
        <f t="shared" si="7"/>
        <v>308230.01902000001</v>
      </c>
      <c r="AL13" s="12">
        <f t="shared" si="8"/>
        <v>30710.399399999998</v>
      </c>
      <c r="AM13" s="12">
        <f t="shared" si="8"/>
        <v>-3.8998999999999997</v>
      </c>
      <c r="AN13" s="110">
        <f t="shared" si="8"/>
        <v>9</v>
      </c>
      <c r="AO13" s="110">
        <f t="shared" si="8"/>
        <v>15.489073889999995</v>
      </c>
      <c r="AP13" s="41">
        <f t="shared" si="9"/>
        <v>30730.988573889997</v>
      </c>
      <c r="AQ13" s="12">
        <f t="shared" si="10"/>
        <v>1</v>
      </c>
      <c r="AR13" s="12">
        <f t="shared" si="10"/>
        <v>5504</v>
      </c>
      <c r="AS13" s="12">
        <f t="shared" si="10"/>
        <v>1</v>
      </c>
      <c r="AT13" s="12">
        <f t="shared" si="10"/>
        <v>0</v>
      </c>
      <c r="AU13" s="41">
        <f t="shared" si="13"/>
        <v>5506</v>
      </c>
      <c r="AV13" s="12">
        <f t="shared" si="11"/>
        <v>-561.80817000000002</v>
      </c>
      <c r="AW13" s="12">
        <f t="shared" si="11"/>
        <v>-499.90946999999983</v>
      </c>
      <c r="AX13" s="12">
        <f t="shared" si="11"/>
        <v>-4387.1374299999998</v>
      </c>
      <c r="AY13" s="12">
        <f t="shared" si="11"/>
        <v>-5824.2372299999997</v>
      </c>
      <c r="AZ13" s="41">
        <f t="shared" si="14"/>
        <v>-11273.0923</v>
      </c>
      <c r="BA13" s="12">
        <f t="shared" si="12"/>
        <v>-725</v>
      </c>
    </row>
    <row r="14" spans="1:53">
      <c r="A14" s="586"/>
      <c r="B14" s="9" t="s">
        <v>418</v>
      </c>
      <c r="C14" s="10">
        <v>488547.0527242751</v>
      </c>
      <c r="D14" s="10">
        <v>460466.92697946186</v>
      </c>
      <c r="E14" s="10">
        <v>487175.66150689416</v>
      </c>
      <c r="F14" s="10">
        <v>477250.93154192076</v>
      </c>
      <c r="G14" s="39">
        <f t="shared" si="0"/>
        <v>1913440.5727525516</v>
      </c>
      <c r="H14" s="10">
        <v>549777.71850735741</v>
      </c>
      <c r="I14" s="10">
        <v>563634.48170112574</v>
      </c>
      <c r="J14" s="10">
        <v>515437.04835558869</v>
      </c>
      <c r="K14" s="10">
        <v>525650.28850127186</v>
      </c>
      <c r="L14" s="39">
        <f t="shared" si="1"/>
        <v>2154499.5370653439</v>
      </c>
      <c r="M14" s="10">
        <v>596687.59087472607</v>
      </c>
      <c r="N14" s="10">
        <v>588414.98864638573</v>
      </c>
      <c r="O14" s="10">
        <v>790995.93354099058</v>
      </c>
      <c r="P14" s="10">
        <v>548779.41892389709</v>
      </c>
      <c r="Q14" s="39">
        <f t="shared" si="2"/>
        <v>2524877.9319859995</v>
      </c>
      <c r="R14" s="10">
        <v>630571.09265538142</v>
      </c>
      <c r="S14" s="10">
        <v>711795.39676440833</v>
      </c>
      <c r="T14" s="10">
        <v>692858.56689175137</v>
      </c>
      <c r="U14" s="10">
        <v>624681.87763689982</v>
      </c>
      <c r="V14" s="39">
        <f t="shared" si="3"/>
        <v>2659906.9339484409</v>
      </c>
      <c r="W14" s="10">
        <v>682992.97601814824</v>
      </c>
      <c r="X14" s="10">
        <v>695390.49303558422</v>
      </c>
      <c r="Y14" s="10">
        <v>806035.52794367331</v>
      </c>
      <c r="Z14" s="10">
        <v>747192.24254774768</v>
      </c>
      <c r="AA14" s="39">
        <f t="shared" si="4"/>
        <v>2931611.2395451535</v>
      </c>
      <c r="AB14" s="10">
        <v>655989.04227777116</v>
      </c>
      <c r="AC14" s="10">
        <v>636722.13986240362</v>
      </c>
      <c r="AD14" s="10">
        <v>787425.16387591092</v>
      </c>
      <c r="AE14" s="10">
        <v>884727.1577303356</v>
      </c>
      <c r="AF14" s="39">
        <f t="shared" si="5"/>
        <v>2964863.5037464211</v>
      </c>
      <c r="AG14" s="10">
        <f>SUM(AG8:AG13)</f>
        <v>846899.34858593845</v>
      </c>
      <c r="AH14" s="10">
        <f>SUM(AH8:AH13)</f>
        <v>988518.57084930863</v>
      </c>
      <c r="AI14" s="76">
        <f>SUM(AI8:AI13)</f>
        <v>1165491.7806804099</v>
      </c>
      <c r="AJ14" s="76">
        <f>SUM(AJ8:AJ13)</f>
        <v>1465941.1203544731</v>
      </c>
      <c r="AK14" s="39">
        <f t="shared" si="7"/>
        <v>4466850.8204701301</v>
      </c>
      <c r="AL14" s="10">
        <f>SUM(AL8:AL13)</f>
        <v>1347739.3884205846</v>
      </c>
      <c r="AM14" s="10">
        <f>SUM(AM8:AM13)</f>
        <v>1386526.2378286307</v>
      </c>
      <c r="AN14" s="76">
        <f>SUM(AN8:AN13)</f>
        <v>1501414.218605337</v>
      </c>
      <c r="AO14" s="76">
        <f>SUM(AO8:AO13)</f>
        <v>1478695.3561598051</v>
      </c>
      <c r="AP14" s="39">
        <f t="shared" si="9"/>
        <v>5714375.2010143576</v>
      </c>
      <c r="AQ14" s="10">
        <f>SUM(AQ8:AQ13)</f>
        <v>1487441.6609349397</v>
      </c>
      <c r="AR14" s="10">
        <f>SUM(AR8:AR13)</f>
        <v>1234862.5764990111</v>
      </c>
      <c r="AS14" s="10">
        <f t="shared" ref="AS14:AT14" si="15">SUM(AS8:AS13)</f>
        <v>1602945.2873218688</v>
      </c>
      <c r="AT14" s="10">
        <f t="shared" si="15"/>
        <v>1660064.3956489</v>
      </c>
      <c r="AU14" s="39">
        <f t="shared" si="13"/>
        <v>5985313.9204047192</v>
      </c>
      <c r="AV14" s="10">
        <f t="shared" ref="AV14:AX14" si="16">SUM(AV8:AV13)</f>
        <v>1621984.7896449594</v>
      </c>
      <c r="AW14" s="10">
        <f t="shared" si="16"/>
        <v>1681790.1326072807</v>
      </c>
      <c r="AX14" s="10">
        <f t="shared" si="16"/>
        <v>1838457.2579261085</v>
      </c>
      <c r="AY14" s="10">
        <f>SUM(AY8:AY13)</f>
        <v>1728431.5372087625</v>
      </c>
      <c r="AZ14" s="39">
        <f t="shared" si="14"/>
        <v>6870663.7173871119</v>
      </c>
      <c r="BA14" s="10">
        <f t="shared" ref="BA14" si="17">SUM(BA8:BA13)</f>
        <v>1832096.9400525391</v>
      </c>
    </row>
    <row r="15" spans="1:53" ht="17.850000000000001" customHeight="1">
      <c r="A15" s="184"/>
      <c r="B15" s="11" t="s">
        <v>419</v>
      </c>
      <c r="C15" s="12">
        <v>592.36239749099991</v>
      </c>
      <c r="D15" s="12">
        <v>-3577.0488921899982</v>
      </c>
      <c r="E15" s="12">
        <v>19.03060823999915</v>
      </c>
      <c r="F15" s="12">
        <v>-12297.548107362007</v>
      </c>
      <c r="G15" s="40">
        <f t="shared" si="0"/>
        <v>-15263.203993821005</v>
      </c>
      <c r="H15" s="12">
        <v>224.27170582400001</v>
      </c>
      <c r="I15" s="12">
        <v>-15855.06408679</v>
      </c>
      <c r="J15" s="12">
        <v>1541.4211820660016</v>
      </c>
      <c r="K15" s="12">
        <v>5253.3028163989966</v>
      </c>
      <c r="L15" s="40">
        <f t="shared" si="1"/>
        <v>-8836.0683825010019</v>
      </c>
      <c r="M15" s="12">
        <v>285.93283091900003</v>
      </c>
      <c r="N15" s="12">
        <v>-262.68005376600001</v>
      </c>
      <c r="O15" s="12">
        <v>-33865.963935414999</v>
      </c>
      <c r="P15" s="12">
        <v>7117.1047896779946</v>
      </c>
      <c r="Q15" s="40">
        <f t="shared" si="2"/>
        <v>-26725.606368584005</v>
      </c>
      <c r="R15" s="12">
        <v>2232.0505580170002</v>
      </c>
      <c r="S15" s="12">
        <v>-102845.867988714</v>
      </c>
      <c r="T15" s="12">
        <v>2301.972703923977</v>
      </c>
      <c r="U15" s="12">
        <v>-52898.229333596952</v>
      </c>
      <c r="V15" s="40">
        <f t="shared" si="3"/>
        <v>-151210.07406036998</v>
      </c>
      <c r="W15" s="12">
        <v>-12647.025773031</v>
      </c>
      <c r="X15" s="12">
        <v>-1940.3293928510006</v>
      </c>
      <c r="Y15" s="12">
        <v>1230.8882417239993</v>
      </c>
      <c r="Z15" s="12">
        <v>-54343.892336866993</v>
      </c>
      <c r="AA15" s="40">
        <f t="shared" si="4"/>
        <v>-67700.359261024991</v>
      </c>
      <c r="AB15" s="12">
        <v>1551.0160959999998</v>
      </c>
      <c r="AC15" s="12">
        <v>2963.2975000000001</v>
      </c>
      <c r="AD15" s="12">
        <v>697.45249999999999</v>
      </c>
      <c r="AE15" s="12">
        <v>-27249.52282224525</v>
      </c>
      <c r="AF15" s="40">
        <f t="shared" si="5"/>
        <v>-22037.75672624525</v>
      </c>
      <c r="AG15" s="12">
        <f>AG36+AG91+AG109+AG127</f>
        <v>967.37234138999997</v>
      </c>
      <c r="AH15" s="12">
        <f>AH36+AH91+AH109+AH127</f>
        <v>588.43819593059993</v>
      </c>
      <c r="AI15" s="1">
        <f>AI36+AI91+AI109+AI127</f>
        <v>567.88499693999995</v>
      </c>
      <c r="AJ15" s="1">
        <f>AJ36+AJ91+AJ109+AJ127</f>
        <v>56826.616562969997</v>
      </c>
      <c r="AK15" s="40">
        <f t="shared" si="7"/>
        <v>58950.312097230599</v>
      </c>
      <c r="AL15" s="12">
        <f>AL36+AL91+AL109+AL127</f>
        <v>234.61241755</v>
      </c>
      <c r="AM15" s="12">
        <f>AM36+AM91+AM109+AM127</f>
        <v>-21072.345074910001</v>
      </c>
      <c r="AN15" s="1">
        <f>AN36+AN91+AN109+AN127</f>
        <v>18.324374419999998</v>
      </c>
      <c r="AO15" s="1">
        <f>AO36+AO91+AO109+AO127</f>
        <v>-14112.747004070001</v>
      </c>
      <c r="AP15" s="40">
        <f t="shared" si="9"/>
        <v>-34932.155287009999</v>
      </c>
      <c r="AQ15" s="12">
        <f>AQ36+AQ91+AQ109+AQ127</f>
        <v>0.77499830000000003</v>
      </c>
      <c r="AR15" s="12">
        <f>AR36+AR91+AR109+AR127</f>
        <v>-4623.8644879399999</v>
      </c>
      <c r="AS15" s="12">
        <f>AS36+AS91+AS109+AS127</f>
        <v>3236.60885964</v>
      </c>
      <c r="AT15" s="12">
        <f>AT36+AT91+AT109+AT127</f>
        <v>-25610.78346943</v>
      </c>
      <c r="AU15" s="40">
        <f t="shared" si="13"/>
        <v>-26997.264099429998</v>
      </c>
      <c r="AV15" s="12">
        <f>AV36+AV91+AV109+AV127</f>
        <v>10199.420029410001</v>
      </c>
      <c r="AW15" s="12">
        <f>AW36+AW91+AW109+AW127</f>
        <v>-6012.242883500001</v>
      </c>
      <c r="AX15" s="12">
        <f>AX36+AX91+AX109+AX127</f>
        <v>-23.637504249999996</v>
      </c>
      <c r="AY15" s="12">
        <f>AY36+AY91+AY109+AY127</f>
        <v>28096.219878880001</v>
      </c>
      <c r="AZ15" s="40">
        <f t="shared" si="14"/>
        <v>32259.759520539999</v>
      </c>
      <c r="BA15" s="12">
        <f>BA36+BA91+BA109+BA127</f>
        <v>2583.6866005300003</v>
      </c>
    </row>
    <row r="16" spans="1:53">
      <c r="A16" s="586"/>
      <c r="B16" s="9" t="s">
        <v>420</v>
      </c>
      <c r="C16" s="10">
        <v>489139.4151217661</v>
      </c>
      <c r="D16" s="10">
        <v>456889.87808727188</v>
      </c>
      <c r="E16" s="10">
        <v>487194.69211513415</v>
      </c>
      <c r="F16" s="10">
        <v>464953.38343455875</v>
      </c>
      <c r="G16" s="39">
        <f t="shared" si="0"/>
        <v>1898177.3687587308</v>
      </c>
      <c r="H16" s="10">
        <v>550001.99021318136</v>
      </c>
      <c r="I16" s="10">
        <v>547779.41761433578</v>
      </c>
      <c r="J16" s="10">
        <v>516978.46953765472</v>
      </c>
      <c r="K16" s="10">
        <v>530903.59131767089</v>
      </c>
      <c r="L16" s="39">
        <f t="shared" si="1"/>
        <v>2145663.4686828423</v>
      </c>
      <c r="M16" s="10">
        <v>596973.52370564512</v>
      </c>
      <c r="N16" s="10">
        <v>588152.30859261972</v>
      </c>
      <c r="O16" s="10">
        <v>757129.96960557555</v>
      </c>
      <c r="P16" s="10">
        <v>555896.52371357509</v>
      </c>
      <c r="Q16" s="39">
        <f t="shared" si="2"/>
        <v>2498152.3256174154</v>
      </c>
      <c r="R16" s="10">
        <v>632803.14321339841</v>
      </c>
      <c r="S16" s="10">
        <v>608949.52877569431</v>
      </c>
      <c r="T16" s="10">
        <v>695160.53959567531</v>
      </c>
      <c r="U16" s="10">
        <v>571783.64830330282</v>
      </c>
      <c r="V16" s="39">
        <f t="shared" si="3"/>
        <v>2508696.8598880707</v>
      </c>
      <c r="W16" s="10">
        <v>670345.95024511719</v>
      </c>
      <c r="X16" s="10">
        <v>693450.16364273324</v>
      </c>
      <c r="Y16" s="10">
        <v>807266.41618539731</v>
      </c>
      <c r="Z16" s="10">
        <v>692848.35021088063</v>
      </c>
      <c r="AA16" s="39">
        <f t="shared" si="4"/>
        <v>2863910.8802841287</v>
      </c>
      <c r="AB16" s="10">
        <v>657540.05837377114</v>
      </c>
      <c r="AC16" s="10">
        <v>639685.43736240361</v>
      </c>
      <c r="AD16" s="10">
        <v>788122.61637591093</v>
      </c>
      <c r="AE16" s="10">
        <v>857477.63490809035</v>
      </c>
      <c r="AF16" s="39">
        <f t="shared" si="5"/>
        <v>2942825.7470201761</v>
      </c>
      <c r="AG16" s="10">
        <f>SUM(AG14:AG15)</f>
        <v>847866.72092732845</v>
      </c>
      <c r="AH16" s="10">
        <f>SUM(AH14:AH15)</f>
        <v>989107.00904523919</v>
      </c>
      <c r="AI16" s="76">
        <f>SUM(AI14:AI15)</f>
        <v>1166059.6656773498</v>
      </c>
      <c r="AJ16" s="76">
        <f>SUM(AJ14:AJ15)</f>
        <v>1522767.7369174431</v>
      </c>
      <c r="AK16" s="39">
        <f t="shared" si="7"/>
        <v>4525801.132567361</v>
      </c>
      <c r="AL16" s="10">
        <f>SUM(AL14:AL15)</f>
        <v>1347974.0008381347</v>
      </c>
      <c r="AM16" s="10">
        <f>SUM(AM14:AM15)</f>
        <v>1365453.8927537207</v>
      </c>
      <c r="AN16" s="76">
        <f>SUM(AN14:AN15)</f>
        <v>1501432.5429797571</v>
      </c>
      <c r="AO16" s="76">
        <f>SUM(AO14:AO15)</f>
        <v>1464582.609155735</v>
      </c>
      <c r="AP16" s="39">
        <f t="shared" si="9"/>
        <v>5679443.045727348</v>
      </c>
      <c r="AQ16" s="10">
        <f>SUM(AQ14:AQ15)</f>
        <v>1487442.4359332398</v>
      </c>
      <c r="AR16" s="10">
        <f>SUM(AR14:AR15)</f>
        <v>1230238.7120110712</v>
      </c>
      <c r="AS16" s="10">
        <f t="shared" ref="AS16:AT16" si="18">SUM(AS14:AS15)</f>
        <v>1606181.8961815089</v>
      </c>
      <c r="AT16" s="10">
        <f t="shared" si="18"/>
        <v>1634453.61217947</v>
      </c>
      <c r="AU16" s="39">
        <f t="shared" si="13"/>
        <v>5958316.6563052898</v>
      </c>
      <c r="AV16" s="10">
        <f t="shared" ref="AV16:AX16" si="19">SUM(AV14:AV15)</f>
        <v>1632184.2096743693</v>
      </c>
      <c r="AW16" s="10">
        <f t="shared" si="19"/>
        <v>1675777.8897237808</v>
      </c>
      <c r="AX16" s="10">
        <f t="shared" si="19"/>
        <v>1838433.6204218585</v>
      </c>
      <c r="AY16" s="10">
        <f>SUM(AY14:AY15)</f>
        <v>1756527.7570876426</v>
      </c>
      <c r="AZ16" s="39">
        <f t="shared" si="14"/>
        <v>6902923.4769076509</v>
      </c>
      <c r="BA16" s="10">
        <f t="shared" ref="BA16" si="20">SUM(BA14:BA15)</f>
        <v>1834680.6266530692</v>
      </c>
    </row>
    <row r="17" spans="1:53">
      <c r="A17" s="184"/>
      <c r="B17" s="11" t="s">
        <v>421</v>
      </c>
      <c r="C17" s="12">
        <v>-123057.76227554765</v>
      </c>
      <c r="D17" s="12">
        <v>-118013.8271793259</v>
      </c>
      <c r="E17" s="12">
        <v>-127262.07877804573</v>
      </c>
      <c r="F17" s="12">
        <v>-108702.8965315668</v>
      </c>
      <c r="G17" s="41">
        <f t="shared" si="0"/>
        <v>-477036.5647644861</v>
      </c>
      <c r="H17" s="12">
        <v>-135836.08637868322</v>
      </c>
      <c r="I17" s="12">
        <v>-122662.57827943064</v>
      </c>
      <c r="J17" s="12">
        <v>-123934.01342882597</v>
      </c>
      <c r="K17" s="12">
        <v>-107853.60457268752</v>
      </c>
      <c r="L17" s="41">
        <f t="shared" si="1"/>
        <v>-490286.28265962738</v>
      </c>
      <c r="M17" s="12">
        <v>-131541.28730009624</v>
      </c>
      <c r="N17" s="12">
        <v>-160709.48841226785</v>
      </c>
      <c r="O17" s="12">
        <v>-225722.73207537827</v>
      </c>
      <c r="P17" s="12">
        <v>-83656.095463690726</v>
      </c>
      <c r="Q17" s="41">
        <f t="shared" si="2"/>
        <v>-601629.60325143312</v>
      </c>
      <c r="R17" s="12">
        <v>-156644.32294492103</v>
      </c>
      <c r="S17" s="12">
        <v>-147422.84251062066</v>
      </c>
      <c r="T17" s="12">
        <v>-166912.61582551629</v>
      </c>
      <c r="U17" s="12">
        <v>-161924.13130843462</v>
      </c>
      <c r="V17" s="41">
        <f t="shared" si="3"/>
        <v>-632903.91258949263</v>
      </c>
      <c r="W17" s="12">
        <v>-166258.74996138873</v>
      </c>
      <c r="X17" s="12">
        <v>-193358.48166971846</v>
      </c>
      <c r="Y17" s="12">
        <v>-198499.45126450737</v>
      </c>
      <c r="Z17" s="12">
        <v>-155812.16910558753</v>
      </c>
      <c r="AA17" s="41">
        <f t="shared" si="4"/>
        <v>-713928.85200120206</v>
      </c>
      <c r="AB17" s="12">
        <v>-161372.61642091899</v>
      </c>
      <c r="AC17" s="12">
        <v>-157760.76076604752</v>
      </c>
      <c r="AD17" s="12">
        <v>-193595.47598882925</v>
      </c>
      <c r="AE17" s="12">
        <v>-200069.03841717832</v>
      </c>
      <c r="AF17" s="41">
        <f t="shared" si="5"/>
        <v>-712797.89159297408</v>
      </c>
      <c r="AG17" s="12">
        <f t="shared" ref="AG17:AJ20" si="21">AG38+AG93+AG111+AG129</f>
        <v>-213269.87814623181</v>
      </c>
      <c r="AH17" s="12">
        <f t="shared" si="21"/>
        <v>-249690.5805168339</v>
      </c>
      <c r="AI17" s="110">
        <f t="shared" si="21"/>
        <v>-287087.55552991747</v>
      </c>
      <c r="AJ17" s="110">
        <f t="shared" si="21"/>
        <v>-366540.11686849757</v>
      </c>
      <c r="AK17" s="41">
        <f t="shared" si="7"/>
        <v>-1116588.1310614808</v>
      </c>
      <c r="AL17" s="12">
        <f t="shared" ref="AL17:AO20" si="22">AL38+AL93+AL111+AL129</f>
        <v>-335861.65634830412</v>
      </c>
      <c r="AM17" s="12">
        <f t="shared" si="22"/>
        <v>-340181.12989936001</v>
      </c>
      <c r="AN17" s="110">
        <f t="shared" si="22"/>
        <v>-371205.72633646079</v>
      </c>
      <c r="AO17" s="110">
        <f t="shared" si="22"/>
        <v>-349753.18652057234</v>
      </c>
      <c r="AP17" s="41">
        <f t="shared" si="9"/>
        <v>-1397001.6991046972</v>
      </c>
      <c r="AQ17" s="12">
        <f t="shared" ref="AQ17:AT20" si="23">AQ38+AQ93+AQ111+AQ129</f>
        <v>-369115.27445506764</v>
      </c>
      <c r="AR17" s="12">
        <f t="shared" si="23"/>
        <v>-306146.79247323703</v>
      </c>
      <c r="AS17" s="12">
        <f t="shared" si="23"/>
        <v>-391655.46656513092</v>
      </c>
      <c r="AT17" s="12">
        <f t="shared" si="23"/>
        <v>-369711.30230613117</v>
      </c>
      <c r="AU17" s="41">
        <f t="shared" si="13"/>
        <v>-1436628.8357995669</v>
      </c>
      <c r="AV17" s="12">
        <f t="shared" ref="AV17:AY20" si="24">AV38+AV93+AV111+AV129</f>
        <v>-406765.65853721707</v>
      </c>
      <c r="AW17" s="12">
        <f t="shared" si="24"/>
        <v>-414846.9055298288</v>
      </c>
      <c r="AX17" s="12">
        <f t="shared" si="24"/>
        <v>-455884.83400614839</v>
      </c>
      <c r="AY17" s="12">
        <f t="shared" si="24"/>
        <v>-394185.6584478899</v>
      </c>
      <c r="AZ17" s="41">
        <f t="shared" si="14"/>
        <v>-1671683.0565210842</v>
      </c>
      <c r="BA17" s="12">
        <f>BA38+BA93+BA111+BA129</f>
        <v>-454262.7525735324</v>
      </c>
    </row>
    <row r="18" spans="1:53">
      <c r="A18" s="184"/>
      <c r="B18" s="11" t="s">
        <v>422</v>
      </c>
      <c r="C18" s="12">
        <v>-85161.249064945107</v>
      </c>
      <c r="D18" s="12">
        <v>-82408.058172675577</v>
      </c>
      <c r="E18" s="12">
        <v>-87783.841170927888</v>
      </c>
      <c r="F18" s="12">
        <v>-71006.956305219821</v>
      </c>
      <c r="G18" s="41">
        <f t="shared" si="0"/>
        <v>-326360.10471376841</v>
      </c>
      <c r="H18" s="12">
        <v>-95116.144003718437</v>
      </c>
      <c r="I18" s="12">
        <v>-80144.915169682907</v>
      </c>
      <c r="J18" s="12">
        <v>-76224.49306514443</v>
      </c>
      <c r="K18" s="12">
        <v>-97200.994081544326</v>
      </c>
      <c r="L18" s="41">
        <f t="shared" si="1"/>
        <v>-348686.54632009007</v>
      </c>
      <c r="M18" s="12">
        <v>-83922.035510775793</v>
      </c>
      <c r="N18" s="12">
        <v>-111050.06054622082</v>
      </c>
      <c r="O18" s="12">
        <v>-170451.57635615818</v>
      </c>
      <c r="P18" s="12">
        <v>-44680.024107459307</v>
      </c>
      <c r="Q18" s="41">
        <f t="shared" si="2"/>
        <v>-410103.69652061409</v>
      </c>
      <c r="R18" s="12">
        <v>-82492.67460488902</v>
      </c>
      <c r="S18" s="12">
        <v>-78763.38707180768</v>
      </c>
      <c r="T18" s="12">
        <v>-90238.616756266056</v>
      </c>
      <c r="U18" s="12">
        <v>-93028.922019676684</v>
      </c>
      <c r="V18" s="41">
        <f t="shared" si="3"/>
        <v>-344523.6004526394</v>
      </c>
      <c r="W18" s="12">
        <v>-89870.292302125017</v>
      </c>
      <c r="X18" s="12">
        <v>-105870.44384610407</v>
      </c>
      <c r="Y18" s="12">
        <v>-100373.77472602826</v>
      </c>
      <c r="Z18" s="12">
        <v>-79816.806782458909</v>
      </c>
      <c r="AA18" s="41">
        <f t="shared" si="4"/>
        <v>-375931.31765671627</v>
      </c>
      <c r="AB18" s="12">
        <v>-89200.868627510747</v>
      </c>
      <c r="AC18" s="12">
        <v>-83876.451654058998</v>
      </c>
      <c r="AD18" s="12">
        <v>-127845.79095341604</v>
      </c>
      <c r="AE18" s="12">
        <v>-123051.23707961942</v>
      </c>
      <c r="AF18" s="41">
        <f t="shared" si="5"/>
        <v>-423974.34831460519</v>
      </c>
      <c r="AG18" s="12">
        <f t="shared" si="21"/>
        <v>-113484.79176452121</v>
      </c>
      <c r="AH18" s="12">
        <f t="shared" si="21"/>
        <v>-130201.37747488896</v>
      </c>
      <c r="AI18" s="110">
        <f t="shared" si="21"/>
        <v>-155126.32744750998</v>
      </c>
      <c r="AJ18" s="110">
        <f t="shared" si="21"/>
        <v>-190148.14860443599</v>
      </c>
      <c r="AK18" s="41">
        <f t="shared" si="7"/>
        <v>-588960.64529135614</v>
      </c>
      <c r="AL18" s="12">
        <f t="shared" si="22"/>
        <v>-177881.1910052959</v>
      </c>
      <c r="AM18" s="12">
        <f t="shared" si="22"/>
        <v>-181470.80129248</v>
      </c>
      <c r="AN18" s="110">
        <f t="shared" si="22"/>
        <v>-198554.44315372637</v>
      </c>
      <c r="AO18" s="110">
        <f t="shared" si="22"/>
        <v>-187670.19750548762</v>
      </c>
      <c r="AP18" s="41">
        <f t="shared" si="9"/>
        <v>-745576.63295698992</v>
      </c>
      <c r="AQ18" s="12">
        <f t="shared" si="23"/>
        <v>-195980.55263616235</v>
      </c>
      <c r="AR18" s="12">
        <f t="shared" si="23"/>
        <v>-156518.01626582292</v>
      </c>
      <c r="AS18" s="12">
        <f t="shared" si="23"/>
        <v>-211553.31621604308</v>
      </c>
      <c r="AT18" s="12">
        <f t="shared" si="23"/>
        <v>-207543.3427940188</v>
      </c>
      <c r="AU18" s="41">
        <f t="shared" si="13"/>
        <v>-771595.22791204718</v>
      </c>
      <c r="AV18" s="12">
        <f t="shared" si="24"/>
        <v>-216073.20573910297</v>
      </c>
      <c r="AW18" s="12">
        <f t="shared" si="24"/>
        <v>-219095.53863265118</v>
      </c>
      <c r="AX18" s="12">
        <f t="shared" si="24"/>
        <v>-242651.16860904649</v>
      </c>
      <c r="AY18" s="12">
        <f t="shared" si="24"/>
        <v>-235724.68548809999</v>
      </c>
      <c r="AZ18" s="41">
        <f t="shared" si="14"/>
        <v>-913544.59846890066</v>
      </c>
      <c r="BA18" s="12">
        <f>BA39+BA94+BA112+BA130</f>
        <v>-246948.14585501765</v>
      </c>
    </row>
    <row r="19" spans="1:53">
      <c r="A19" s="184"/>
      <c r="B19" s="11" t="s">
        <v>423</v>
      </c>
      <c r="C19" s="12">
        <f>C40+C95+C113+C131</f>
        <v>-53.9</v>
      </c>
      <c r="D19" s="12">
        <f>D40+D95+D113+D131</f>
        <v>0</v>
      </c>
      <c r="E19" s="12">
        <f>E40+E95+E113+E131</f>
        <v>0</v>
      </c>
      <c r="F19" s="12">
        <f>F40+F95+F113+F131</f>
        <v>0</v>
      </c>
      <c r="G19" s="41">
        <f t="shared" si="0"/>
        <v>-53.9</v>
      </c>
      <c r="H19" s="12">
        <f>H40+H95+H113+H131</f>
        <v>0</v>
      </c>
      <c r="I19" s="12">
        <f>I40+I95+I113+I131</f>
        <v>0</v>
      </c>
      <c r="J19" s="12">
        <f>J40+J95+J113+J131</f>
        <v>0</v>
      </c>
      <c r="K19" s="12">
        <f>K40+K95+K113+K131</f>
        <v>0</v>
      </c>
      <c r="L19" s="41">
        <f t="shared" si="1"/>
        <v>0</v>
      </c>
      <c r="M19" s="12">
        <f>M40+M95+M113+M131</f>
        <v>-2205</v>
      </c>
      <c r="N19" s="12">
        <f>N40+N95+N113+N131</f>
        <v>-2205</v>
      </c>
      <c r="O19" s="12">
        <f>O40+O95+O113+O131</f>
        <v>-2205</v>
      </c>
      <c r="P19" s="12">
        <f>P40+P95+P113+P131</f>
        <v>-2205</v>
      </c>
      <c r="Q19" s="41">
        <f t="shared" si="2"/>
        <v>-8820</v>
      </c>
      <c r="R19" s="12">
        <f>R40+R95+R113+R131</f>
        <v>0</v>
      </c>
      <c r="S19" s="12">
        <f>S40+S95+S113+S131</f>
        <v>0</v>
      </c>
      <c r="T19" s="12">
        <f>T40+T95+T113+T131</f>
        <v>0</v>
      </c>
      <c r="U19" s="12">
        <f>U40+U95+U113+U131</f>
        <v>0</v>
      </c>
      <c r="V19" s="41">
        <f t="shared" si="3"/>
        <v>0</v>
      </c>
      <c r="W19" s="12">
        <f>W40+W95+W113+W131</f>
        <v>0</v>
      </c>
      <c r="X19" s="12">
        <f>X40+X95+X113+X131</f>
        <v>0</v>
      </c>
      <c r="Y19" s="12">
        <f>Y40+Y95+Y113+Y131</f>
        <v>0</v>
      </c>
      <c r="Z19" s="12">
        <f>Z40+Z95+Z113+Z131</f>
        <v>0</v>
      </c>
      <c r="AA19" s="41">
        <f t="shared" si="4"/>
        <v>0</v>
      </c>
      <c r="AB19" s="12">
        <f>AB40+AB95+AB113+AB131</f>
        <v>-537.48446249999995</v>
      </c>
      <c r="AC19" s="12">
        <f>AC40+AC95+AC113+AC131</f>
        <v>-779.58168000000001</v>
      </c>
      <c r="AD19" s="12">
        <f>AD40+AD95+AD113+AD131</f>
        <v>509.51353499999982</v>
      </c>
      <c r="AE19" s="12">
        <f>AE40+AE95+AE113+AE131</f>
        <v>323.80260750000002</v>
      </c>
      <c r="AF19" s="41">
        <f t="shared" si="5"/>
        <v>-483.75</v>
      </c>
      <c r="AG19" s="12">
        <f t="shared" si="21"/>
        <v>0</v>
      </c>
      <c r="AH19" s="12">
        <f t="shared" si="21"/>
        <v>0</v>
      </c>
      <c r="AI19" s="1">
        <f t="shared" si="21"/>
        <v>0</v>
      </c>
      <c r="AJ19" s="1">
        <f t="shared" si="21"/>
        <v>0</v>
      </c>
      <c r="AK19" s="41">
        <f t="shared" si="7"/>
        <v>0</v>
      </c>
      <c r="AL19" s="12">
        <f t="shared" si="22"/>
        <v>0.75</v>
      </c>
      <c r="AM19" s="12">
        <f t="shared" si="22"/>
        <v>1.5</v>
      </c>
      <c r="AN19" s="1">
        <f t="shared" si="22"/>
        <v>1.5</v>
      </c>
      <c r="AO19" s="1">
        <f t="shared" si="22"/>
        <v>0</v>
      </c>
      <c r="AP19" s="41">
        <f t="shared" si="9"/>
        <v>3.75</v>
      </c>
      <c r="AQ19" s="12">
        <f t="shared" si="23"/>
        <v>0</v>
      </c>
      <c r="AR19" s="12">
        <f t="shared" si="23"/>
        <v>0</v>
      </c>
      <c r="AS19" s="12">
        <f t="shared" si="23"/>
        <v>-76</v>
      </c>
      <c r="AT19" s="12">
        <f t="shared" si="23"/>
        <v>-47</v>
      </c>
      <c r="AU19" s="41">
        <f t="shared" si="13"/>
        <v>-123</v>
      </c>
      <c r="AV19" s="12">
        <f t="shared" si="24"/>
        <v>40</v>
      </c>
      <c r="AW19" s="12">
        <f t="shared" si="24"/>
        <v>2.3664899999999909</v>
      </c>
      <c r="AX19" s="12">
        <f t="shared" si="24"/>
        <v>-5</v>
      </c>
      <c r="AY19" s="12">
        <f t="shared" si="24"/>
        <v>-102</v>
      </c>
      <c r="AZ19" s="41">
        <f t="shared" si="14"/>
        <v>-64.633510000000001</v>
      </c>
      <c r="BA19" s="12">
        <f>BA40+BA95+BA113+BA131</f>
        <v>53</v>
      </c>
    </row>
    <row r="20" spans="1:53">
      <c r="A20" s="184"/>
      <c r="B20" s="11" t="s">
        <v>424</v>
      </c>
      <c r="C20" s="12">
        <v>-2352.0034772261811</v>
      </c>
      <c r="D20" s="12">
        <v>-2204.9965227738226</v>
      </c>
      <c r="E20" s="12">
        <v>-1169.8259599799928</v>
      </c>
      <c r="F20" s="12">
        <v>5726.8259599800012</v>
      </c>
      <c r="G20" s="41">
        <f t="shared" si="0"/>
        <v>0</v>
      </c>
      <c r="H20" s="12">
        <v>0</v>
      </c>
      <c r="I20" s="12">
        <v>1.0523217497393488E-11</v>
      </c>
      <c r="J20" s="12">
        <v>-8.7693479144945736E-12</v>
      </c>
      <c r="K20" s="12">
        <v>-5.2616087486967441E-12</v>
      </c>
      <c r="L20" s="41">
        <f t="shared" si="1"/>
        <v>-3.5077391657978294E-12</v>
      </c>
      <c r="M20" s="12">
        <v>3.5077391657978294E-12</v>
      </c>
      <c r="N20" s="12">
        <v>1.7538695828989147E-12</v>
      </c>
      <c r="O20" s="12">
        <v>-1.0523217497393488E-11</v>
      </c>
      <c r="P20" s="12">
        <v>1.7538695828989147E-12</v>
      </c>
      <c r="Q20" s="41">
        <f t="shared" si="2"/>
        <v>-3.5077391657978294E-12</v>
      </c>
      <c r="R20" s="12">
        <v>3.5077391657978294E-12</v>
      </c>
      <c r="S20" s="12">
        <v>-7.0154783315956589E-12</v>
      </c>
      <c r="T20" s="12">
        <v>-3.5077391657978294E-12</v>
      </c>
      <c r="U20" s="12">
        <v>3.5077391657978294E-12</v>
      </c>
      <c r="V20" s="41">
        <f t="shared" si="3"/>
        <v>-3.5077391657978294E-12</v>
      </c>
      <c r="W20" s="12">
        <v>0</v>
      </c>
      <c r="X20" s="12">
        <v>8.7693479144945736E-13</v>
      </c>
      <c r="Y20" s="12">
        <v>1.7538695828989147E-12</v>
      </c>
      <c r="Z20" s="12">
        <v>-261.51886247303469</v>
      </c>
      <c r="AA20" s="41">
        <f t="shared" si="4"/>
        <v>-261.51886247303207</v>
      </c>
      <c r="AB20" s="12">
        <v>-408.02725660724866</v>
      </c>
      <c r="AC20" s="12">
        <v>-392.50718862725989</v>
      </c>
      <c r="AD20" s="12">
        <v>-383.84706999423952</v>
      </c>
      <c r="AE20" s="12">
        <v>-1611.1855805362843</v>
      </c>
      <c r="AF20" s="41">
        <f t="shared" si="5"/>
        <v>-2795.5670957650323</v>
      </c>
      <c r="AG20" s="12">
        <f t="shared" si="21"/>
        <v>-1132.642128674406</v>
      </c>
      <c r="AH20" s="12">
        <f t="shared" si="21"/>
        <v>-502.97982252000003</v>
      </c>
      <c r="AI20" s="1">
        <f t="shared" si="21"/>
        <v>-536.75481062000006</v>
      </c>
      <c r="AJ20" s="1">
        <f t="shared" si="21"/>
        <v>522.54731589000005</v>
      </c>
      <c r="AK20" s="41">
        <f t="shared" si="7"/>
        <v>-1649.8294459244062</v>
      </c>
      <c r="AL20" s="12">
        <f t="shared" si="22"/>
        <v>0</v>
      </c>
      <c r="AM20" s="12">
        <f t="shared" si="22"/>
        <v>0</v>
      </c>
      <c r="AN20" s="1">
        <f t="shared" si="22"/>
        <v>0</v>
      </c>
      <c r="AO20" s="1">
        <f t="shared" si="22"/>
        <v>0</v>
      </c>
      <c r="AP20" s="41">
        <f t="shared" si="9"/>
        <v>0</v>
      </c>
      <c r="AQ20" s="12">
        <f t="shared" si="23"/>
        <v>0</v>
      </c>
      <c r="AR20" s="12">
        <f t="shared" si="23"/>
        <v>0</v>
      </c>
      <c r="AS20" s="12">
        <f t="shared" si="23"/>
        <v>0</v>
      </c>
      <c r="AT20" s="12">
        <f t="shared" si="23"/>
        <v>0</v>
      </c>
      <c r="AU20" s="41">
        <f t="shared" si="13"/>
        <v>0</v>
      </c>
      <c r="AV20" s="12">
        <f t="shared" si="24"/>
        <v>0</v>
      </c>
      <c r="AW20" s="12">
        <f t="shared" si="24"/>
        <v>0</v>
      </c>
      <c r="AX20" s="12">
        <f t="shared" si="24"/>
        <v>0</v>
      </c>
      <c r="AY20" s="12">
        <f t="shared" si="24"/>
        <v>0</v>
      </c>
      <c r="AZ20" s="41">
        <f t="shared" si="14"/>
        <v>0</v>
      </c>
      <c r="BA20" s="12">
        <f>BA41+BA96+BA114+BA132</f>
        <v>0</v>
      </c>
    </row>
    <row r="21" spans="1:53" ht="20.25" customHeight="1">
      <c r="A21" s="587"/>
      <c r="B21" s="15" t="s">
        <v>425</v>
      </c>
      <c r="C21" s="16">
        <v>278514.50030404713</v>
      </c>
      <c r="D21" s="16">
        <v>254262.99621249657</v>
      </c>
      <c r="E21" s="16">
        <v>270978.94620618055</v>
      </c>
      <c r="F21" s="16">
        <v>285838.5865577521</v>
      </c>
      <c r="G21" s="45">
        <f t="shared" si="0"/>
        <v>1089595.0292804763</v>
      </c>
      <c r="H21" s="16">
        <v>317969.30983077968</v>
      </c>
      <c r="I21" s="16">
        <v>343602.37416522222</v>
      </c>
      <c r="J21" s="16">
        <v>315594.96304368437</v>
      </c>
      <c r="K21" s="16">
        <v>321683.99266343901</v>
      </c>
      <c r="L21" s="45">
        <f t="shared" si="1"/>
        <v>1298850.6397031252</v>
      </c>
      <c r="M21" s="16">
        <v>379305.20089477306</v>
      </c>
      <c r="N21" s="16">
        <v>314187.75963413104</v>
      </c>
      <c r="O21" s="16">
        <v>358750.66117403907</v>
      </c>
      <c r="P21" s="16">
        <v>425355.4041424251</v>
      </c>
      <c r="Q21" s="45">
        <f t="shared" si="2"/>
        <v>1477599.0258453684</v>
      </c>
      <c r="R21" s="16">
        <v>395437.98566358839</v>
      </c>
      <c r="S21" s="16">
        <v>380558.29919326596</v>
      </c>
      <c r="T21" s="16">
        <v>435804.30701389298</v>
      </c>
      <c r="U21" s="16">
        <v>318545.59497519152</v>
      </c>
      <c r="V21" s="45">
        <f t="shared" si="3"/>
        <v>1530346.1868459387</v>
      </c>
      <c r="W21" s="16">
        <v>412622.44798160339</v>
      </c>
      <c r="X21" s="16">
        <v>392626.28812691069</v>
      </c>
      <c r="Y21" s="16">
        <v>506798.73019486165</v>
      </c>
      <c r="Z21" s="16">
        <v>455362.90546036116</v>
      </c>
      <c r="AA21" s="45">
        <f t="shared" si="4"/>
        <v>1767410.3717637367</v>
      </c>
      <c r="AB21" s="16">
        <v>404275.68160623423</v>
      </c>
      <c r="AC21" s="16">
        <v>398031.06607366982</v>
      </c>
      <c r="AD21" s="16">
        <v>465061.63589867135</v>
      </c>
      <c r="AE21" s="16">
        <v>531324.10643825633</v>
      </c>
      <c r="AF21" s="45">
        <f t="shared" si="5"/>
        <v>1798692.4900168318</v>
      </c>
      <c r="AG21" s="16">
        <f>SUM(AG16:AG20)</f>
        <v>519979.40888790105</v>
      </c>
      <c r="AH21" s="16">
        <f>SUM(AH16:AH20)</f>
        <v>608712.07123099628</v>
      </c>
      <c r="AI21" s="16">
        <f>SUM(AI16:AI20)</f>
        <v>723309.02788930235</v>
      </c>
      <c r="AJ21" s="16">
        <f>SUM(AJ16:AJ20)</f>
        <v>966602.01876039954</v>
      </c>
      <c r="AK21" s="45">
        <f t="shared" si="7"/>
        <v>2818602.5267685992</v>
      </c>
      <c r="AL21" s="16">
        <f>SUM(AL16:AL20)</f>
        <v>834231.90348453471</v>
      </c>
      <c r="AM21" s="16">
        <f>SUM(AM16:AM20)</f>
        <v>843803.46156188077</v>
      </c>
      <c r="AN21" s="16">
        <f>SUM(AN16:AN20)</f>
        <v>931673.87348956987</v>
      </c>
      <c r="AO21" s="16">
        <f>SUM(AO16:AO20)</f>
        <v>927159.22512967512</v>
      </c>
      <c r="AP21" s="45">
        <f t="shared" si="9"/>
        <v>3536868.4636656605</v>
      </c>
      <c r="AQ21" s="16">
        <f>SUM(AQ16:AQ20)</f>
        <v>922346.60884200968</v>
      </c>
      <c r="AR21" s="16">
        <f>SUM(AR16:AR20)</f>
        <v>767573.9032720112</v>
      </c>
      <c r="AS21" s="16">
        <f t="shared" ref="AS21:AT21" si="25">SUM(AS16:AS20)</f>
        <v>1002897.1134003348</v>
      </c>
      <c r="AT21" s="16">
        <f t="shared" si="25"/>
        <v>1057151.96707932</v>
      </c>
      <c r="AU21" s="45">
        <f t="shared" si="13"/>
        <v>3749969.5925936759</v>
      </c>
      <c r="AV21" s="16">
        <f t="shared" ref="AV21:AX21" si="26">SUM(AV16:AV20)</f>
        <v>1009385.3453980491</v>
      </c>
      <c r="AW21" s="16">
        <f t="shared" si="26"/>
        <v>1041837.8120513009</v>
      </c>
      <c r="AX21" s="16">
        <f t="shared" si="26"/>
        <v>1139892.6178066637</v>
      </c>
      <c r="AY21" s="16">
        <f>SUM(AY16:AY20)</f>
        <v>1126515.4131516528</v>
      </c>
      <c r="AZ21" s="45">
        <f t="shared" si="14"/>
        <v>4317631.188407666</v>
      </c>
      <c r="BA21" s="16">
        <f t="shared" ref="BA21" si="27">SUM(BA16:BA20)</f>
        <v>1133522.7282245189</v>
      </c>
    </row>
    <row r="22" spans="1:53" s="30" customFormat="1" ht="30">
      <c r="A22" s="184"/>
      <c r="B22" s="723" t="s">
        <v>426</v>
      </c>
      <c r="C22" s="724">
        <v>0</v>
      </c>
      <c r="D22" s="724">
        <v>0</v>
      </c>
      <c r="E22" s="724">
        <v>0</v>
      </c>
      <c r="F22" s="724">
        <v>0</v>
      </c>
      <c r="G22" s="725">
        <f t="shared" si="0"/>
        <v>0</v>
      </c>
      <c r="H22" s="724">
        <v>0</v>
      </c>
      <c r="I22" s="724">
        <v>0</v>
      </c>
      <c r="J22" s="724">
        <v>0</v>
      </c>
      <c r="K22" s="724">
        <v>0</v>
      </c>
      <c r="L22" s="725">
        <f t="shared" si="1"/>
        <v>0</v>
      </c>
      <c r="M22" s="724">
        <v>0</v>
      </c>
      <c r="N22" s="724">
        <v>0</v>
      </c>
      <c r="O22" s="724">
        <v>0</v>
      </c>
      <c r="P22" s="724">
        <v>0</v>
      </c>
      <c r="Q22" s="725">
        <f t="shared" si="2"/>
        <v>0</v>
      </c>
      <c r="R22" s="724">
        <v>0</v>
      </c>
      <c r="S22" s="724">
        <v>3089.7788999999998</v>
      </c>
      <c r="T22" s="724">
        <v>1315.1687999999999</v>
      </c>
      <c r="U22" s="724">
        <v>1306.780881907719</v>
      </c>
      <c r="V22" s="725">
        <f t="shared" si="3"/>
        <v>5711.7285819077188</v>
      </c>
      <c r="W22" s="724">
        <v>1306.9730999999999</v>
      </c>
      <c r="X22" s="724">
        <v>1311.7940999999998</v>
      </c>
      <c r="Y22" s="724">
        <v>1310.8299</v>
      </c>
      <c r="Z22" s="724">
        <v>-1926.9536999999998</v>
      </c>
      <c r="AA22" s="725">
        <f t="shared" si="4"/>
        <v>2002.6434000000002</v>
      </c>
      <c r="AB22" s="724">
        <v>27382.313870701215</v>
      </c>
      <c r="AC22" s="724">
        <v>28600.091348418468</v>
      </c>
      <c r="AD22" s="724">
        <v>27213.372427680326</v>
      </c>
      <c r="AE22" s="724">
        <v>14263.45363096757</v>
      </c>
      <c r="AF22" s="725">
        <f t="shared" si="5"/>
        <v>97459.231277767583</v>
      </c>
      <c r="AG22" s="724">
        <v>37056.703584350005</v>
      </c>
      <c r="AH22" s="593">
        <f>AH43</f>
        <v>4068.1641560800017</v>
      </c>
      <c r="AI22" s="593">
        <f>AI43</f>
        <v>3933.6875805600002</v>
      </c>
      <c r="AJ22" s="593">
        <f>AJ43+'DRE CAIXA SEGURIDADE'!AJ17</f>
        <v>-16990.437470249999</v>
      </c>
      <c r="AK22" s="725">
        <f t="shared" si="7"/>
        <v>28068.117850740011</v>
      </c>
      <c r="AL22" s="724">
        <f>AL43+'DRE CAIXA SEGURIDADE'!AL17</f>
        <v>89.605043429300011</v>
      </c>
      <c r="AM22" s="593">
        <f>AM43</f>
        <v>327.13488474000002</v>
      </c>
      <c r="AN22" s="593">
        <f>AN43</f>
        <v>-451.6270033774764</v>
      </c>
      <c r="AO22" s="593">
        <f>AO43</f>
        <v>2963.3439559198964</v>
      </c>
      <c r="AP22" s="725">
        <f t="shared" si="9"/>
        <v>2928.4568807117203</v>
      </c>
      <c r="AQ22" s="724">
        <f>AQ43</f>
        <v>174.66493846</v>
      </c>
      <c r="AR22" s="724">
        <f>AR43</f>
        <v>962.10466101999998</v>
      </c>
      <c r="AS22" s="724">
        <f t="shared" ref="AS22:AT22" si="28">AS43</f>
        <v>-2582.1940902110882</v>
      </c>
      <c r="AT22" s="724">
        <f t="shared" si="28"/>
        <v>-326.65238491000002</v>
      </c>
      <c r="AU22" s="725">
        <f t="shared" si="13"/>
        <v>-1772.0768756410885</v>
      </c>
      <c r="AV22" s="724">
        <v>0</v>
      </c>
      <c r="AW22" s="724">
        <f t="shared" ref="AW22:AX22" si="29">AW43</f>
        <v>-252.82991092</v>
      </c>
      <c r="AX22" s="724">
        <f t="shared" si="29"/>
        <v>267.30490581999999</v>
      </c>
      <c r="AY22" s="724">
        <f>AY43</f>
        <v>-1690.19690449</v>
      </c>
      <c r="AZ22" s="725">
        <f t="shared" si="14"/>
        <v>-1675.72190959</v>
      </c>
      <c r="BA22" s="724">
        <f>BA43</f>
        <v>9452.1716697000011</v>
      </c>
    </row>
    <row r="23" spans="1:53" ht="28.5" customHeight="1">
      <c r="A23" s="184"/>
      <c r="B23" s="11" t="s">
        <v>427</v>
      </c>
      <c r="C23" s="12"/>
      <c r="D23" s="12"/>
      <c r="E23" s="12"/>
      <c r="F23" s="12"/>
      <c r="G23" s="41">
        <f t="shared" si="0"/>
        <v>0</v>
      </c>
      <c r="H23" s="12"/>
      <c r="I23" s="12"/>
      <c r="J23" s="12"/>
      <c r="K23" s="12"/>
      <c r="L23" s="41">
        <f t="shared" si="1"/>
        <v>0</v>
      </c>
      <c r="M23" s="12"/>
      <c r="N23" s="12"/>
      <c r="O23" s="12"/>
      <c r="P23" s="12"/>
      <c r="Q23" s="41">
        <f t="shared" si="2"/>
        <v>0</v>
      </c>
      <c r="R23" s="12"/>
      <c r="S23" s="12"/>
      <c r="T23" s="12"/>
      <c r="U23" s="12"/>
      <c r="V23" s="41">
        <f t="shared" si="3"/>
        <v>0</v>
      </c>
      <c r="W23" s="12"/>
      <c r="X23" s="12"/>
      <c r="Y23" s="12"/>
      <c r="Z23" s="12"/>
      <c r="AA23" s="41">
        <f t="shared" si="4"/>
        <v>0</v>
      </c>
      <c r="AB23" s="12"/>
      <c r="AC23" s="12"/>
      <c r="AD23" s="12"/>
      <c r="AE23" s="12"/>
      <c r="AF23" s="41">
        <f t="shared" si="5"/>
        <v>0</v>
      </c>
      <c r="AG23" s="12">
        <v>0</v>
      </c>
      <c r="AH23" s="12">
        <v>68008</v>
      </c>
      <c r="AI23" s="1">
        <v>39006.399999999907</v>
      </c>
      <c r="AJ23" s="1">
        <f>106170-AI23-AH23</f>
        <v>-844.39999999990687</v>
      </c>
      <c r="AK23" s="41">
        <f t="shared" si="7"/>
        <v>106170</v>
      </c>
      <c r="AL23" s="12">
        <f>'Earn-out e LPC'!J67</f>
        <v>6048.7200000000012</v>
      </c>
      <c r="AM23" s="12">
        <f>'Earn-out e LPC'!K67</f>
        <v>-21552.119999999981</v>
      </c>
      <c r="AN23" s="12">
        <f>'Earn-out e LPC'!L67</f>
        <v>-14647.800000000003</v>
      </c>
      <c r="AO23" s="12">
        <f>'Earn-out e LPC'!M67</f>
        <v>-7709.5200000000041</v>
      </c>
      <c r="AP23" s="41">
        <f t="shared" si="9"/>
        <v>-37860.719999999987</v>
      </c>
      <c r="AQ23" s="12">
        <f>'Earn-out e LPC'!N67</f>
        <v>1821.0267081016791</v>
      </c>
      <c r="AR23" s="12">
        <f>'Earn-out e LPC'!O67</f>
        <v>1763.8168363669392</v>
      </c>
      <c r="AS23" s="12">
        <f>'Earn-out e LPC'!P67</f>
        <v>5001.6853326652781</v>
      </c>
      <c r="AT23" s="12">
        <v>0</v>
      </c>
      <c r="AU23" s="41">
        <f t="shared" si="13"/>
        <v>8586.5288771338965</v>
      </c>
      <c r="AV23" s="12">
        <f>'Earn-out e LPC'!W67</f>
        <v>0</v>
      </c>
      <c r="AW23" s="12">
        <f>'Earn-out e LPC'!X67</f>
        <v>0</v>
      </c>
      <c r="AX23" s="12">
        <f>'Earn-out e LPC'!Y67</f>
        <v>0</v>
      </c>
      <c r="AY23" s="12">
        <f>'Earn-out e LPC'!Z67</f>
        <v>0</v>
      </c>
      <c r="AZ23" s="41">
        <f t="shared" si="14"/>
        <v>0</v>
      </c>
      <c r="BA23" s="12">
        <f>'Earn-out e LPC'!AB67</f>
        <v>0</v>
      </c>
    </row>
    <row r="24" spans="1:53" ht="15" customHeight="1" thickBot="1">
      <c r="A24" s="587"/>
      <c r="B24" s="15" t="s">
        <v>428</v>
      </c>
      <c r="C24" s="33">
        <v>278514.50030404713</v>
      </c>
      <c r="D24" s="33">
        <v>254262.99621249657</v>
      </c>
      <c r="E24" s="33">
        <v>270978.94620618055</v>
      </c>
      <c r="F24" s="33">
        <v>285838.5865577521</v>
      </c>
      <c r="G24" s="37">
        <f t="shared" si="0"/>
        <v>1089595.0292804763</v>
      </c>
      <c r="H24" s="33">
        <v>317969.30983077968</v>
      </c>
      <c r="I24" s="33">
        <v>343602.37416522222</v>
      </c>
      <c r="J24" s="33">
        <v>315594.96304368437</v>
      </c>
      <c r="K24" s="33">
        <v>321683.99266343901</v>
      </c>
      <c r="L24" s="37">
        <f t="shared" si="1"/>
        <v>1298850.6397031252</v>
      </c>
      <c r="M24" s="33">
        <v>379305.20089477306</v>
      </c>
      <c r="N24" s="33">
        <v>314187.75963413104</v>
      </c>
      <c r="O24" s="33">
        <v>358750.66117403907</v>
      </c>
      <c r="P24" s="33">
        <v>425355.4041424251</v>
      </c>
      <c r="Q24" s="37">
        <f t="shared" si="2"/>
        <v>1477599.0258453684</v>
      </c>
      <c r="R24" s="33">
        <v>395437.98566358839</v>
      </c>
      <c r="S24" s="33">
        <v>383648.07809326594</v>
      </c>
      <c r="T24" s="33">
        <v>437119.47581389296</v>
      </c>
      <c r="U24" s="33">
        <v>319852.37585709925</v>
      </c>
      <c r="V24" s="37">
        <f t="shared" si="3"/>
        <v>1536057.9154278464</v>
      </c>
      <c r="W24" s="33">
        <v>413929.42108160339</v>
      </c>
      <c r="X24" s="33">
        <v>393938.08222691069</v>
      </c>
      <c r="Y24" s="33">
        <v>508109.56009486166</v>
      </c>
      <c r="Z24" s="33">
        <v>453435.95176036115</v>
      </c>
      <c r="AA24" s="37">
        <f t="shared" si="4"/>
        <v>1769413.0151637371</v>
      </c>
      <c r="AB24" s="33">
        <v>431657.99547693547</v>
      </c>
      <c r="AC24" s="33">
        <v>426631.15742208826</v>
      </c>
      <c r="AD24" s="33">
        <v>492275.00832635164</v>
      </c>
      <c r="AE24" s="33">
        <v>545587.56006922387</v>
      </c>
      <c r="AF24" s="37">
        <f t="shared" si="5"/>
        <v>1896151.7212945991</v>
      </c>
      <c r="AG24" s="33">
        <f>SUM(AG21:AG22)</f>
        <v>557036.11247225106</v>
      </c>
      <c r="AH24" s="33">
        <f>SUM(AH21:AH23)</f>
        <v>680788.23538707627</v>
      </c>
      <c r="AI24" s="33">
        <f>SUM(AI21:AI23)</f>
        <v>766249.11546986224</v>
      </c>
      <c r="AJ24" s="33">
        <f>SUM(AJ21:AJ23)</f>
        <v>948767.18129014969</v>
      </c>
      <c r="AK24" s="37">
        <f t="shared" si="7"/>
        <v>2952840.6446193391</v>
      </c>
      <c r="AL24" s="33">
        <f>SUM(AL21:AL23)</f>
        <v>840370.22852796398</v>
      </c>
      <c r="AM24" s="33">
        <f>SUM(AM21:AM23)</f>
        <v>822578.47644662077</v>
      </c>
      <c r="AN24" s="33">
        <f>SUM(AN21:AN23)</f>
        <v>916574.44648619241</v>
      </c>
      <c r="AO24" s="33">
        <f>SUM(AO21:AO23)</f>
        <v>922413.04908559495</v>
      </c>
      <c r="AP24" s="37">
        <f t="shared" si="9"/>
        <v>3501936.2005463718</v>
      </c>
      <c r="AQ24" s="33">
        <f>SUM(AQ21:AQ23)</f>
        <v>924342.3004885714</v>
      </c>
      <c r="AR24" s="33">
        <f>SUM(AR21:AR23)</f>
        <v>770299.82476939808</v>
      </c>
      <c r="AS24" s="33">
        <f t="shared" ref="AS24" si="30">SUM(AS21:AS23)</f>
        <v>1005316.6046427891</v>
      </c>
      <c r="AT24" s="33">
        <f>AT21+AT22+AT23</f>
        <v>1056825.31469441</v>
      </c>
      <c r="AU24" s="37">
        <f t="shared" si="13"/>
        <v>3756784.0445951689</v>
      </c>
      <c r="AV24" s="33">
        <f t="shared" ref="AV24:AX24" si="31">SUM(AV21:AV23)</f>
        <v>1009385.3453980491</v>
      </c>
      <c r="AW24" s="33">
        <f t="shared" si="31"/>
        <v>1041584.9821403809</v>
      </c>
      <c r="AX24" s="33">
        <f t="shared" si="31"/>
        <v>1140159.9227124837</v>
      </c>
      <c r="AY24" s="33">
        <f>SUM(AY21:AY23)</f>
        <v>1124825.2162471628</v>
      </c>
      <c r="AZ24" s="37">
        <f t="shared" si="14"/>
        <v>4315955.4664980769</v>
      </c>
      <c r="BA24" s="33">
        <f t="shared" ref="BA24" si="32">SUM(BA21:BA23)</f>
        <v>1142974.8998942189</v>
      </c>
    </row>
    <row r="25" spans="1:53" s="2" customFormat="1" ht="52.5" customHeight="1">
      <c r="B25" s="585" t="s">
        <v>429</v>
      </c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>
        <f>'DRE CAIXA SEG_CONTAB_IFRS4'!AQ60</f>
        <v>924342</v>
      </c>
      <c r="AR25" s="271">
        <f>'DRE CAIXA SEG_CONTAB_IFRS4'!AR60</f>
        <v>770300.15207999991</v>
      </c>
      <c r="AS25" s="271">
        <f>'DRE CAIXA SEG_CONTAB_IFRS4'!AS60</f>
        <v>1005316.8626700002</v>
      </c>
      <c r="AT25" s="271">
        <f>'DRE CAIXA SEG_CONTAB_IFRS4'!AT60</f>
        <v>1056825.2982399999</v>
      </c>
      <c r="AU25" s="271"/>
      <c r="AV25" s="271"/>
      <c r="AW25" s="271"/>
      <c r="AX25" s="271"/>
      <c r="AY25" s="271"/>
      <c r="AZ25" s="271"/>
      <c r="BA25" s="271"/>
    </row>
    <row r="26" spans="1:53" s="103" customFormat="1" ht="23.25">
      <c r="A26" s="74"/>
      <c r="B26" s="74" t="s">
        <v>1099</v>
      </c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159"/>
      <c r="W26" s="159"/>
      <c r="X26" s="159"/>
      <c r="Y26" s="159"/>
      <c r="Z26" s="159"/>
      <c r="AA26" s="78"/>
      <c r="AB26" s="159"/>
      <c r="AC26" s="159"/>
      <c r="AD26" s="188"/>
      <c r="AE26" s="188"/>
      <c r="AF26" s="78"/>
      <c r="AG26" s="78"/>
      <c r="AH26" s="78"/>
      <c r="AI26" s="78"/>
      <c r="AJ26" s="188"/>
      <c r="AK26" s="78"/>
      <c r="AL26" s="78"/>
      <c r="AM26" s="78"/>
      <c r="AN26" s="78"/>
      <c r="AO26" s="188"/>
      <c r="AP26" s="78"/>
      <c r="AQ26" s="78"/>
      <c r="AR26" s="78"/>
      <c r="AS26" s="78"/>
      <c r="AT26" s="188"/>
      <c r="AU26" s="78"/>
      <c r="AV26" s="188"/>
      <c r="AW26" s="188"/>
      <c r="AX26" s="188"/>
      <c r="AY26" s="188"/>
      <c r="AZ26" s="78"/>
      <c r="BA26" s="78"/>
    </row>
    <row r="27" spans="1:53" ht="15.75" thickBot="1"/>
    <row r="28" spans="1:53" ht="24.4" customHeight="1">
      <c r="A28" s="625"/>
      <c r="B28" s="625" t="s">
        <v>1127</v>
      </c>
      <c r="C28" s="626" t="s">
        <v>224</v>
      </c>
      <c r="D28" s="626" t="s">
        <v>225</v>
      </c>
      <c r="E28" s="626" t="s">
        <v>226</v>
      </c>
      <c r="F28" s="626" t="s">
        <v>227</v>
      </c>
      <c r="G28" s="652">
        <v>2016</v>
      </c>
      <c r="H28" s="626" t="s">
        <v>228</v>
      </c>
      <c r="I28" s="626" t="s">
        <v>229</v>
      </c>
      <c r="J28" s="626" t="s">
        <v>230</v>
      </c>
      <c r="K28" s="626" t="s">
        <v>231</v>
      </c>
      <c r="L28" s="652">
        <v>2017</v>
      </c>
      <c r="M28" s="626" t="s">
        <v>232</v>
      </c>
      <c r="N28" s="626" t="s">
        <v>233</v>
      </c>
      <c r="O28" s="626" t="s">
        <v>234</v>
      </c>
      <c r="P28" s="626" t="s">
        <v>235</v>
      </c>
      <c r="Q28" s="652">
        <v>2018</v>
      </c>
      <c r="R28" s="626" t="s">
        <v>236</v>
      </c>
      <c r="S28" s="626" t="s">
        <v>237</v>
      </c>
      <c r="T28" s="626" t="s">
        <v>238</v>
      </c>
      <c r="U28" s="626" t="s">
        <v>239</v>
      </c>
      <c r="V28" s="652">
        <v>2019</v>
      </c>
      <c r="W28" s="626" t="s">
        <v>240</v>
      </c>
      <c r="X28" s="626" t="s">
        <v>241</v>
      </c>
      <c r="Y28" s="626" t="s">
        <v>242</v>
      </c>
      <c r="Z28" s="626" t="s">
        <v>243</v>
      </c>
      <c r="AA28" s="652">
        <v>2020</v>
      </c>
      <c r="AB28" s="626" t="s">
        <v>244</v>
      </c>
      <c r="AC28" s="626" t="s">
        <v>245</v>
      </c>
      <c r="AD28" s="626" t="s">
        <v>246</v>
      </c>
      <c r="AE28" s="626" t="s">
        <v>247</v>
      </c>
      <c r="AF28" s="652">
        <v>2021</v>
      </c>
      <c r="AG28" s="626" t="s">
        <v>248</v>
      </c>
      <c r="AH28" s="626" t="s">
        <v>249</v>
      </c>
      <c r="AI28" s="626" t="s">
        <v>250</v>
      </c>
      <c r="AJ28" s="626" t="s">
        <v>215</v>
      </c>
      <c r="AK28" s="652">
        <v>2022</v>
      </c>
      <c r="AL28" s="626" t="s">
        <v>252</v>
      </c>
      <c r="AM28" s="626" t="s">
        <v>253</v>
      </c>
      <c r="AN28" s="626" t="s">
        <v>254</v>
      </c>
      <c r="AO28" s="626" t="s">
        <v>219</v>
      </c>
      <c r="AP28" s="652">
        <v>2023</v>
      </c>
      <c r="AQ28" s="626" t="s">
        <v>223</v>
      </c>
      <c r="AR28" s="626" t="s">
        <v>256</v>
      </c>
      <c r="AS28" s="626" t="s">
        <v>357</v>
      </c>
      <c r="AT28" s="626" t="s">
        <v>358</v>
      </c>
      <c r="AU28" s="652" t="s">
        <v>396</v>
      </c>
      <c r="AV28" s="626" t="s">
        <v>359</v>
      </c>
      <c r="AW28" s="626" t="s">
        <v>1115</v>
      </c>
      <c r="AX28" s="626" t="s">
        <v>1116</v>
      </c>
      <c r="AY28" s="626" t="s">
        <v>1117</v>
      </c>
      <c r="AZ28" s="653" t="s">
        <v>1118</v>
      </c>
      <c r="BA28" s="645" t="s">
        <v>1124</v>
      </c>
    </row>
    <row r="29" spans="1:53">
      <c r="A29" s="9"/>
      <c r="B29" s="9" t="s">
        <v>412</v>
      </c>
      <c r="C29" s="10">
        <v>306136.69557198283</v>
      </c>
      <c r="D29" s="10">
        <v>290161.82087485056</v>
      </c>
      <c r="E29" s="10">
        <v>319085.85033686837</v>
      </c>
      <c r="F29" s="10">
        <v>339391.08435656433</v>
      </c>
      <c r="G29" s="39">
        <v>1254775.4511402661</v>
      </c>
      <c r="H29" s="10">
        <v>301078.49834867247</v>
      </c>
      <c r="I29" s="10">
        <v>335610.08371507429</v>
      </c>
      <c r="J29" s="10">
        <v>266284.06291492976</v>
      </c>
      <c r="K29" s="10">
        <v>369513.68271524459</v>
      </c>
      <c r="L29" s="39">
        <v>1272486.327693921</v>
      </c>
      <c r="M29" s="10">
        <v>355593.44871205674</v>
      </c>
      <c r="N29" s="10">
        <v>368597.54755679407</v>
      </c>
      <c r="O29" s="10">
        <v>720994.32847753377</v>
      </c>
      <c r="P29" s="10">
        <v>269544.40315541928</v>
      </c>
      <c r="Q29" s="39">
        <v>1714729.7279018038</v>
      </c>
      <c r="R29" s="10">
        <v>381242.14260109601</v>
      </c>
      <c r="S29" s="10">
        <v>453560.24197800917</v>
      </c>
      <c r="T29" s="10">
        <v>434990.10591312224</v>
      </c>
      <c r="U29" s="10">
        <v>510459.92556910496</v>
      </c>
      <c r="V29" s="39">
        <v>1780252.4160613324</v>
      </c>
      <c r="W29" s="10">
        <v>429590.60001230793</v>
      </c>
      <c r="X29" s="10">
        <v>456067.85057488142</v>
      </c>
      <c r="Y29" s="10">
        <v>407852.30834650382</v>
      </c>
      <c r="Z29" s="10">
        <v>481519.13922485808</v>
      </c>
      <c r="AA29" s="39">
        <v>1775029.8981585512</v>
      </c>
      <c r="AB29" s="10">
        <v>421478.12176437164</v>
      </c>
      <c r="AC29" s="10">
        <v>421981.34382500395</v>
      </c>
      <c r="AD29" s="10">
        <v>472876.86953049724</v>
      </c>
      <c r="AE29" s="10">
        <v>531662.01697558956</v>
      </c>
      <c r="AF29" s="39">
        <v>1847998.3520954624</v>
      </c>
      <c r="AG29" s="10">
        <f t="shared" ref="AG29:AJ33" si="33">AG47+AG64</f>
        <v>683845.9816597593</v>
      </c>
      <c r="AH29" s="10">
        <f t="shared" si="33"/>
        <v>841009.90237610694</v>
      </c>
      <c r="AI29" s="76">
        <f t="shared" si="33"/>
        <v>810583.16677633324</v>
      </c>
      <c r="AJ29" s="76">
        <f t="shared" si="33"/>
        <v>913525.17746388994</v>
      </c>
      <c r="AK29" s="323">
        <f>SUM(AG29:AJ29)</f>
        <v>3248964.2282760898</v>
      </c>
      <c r="AL29" s="323">
        <f t="shared" ref="AL29:AO33" si="34">AL47+AL64</f>
        <v>992827.32180868997</v>
      </c>
      <c r="AM29" s="10">
        <f t="shared" si="34"/>
        <v>1055945.69747434</v>
      </c>
      <c r="AN29" s="76">
        <f t="shared" si="34"/>
        <v>1080523.118134551</v>
      </c>
      <c r="AO29" s="76">
        <f t="shared" si="34"/>
        <v>1108303.6498688699</v>
      </c>
      <c r="AP29" s="39">
        <f>SUM(AL29:AO29)</f>
        <v>4237599.7872864511</v>
      </c>
      <c r="AQ29" s="323">
        <f t="shared" ref="AQ29:AT33" si="35">AQ47+AQ64</f>
        <v>1126334.76860455</v>
      </c>
      <c r="AR29" s="10">
        <f t="shared" si="35"/>
        <v>868392.77494770999</v>
      </c>
      <c r="AS29" s="76">
        <f t="shared" si="35"/>
        <v>1188921.9165894999</v>
      </c>
      <c r="AT29" s="76">
        <f t="shared" si="35"/>
        <v>1228716.30651497</v>
      </c>
      <c r="AU29" s="39">
        <f>SUM(AQ29:AT29)</f>
        <v>4412365.7666567303</v>
      </c>
      <c r="AV29" s="76">
        <f t="shared" ref="AV29:AY33" si="36">AV47+AV64</f>
        <v>1208135.0018644002</v>
      </c>
      <c r="AW29" s="76">
        <f t="shared" si="36"/>
        <v>1245549.92565345</v>
      </c>
      <c r="AX29" s="76">
        <f t="shared" si="36"/>
        <v>1302115.2015915618</v>
      </c>
      <c r="AY29" s="76">
        <f t="shared" si="36"/>
        <v>1337020.2354752</v>
      </c>
      <c r="AZ29" s="39">
        <f>SUM(AV29:AY29)</f>
        <v>5092820.3645846117</v>
      </c>
      <c r="BA29" s="76">
        <f>BA47+BA64</f>
        <v>1364437.9463546299</v>
      </c>
    </row>
    <row r="30" spans="1:53">
      <c r="A30" s="11"/>
      <c r="B30" s="11" t="s">
        <v>413</v>
      </c>
      <c r="C30" s="12">
        <v>-57165.661789487545</v>
      </c>
      <c r="D30" s="12">
        <v>-62168.510607712997</v>
      </c>
      <c r="E30" s="12">
        <v>-65205.36171992345</v>
      </c>
      <c r="F30" s="12">
        <v>-69630.068291894611</v>
      </c>
      <c r="G30" s="40">
        <v>-254169.60240901861</v>
      </c>
      <c r="H30" s="12">
        <v>-65571.447307978786</v>
      </c>
      <c r="I30" s="12">
        <v>-71749.950569911322</v>
      </c>
      <c r="J30" s="12">
        <v>-74878.374466970097</v>
      </c>
      <c r="K30" s="12">
        <v>-98579.964640798615</v>
      </c>
      <c r="L30" s="40">
        <v>-310779.73698565882</v>
      </c>
      <c r="M30" s="12">
        <v>-73537.811433607363</v>
      </c>
      <c r="N30" s="12">
        <v>-81916.94812093176</v>
      </c>
      <c r="O30" s="12">
        <v>-103539.34013322546</v>
      </c>
      <c r="P30" s="12">
        <v>-106822.03496778407</v>
      </c>
      <c r="Q30" s="40">
        <v>-365816.13465554861</v>
      </c>
      <c r="R30" s="12">
        <v>-81712.180098766054</v>
      </c>
      <c r="S30" s="12">
        <v>-84029.564459701185</v>
      </c>
      <c r="T30" s="12">
        <v>-89828.702852124494</v>
      </c>
      <c r="U30" s="12">
        <v>-122581.5201204461</v>
      </c>
      <c r="V30" s="40">
        <v>-378151.96753103787</v>
      </c>
      <c r="W30" s="12">
        <v>-79977.761756200867</v>
      </c>
      <c r="X30" s="12">
        <v>-93111.848509818854</v>
      </c>
      <c r="Y30" s="12">
        <v>-93365.731803889037</v>
      </c>
      <c r="Z30" s="12">
        <v>-124017.00995988733</v>
      </c>
      <c r="AA30" s="40">
        <v>-390472.35202979611</v>
      </c>
      <c r="AB30" s="12">
        <v>-148719.31528333831</v>
      </c>
      <c r="AC30" s="12">
        <v>-175187.60880502494</v>
      </c>
      <c r="AD30" s="12">
        <v>-172412.84093211527</v>
      </c>
      <c r="AE30" s="12">
        <v>-178428.98083031611</v>
      </c>
      <c r="AF30" s="40">
        <v>-674748.7458507946</v>
      </c>
      <c r="AG30" s="12">
        <f t="shared" si="33"/>
        <v>-176656.99973191082</v>
      </c>
      <c r="AH30" s="12">
        <f t="shared" si="33"/>
        <v>-190551.17322878737</v>
      </c>
      <c r="AI30" s="1">
        <f t="shared" si="33"/>
        <v>-158052.6879886614</v>
      </c>
      <c r="AJ30" s="1">
        <f t="shared" si="33"/>
        <v>-217038.19813833421</v>
      </c>
      <c r="AK30" s="40">
        <f t="shared" ref="AK30:AK44" si="37">SUM(AG30:AJ30)</f>
        <v>-742299.05908769381</v>
      </c>
      <c r="AL30" s="12">
        <f t="shared" si="34"/>
        <v>-208215.09324075998</v>
      </c>
      <c r="AM30" s="12">
        <f t="shared" si="34"/>
        <v>-200575.81834658</v>
      </c>
      <c r="AN30" s="1">
        <f t="shared" si="34"/>
        <v>-198169.25598761337</v>
      </c>
      <c r="AO30" s="489">
        <f t="shared" si="34"/>
        <v>-250441.51876759998</v>
      </c>
      <c r="AP30" s="40">
        <f t="shared" ref="AP30:AP33" si="38">SUM(AL30:AO30)</f>
        <v>-857401.68634255324</v>
      </c>
      <c r="AQ30" s="12">
        <f t="shared" si="35"/>
        <v>-215502.55151044001</v>
      </c>
      <c r="AR30" s="12">
        <f t="shared" si="35"/>
        <v>-227462.87400215003</v>
      </c>
      <c r="AS30" s="1">
        <f t="shared" si="35"/>
        <v>-242441.07262451999</v>
      </c>
      <c r="AT30" s="489">
        <f t="shared" si="35"/>
        <v>-278382.22055510001</v>
      </c>
      <c r="AU30" s="40">
        <f t="shared" ref="AU30:AU33" si="39">SUM(AQ30:AT30)</f>
        <v>-963788.71869221004</v>
      </c>
      <c r="AV30" s="489">
        <f t="shared" si="36"/>
        <v>-245176.00545708</v>
      </c>
      <c r="AW30" s="489">
        <f t="shared" si="36"/>
        <v>-239524.14753353002</v>
      </c>
      <c r="AX30" s="489">
        <f t="shared" si="36"/>
        <v>-264022.58295747888</v>
      </c>
      <c r="AY30" s="489">
        <f t="shared" si="36"/>
        <v>-331389.23383801006</v>
      </c>
      <c r="AZ30" s="40">
        <f t="shared" ref="AZ30:AZ33" si="40">SUM(AV30:AY30)</f>
        <v>-1080111.9697860989</v>
      </c>
      <c r="BA30" s="489">
        <f>BA48+BA65</f>
        <v>-267145.32558255002</v>
      </c>
    </row>
    <row r="31" spans="1:53">
      <c r="A31" s="11"/>
      <c r="B31" s="11" t="s">
        <v>414</v>
      </c>
      <c r="C31" s="13">
        <v>-38897.067894911255</v>
      </c>
      <c r="D31" s="13">
        <v>-39647.901395358349</v>
      </c>
      <c r="E31" s="13">
        <v>-39807.519226291814</v>
      </c>
      <c r="F31" s="13">
        <v>-47521.779452792631</v>
      </c>
      <c r="G31" s="41">
        <v>-165874.26796935406</v>
      </c>
      <c r="H31" s="13">
        <v>-43930.71448210314</v>
      </c>
      <c r="I31" s="13">
        <v>-41229.412950142192</v>
      </c>
      <c r="J31" s="13">
        <v>-41444.541793821161</v>
      </c>
      <c r="K31" s="13">
        <v>-15457.424377305213</v>
      </c>
      <c r="L31" s="41">
        <v>-142062.0936033717</v>
      </c>
      <c r="M31" s="13">
        <v>-45441.171725831839</v>
      </c>
      <c r="N31" s="13">
        <v>-45154.869639148936</v>
      </c>
      <c r="O31" s="13">
        <v>-63309.174278351777</v>
      </c>
      <c r="P31" s="13">
        <v>-48167.828333354439</v>
      </c>
      <c r="Q31" s="41">
        <v>-202073.04397668698</v>
      </c>
      <c r="R31" s="13">
        <v>-45078.656204896499</v>
      </c>
      <c r="S31" s="13">
        <v>-47448.667666163739</v>
      </c>
      <c r="T31" s="13">
        <v>-50490.029427222333</v>
      </c>
      <c r="U31" s="13">
        <v>-49976.017732169639</v>
      </c>
      <c r="V31" s="41">
        <v>-192993.3710304522</v>
      </c>
      <c r="W31" s="13">
        <v>-53195.973333950038</v>
      </c>
      <c r="X31" s="13">
        <v>-54594.587822062233</v>
      </c>
      <c r="Y31" s="13">
        <v>-49970.849026270669</v>
      </c>
      <c r="Z31" s="13">
        <v>-54886.769881024768</v>
      </c>
      <c r="AA31" s="41">
        <v>-212648.18006330769</v>
      </c>
      <c r="AB31" s="13">
        <v>-49776.60802379049</v>
      </c>
      <c r="AC31" s="13">
        <v>-46223.586573201246</v>
      </c>
      <c r="AD31" s="13">
        <v>-51731.760048222466</v>
      </c>
      <c r="AE31" s="13">
        <v>-66331.842460859509</v>
      </c>
      <c r="AF31" s="41">
        <v>-214063.7971060737</v>
      </c>
      <c r="AG31" s="13">
        <f t="shared" si="33"/>
        <v>-63693.469837961718</v>
      </c>
      <c r="AH31" s="13">
        <f t="shared" si="33"/>
        <v>-69727.368110648895</v>
      </c>
      <c r="AI31" s="1">
        <f t="shared" si="33"/>
        <v>-80399.564011489303</v>
      </c>
      <c r="AJ31" s="1">
        <f t="shared" si="33"/>
        <v>-81729.926113769601</v>
      </c>
      <c r="AK31" s="41">
        <f t="shared" si="37"/>
        <v>-295550.32807386952</v>
      </c>
      <c r="AL31" s="13">
        <f t="shared" si="34"/>
        <v>-91796.576859230001</v>
      </c>
      <c r="AM31" s="13">
        <f t="shared" si="34"/>
        <v>-93087.345263800002</v>
      </c>
      <c r="AN31" s="1">
        <f t="shared" si="34"/>
        <v>-96436.975023676816</v>
      </c>
      <c r="AO31" s="489">
        <f t="shared" si="34"/>
        <v>-99991.460090059991</v>
      </c>
      <c r="AP31" s="41">
        <f t="shared" si="38"/>
        <v>-381312.35723676684</v>
      </c>
      <c r="AQ31" s="13">
        <f t="shared" si="35"/>
        <v>-102821.70270752998</v>
      </c>
      <c r="AR31" s="13">
        <f t="shared" si="35"/>
        <v>-105840.60354393</v>
      </c>
      <c r="AS31" s="1">
        <f t="shared" si="35"/>
        <v>-103463.83872447</v>
      </c>
      <c r="AT31" s="489">
        <f t="shared" si="35"/>
        <v>-109616.53667427</v>
      </c>
      <c r="AU31" s="41">
        <f t="shared" si="39"/>
        <v>-421742.68165019999</v>
      </c>
      <c r="AV31" s="489">
        <f t="shared" si="36"/>
        <v>-112055.35260893</v>
      </c>
      <c r="AW31" s="489">
        <f t="shared" si="36"/>
        <v>-108397.18020294</v>
      </c>
      <c r="AX31" s="489">
        <f t="shared" si="36"/>
        <v>-110846.12583314037</v>
      </c>
      <c r="AY31" s="489">
        <f t="shared" si="36"/>
        <v>-112098.38539775999</v>
      </c>
      <c r="AZ31" s="41">
        <f t="shared" si="40"/>
        <v>-443397.04404277029</v>
      </c>
      <c r="BA31" s="489">
        <f>BA49+BA66</f>
        <v>-110548.23460555999</v>
      </c>
    </row>
    <row r="32" spans="1:53">
      <c r="A32" s="11"/>
      <c r="B32" s="11" t="s">
        <v>415</v>
      </c>
      <c r="C32" s="13">
        <v>182535.858796007</v>
      </c>
      <c r="D32" s="13">
        <v>192886.30689318251</v>
      </c>
      <c r="E32" s="13">
        <v>187031.02381596743</v>
      </c>
      <c r="F32" s="13">
        <v>183671.13972001337</v>
      </c>
      <c r="G32" s="41">
        <v>746124.32922517031</v>
      </c>
      <c r="H32" s="13">
        <v>219427.34615191701</v>
      </c>
      <c r="I32" s="13">
        <v>162544.14184850699</v>
      </c>
      <c r="J32" s="13">
        <v>206479.64247752941</v>
      </c>
      <c r="K32" s="13">
        <v>236184.74345145567</v>
      </c>
      <c r="L32" s="41">
        <v>824635.87392940908</v>
      </c>
      <c r="M32" s="13">
        <v>186771.08773002657</v>
      </c>
      <c r="N32" s="13">
        <v>160819.13577479011</v>
      </c>
      <c r="O32" s="13">
        <v>164007.34619220556</v>
      </c>
      <c r="P32" s="13">
        <v>178586.72504884977</v>
      </c>
      <c r="Q32" s="41">
        <v>690184.29474587203</v>
      </c>
      <c r="R32" s="13">
        <v>201217.91180587499</v>
      </c>
      <c r="S32" s="13">
        <v>183120.06930621515</v>
      </c>
      <c r="T32" s="13">
        <v>197980.83690270942</v>
      </c>
      <c r="U32" s="13">
        <v>223265.15237177126</v>
      </c>
      <c r="V32" s="41">
        <v>805583.9703865709</v>
      </c>
      <c r="W32" s="13">
        <v>216476.64044345715</v>
      </c>
      <c r="X32" s="13">
        <v>224853.05968273382</v>
      </c>
      <c r="Y32" s="13">
        <v>226689.16189811536</v>
      </c>
      <c r="Z32" s="13">
        <v>215347.6043255814</v>
      </c>
      <c r="AA32" s="41">
        <v>883366.46634988766</v>
      </c>
      <c r="AB32" s="13">
        <v>241181.75347052829</v>
      </c>
      <c r="AC32" s="13">
        <v>251309.49537562596</v>
      </c>
      <c r="AD32" s="13">
        <v>234716.75481205137</v>
      </c>
      <c r="AE32" s="13">
        <v>284766.82786592166</v>
      </c>
      <c r="AF32" s="41">
        <v>1011974.8315241273</v>
      </c>
      <c r="AG32" s="13">
        <f t="shared" si="33"/>
        <v>121796.70061335164</v>
      </c>
      <c r="AH32" s="13">
        <f t="shared" si="33"/>
        <v>82338.938366808012</v>
      </c>
      <c r="AI32" s="1">
        <f t="shared" si="33"/>
        <v>147650.7580209173</v>
      </c>
      <c r="AJ32" s="1">
        <f t="shared" si="33"/>
        <v>177241.80143156706</v>
      </c>
      <c r="AK32" s="41">
        <f t="shared" si="37"/>
        <v>529028.19843264401</v>
      </c>
      <c r="AL32" s="13">
        <f t="shared" si="34"/>
        <v>230789.15455496457</v>
      </c>
      <c r="AM32" s="13">
        <f t="shared" si="34"/>
        <v>217321.9330929608</v>
      </c>
      <c r="AN32" s="1">
        <f t="shared" si="34"/>
        <v>279569.03696386621</v>
      </c>
      <c r="AO32" s="489">
        <f t="shared" si="34"/>
        <v>263525.85107413516</v>
      </c>
      <c r="AP32" s="41">
        <f t="shared" si="38"/>
        <v>991205.97568592674</v>
      </c>
      <c r="AQ32" s="13">
        <f t="shared" si="35"/>
        <v>239199.98191857006</v>
      </c>
      <c r="AR32" s="13">
        <f t="shared" si="35"/>
        <v>237399.276890651</v>
      </c>
      <c r="AS32" s="1">
        <f t="shared" si="35"/>
        <v>264816.51463621872</v>
      </c>
      <c r="AT32" s="489">
        <f t="shared" si="35"/>
        <v>271482.68936432002</v>
      </c>
      <c r="AU32" s="41">
        <f t="shared" si="39"/>
        <v>1012898.4628097598</v>
      </c>
      <c r="AV32" s="489">
        <f t="shared" si="36"/>
        <v>293165.40966635925</v>
      </c>
      <c r="AW32" s="489">
        <f t="shared" si="36"/>
        <v>311266.28218392062</v>
      </c>
      <c r="AX32" s="489">
        <f t="shared" si="36"/>
        <v>385139.51309601567</v>
      </c>
      <c r="AY32" s="489">
        <f t="shared" si="36"/>
        <v>369055.41054519243</v>
      </c>
      <c r="AZ32" s="41">
        <f t="shared" si="40"/>
        <v>1358626.615491488</v>
      </c>
      <c r="BA32" s="489">
        <f>BA50+BA67</f>
        <v>340885.00378702919</v>
      </c>
    </row>
    <row r="33" spans="1:53">
      <c r="A33" s="11"/>
      <c r="B33" s="11" t="s">
        <v>416</v>
      </c>
      <c r="C33" s="12">
        <v>2520.3870006839816</v>
      </c>
      <c r="D33" s="12">
        <v>3930.1973145001152</v>
      </c>
      <c r="E33" s="12">
        <v>4478.9750902736823</v>
      </c>
      <c r="F33" s="12">
        <v>5399.7004500303201</v>
      </c>
      <c r="G33" s="40">
        <v>16329.259855488097</v>
      </c>
      <c r="H33" s="12">
        <v>4771.38154485</v>
      </c>
      <c r="I33" s="12">
        <v>48519.696402198053</v>
      </c>
      <c r="J33" s="12">
        <v>28285.908603320884</v>
      </c>
      <c r="K33" s="12">
        <v>-66607.906105724542</v>
      </c>
      <c r="L33" s="40">
        <v>14969.080444644394</v>
      </c>
      <c r="M33" s="12">
        <v>-39406.305649818016</v>
      </c>
      <c r="N33" s="12">
        <v>42894.421422382366</v>
      </c>
      <c r="O33" s="12">
        <v>-75071.965703971349</v>
      </c>
      <c r="P33" s="12">
        <v>82553.541073966378</v>
      </c>
      <c r="Q33" s="40">
        <v>10969.691142559386</v>
      </c>
      <c r="R33" s="12">
        <v>2108.3964365730549</v>
      </c>
      <c r="S33" s="12">
        <v>11081.455958948913</v>
      </c>
      <c r="T33" s="12">
        <v>4106.111877866645</v>
      </c>
      <c r="U33" s="12">
        <v>-34419.144408160741</v>
      </c>
      <c r="V33" s="40">
        <v>-17123.180134772127</v>
      </c>
      <c r="W33" s="12">
        <v>4446.8337725339816</v>
      </c>
      <c r="X33" s="12">
        <v>4012.7446459499993</v>
      </c>
      <c r="Y33" s="12">
        <v>8761.5375592138444</v>
      </c>
      <c r="Z33" s="12">
        <v>-8405.915751779632</v>
      </c>
      <c r="AA33" s="40">
        <v>8815.2002259181918</v>
      </c>
      <c r="AB33" s="12">
        <v>6492.0374999999995</v>
      </c>
      <c r="AC33" s="12">
        <v>12599.033399999998</v>
      </c>
      <c r="AD33" s="12">
        <v>6947.5174999999999</v>
      </c>
      <c r="AE33" s="12">
        <v>10721.6325</v>
      </c>
      <c r="AF33" s="40">
        <v>36760.2209</v>
      </c>
      <c r="AG33" s="12">
        <f t="shared" si="33"/>
        <v>5640.4230127000001</v>
      </c>
      <c r="AH33" s="12">
        <f t="shared" si="33"/>
        <v>2991.9814458300002</v>
      </c>
      <c r="AI33" s="1">
        <f t="shared" si="33"/>
        <v>13103.247883310001</v>
      </c>
      <c r="AJ33" s="1">
        <f t="shared" si="33"/>
        <v>30138.869381120003</v>
      </c>
      <c r="AK33" s="40">
        <f t="shared" si="37"/>
        <v>51874.521722960009</v>
      </c>
      <c r="AL33" s="12">
        <f t="shared" si="34"/>
        <v>1796.82936692</v>
      </c>
      <c r="AM33" s="12">
        <f t="shared" si="34"/>
        <v>4167.3510317099999</v>
      </c>
      <c r="AN33" s="1">
        <f t="shared" si="34"/>
        <v>14565.222368210001</v>
      </c>
      <c r="AO33" s="489">
        <f t="shared" si="34"/>
        <v>10193.29140858</v>
      </c>
      <c r="AP33" s="40">
        <f t="shared" si="38"/>
        <v>30722.694175420002</v>
      </c>
      <c r="AQ33" s="12">
        <f t="shared" si="35"/>
        <v>8413.3495357100001</v>
      </c>
      <c r="AR33" s="12">
        <f t="shared" si="35"/>
        <v>10346.72635452</v>
      </c>
      <c r="AS33" s="1">
        <f t="shared" si="35"/>
        <v>10846.596178400001</v>
      </c>
      <c r="AT33" s="489">
        <f t="shared" si="35"/>
        <v>3253.97885352</v>
      </c>
      <c r="AU33" s="40">
        <f t="shared" si="39"/>
        <v>32860.650922150002</v>
      </c>
      <c r="AV33" s="489">
        <f t="shared" si="36"/>
        <v>4117.17104939</v>
      </c>
      <c r="AW33" s="489">
        <f t="shared" si="36"/>
        <v>2002.8567943300002</v>
      </c>
      <c r="AX33" s="489">
        <f t="shared" si="36"/>
        <v>1672.8269106100001</v>
      </c>
      <c r="AY33" s="489">
        <f t="shared" si="36"/>
        <v>-6539.3201959900007</v>
      </c>
      <c r="AZ33" s="40">
        <f t="shared" si="40"/>
        <v>1253.5345583400003</v>
      </c>
      <c r="BA33" s="489">
        <f>BA51+BA68</f>
        <v>0</v>
      </c>
    </row>
    <row r="34" spans="1:53">
      <c r="A34" s="11"/>
      <c r="B34" s="11" t="s">
        <v>417</v>
      </c>
      <c r="C34" s="12"/>
      <c r="D34" s="12"/>
      <c r="E34" s="12"/>
      <c r="F34" s="12"/>
      <c r="G34" s="40"/>
      <c r="H34" s="12"/>
      <c r="I34" s="12"/>
      <c r="J34" s="12"/>
      <c r="K34" s="12"/>
      <c r="L34" s="40"/>
      <c r="M34" s="12"/>
      <c r="N34" s="12"/>
      <c r="O34" s="12"/>
      <c r="P34" s="12"/>
      <c r="Q34" s="40"/>
      <c r="R34" s="12"/>
      <c r="S34" s="12"/>
      <c r="T34" s="12"/>
      <c r="U34" s="12"/>
      <c r="V34" s="40"/>
      <c r="W34" s="12"/>
      <c r="X34" s="12"/>
      <c r="Y34" s="12"/>
      <c r="Z34" s="12"/>
      <c r="AA34" s="40"/>
      <c r="AB34" s="12"/>
      <c r="AC34" s="12"/>
      <c r="AD34" s="12"/>
      <c r="AE34" s="12"/>
      <c r="AF34" s="40"/>
      <c r="AG34" s="12"/>
      <c r="AH34" s="12"/>
      <c r="AI34" s="1"/>
      <c r="AJ34" s="1"/>
      <c r="AK34" s="40"/>
      <c r="AL34" s="12"/>
      <c r="AM34" s="12"/>
      <c r="AN34" s="1"/>
      <c r="AO34" s="489"/>
      <c r="AP34" s="40"/>
      <c r="AQ34" s="12"/>
      <c r="AR34" s="12"/>
      <c r="AS34" s="1"/>
      <c r="AT34" s="489"/>
      <c r="AU34" s="40"/>
      <c r="AV34" s="489"/>
      <c r="AW34" s="489"/>
      <c r="AX34" s="489"/>
      <c r="AY34" s="489"/>
      <c r="AZ34" s="40"/>
      <c r="BA34" s="489"/>
    </row>
    <row r="35" spans="1:53">
      <c r="A35" s="9"/>
      <c r="B35" s="9" t="s">
        <v>418</v>
      </c>
      <c r="C35" s="10">
        <v>395130.21168427501</v>
      </c>
      <c r="D35" s="10">
        <v>385161.91307946184</v>
      </c>
      <c r="E35" s="10">
        <v>405582.96829689422</v>
      </c>
      <c r="F35" s="10">
        <v>411310.0767819208</v>
      </c>
      <c r="G35" s="39">
        <v>1597185.1698425519</v>
      </c>
      <c r="H35" s="10">
        <v>415775.06425535755</v>
      </c>
      <c r="I35" s="10">
        <v>433694.55844572582</v>
      </c>
      <c r="J35" s="10">
        <v>384726.69773498882</v>
      </c>
      <c r="K35" s="10">
        <v>425053.13104287186</v>
      </c>
      <c r="L35" s="39">
        <v>1659249.4514789439</v>
      </c>
      <c r="M35" s="10">
        <v>383979.2476328261</v>
      </c>
      <c r="N35" s="10">
        <v>445239.28699388588</v>
      </c>
      <c r="O35" s="10">
        <v>643081.19455419073</v>
      </c>
      <c r="P35" s="10">
        <v>375694.8059770969</v>
      </c>
      <c r="Q35" s="39">
        <v>1847994.5351579995</v>
      </c>
      <c r="R35" s="10">
        <v>457777.61453988153</v>
      </c>
      <c r="S35" s="10">
        <v>516283.53511730832</v>
      </c>
      <c r="T35" s="10">
        <v>496758.32241435151</v>
      </c>
      <c r="U35" s="10">
        <v>526748.39568009973</v>
      </c>
      <c r="V35" s="39">
        <v>1997567.8677516412</v>
      </c>
      <c r="W35" s="10">
        <v>517340.33913814818</v>
      </c>
      <c r="X35" s="10">
        <v>537227.21857168421</v>
      </c>
      <c r="Y35" s="10">
        <v>499966.42697367328</v>
      </c>
      <c r="Z35" s="10">
        <v>509557.04795774777</v>
      </c>
      <c r="AA35" s="39">
        <v>2064091.0326412534</v>
      </c>
      <c r="AB35" s="10">
        <v>470655.98942777113</v>
      </c>
      <c r="AC35" s="10">
        <v>464478.6772224037</v>
      </c>
      <c r="AD35" s="10">
        <v>490259.29086221091</v>
      </c>
      <c r="AE35" s="10">
        <v>584452.15405033552</v>
      </c>
      <c r="AF35" s="39">
        <v>2009846.1115627212</v>
      </c>
      <c r="AG35" s="10">
        <f t="shared" ref="AG35:AJ44" si="41">AG52+AG70</f>
        <v>570933.385687934</v>
      </c>
      <c r="AH35" s="10">
        <f t="shared" si="41"/>
        <v>666063.03084930871</v>
      </c>
      <c r="AI35" s="76">
        <f t="shared" si="41"/>
        <v>732885.67068040976</v>
      </c>
      <c r="AJ35" s="76">
        <f t="shared" si="41"/>
        <v>822137.72402447322</v>
      </c>
      <c r="AK35" s="39">
        <f t="shared" si="37"/>
        <v>2792019.8112421259</v>
      </c>
      <c r="AL35" s="10">
        <f t="shared" ref="AL35:AO44" si="42">AL52+AL70</f>
        <v>925401.63563058455</v>
      </c>
      <c r="AM35" s="10">
        <f t="shared" si="42"/>
        <v>983771.81798863073</v>
      </c>
      <c r="AN35" s="76">
        <f t="shared" si="42"/>
        <v>1080051.1464553368</v>
      </c>
      <c r="AO35" s="76">
        <f t="shared" si="42"/>
        <v>1031589.8134939251</v>
      </c>
      <c r="AP35" s="39">
        <f t="shared" ref="AP35:AP44" si="43">SUM(AL35:AO35)</f>
        <v>4020814.4135684771</v>
      </c>
      <c r="AQ35" s="10">
        <f t="shared" ref="AQ35:AT44" si="44">AQ52+AQ70</f>
        <v>1055623.8458408602</v>
      </c>
      <c r="AR35" s="10">
        <f t="shared" si="44"/>
        <v>782835.30064680101</v>
      </c>
      <c r="AS35" s="76">
        <f t="shared" si="44"/>
        <v>1118680.1160551286</v>
      </c>
      <c r="AT35" s="76">
        <f t="shared" si="44"/>
        <v>1115454.2175034399</v>
      </c>
      <c r="AU35" s="39">
        <f t="shared" ref="AU35:AU44" si="45">SUM(AQ35:AT35)</f>
        <v>4072593.4800462294</v>
      </c>
      <c r="AV35" s="76">
        <f t="shared" ref="AV35:AY44" si="46">AV52+AV70</f>
        <v>1148186.2245141394</v>
      </c>
      <c r="AW35" s="76">
        <f t="shared" si="46"/>
        <v>1210897.7368952306</v>
      </c>
      <c r="AX35" s="76">
        <f t="shared" si="46"/>
        <v>1314058.8328075681</v>
      </c>
      <c r="AY35" s="76">
        <f t="shared" si="46"/>
        <v>1256048.7065886324</v>
      </c>
      <c r="AZ35" s="39">
        <f t="shared" ref="AZ35:AZ44" si="47">SUM(AV35:AY35)</f>
        <v>4929191.5008055707</v>
      </c>
      <c r="BA35" s="76">
        <f t="shared" ref="BA35:BA44" si="48">BA52+BA70</f>
        <v>1327629.3899535488</v>
      </c>
    </row>
    <row r="36" spans="1:53">
      <c r="A36" s="11"/>
      <c r="B36" s="11" t="s">
        <v>419</v>
      </c>
      <c r="C36" s="12">
        <v>592.36239749099991</v>
      </c>
      <c r="D36" s="12">
        <v>-3577.0488921899982</v>
      </c>
      <c r="E36" s="12">
        <v>19.03060823999915</v>
      </c>
      <c r="F36" s="12">
        <v>-10957.217095862006</v>
      </c>
      <c r="G36" s="40">
        <v>-13922.872982321005</v>
      </c>
      <c r="H36" s="12">
        <v>-8.9682941759999988</v>
      </c>
      <c r="I36" s="12">
        <v>-16089.774086789999</v>
      </c>
      <c r="J36" s="12">
        <v>17.521182066001778</v>
      </c>
      <c r="K36" s="12">
        <v>6191.6528163989969</v>
      </c>
      <c r="L36" s="40">
        <v>-9889.5683825010001</v>
      </c>
      <c r="M36" s="12">
        <v>51.222830918999996</v>
      </c>
      <c r="N36" s="12">
        <v>94.529946233999965</v>
      </c>
      <c r="O36" s="12">
        <v>-34100.673935414998</v>
      </c>
      <c r="P36" s="12">
        <v>6881.9047896779948</v>
      </c>
      <c r="Q36" s="40">
        <v>-27073.016368584002</v>
      </c>
      <c r="R36" s="12">
        <v>1049.6805580170001</v>
      </c>
      <c r="S36" s="12">
        <v>-100698.197988714</v>
      </c>
      <c r="T36" s="12">
        <v>1359.2127039239772</v>
      </c>
      <c r="U36" s="12">
        <v>-54334.419333596954</v>
      </c>
      <c r="V36" s="40">
        <v>-152623.72406036998</v>
      </c>
      <c r="W36" s="12">
        <v>-12647.025773031</v>
      </c>
      <c r="X36" s="12">
        <v>-1952.5793928510006</v>
      </c>
      <c r="Y36" s="12">
        <v>566.93824172399923</v>
      </c>
      <c r="Z36" s="12">
        <v>-54348.792336866994</v>
      </c>
      <c r="AA36" s="40">
        <v>-68381.459261024997</v>
      </c>
      <c r="AB36" s="12">
        <v>146.18609599999999</v>
      </c>
      <c r="AC36" s="12">
        <v>2599.2275</v>
      </c>
      <c r="AD36" s="12">
        <v>303.49250000000001</v>
      </c>
      <c r="AE36" s="12">
        <v>-27106.93282224525</v>
      </c>
      <c r="AF36" s="40">
        <v>-24058.026726245251</v>
      </c>
      <c r="AG36" s="12">
        <f t="shared" si="41"/>
        <v>967.37234138999997</v>
      </c>
      <c r="AH36" s="12">
        <f t="shared" si="41"/>
        <v>588.43819593059993</v>
      </c>
      <c r="AI36" s="1">
        <f t="shared" si="41"/>
        <v>567.88499693999995</v>
      </c>
      <c r="AJ36" s="1">
        <f t="shared" si="41"/>
        <v>57806.59656297</v>
      </c>
      <c r="AK36" s="40">
        <f t="shared" si="37"/>
        <v>59930.292097230602</v>
      </c>
      <c r="AL36" s="12">
        <f t="shared" si="42"/>
        <v>234.61241755</v>
      </c>
      <c r="AM36" s="12">
        <f t="shared" si="42"/>
        <v>-21072.345074910001</v>
      </c>
      <c r="AN36" s="1">
        <f t="shared" si="42"/>
        <v>-12.54499558</v>
      </c>
      <c r="AO36" s="489">
        <f t="shared" si="42"/>
        <v>-14137.737004070001</v>
      </c>
      <c r="AP36" s="40">
        <f t="shared" si="43"/>
        <v>-34988.014657010004</v>
      </c>
      <c r="AQ36" s="12">
        <f t="shared" si="44"/>
        <v>0.77499830000000003</v>
      </c>
      <c r="AR36" s="12">
        <f t="shared" si="44"/>
        <v>-4654.7338579400002</v>
      </c>
      <c r="AS36" s="1">
        <f t="shared" si="44"/>
        <v>3236.60885964</v>
      </c>
      <c r="AT36" s="489">
        <f t="shared" si="44"/>
        <v>-25630.87346943</v>
      </c>
      <c r="AU36" s="40">
        <f t="shared" si="45"/>
        <v>-27048.223469429999</v>
      </c>
      <c r="AV36" s="489">
        <f t="shared" si="46"/>
        <v>10199.420029410001</v>
      </c>
      <c r="AW36" s="489">
        <f t="shared" si="46"/>
        <v>-6000.9728835000005</v>
      </c>
      <c r="AX36" s="489">
        <f t="shared" si="46"/>
        <v>-23.637504249999996</v>
      </c>
      <c r="AY36" s="489">
        <f t="shared" si="46"/>
        <v>28302.509878880002</v>
      </c>
      <c r="AZ36" s="40">
        <f t="shared" si="47"/>
        <v>32477.319520540004</v>
      </c>
      <c r="BA36" s="489">
        <f t="shared" si="48"/>
        <v>2548.4066005300001</v>
      </c>
    </row>
    <row r="37" spans="1:53">
      <c r="A37" s="9"/>
      <c r="B37" s="9" t="s">
        <v>420</v>
      </c>
      <c r="C37" s="10">
        <v>395722.57408176601</v>
      </c>
      <c r="D37" s="10">
        <v>381584.86418727186</v>
      </c>
      <c r="E37" s="10">
        <v>405601.99890513421</v>
      </c>
      <c r="F37" s="10">
        <v>400352.85968605877</v>
      </c>
      <c r="G37" s="39">
        <v>1583262.2968602309</v>
      </c>
      <c r="H37" s="10">
        <v>415766.09596118156</v>
      </c>
      <c r="I37" s="10">
        <v>417604.78435893584</v>
      </c>
      <c r="J37" s="10">
        <v>384744.21891705482</v>
      </c>
      <c r="K37" s="10">
        <v>431244.78385927086</v>
      </c>
      <c r="L37" s="39">
        <v>1649359.883096443</v>
      </c>
      <c r="M37" s="10">
        <v>384030.47046374512</v>
      </c>
      <c r="N37" s="10">
        <v>445333.8169401199</v>
      </c>
      <c r="O37" s="10">
        <v>608980.52061877574</v>
      </c>
      <c r="P37" s="10">
        <v>382576.71076677489</v>
      </c>
      <c r="Q37" s="39">
        <v>1820921.5187894155</v>
      </c>
      <c r="R37" s="10">
        <v>458827.29509789852</v>
      </c>
      <c r="S37" s="10">
        <v>415585.33712859428</v>
      </c>
      <c r="T37" s="10">
        <v>498117.5351182755</v>
      </c>
      <c r="U37" s="10">
        <v>472413.97634650278</v>
      </c>
      <c r="V37" s="39">
        <v>1844944.1436912711</v>
      </c>
      <c r="W37" s="10">
        <v>504693.31336511718</v>
      </c>
      <c r="X37" s="10">
        <v>535274.63917883323</v>
      </c>
      <c r="Y37" s="10">
        <v>500533.36521539727</v>
      </c>
      <c r="Z37" s="10">
        <v>455208.25562088075</v>
      </c>
      <c r="AA37" s="39">
        <v>1995709.5733802284</v>
      </c>
      <c r="AB37" s="10">
        <v>470802.17552377115</v>
      </c>
      <c r="AC37" s="10">
        <v>467077.90472240373</v>
      </c>
      <c r="AD37" s="10">
        <v>490562.7833622109</v>
      </c>
      <c r="AE37" s="10">
        <v>557345.22122809035</v>
      </c>
      <c r="AF37" s="39">
        <v>1985788.0848364762</v>
      </c>
      <c r="AG37" s="10">
        <f t="shared" si="41"/>
        <v>571900.758029324</v>
      </c>
      <c r="AH37" s="10">
        <f t="shared" si="41"/>
        <v>666651.46904523927</v>
      </c>
      <c r="AI37" s="76">
        <f t="shared" si="41"/>
        <v>733453.55567734968</v>
      </c>
      <c r="AJ37" s="76">
        <f t="shared" si="41"/>
        <v>879944.3205874433</v>
      </c>
      <c r="AK37" s="39">
        <f t="shared" si="37"/>
        <v>2851950.1033393564</v>
      </c>
      <c r="AL37" s="10">
        <f t="shared" si="42"/>
        <v>925636.2480481345</v>
      </c>
      <c r="AM37" s="10">
        <f t="shared" si="42"/>
        <v>962699.47291372076</v>
      </c>
      <c r="AN37" s="76">
        <f t="shared" si="42"/>
        <v>1080038.601459757</v>
      </c>
      <c r="AO37" s="76">
        <f t="shared" si="42"/>
        <v>1017452.0764898551</v>
      </c>
      <c r="AP37" s="39">
        <f t="shared" si="43"/>
        <v>3985826.3989114673</v>
      </c>
      <c r="AQ37" s="10">
        <f t="shared" si="44"/>
        <v>1055624.6208391602</v>
      </c>
      <c r="AR37" s="10">
        <f t="shared" si="44"/>
        <v>778180.56678886106</v>
      </c>
      <c r="AS37" s="76">
        <f t="shared" si="44"/>
        <v>1121916.7249147687</v>
      </c>
      <c r="AT37" s="76">
        <f t="shared" si="44"/>
        <v>1089823.3440340101</v>
      </c>
      <c r="AU37" s="39">
        <f t="shared" si="45"/>
        <v>4045545.2565768003</v>
      </c>
      <c r="AV37" s="76">
        <f t="shared" si="46"/>
        <v>1158385.6445435493</v>
      </c>
      <c r="AW37" s="76">
        <f t="shared" si="46"/>
        <v>1204896.7640117307</v>
      </c>
      <c r="AX37" s="76">
        <f t="shared" si="46"/>
        <v>1314035.1953033181</v>
      </c>
      <c r="AY37" s="76">
        <f t="shared" si="46"/>
        <v>1284351.2164675123</v>
      </c>
      <c r="AZ37" s="39">
        <f t="shared" si="47"/>
        <v>4961668.8203261103</v>
      </c>
      <c r="BA37" s="76">
        <f t="shared" si="48"/>
        <v>1330177.7965540788</v>
      </c>
    </row>
    <row r="38" spans="1:53">
      <c r="A38" s="11"/>
      <c r="B38" s="11" t="s">
        <v>421</v>
      </c>
      <c r="C38" s="13">
        <v>-96339.056393194711</v>
      </c>
      <c r="D38" s="13">
        <v>-94515.001885208258</v>
      </c>
      <c r="E38" s="13">
        <v>-98694.861719222201</v>
      </c>
      <c r="F38" s="13">
        <v>-85086.512413919758</v>
      </c>
      <c r="G38" s="41">
        <v>-374635.43241154496</v>
      </c>
      <c r="H38" s="13">
        <v>-98932.921795718532</v>
      </c>
      <c r="I38" s="13">
        <v>-89823.010096101236</v>
      </c>
      <c r="J38" s="13">
        <v>-89747.667014720078</v>
      </c>
      <c r="K38" s="13">
        <v>-82505.505766999282</v>
      </c>
      <c r="L38" s="41">
        <v>-361009.10467353911</v>
      </c>
      <c r="M38" s="13">
        <v>-78707.008242637428</v>
      </c>
      <c r="N38" s="13">
        <v>-122599.96839933255</v>
      </c>
      <c r="O38" s="13">
        <v>-189987.99519535477</v>
      </c>
      <c r="P38" s="13">
        <v>-44728.8303023966</v>
      </c>
      <c r="Q38" s="41">
        <v>-436023.8021397214</v>
      </c>
      <c r="R38" s="13">
        <v>-112218.92327929162</v>
      </c>
      <c r="S38" s="13">
        <v>-97724.81879131477</v>
      </c>
      <c r="T38" s="13">
        <v>-118109.46744574571</v>
      </c>
      <c r="U38" s="13">
        <v>-142194.3673502405</v>
      </c>
      <c r="V38" s="41">
        <v>-470247.57686659263</v>
      </c>
      <c r="W38" s="13">
        <v>-123903.23054962403</v>
      </c>
      <c r="X38" s="13">
        <v>-152796.02163777727</v>
      </c>
      <c r="Y38" s="13">
        <v>-119902.09008803677</v>
      </c>
      <c r="Z38" s="13">
        <v>-98704.516164411049</v>
      </c>
      <c r="AA38" s="41">
        <v>-495305.85843984911</v>
      </c>
      <c r="AB38" s="13">
        <v>-116545.95675091899</v>
      </c>
      <c r="AC38" s="13">
        <v>-114691.27203604749</v>
      </c>
      <c r="AD38" s="13">
        <v>-119958.10102272926</v>
      </c>
      <c r="AE38" s="13">
        <v>-127663.49598717832</v>
      </c>
      <c r="AF38" s="41">
        <v>-478858.82579687401</v>
      </c>
      <c r="AG38" s="13">
        <f t="shared" si="41"/>
        <v>-142124.3885062318</v>
      </c>
      <c r="AH38" s="13">
        <f t="shared" si="41"/>
        <v>-168546.19546683389</v>
      </c>
      <c r="AI38" s="1">
        <f t="shared" si="41"/>
        <v>-178459.48618991749</v>
      </c>
      <c r="AJ38" s="1">
        <f t="shared" si="41"/>
        <v>-211498.0536084976</v>
      </c>
      <c r="AK38" s="41">
        <f t="shared" si="37"/>
        <v>-700628.12377148075</v>
      </c>
      <c r="AL38" s="13">
        <f t="shared" si="42"/>
        <v>-231095.67377830413</v>
      </c>
      <c r="AM38" s="13">
        <f t="shared" si="42"/>
        <v>-240494.12408936</v>
      </c>
      <c r="AN38" s="1">
        <f t="shared" si="42"/>
        <v>-266240.59185646079</v>
      </c>
      <c r="AO38" s="489">
        <f t="shared" si="42"/>
        <v>-242673.80028138234</v>
      </c>
      <c r="AP38" s="41">
        <f t="shared" si="43"/>
        <v>-980504.19000550732</v>
      </c>
      <c r="AQ38" s="13">
        <f t="shared" si="44"/>
        <v>-261694.69183570764</v>
      </c>
      <c r="AR38" s="13">
        <f t="shared" si="44"/>
        <v>-193123.29013472702</v>
      </c>
      <c r="AS38" s="1">
        <f t="shared" si="44"/>
        <v>-271220.13768817589</v>
      </c>
      <c r="AT38" s="489">
        <f t="shared" si="44"/>
        <v>-237789.27645715117</v>
      </c>
      <c r="AU38" s="41">
        <f t="shared" si="45"/>
        <v>-963827.39611576172</v>
      </c>
      <c r="AV38" s="489">
        <f t="shared" si="46"/>
        <v>-287683.45003382704</v>
      </c>
      <c r="AW38" s="489">
        <f t="shared" si="46"/>
        <v>-297924.09753643884</v>
      </c>
      <c r="AX38" s="489">
        <f t="shared" si="46"/>
        <v>-324396.15364213841</v>
      </c>
      <c r="AY38" s="489">
        <f t="shared" si="46"/>
        <v>-283605.01590952999</v>
      </c>
      <c r="AZ38" s="41">
        <f t="shared" si="47"/>
        <v>-1193608.7171219343</v>
      </c>
      <c r="BA38" s="489">
        <f t="shared" si="48"/>
        <v>-328580.05721851235</v>
      </c>
    </row>
    <row r="39" spans="1:53">
      <c r="A39" s="11"/>
      <c r="B39" s="11" t="s">
        <v>422</v>
      </c>
      <c r="C39" s="13">
        <v>-75267.624947298042</v>
      </c>
      <c r="D39" s="13">
        <v>-73112.423466793232</v>
      </c>
      <c r="E39" s="13">
        <v>-77251.448229751419</v>
      </c>
      <c r="F39" s="13">
        <v>-64759.430422866884</v>
      </c>
      <c r="G39" s="41">
        <v>-290390.92706670961</v>
      </c>
      <c r="H39" s="13">
        <v>-81211.65822238315</v>
      </c>
      <c r="I39" s="13">
        <v>-68103.446415712315</v>
      </c>
      <c r="J39" s="13">
        <v>-63575.271398750316</v>
      </c>
      <c r="K39" s="13">
        <v>-91090.538505832563</v>
      </c>
      <c r="L39" s="41">
        <v>-303980.91454267834</v>
      </c>
      <c r="M39" s="13">
        <v>-63302.016532034613</v>
      </c>
      <c r="N39" s="13">
        <v>-97429.926252956109</v>
      </c>
      <c r="O39" s="13">
        <v>-157260.1382826817</v>
      </c>
      <c r="P39" s="13">
        <v>-32413.035851353423</v>
      </c>
      <c r="Q39" s="41">
        <v>-350405.11691902584</v>
      </c>
      <c r="R39" s="13">
        <v>-66370.884727418437</v>
      </c>
      <c r="S39" s="13">
        <v>-59225.274935013564</v>
      </c>
      <c r="T39" s="13">
        <v>-72212.970535236644</v>
      </c>
      <c r="U39" s="13">
        <v>-86283.725797470805</v>
      </c>
      <c r="V39" s="41">
        <v>-284092.85599513946</v>
      </c>
      <c r="W39" s="13">
        <v>-73899.501713889724</v>
      </c>
      <c r="X39" s="13">
        <v>-90123.021032645251</v>
      </c>
      <c r="Y39" s="13">
        <v>-71250.965902498865</v>
      </c>
      <c r="Z39" s="13">
        <v>-58806.119723635391</v>
      </c>
      <c r="AA39" s="41">
        <v>-294079.6083726692</v>
      </c>
      <c r="AB39" s="13">
        <v>-70693.50154751075</v>
      </c>
      <c r="AC39" s="13">
        <v>-67289.069524058999</v>
      </c>
      <c r="AD39" s="13">
        <v>-99956.157873716045</v>
      </c>
      <c r="AE39" s="13">
        <v>-97077.613239619415</v>
      </c>
      <c r="AF39" s="41">
        <v>-335016.3421849052</v>
      </c>
      <c r="AG39" s="13">
        <f t="shared" si="41"/>
        <v>-86266.709094521211</v>
      </c>
      <c r="AH39" s="13">
        <f t="shared" si="41"/>
        <v>-99194.803304888948</v>
      </c>
      <c r="AI39" s="1">
        <f t="shared" si="41"/>
        <v>-112669.21316751</v>
      </c>
      <c r="AJ39" s="1">
        <f t="shared" si="41"/>
        <v>-131706.840164436</v>
      </c>
      <c r="AK39" s="41">
        <f t="shared" si="37"/>
        <v>-429837.56573135615</v>
      </c>
      <c r="AL39" s="13">
        <f t="shared" si="42"/>
        <v>-136384.29920529589</v>
      </c>
      <c r="AM39" s="13">
        <f t="shared" si="42"/>
        <v>-142168.26057248001</v>
      </c>
      <c r="AN39" s="1">
        <f t="shared" si="42"/>
        <v>-157116.88639372637</v>
      </c>
      <c r="AO39" s="489">
        <f t="shared" si="42"/>
        <v>-144715.17118619764</v>
      </c>
      <c r="AP39" s="41">
        <f t="shared" si="43"/>
        <v>-580384.6173576999</v>
      </c>
      <c r="AQ39" s="13">
        <f t="shared" si="44"/>
        <v>-152702.25776119236</v>
      </c>
      <c r="AR39" s="13">
        <f t="shared" si="44"/>
        <v>-111845.20379971294</v>
      </c>
      <c r="AS39" s="1">
        <f t="shared" si="44"/>
        <v>-162680.7384827341</v>
      </c>
      <c r="AT39" s="489">
        <f t="shared" si="44"/>
        <v>-154431.1791207288</v>
      </c>
      <c r="AU39" s="41">
        <f t="shared" si="45"/>
        <v>-581659.37916436815</v>
      </c>
      <c r="AV39" s="489">
        <f t="shared" si="46"/>
        <v>-167878.01310675294</v>
      </c>
      <c r="AW39" s="489">
        <f t="shared" si="46"/>
        <v>-171946.88548227117</v>
      </c>
      <c r="AX39" s="489">
        <f t="shared" si="46"/>
        <v>-189210.96282240649</v>
      </c>
      <c r="AY39" s="489">
        <f t="shared" si="46"/>
        <v>-190336.56189829001</v>
      </c>
      <c r="AZ39" s="41">
        <f t="shared" si="47"/>
        <v>-719372.42330972059</v>
      </c>
      <c r="BA39" s="489">
        <f t="shared" si="48"/>
        <v>-194667.01369146767</v>
      </c>
    </row>
    <row r="40" spans="1:53">
      <c r="A40" s="11"/>
      <c r="B40" s="11" t="s">
        <v>423</v>
      </c>
      <c r="C40" s="13">
        <v>0</v>
      </c>
      <c r="D40" s="13">
        <v>0</v>
      </c>
      <c r="E40" s="13">
        <v>0</v>
      </c>
      <c r="F40" s="13">
        <v>0</v>
      </c>
      <c r="G40" s="41">
        <v>0</v>
      </c>
      <c r="H40" s="13">
        <v>0</v>
      </c>
      <c r="I40" s="13">
        <v>0</v>
      </c>
      <c r="J40" s="13">
        <v>0</v>
      </c>
      <c r="K40" s="13">
        <v>0</v>
      </c>
      <c r="L40" s="41">
        <v>0</v>
      </c>
      <c r="M40" s="13">
        <v>0</v>
      </c>
      <c r="N40" s="13">
        <v>0</v>
      </c>
      <c r="O40" s="13">
        <v>0</v>
      </c>
      <c r="P40" s="13">
        <v>0</v>
      </c>
      <c r="Q40" s="41">
        <v>0</v>
      </c>
      <c r="R40" s="13">
        <v>0</v>
      </c>
      <c r="S40" s="13">
        <v>0</v>
      </c>
      <c r="T40" s="13">
        <v>0</v>
      </c>
      <c r="U40" s="13">
        <v>0</v>
      </c>
      <c r="V40" s="41">
        <v>0</v>
      </c>
      <c r="W40" s="13">
        <v>0</v>
      </c>
      <c r="X40" s="13">
        <v>0</v>
      </c>
      <c r="Y40" s="13">
        <v>0</v>
      </c>
      <c r="Z40" s="13">
        <v>0</v>
      </c>
      <c r="AA40" s="41">
        <v>0</v>
      </c>
      <c r="AB40" s="13">
        <v>-537.48446249999995</v>
      </c>
      <c r="AC40" s="13">
        <v>-779.58168000000001</v>
      </c>
      <c r="AD40" s="13">
        <v>509.51353499999982</v>
      </c>
      <c r="AE40" s="13">
        <v>323.80260750000002</v>
      </c>
      <c r="AF40" s="41">
        <v>-483.75</v>
      </c>
      <c r="AG40" s="13">
        <f t="shared" si="41"/>
        <v>0</v>
      </c>
      <c r="AH40" s="13">
        <f t="shared" si="41"/>
        <v>0</v>
      </c>
      <c r="AI40" s="1">
        <f t="shared" si="41"/>
        <v>0</v>
      </c>
      <c r="AJ40" s="1">
        <f t="shared" si="41"/>
        <v>0</v>
      </c>
      <c r="AK40" s="41">
        <f t="shared" si="37"/>
        <v>0</v>
      </c>
      <c r="AL40" s="13">
        <f t="shared" si="42"/>
        <v>0.75</v>
      </c>
      <c r="AM40" s="13">
        <f t="shared" si="42"/>
        <v>1.5</v>
      </c>
      <c r="AN40" s="1">
        <f t="shared" si="42"/>
        <v>1.5</v>
      </c>
      <c r="AO40" s="489">
        <f t="shared" si="42"/>
        <v>0</v>
      </c>
      <c r="AP40" s="41">
        <f t="shared" si="43"/>
        <v>3.75</v>
      </c>
      <c r="AQ40" s="13">
        <f t="shared" si="44"/>
        <v>0</v>
      </c>
      <c r="AR40" s="13">
        <f t="shared" si="44"/>
        <v>0</v>
      </c>
      <c r="AS40" s="1">
        <f t="shared" si="44"/>
        <v>0</v>
      </c>
      <c r="AT40" s="489">
        <f t="shared" si="44"/>
        <v>0</v>
      </c>
      <c r="AU40" s="41">
        <f t="shared" si="45"/>
        <v>0</v>
      </c>
      <c r="AV40" s="489">
        <f t="shared" si="46"/>
        <v>0</v>
      </c>
      <c r="AW40" s="489">
        <f t="shared" si="46"/>
        <v>0</v>
      </c>
      <c r="AX40" s="489">
        <f t="shared" si="46"/>
        <v>0</v>
      </c>
      <c r="AY40" s="489">
        <f t="shared" si="46"/>
        <v>0</v>
      </c>
      <c r="AZ40" s="41">
        <f t="shared" si="47"/>
        <v>0</v>
      </c>
      <c r="BA40" s="489">
        <f t="shared" si="48"/>
        <v>0</v>
      </c>
    </row>
    <row r="41" spans="1:53">
      <c r="A41" s="11"/>
      <c r="B41" s="11" t="s">
        <v>424</v>
      </c>
      <c r="C41" s="13">
        <v>-3.4772261811442146E-3</v>
      </c>
      <c r="D41" s="13">
        <v>3.4772261776364758E-3</v>
      </c>
      <c r="E41" s="13">
        <v>-98.195959979992978</v>
      </c>
      <c r="F41" s="13">
        <v>98.195959980000865</v>
      </c>
      <c r="G41" s="41">
        <v>4.3769432522822171E-12</v>
      </c>
      <c r="H41" s="13">
        <v>0</v>
      </c>
      <c r="I41" s="13">
        <v>1.0523217497393488E-11</v>
      </c>
      <c r="J41" s="13">
        <v>-8.7693479144945736E-12</v>
      </c>
      <c r="K41" s="13">
        <v>-5.2616087486967441E-12</v>
      </c>
      <c r="L41" s="41">
        <v>-3.5077391657978294E-12</v>
      </c>
      <c r="M41" s="13">
        <v>3.5077391657978294E-12</v>
      </c>
      <c r="N41" s="13">
        <v>1.7538695828989147E-12</v>
      </c>
      <c r="O41" s="13">
        <v>-1.0523217497393488E-11</v>
      </c>
      <c r="P41" s="13">
        <v>1.7538695828989147E-12</v>
      </c>
      <c r="Q41" s="41">
        <v>-3.5077391657978294E-12</v>
      </c>
      <c r="R41" s="13">
        <v>3.5077391657978294E-12</v>
      </c>
      <c r="S41" s="13">
        <v>-7.0154783315956589E-12</v>
      </c>
      <c r="T41" s="13">
        <v>-3.5077391657978294E-12</v>
      </c>
      <c r="U41" s="13">
        <v>3.5077391657978294E-12</v>
      </c>
      <c r="V41" s="41">
        <v>-3.5077391657978294E-12</v>
      </c>
      <c r="W41" s="13">
        <v>0</v>
      </c>
      <c r="X41" s="13">
        <v>8.7693479144945736E-13</v>
      </c>
      <c r="Y41" s="13">
        <v>1.7538695828989147E-12</v>
      </c>
      <c r="Z41" s="13">
        <v>-261.51886247303469</v>
      </c>
      <c r="AA41" s="41">
        <v>-261.51886247303207</v>
      </c>
      <c r="AB41" s="13">
        <v>-408.02725660724866</v>
      </c>
      <c r="AC41" s="13">
        <v>-392.50718862725989</v>
      </c>
      <c r="AD41" s="13">
        <v>-383.84706999423952</v>
      </c>
      <c r="AE41" s="13">
        <v>-1611.1855805362843</v>
      </c>
      <c r="AF41" s="41">
        <v>-2795.5670957650323</v>
      </c>
      <c r="AG41" s="13">
        <f t="shared" si="41"/>
        <v>-1132.642128674406</v>
      </c>
      <c r="AH41" s="13">
        <f t="shared" si="41"/>
        <v>-502.97982252000003</v>
      </c>
      <c r="AI41" s="1">
        <f t="shared" si="41"/>
        <v>-536.75481062000006</v>
      </c>
      <c r="AJ41" s="1">
        <f t="shared" si="41"/>
        <v>522.54731589000005</v>
      </c>
      <c r="AK41" s="41">
        <f t="shared" si="37"/>
        <v>-1649.8294459244062</v>
      </c>
      <c r="AL41" s="13">
        <f t="shared" si="42"/>
        <v>0</v>
      </c>
      <c r="AM41" s="13">
        <f t="shared" si="42"/>
        <v>0</v>
      </c>
      <c r="AN41" s="1">
        <f t="shared" si="42"/>
        <v>0</v>
      </c>
      <c r="AO41" s="489">
        <f t="shared" si="42"/>
        <v>0</v>
      </c>
      <c r="AP41" s="41">
        <f t="shared" si="43"/>
        <v>0</v>
      </c>
      <c r="AQ41" s="13">
        <f t="shared" si="44"/>
        <v>0</v>
      </c>
      <c r="AR41" s="13">
        <f t="shared" si="44"/>
        <v>0</v>
      </c>
      <c r="AS41" s="1">
        <f t="shared" si="44"/>
        <v>0</v>
      </c>
      <c r="AT41" s="489">
        <f t="shared" si="44"/>
        <v>0</v>
      </c>
      <c r="AU41" s="41">
        <f t="shared" si="45"/>
        <v>0</v>
      </c>
      <c r="AV41" s="489">
        <f t="shared" si="46"/>
        <v>0</v>
      </c>
      <c r="AW41" s="489">
        <f t="shared" si="46"/>
        <v>0</v>
      </c>
      <c r="AX41" s="489">
        <f t="shared" si="46"/>
        <v>0</v>
      </c>
      <c r="AY41" s="489">
        <f t="shared" si="46"/>
        <v>0</v>
      </c>
      <c r="AZ41" s="41">
        <f t="shared" si="47"/>
        <v>0</v>
      </c>
      <c r="BA41" s="489">
        <f t="shared" si="48"/>
        <v>0</v>
      </c>
    </row>
    <row r="42" spans="1:53">
      <c r="A42" s="15"/>
      <c r="B42" s="15" t="s">
        <v>425</v>
      </c>
      <c r="C42" s="16">
        <v>224115.88926404709</v>
      </c>
      <c r="D42" s="16">
        <v>213957.44231249657</v>
      </c>
      <c r="E42" s="16">
        <v>229557.49299618058</v>
      </c>
      <c r="F42" s="16">
        <v>250605.11280925214</v>
      </c>
      <c r="G42" s="45">
        <v>918235.93738197628</v>
      </c>
      <c r="H42" s="16">
        <v>235621.51594307987</v>
      </c>
      <c r="I42" s="16">
        <v>259678.32784712227</v>
      </c>
      <c r="J42" s="16">
        <v>231421.28050358442</v>
      </c>
      <c r="K42" s="16">
        <v>257648.73958643904</v>
      </c>
      <c r="L42" s="45">
        <v>984369.86388022569</v>
      </c>
      <c r="M42" s="16">
        <v>242021.44568907307</v>
      </c>
      <c r="N42" s="16">
        <v>225303.92228783126</v>
      </c>
      <c r="O42" s="16">
        <v>261732.38714073924</v>
      </c>
      <c r="P42" s="16">
        <v>305434.84461302485</v>
      </c>
      <c r="Q42" s="45">
        <v>1034492.5997306685</v>
      </c>
      <c r="R42" s="16">
        <v>280237.48709118849</v>
      </c>
      <c r="S42" s="16">
        <v>258635.24340226594</v>
      </c>
      <c r="T42" s="16">
        <v>307795.09713729314</v>
      </c>
      <c r="U42" s="16">
        <v>243935.8831987915</v>
      </c>
      <c r="V42" s="45">
        <v>1090603.710829539</v>
      </c>
      <c r="W42" s="16">
        <v>306890.58110160346</v>
      </c>
      <c r="X42" s="16">
        <v>292355.5965084107</v>
      </c>
      <c r="Y42" s="16">
        <v>309380.30922486162</v>
      </c>
      <c r="Z42" s="16">
        <v>297436.10087036132</v>
      </c>
      <c r="AA42" s="45">
        <v>1206062.5877052371</v>
      </c>
      <c r="AB42" s="16">
        <v>282617.2055062342</v>
      </c>
      <c r="AC42" s="16">
        <v>283925.47429366998</v>
      </c>
      <c r="AD42" s="16">
        <v>270774.19093077135</v>
      </c>
      <c r="AE42" s="16">
        <v>331316.72902825632</v>
      </c>
      <c r="AF42" s="45">
        <v>1168633.5997589319</v>
      </c>
      <c r="AG42" s="16">
        <f t="shared" si="41"/>
        <v>342377.01829989662</v>
      </c>
      <c r="AH42" s="16">
        <f t="shared" si="41"/>
        <v>398407.49045099644</v>
      </c>
      <c r="AI42" s="16">
        <f t="shared" si="41"/>
        <v>441788.10150930227</v>
      </c>
      <c r="AJ42" s="16">
        <f t="shared" si="41"/>
        <v>537261.97413039964</v>
      </c>
      <c r="AK42" s="45">
        <f t="shared" si="37"/>
        <v>1719834.5843905951</v>
      </c>
      <c r="AL42" s="16">
        <f t="shared" si="42"/>
        <v>558157.02506453439</v>
      </c>
      <c r="AM42" s="16">
        <f t="shared" si="42"/>
        <v>580038.58825188072</v>
      </c>
      <c r="AN42" s="16">
        <f t="shared" si="42"/>
        <v>656682.62320956972</v>
      </c>
      <c r="AO42" s="16">
        <f t="shared" si="42"/>
        <v>630063.10502227512</v>
      </c>
      <c r="AP42" s="45">
        <f t="shared" si="43"/>
        <v>2424941.3415482603</v>
      </c>
      <c r="AQ42" s="16">
        <f t="shared" si="44"/>
        <v>641227.67124226014</v>
      </c>
      <c r="AR42" s="16">
        <f t="shared" si="44"/>
        <v>473212.0728544211</v>
      </c>
      <c r="AS42" s="16">
        <f t="shared" si="44"/>
        <v>688015.84874385863</v>
      </c>
      <c r="AT42" s="16">
        <f t="shared" si="44"/>
        <v>697602.88845612993</v>
      </c>
      <c r="AU42" s="45">
        <f t="shared" si="45"/>
        <v>2500058.4812966697</v>
      </c>
      <c r="AV42" s="16">
        <f t="shared" si="46"/>
        <v>702824.18140296917</v>
      </c>
      <c r="AW42" s="16">
        <f t="shared" si="46"/>
        <v>735025.78099302074</v>
      </c>
      <c r="AX42" s="16">
        <f t="shared" si="46"/>
        <v>800428.0788387733</v>
      </c>
      <c r="AY42" s="16">
        <f t="shared" si="46"/>
        <v>810409.63865969225</v>
      </c>
      <c r="AZ42" s="45">
        <f t="shared" si="47"/>
        <v>3048687.6798944557</v>
      </c>
      <c r="BA42" s="16">
        <f t="shared" si="48"/>
        <v>806930.72564409871</v>
      </c>
    </row>
    <row r="43" spans="1:53">
      <c r="A43" s="11"/>
      <c r="B43" s="11" t="s">
        <v>431</v>
      </c>
      <c r="C43" s="13">
        <v>0</v>
      </c>
      <c r="D43" s="13">
        <v>0</v>
      </c>
      <c r="E43" s="13">
        <v>0</v>
      </c>
      <c r="F43" s="13">
        <v>0</v>
      </c>
      <c r="G43" s="41">
        <v>0</v>
      </c>
      <c r="H43" s="13">
        <v>0</v>
      </c>
      <c r="I43" s="13">
        <v>0</v>
      </c>
      <c r="J43" s="13">
        <v>0</v>
      </c>
      <c r="K43" s="13">
        <v>0</v>
      </c>
      <c r="L43" s="41">
        <v>0</v>
      </c>
      <c r="M43" s="13">
        <v>0</v>
      </c>
      <c r="N43" s="13">
        <v>0</v>
      </c>
      <c r="O43" s="13">
        <v>0</v>
      </c>
      <c r="P43" s="13">
        <v>0</v>
      </c>
      <c r="Q43" s="41">
        <v>0</v>
      </c>
      <c r="R43" s="13">
        <v>0</v>
      </c>
      <c r="S43" s="13">
        <v>3089.7788999999998</v>
      </c>
      <c r="T43" s="13">
        <v>1315.1687999999999</v>
      </c>
      <c r="U43" s="13">
        <v>1306.780881907719</v>
      </c>
      <c r="V43" s="41">
        <v>5711.7285819077188</v>
      </c>
      <c r="W43" s="13">
        <v>1306.9730999999999</v>
      </c>
      <c r="X43" s="13">
        <v>1311.7940999999998</v>
      </c>
      <c r="Y43" s="13">
        <v>1310.8299</v>
      </c>
      <c r="Z43" s="13">
        <v>-1926.9536999999998</v>
      </c>
      <c r="AA43" s="41">
        <v>2002.6434000000002</v>
      </c>
      <c r="AB43" s="13">
        <v>27382.313870701215</v>
      </c>
      <c r="AC43" s="13">
        <v>28600.091348418468</v>
      </c>
      <c r="AD43" s="13">
        <v>27213.372427680326</v>
      </c>
      <c r="AE43" s="13">
        <v>14263.45363096757</v>
      </c>
      <c r="AF43" s="41">
        <v>97459.231277767583</v>
      </c>
      <c r="AG43" s="13">
        <f t="shared" si="41"/>
        <v>25304.703584350002</v>
      </c>
      <c r="AH43" s="13">
        <f t="shared" si="41"/>
        <v>4068.1641560800017</v>
      </c>
      <c r="AI43" s="1">
        <f t="shared" si="41"/>
        <v>3933.6875805600002</v>
      </c>
      <c r="AJ43" s="1">
        <f t="shared" si="41"/>
        <v>-84.437470250000004</v>
      </c>
      <c r="AK43" s="41">
        <f t="shared" si="37"/>
        <v>33222.117850740004</v>
      </c>
      <c r="AL43" s="13">
        <f t="shared" si="42"/>
        <v>89.605043429300011</v>
      </c>
      <c r="AM43" s="13">
        <f t="shared" si="42"/>
        <v>327.13488474000002</v>
      </c>
      <c r="AN43" s="1">
        <f t="shared" si="42"/>
        <v>-451.6270033774764</v>
      </c>
      <c r="AO43" s="1">
        <f t="shared" si="42"/>
        <v>2963.3439559198964</v>
      </c>
      <c r="AP43" s="41">
        <f t="shared" si="43"/>
        <v>2928.4568807117203</v>
      </c>
      <c r="AQ43" s="13">
        <f t="shared" si="44"/>
        <v>174.66493846</v>
      </c>
      <c r="AR43" s="13">
        <f t="shared" si="44"/>
        <v>962.10466101999998</v>
      </c>
      <c r="AS43" s="1">
        <f t="shared" si="44"/>
        <v>-2582.1940902110882</v>
      </c>
      <c r="AT43" s="1">
        <f t="shared" si="44"/>
        <v>-326.65238491000002</v>
      </c>
      <c r="AU43" s="41">
        <f t="shared" si="45"/>
        <v>-1772.0768756410885</v>
      </c>
      <c r="AV43" s="1">
        <f t="shared" si="46"/>
        <v>-63.207477730000001</v>
      </c>
      <c r="AW43" s="1">
        <f t="shared" si="46"/>
        <v>-252.82991092</v>
      </c>
      <c r="AX43" s="1">
        <f t="shared" si="46"/>
        <v>267.30490581999999</v>
      </c>
      <c r="AY43" s="1">
        <f t="shared" si="46"/>
        <v>-1690.19690449</v>
      </c>
      <c r="AZ43" s="41">
        <f t="shared" si="47"/>
        <v>-1738.9293873199999</v>
      </c>
      <c r="BA43" s="1">
        <f t="shared" si="48"/>
        <v>9452.1716697000011</v>
      </c>
    </row>
    <row r="44" spans="1:53" ht="15.75" thickBot="1">
      <c r="A44" s="15"/>
      <c r="B44" s="15" t="s">
        <v>428</v>
      </c>
      <c r="C44" s="33">
        <v>224115.88926404709</v>
      </c>
      <c r="D44" s="33">
        <v>213957.44231249657</v>
      </c>
      <c r="E44" s="33">
        <v>229557.49299618058</v>
      </c>
      <c r="F44" s="33">
        <v>250605.11280925214</v>
      </c>
      <c r="G44" s="37">
        <v>918235.93738197628</v>
      </c>
      <c r="H44" s="33">
        <v>235621.51594307987</v>
      </c>
      <c r="I44" s="33">
        <v>259678.32784712227</v>
      </c>
      <c r="J44" s="33">
        <v>231421.28050358442</v>
      </c>
      <c r="K44" s="33">
        <v>257648.73958643904</v>
      </c>
      <c r="L44" s="37">
        <v>984369.86388022569</v>
      </c>
      <c r="M44" s="33">
        <v>242021.44568907307</v>
      </c>
      <c r="N44" s="33">
        <v>225303.92228783126</v>
      </c>
      <c r="O44" s="33">
        <v>261732.38714073924</v>
      </c>
      <c r="P44" s="33">
        <v>305434.84461302485</v>
      </c>
      <c r="Q44" s="37">
        <v>1034492.5997306685</v>
      </c>
      <c r="R44" s="33">
        <v>280237.48709118849</v>
      </c>
      <c r="S44" s="33">
        <v>261725.02230226595</v>
      </c>
      <c r="T44" s="33">
        <v>309110.26593729312</v>
      </c>
      <c r="U44" s="33">
        <v>245242.66408069924</v>
      </c>
      <c r="V44" s="37">
        <v>1096315.4394114467</v>
      </c>
      <c r="W44" s="33">
        <v>308197.55420160346</v>
      </c>
      <c r="X44" s="33">
        <v>293667.3906084107</v>
      </c>
      <c r="Y44" s="33">
        <v>310691.13912486163</v>
      </c>
      <c r="Z44" s="33">
        <v>295509.14717036131</v>
      </c>
      <c r="AA44" s="37">
        <v>1208065.2311052373</v>
      </c>
      <c r="AB44" s="33">
        <v>309999.51937693538</v>
      </c>
      <c r="AC44" s="33">
        <v>312525.56564208842</v>
      </c>
      <c r="AD44" s="33">
        <v>297987.56335845171</v>
      </c>
      <c r="AE44" s="33">
        <v>345580.18265922391</v>
      </c>
      <c r="AF44" s="37">
        <v>1266092.8310366995</v>
      </c>
      <c r="AG44" s="33">
        <f t="shared" si="41"/>
        <v>367681.72188424668</v>
      </c>
      <c r="AH44" s="33">
        <f t="shared" si="41"/>
        <v>402475.65460707643</v>
      </c>
      <c r="AI44" s="33">
        <f t="shared" si="41"/>
        <v>445721.78908986226</v>
      </c>
      <c r="AJ44" s="33">
        <f t="shared" si="41"/>
        <v>537177.53666014969</v>
      </c>
      <c r="AK44" s="37">
        <f t="shared" si="37"/>
        <v>1753056.7022413351</v>
      </c>
      <c r="AL44" s="33">
        <f t="shared" si="42"/>
        <v>558246.63010796369</v>
      </c>
      <c r="AM44" s="33">
        <f t="shared" si="42"/>
        <v>580365.72313662071</v>
      </c>
      <c r="AN44" s="33">
        <f t="shared" si="42"/>
        <v>656230.9962061923</v>
      </c>
      <c r="AO44" s="33">
        <f t="shared" si="42"/>
        <v>633026.44897819508</v>
      </c>
      <c r="AP44" s="37">
        <f t="shared" si="43"/>
        <v>2427869.7984289718</v>
      </c>
      <c r="AQ44" s="33">
        <f t="shared" si="44"/>
        <v>641402.33618072013</v>
      </c>
      <c r="AR44" s="33">
        <f t="shared" si="44"/>
        <v>474174.17751544109</v>
      </c>
      <c r="AS44" s="33">
        <f t="shared" si="44"/>
        <v>685433.65465364757</v>
      </c>
      <c r="AT44" s="33">
        <f t="shared" si="44"/>
        <v>697276.23607122002</v>
      </c>
      <c r="AU44" s="37">
        <f t="shared" si="45"/>
        <v>2498286.4044210287</v>
      </c>
      <c r="AV44" s="33">
        <f t="shared" si="46"/>
        <v>702760.97392523917</v>
      </c>
      <c r="AW44" s="33">
        <f t="shared" si="46"/>
        <v>734772.95108210074</v>
      </c>
      <c r="AX44" s="33">
        <f t="shared" si="46"/>
        <v>800695.38374459324</v>
      </c>
      <c r="AY44" s="33">
        <f t="shared" si="46"/>
        <v>808719.44175520225</v>
      </c>
      <c r="AZ44" s="37">
        <f t="shared" si="47"/>
        <v>3046948.7505071354</v>
      </c>
      <c r="BA44" s="33">
        <f t="shared" si="48"/>
        <v>816382.89731379878</v>
      </c>
    </row>
    <row r="45" spans="1:53" s="2" customFormat="1" ht="15.75" thickBot="1"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J45" s="77"/>
      <c r="AK45" s="77"/>
      <c r="AL45" s="77"/>
      <c r="AO45" s="77"/>
      <c r="AP45" s="77"/>
      <c r="AQ45" s="77"/>
      <c r="AT45" s="77"/>
      <c r="AU45" s="77"/>
      <c r="AV45" s="77"/>
      <c r="AW45" s="77"/>
      <c r="AX45" s="77"/>
      <c r="AY45" s="77"/>
      <c r="AZ45" s="77"/>
      <c r="BA45" s="77"/>
    </row>
    <row r="46" spans="1:53" s="30" customFormat="1" ht="24.4" customHeight="1">
      <c r="A46" s="625"/>
      <c r="B46" s="625" t="s">
        <v>432</v>
      </c>
      <c r="C46" s="626" t="s">
        <v>224</v>
      </c>
      <c r="D46" s="626" t="s">
        <v>225</v>
      </c>
      <c r="E46" s="626" t="s">
        <v>226</v>
      </c>
      <c r="F46" s="626" t="s">
        <v>227</v>
      </c>
      <c r="G46" s="652">
        <v>2016</v>
      </c>
      <c r="H46" s="626" t="s">
        <v>228</v>
      </c>
      <c r="I46" s="626" t="s">
        <v>229</v>
      </c>
      <c r="J46" s="626" t="s">
        <v>230</v>
      </c>
      <c r="K46" s="626" t="s">
        <v>231</v>
      </c>
      <c r="L46" s="652">
        <v>2017</v>
      </c>
      <c r="M46" s="626" t="s">
        <v>232</v>
      </c>
      <c r="N46" s="626" t="s">
        <v>233</v>
      </c>
      <c r="O46" s="626" t="s">
        <v>234</v>
      </c>
      <c r="P46" s="626" t="s">
        <v>235</v>
      </c>
      <c r="Q46" s="652">
        <v>2018</v>
      </c>
      <c r="R46" s="626" t="s">
        <v>236</v>
      </c>
      <c r="S46" s="626" t="s">
        <v>237</v>
      </c>
      <c r="T46" s="626" t="s">
        <v>238</v>
      </c>
      <c r="U46" s="626" t="s">
        <v>239</v>
      </c>
      <c r="V46" s="652">
        <v>2019</v>
      </c>
      <c r="W46" s="626" t="s">
        <v>240</v>
      </c>
      <c r="X46" s="626" t="s">
        <v>241</v>
      </c>
      <c r="Y46" s="626" t="s">
        <v>242</v>
      </c>
      <c r="Z46" s="626" t="s">
        <v>243</v>
      </c>
      <c r="AA46" s="652">
        <v>2020</v>
      </c>
      <c r="AB46" s="626" t="s">
        <v>244</v>
      </c>
      <c r="AC46" s="626" t="s">
        <v>245</v>
      </c>
      <c r="AD46" s="626" t="s">
        <v>246</v>
      </c>
      <c r="AE46" s="626" t="s">
        <v>247</v>
      </c>
      <c r="AF46" s="652">
        <v>2021</v>
      </c>
      <c r="AG46" s="626" t="s">
        <v>248</v>
      </c>
      <c r="AH46" s="626" t="s">
        <v>249</v>
      </c>
      <c r="AI46" s="626" t="s">
        <v>250</v>
      </c>
      <c r="AJ46" s="626" t="s">
        <v>215</v>
      </c>
      <c r="AK46" s="652">
        <v>2022</v>
      </c>
      <c r="AL46" s="626" t="s">
        <v>252</v>
      </c>
      <c r="AM46" s="626" t="s">
        <v>253</v>
      </c>
      <c r="AN46" s="626" t="s">
        <v>254</v>
      </c>
      <c r="AO46" s="626" t="s">
        <v>219</v>
      </c>
      <c r="AP46" s="652">
        <v>2023</v>
      </c>
      <c r="AQ46" s="626" t="s">
        <v>223</v>
      </c>
      <c r="AR46" s="626" t="s">
        <v>256</v>
      </c>
      <c r="AS46" s="626" t="s">
        <v>357</v>
      </c>
      <c r="AT46" s="626" t="s">
        <v>358</v>
      </c>
      <c r="AU46" s="652">
        <v>2024</v>
      </c>
      <c r="AV46" s="626" t="s">
        <v>359</v>
      </c>
      <c r="AW46" s="626" t="s">
        <v>1115</v>
      </c>
      <c r="AX46" s="626" t="s">
        <v>1116</v>
      </c>
      <c r="AY46" s="626" t="s">
        <v>1117</v>
      </c>
      <c r="AZ46" s="653" t="s">
        <v>1118</v>
      </c>
      <c r="BA46" s="645" t="s">
        <v>1124</v>
      </c>
    </row>
    <row r="47" spans="1:53">
      <c r="A47" s="9"/>
      <c r="B47" s="9" t="s">
        <v>412</v>
      </c>
      <c r="C47" s="10">
        <f>306136.695571983+C62</f>
        <v>306136.695571983</v>
      </c>
      <c r="D47" s="10">
        <f>290161.820874851+D62</f>
        <v>290161.82087485102</v>
      </c>
      <c r="E47" s="10">
        <f>319085.850336868+E62</f>
        <v>319085.85033686802</v>
      </c>
      <c r="F47" s="10">
        <f>339391.084356564+F62</f>
        <v>339391.08435656398</v>
      </c>
      <c r="G47" s="39">
        <f>SUM(C47:F47)</f>
        <v>1254775.4511402659</v>
      </c>
      <c r="H47" s="10">
        <f>301078.498348672+H62</f>
        <v>301078.498348672</v>
      </c>
      <c r="I47" s="10">
        <f>335610.083715074+I62</f>
        <v>335610.083715074</v>
      </c>
      <c r="J47" s="10">
        <f>266284.06291493+J62</f>
        <v>266284.06291492999</v>
      </c>
      <c r="K47" s="10">
        <f>369513.682715245+K62</f>
        <v>369513.682715245</v>
      </c>
      <c r="L47" s="39">
        <f>SUM(H47:K47)</f>
        <v>1272486.327693921</v>
      </c>
      <c r="M47" s="10">
        <f>355593.448712057+M62</f>
        <v>355593.44871205703</v>
      </c>
      <c r="N47" s="10">
        <f>368597.547556794+N62</f>
        <v>368597.54755679402</v>
      </c>
      <c r="O47" s="10">
        <f>720994.328477534+O62</f>
        <v>720994.328477534</v>
      </c>
      <c r="P47" s="10">
        <f>269544.403155419+P62</f>
        <v>269544.40315541899</v>
      </c>
      <c r="Q47" s="39">
        <f>SUM(M47:P47)</f>
        <v>1714729.727901804</v>
      </c>
      <c r="R47" s="10">
        <f>381242.142601096+R62</f>
        <v>381242.14260109601</v>
      </c>
      <c r="S47" s="10">
        <f>453560.241978009+S62</f>
        <v>453560.241978009</v>
      </c>
      <c r="T47" s="10">
        <f>434990.105913122+T62</f>
        <v>434990.10591312201</v>
      </c>
      <c r="U47" s="10">
        <f>510459.925569105+U62</f>
        <v>510459.92556910502</v>
      </c>
      <c r="V47" s="39">
        <f>SUM(R47:U47)</f>
        <v>1780252.416061332</v>
      </c>
      <c r="W47" s="10">
        <f>429590.600012308+W62</f>
        <v>429590.60001230799</v>
      </c>
      <c r="X47" s="10">
        <f>456067.850574881+X62</f>
        <v>456067.85057488101</v>
      </c>
      <c r="Y47" s="10">
        <f>407852.308346504+Y62</f>
        <v>407852.308346504</v>
      </c>
      <c r="Z47" s="10">
        <f>481519.139224858+Z62</f>
        <v>481519.13922485802</v>
      </c>
      <c r="AA47" s="39">
        <f>SUM(W47:Z47)</f>
        <v>1775029.8981585512</v>
      </c>
      <c r="AB47" s="10">
        <v>197810.18450636024</v>
      </c>
      <c r="AC47" s="10">
        <v>192442.85071854209</v>
      </c>
      <c r="AD47" s="10">
        <v>180372.48880009362</v>
      </c>
      <c r="AE47" s="10">
        <v>216534.13533797924</v>
      </c>
      <c r="AF47" s="39">
        <v>787159.65936297528</v>
      </c>
      <c r="AG47" s="10">
        <f>('DRE ANTIGA PARCERIA CAIXA'!AG10-('DRE ANTIGA PARCERIA CAIXA'!AG104*0.49))*'DRE ANTIGA PARCERIA CAIXA'!AG$27</f>
        <v>203835.79255718252</v>
      </c>
      <c r="AH47" s="10">
        <f>('DRE ANTIGA PARCERIA CAIXA'!AH10-('DRE ANTIGA PARCERIA CAIXA'!AH104*0.49))*'DRE ANTIGA PARCERIA CAIXA'!AH$27</f>
        <v>205458.79171034839</v>
      </c>
      <c r="AI47" s="76">
        <f>('DRE ANTIGA PARCERIA CAIXA'!AI10-('DRE ANTIGA PARCERIA CAIXA'!AI104*0.49))*'DRE ANTIGA PARCERIA CAIXA'!AI$27</f>
        <v>201177.3584188332</v>
      </c>
      <c r="AJ47" s="76">
        <f>('DRE ANTIGA PARCERIA CAIXA'!AJ10-('DRE ANTIGA PARCERIA CAIXA'!AJ104*0.49))*'DRE ANTIGA PARCERIA CAIXA'!AJ$27</f>
        <v>181990.73337889</v>
      </c>
      <c r="AK47" s="39">
        <f>SUM(AG47:AJ47)</f>
        <v>792462.67606525414</v>
      </c>
      <c r="AL47" s="76">
        <f>('DRE ANTIGA PARCERIA CAIXA'!AL10-('DRE ANTIGA PARCERIA CAIXA'!AL104*0.49))*'DRE ANTIGA PARCERIA CAIXA'!AL$27</f>
        <v>214829.67180869001</v>
      </c>
      <c r="AM47" s="76">
        <f>('DRE ANTIGA PARCERIA CAIXA'!AM10-('DRE ANTIGA PARCERIA CAIXA'!AM104*0.49))*'DRE ANTIGA PARCERIA CAIXA'!AM$27</f>
        <v>214132.45955434002</v>
      </c>
      <c r="AN47" s="76">
        <f>('DRE ANTIGA PARCERIA CAIXA'!AN10-('DRE ANTIGA PARCERIA CAIXA'!AN104*0.49))*'DRE ANTIGA PARCERIA CAIXA'!AN$27</f>
        <v>211678.94791879001</v>
      </c>
      <c r="AO47" s="76">
        <f>('DRE ANTIGA PARCERIA CAIXA'!AO10-('DRE ANTIGA PARCERIA CAIXA'!AO104*0.49))*'DRE ANTIGA PARCERIA CAIXA'!AO$27</f>
        <v>227203.86244887</v>
      </c>
      <c r="AP47" s="39">
        <f>SUM(AL47:AO47)</f>
        <v>867844.94173069007</v>
      </c>
      <c r="AQ47" s="76">
        <f>('DRE ANTIGA PARCERIA CAIXA'!AQ10-('DRE ANTIGA PARCERIA CAIXA'!AQ104*0.49))*'DRE ANTIGA PARCERIA CAIXA'!AQ$27</f>
        <v>203318.19086455001</v>
      </c>
      <c r="AR47" s="76">
        <f>('DRE ANTIGA PARCERIA CAIXA'!AR10-('DRE ANTIGA PARCERIA CAIXA'!AR104*0.49))*'DRE ANTIGA PARCERIA CAIXA'!AR$27</f>
        <v>155889.42257521002</v>
      </c>
      <c r="AS47" s="76">
        <f>('DRE ANTIGA PARCERIA CAIXA'!AS10-('DRE ANTIGA PARCERIA CAIXA'!AS104*0.49))*'DRE ANTIGA PARCERIA CAIXA'!AS$27</f>
        <v>185955.43448200001</v>
      </c>
      <c r="AT47" s="76">
        <f>('DRE ANTIGA PARCERIA CAIXA'!AT10-('DRE ANTIGA PARCERIA CAIXA'!AT104*0.49))*'DRE ANTIGA PARCERIA CAIXA'!AT$27</f>
        <v>209071.51883747001</v>
      </c>
      <c r="AU47" s="39">
        <f>SUM(AQ47:AT47)</f>
        <v>754234.56675922999</v>
      </c>
      <c r="AV47" s="76">
        <f>('DRE ANTIGA PARCERIA CAIXA'!AV10-('DRE ANTIGA PARCERIA CAIXA'!AV104*0.49))*'DRE ANTIGA PARCERIA CAIXA'!AV$27</f>
        <v>167876.1658519</v>
      </c>
      <c r="AW47" s="76">
        <f>('DRE ANTIGA PARCERIA CAIXA'!AW10-('DRE ANTIGA PARCERIA CAIXA'!AW104*0.49))*'DRE ANTIGA PARCERIA CAIXA'!AW$27</f>
        <v>181523.67354345002</v>
      </c>
      <c r="AX47" s="76">
        <f>('DRE ANTIGA PARCERIA CAIXA'!AX10-('DRE ANTIGA PARCERIA CAIXA'!AX104*0.49))*'DRE ANTIGA PARCERIA CAIXA'!AX$27</f>
        <v>177032.08262597999</v>
      </c>
      <c r="AY47" s="76">
        <f>('DRE ANTIGA PARCERIA CAIXA'!AY10-('DRE ANTIGA PARCERIA CAIXA'!AY104*0.49))*'DRE ANTIGA PARCERIA CAIXA'!AY$27</f>
        <v>184647.85994270002</v>
      </c>
      <c r="AZ47" s="39">
        <f>SUM(AV47:AY47)</f>
        <v>711079.78196403</v>
      </c>
      <c r="BA47" s="76">
        <f>('DRE ANTIGA PARCERIA CAIXA'!BA10-('DRE ANTIGA PARCERIA CAIXA'!BA104*0.49))*'DRE ANTIGA PARCERIA CAIXA'!BA$27</f>
        <v>187480.61644463</v>
      </c>
    </row>
    <row r="48" spans="1:53">
      <c r="A48" s="11"/>
      <c r="B48" s="11" t="s">
        <v>413</v>
      </c>
      <c r="C48" s="12">
        <v>-57165.661789487545</v>
      </c>
      <c r="D48" s="12">
        <v>-62168.510607712997</v>
      </c>
      <c r="E48" s="12">
        <v>-65205.36171992345</v>
      </c>
      <c r="F48" s="12">
        <v>-69630.068291894611</v>
      </c>
      <c r="G48" s="40">
        <v>-254169.60240901861</v>
      </c>
      <c r="H48" s="12">
        <v>-65571.447307978786</v>
      </c>
      <c r="I48" s="12">
        <v>-71749.950569911322</v>
      </c>
      <c r="J48" s="12">
        <v>-74878.374466970097</v>
      </c>
      <c r="K48" s="12">
        <v>-98579.964640798615</v>
      </c>
      <c r="L48" s="40">
        <v>-310779.73698565882</v>
      </c>
      <c r="M48" s="12">
        <v>-73537.811433607363</v>
      </c>
      <c r="N48" s="12">
        <v>-81916.94812093176</v>
      </c>
      <c r="O48" s="12">
        <v>-103539.34013322546</v>
      </c>
      <c r="P48" s="12">
        <v>-106822.03496778407</v>
      </c>
      <c r="Q48" s="40">
        <v>-365816.13465554861</v>
      </c>
      <c r="R48" s="12">
        <v>-81712.180098766054</v>
      </c>
      <c r="S48" s="12">
        <v>-84029.564459701185</v>
      </c>
      <c r="T48" s="12">
        <v>-89828.702852124494</v>
      </c>
      <c r="U48" s="12">
        <v>-122581.5201204461</v>
      </c>
      <c r="V48" s="40">
        <v>-378151.96753103787</v>
      </c>
      <c r="W48" s="12">
        <v>-79977.761756200867</v>
      </c>
      <c r="X48" s="12">
        <v>-93111.848509818854</v>
      </c>
      <c r="Y48" s="12">
        <v>-93365.731803889037</v>
      </c>
      <c r="Z48" s="12">
        <v>-123929.46532588733</v>
      </c>
      <c r="AA48" s="40">
        <v>-390384.80739579606</v>
      </c>
      <c r="AB48" s="12">
        <v>-39816.880372208747</v>
      </c>
      <c r="AC48" s="12">
        <v>-53885.993393154495</v>
      </c>
      <c r="AD48" s="12">
        <v>-46927.630067615246</v>
      </c>
      <c r="AE48" s="12">
        <v>-30616.97762681625</v>
      </c>
      <c r="AF48" s="40">
        <v>-171247.48145979474</v>
      </c>
      <c r="AG48" s="12">
        <f>('DRE ANTIGA PARCERIA CAIXA'!AG11-('DRE ANTIGA PARCERIA CAIXA'!AG105*0.49))*'DRE ANTIGA PARCERIA CAIXA'!AG$27</f>
        <v>-42632.498029218201</v>
      </c>
      <c r="AH48" s="12">
        <f>('DRE ANTIGA PARCERIA CAIXA'!AH11-('DRE ANTIGA PARCERIA CAIXA'!AH105*0.49))*'DRE ANTIGA PARCERIA CAIXA'!AH$27</f>
        <v>-44507.646768543804</v>
      </c>
      <c r="AI48" s="1">
        <f>('DRE ANTIGA PARCERIA CAIXA'!AI11-('DRE ANTIGA PARCERIA CAIXA'!AI105*0.49))*'DRE ANTIGA PARCERIA CAIXA'!AI$27</f>
        <v>-43194.629631161406</v>
      </c>
      <c r="AJ48" s="1">
        <f>('DRE ANTIGA PARCERIA CAIXA'!AJ11-('DRE ANTIGA PARCERIA CAIXA'!AJ105*0.49))*'DRE ANTIGA PARCERIA CAIXA'!AJ$27</f>
        <v>-51078.754053334203</v>
      </c>
      <c r="AK48" s="40">
        <f t="shared" ref="AK48:AK51" si="49">SUM(AG48:AJ48)</f>
        <v>-181413.52848225762</v>
      </c>
      <c r="AL48" s="1">
        <f>('DRE ANTIGA PARCERIA CAIXA'!AL11-('DRE ANTIGA PARCERIA CAIXA'!AL105*0.49))*'DRE ANTIGA PARCERIA CAIXA'!AL$27</f>
        <v>-45437.973990760001</v>
      </c>
      <c r="AM48" s="1">
        <f>('DRE ANTIGA PARCERIA CAIXA'!AM11-('DRE ANTIGA PARCERIA CAIXA'!AM105*0.49))*'DRE ANTIGA PARCERIA CAIXA'!AM$27</f>
        <v>-41362.78042658</v>
      </c>
      <c r="AN48" s="1">
        <f>('DRE ANTIGA PARCERIA CAIXA'!AN11-('DRE ANTIGA PARCERIA CAIXA'!AN105*0.49))*'DRE ANTIGA PARCERIA CAIXA'!AN$27</f>
        <v>-42156.97514676</v>
      </c>
      <c r="AO48" s="1">
        <f>('DRE ANTIGA PARCERIA CAIXA'!AO11-('DRE ANTIGA PARCERIA CAIXA'!AO105*0.49))*'DRE ANTIGA PARCERIA CAIXA'!AO$27</f>
        <v>-52939.8813476</v>
      </c>
      <c r="AP48" s="40">
        <f t="shared" ref="AP48:AP51" si="50">SUM(AL48:AO48)</f>
        <v>-181897.6109117</v>
      </c>
      <c r="AQ48" s="1">
        <f>('DRE ANTIGA PARCERIA CAIXA'!AQ11-('DRE ANTIGA PARCERIA CAIXA'!AQ105*0.49))*'DRE ANTIGA PARCERIA CAIXA'!AQ$27</f>
        <v>-46063.293770440003</v>
      </c>
      <c r="AR48" s="1">
        <f>('DRE ANTIGA PARCERIA CAIXA'!AR11-('DRE ANTIGA PARCERIA CAIXA'!AR105*0.49))*'DRE ANTIGA PARCERIA CAIXA'!AR$27</f>
        <v>-45043.77162965</v>
      </c>
      <c r="AS48" s="1">
        <f>('DRE ANTIGA PARCERIA CAIXA'!AS11-('DRE ANTIGA PARCERIA CAIXA'!AS105*0.49))*'DRE ANTIGA PARCERIA CAIXA'!AS$27</f>
        <v>-41106.090517019999</v>
      </c>
      <c r="AT48" s="1">
        <f>('DRE ANTIGA PARCERIA CAIXA'!AT11-('DRE ANTIGA PARCERIA CAIXA'!AT105*0.49))*'DRE ANTIGA PARCERIA CAIXA'!AT$27</f>
        <v>-48597.382877600001</v>
      </c>
      <c r="AU48" s="40">
        <f t="shared" ref="AU48:AU51" si="51">SUM(AQ48:AT48)</f>
        <v>-180810.53879471001</v>
      </c>
      <c r="AV48" s="1">
        <f>('DRE ANTIGA PARCERIA CAIXA'!AV11-('DRE ANTIGA PARCERIA CAIXA'!AV105*0.49))*'DRE ANTIGA PARCERIA CAIXA'!AV$27</f>
        <v>-48407.277944580004</v>
      </c>
      <c r="AW48" s="1">
        <f>('DRE ANTIGA PARCERIA CAIXA'!AW11-('DRE ANTIGA PARCERIA CAIXA'!AW105*0.49))*'DRE ANTIGA PARCERIA CAIXA'!AW$27</f>
        <v>-37823.644173530003</v>
      </c>
      <c r="AX48" s="1">
        <f>('DRE ANTIGA PARCERIA CAIXA'!AX11-('DRE ANTIGA PARCERIA CAIXA'!AX105*0.49))*'DRE ANTIGA PARCERIA CAIXA'!AX$27</f>
        <v>-46249.056204990004</v>
      </c>
      <c r="AY48" s="1">
        <f>('DRE ANTIGA PARCERIA CAIXA'!AY11-('DRE ANTIGA PARCERIA CAIXA'!AY105*0.49))*'DRE ANTIGA PARCERIA CAIXA'!AY$27</f>
        <v>-51264.15943801</v>
      </c>
      <c r="AZ48" s="40">
        <f t="shared" ref="AZ48:AZ51" si="52">SUM(AV48:AY48)</f>
        <v>-183744.13776111003</v>
      </c>
      <c r="BA48" s="1">
        <f>('DRE ANTIGA PARCERIA CAIXA'!BA11-('DRE ANTIGA PARCERIA CAIXA'!BA105*0.49))*'DRE ANTIGA PARCERIA CAIXA'!BA$27</f>
        <v>-47760.245672550001</v>
      </c>
    </row>
    <row r="49" spans="1:53">
      <c r="A49" s="11"/>
      <c r="B49" s="11" t="s">
        <v>414</v>
      </c>
      <c r="C49" s="13">
        <v>-38897.067894911255</v>
      </c>
      <c r="D49" s="13">
        <v>-39647.901395358349</v>
      </c>
      <c r="E49" s="13">
        <v>-39807.519226291814</v>
      </c>
      <c r="F49" s="13">
        <v>-47521.779452792631</v>
      </c>
      <c r="G49" s="41">
        <v>-165874.26796935406</v>
      </c>
      <c r="H49" s="13">
        <v>-43930.71448210314</v>
      </c>
      <c r="I49" s="13">
        <v>-41229.412950142192</v>
      </c>
      <c r="J49" s="13">
        <v>-41444.541793821161</v>
      </c>
      <c r="K49" s="13">
        <v>-15457.424377305213</v>
      </c>
      <c r="L49" s="41">
        <v>-142062.0936033717</v>
      </c>
      <c r="M49" s="13">
        <v>-45441.171725831839</v>
      </c>
      <c r="N49" s="13">
        <v>-45154.869639148936</v>
      </c>
      <c r="O49" s="13">
        <v>-63309.174278351777</v>
      </c>
      <c r="P49" s="13">
        <v>-48167.828333354439</v>
      </c>
      <c r="Q49" s="41">
        <v>-202073.04397668698</v>
      </c>
      <c r="R49" s="13">
        <v>-45078.656204896499</v>
      </c>
      <c r="S49" s="13">
        <v>-47448.667666163739</v>
      </c>
      <c r="T49" s="13">
        <v>-50490.029427222333</v>
      </c>
      <c r="U49" s="13">
        <v>-49976.017732169639</v>
      </c>
      <c r="V49" s="41">
        <v>-192993.3710304522</v>
      </c>
      <c r="W49" s="13">
        <v>-53195.973333950038</v>
      </c>
      <c r="X49" s="13">
        <v>-54594.587822062233</v>
      </c>
      <c r="Y49" s="13">
        <v>-49970.849026270669</v>
      </c>
      <c r="Z49" s="13">
        <v>-54835.516855024769</v>
      </c>
      <c r="AA49" s="41">
        <v>-212596.9270373077</v>
      </c>
      <c r="AB49" s="13">
        <v>-15877.665628790501</v>
      </c>
      <c r="AC49" s="13">
        <v>-11431.22068520125</v>
      </c>
      <c r="AD49" s="13">
        <v>-13456.284468222499</v>
      </c>
      <c r="AE49" s="13">
        <v>-18322.497651359499</v>
      </c>
      <c r="AF49" s="41">
        <v>-59087.668433573752</v>
      </c>
      <c r="AG49" s="13">
        <f>('DRE ANTIGA PARCERIA CAIXA'!AG12-('DRE ANTIGA PARCERIA CAIXA'!AG106*0.49))*'DRE ANTIGA PARCERIA CAIXA'!AG$27</f>
        <v>-13178.788056694801</v>
      </c>
      <c r="AH49" s="13">
        <f>('DRE ANTIGA PARCERIA CAIXA'!AH12-('DRE ANTIGA PARCERIA CAIXA'!AH106*0.49))*'DRE ANTIGA PARCERIA CAIXA'!AH$27</f>
        <v>-13806.168110648901</v>
      </c>
      <c r="AI49" s="1">
        <f>('DRE ANTIGA PARCERIA CAIXA'!AI12-('DRE ANTIGA PARCERIA CAIXA'!AI106*0.49))*'DRE ANTIGA PARCERIA CAIXA'!AI$27</f>
        <v>-17209.664011489302</v>
      </c>
      <c r="AJ49" s="1">
        <f>('DRE ANTIGA PARCERIA CAIXA'!AJ12-('DRE ANTIGA PARCERIA CAIXA'!AJ106*0.49))*'DRE ANTIGA PARCERIA CAIXA'!AJ$27</f>
        <v>-12165.326113769601</v>
      </c>
      <c r="AK49" s="41">
        <f t="shared" si="49"/>
        <v>-56359.94629260261</v>
      </c>
      <c r="AL49" s="1">
        <f>('DRE ANTIGA PARCERIA CAIXA'!AL12-('DRE ANTIGA PARCERIA CAIXA'!AL106*0.49))*'DRE ANTIGA PARCERIA CAIXA'!AL$27</f>
        <v>-16009.826859230001</v>
      </c>
      <c r="AM49" s="1">
        <f>('DRE ANTIGA PARCERIA CAIXA'!AM12-('DRE ANTIGA PARCERIA CAIXA'!AM106*0.49))*'DRE ANTIGA PARCERIA CAIXA'!AM$27</f>
        <v>-13442.4452638</v>
      </c>
      <c r="AN49" s="1">
        <f>('DRE ANTIGA PARCERIA CAIXA'!AN12-('DRE ANTIGA PARCERIA CAIXA'!AN106*0.49))*'DRE ANTIGA PARCERIA CAIXA'!AN$27</f>
        <v>-13830.37512712</v>
      </c>
      <c r="AO49" s="1">
        <f>('DRE ANTIGA PARCERIA CAIXA'!AO12-('DRE ANTIGA PARCERIA CAIXA'!AO106*0.49))*'DRE ANTIGA PARCERIA CAIXA'!AO$27</f>
        <v>-13935.56009006</v>
      </c>
      <c r="AP49" s="41">
        <f t="shared" si="50"/>
        <v>-57218.207340210007</v>
      </c>
      <c r="AQ49" s="1">
        <f>('DRE ANTIGA PARCERIA CAIXA'!AQ12-('DRE ANTIGA PARCERIA CAIXA'!AQ106*0.49))*'DRE ANTIGA PARCERIA CAIXA'!AQ$27</f>
        <v>-13602.15270753</v>
      </c>
      <c r="AR49" s="1">
        <f>('DRE ANTIGA PARCERIA CAIXA'!AR12-('DRE ANTIGA PARCERIA CAIXA'!AR106*0.49))*'DRE ANTIGA PARCERIA CAIXA'!AR$27</f>
        <v>-11228.253543930001</v>
      </c>
      <c r="AS49" s="1">
        <f>('DRE ANTIGA PARCERIA CAIXA'!AS12-('DRE ANTIGA PARCERIA CAIXA'!AS106*0.49))*'DRE ANTIGA PARCERIA CAIXA'!AS$27</f>
        <v>-10715.838724470001</v>
      </c>
      <c r="AT49" s="1">
        <f>('DRE ANTIGA PARCERIA CAIXA'!AT12-('DRE ANTIGA PARCERIA CAIXA'!AT106*0.49))*'DRE ANTIGA PARCERIA CAIXA'!AT$27</f>
        <v>-16534.786674269999</v>
      </c>
      <c r="AU49" s="41">
        <f t="shared" si="51"/>
        <v>-52081.031650199999</v>
      </c>
      <c r="AV49" s="1">
        <f>('DRE ANTIGA PARCERIA CAIXA'!AV12-('DRE ANTIGA PARCERIA CAIXA'!AV106*0.49))*'DRE ANTIGA PARCERIA CAIXA'!AV$27</f>
        <v>-13882.002608930001</v>
      </c>
      <c r="AW49" s="1">
        <f>('DRE ANTIGA PARCERIA CAIXA'!AW12-('DRE ANTIGA PARCERIA CAIXA'!AW106*0.49))*'DRE ANTIGA PARCERIA CAIXA'!AW$27</f>
        <v>-13615.180202940001</v>
      </c>
      <c r="AX49" s="1">
        <f>('DRE ANTIGA PARCERIA CAIXA'!AX12-('DRE ANTIGA PARCERIA CAIXA'!AX106*0.49))*'DRE ANTIGA PARCERIA CAIXA'!AX$27</f>
        <v>-13286.11531888</v>
      </c>
      <c r="AY49" s="1">
        <f>('DRE ANTIGA PARCERIA CAIXA'!AY12-('DRE ANTIGA PARCERIA CAIXA'!AY106*0.49))*'DRE ANTIGA PARCERIA CAIXA'!AY$27</f>
        <v>-13062.23539776</v>
      </c>
      <c r="AZ49" s="41">
        <f t="shared" si="52"/>
        <v>-53845.533528510001</v>
      </c>
      <c r="BA49" s="1">
        <f>('DRE ANTIGA PARCERIA CAIXA'!BA12-('DRE ANTIGA PARCERIA CAIXA'!BA106*0.49))*'DRE ANTIGA PARCERIA CAIXA'!BA$27</f>
        <v>-15310.68460556</v>
      </c>
    </row>
    <row r="50" spans="1:53">
      <c r="A50" s="11"/>
      <c r="B50" s="11" t="s">
        <v>415</v>
      </c>
      <c r="C50" s="13">
        <f>182535.858796007-C62</f>
        <v>182535.858796007</v>
      </c>
      <c r="D50" s="13">
        <f>192886.306893183-D62</f>
        <v>192886.30689318301</v>
      </c>
      <c r="E50" s="13">
        <f>187031.023815967-E62</f>
        <v>187031.023815967</v>
      </c>
      <c r="F50" s="13">
        <f>183671.139720013-F62</f>
        <v>183671.13972001299</v>
      </c>
      <c r="G50" s="41">
        <f>SUM(C50:F50)</f>
        <v>746124.32922517008</v>
      </c>
      <c r="H50" s="13">
        <f>219427.346151917-H62</f>
        <v>219427.34615191701</v>
      </c>
      <c r="I50" s="13">
        <f>162544.141848507-I62</f>
        <v>162544.14184850699</v>
      </c>
      <c r="J50" s="13">
        <f>206479.642477529-J62</f>
        <v>206479.64247752901</v>
      </c>
      <c r="K50" s="13">
        <f>236184.743451456-K62</f>
        <v>236184.74345145599</v>
      </c>
      <c r="L50" s="41">
        <f>SUM(H50:K50)</f>
        <v>824635.87392940896</v>
      </c>
      <c r="M50" s="13">
        <f>186771.087730027-M62</f>
        <v>186771.08773002701</v>
      </c>
      <c r="N50" s="13">
        <f>160819.13577479-N62</f>
        <v>160819.13577478999</v>
      </c>
      <c r="O50" s="13">
        <f>164007.346192206-O62</f>
        <v>164007.34619220599</v>
      </c>
      <c r="P50" s="13">
        <f>178586.72504885-P62</f>
        <v>178586.72504885</v>
      </c>
      <c r="Q50" s="41">
        <f>SUM(M50:P50)</f>
        <v>690184.29474587296</v>
      </c>
      <c r="R50" s="13">
        <f>201217.911805875-R62</f>
        <v>201217.91180587499</v>
      </c>
      <c r="S50" s="13">
        <f>183120.069306215-S62</f>
        <v>183120.06930621501</v>
      </c>
      <c r="T50" s="13">
        <f>197980.836902709-T62</f>
        <v>197980.83690270901</v>
      </c>
      <c r="U50" s="13">
        <f>223265.152371771-U62</f>
        <v>223265.15237177099</v>
      </c>
      <c r="V50" s="41">
        <f>SUM(R50:U50)</f>
        <v>805583.97038657009</v>
      </c>
      <c r="W50" s="13">
        <f>216476.640443457-W62</f>
        <v>216476.640443457</v>
      </c>
      <c r="X50" s="13">
        <f>224853.059682734-X62</f>
        <v>224853.05968273399</v>
      </c>
      <c r="Y50" s="13">
        <f>226689.161898115-Y62</f>
        <v>226689.16189811501</v>
      </c>
      <c r="Z50" s="13">
        <f>214403.462263581-Z62</f>
        <v>214403.46226358099</v>
      </c>
      <c r="AA50" s="41">
        <f>SUM(W50:Z50)</f>
        <v>882422.32428788708</v>
      </c>
      <c r="AB50" s="13">
        <v>19478.077286899006</v>
      </c>
      <c r="AC50" s="13">
        <v>15375.598466755242</v>
      </c>
      <c r="AD50" s="13">
        <v>-344.73905944724618</v>
      </c>
      <c r="AE50" s="13">
        <v>9950.4678489207508</v>
      </c>
      <c r="AF50" s="41">
        <v>44459.404543127755</v>
      </c>
      <c r="AG50" s="13">
        <f>('DRE ANTIGA PARCERIA CAIXA'!AG13-('DRE ANTIGA PARCERIA CAIXA'!AG107*0.49))*'DRE ANTIGA PARCERIA CAIXA'!AG$27</f>
        <v>13983.076673318401</v>
      </c>
      <c r="AH50" s="13">
        <f>('DRE ANTIGA PARCERIA CAIXA'!AH13-('DRE ANTIGA PARCERIA CAIXA'!AH107*0.49))*'DRE ANTIGA PARCERIA CAIXA'!AH$27</f>
        <v>-3117.9332014531997</v>
      </c>
      <c r="AI50" s="1">
        <f>('DRE ANTIGA PARCERIA CAIXA'!AI13-('DRE ANTIGA PARCERIA CAIXA'!AI107*0.49))*'DRE ANTIGA PARCERIA CAIXA'!AI$27</f>
        <v>25697.608020917301</v>
      </c>
      <c r="AJ50" s="1">
        <f>('DRE ANTIGA PARCERIA CAIXA'!AJ13-('DRE ANTIGA PARCERIA CAIXA'!AJ107*0.49))*'DRE ANTIGA PARCERIA CAIXA'!AJ$27</f>
        <v>25292.761713557502</v>
      </c>
      <c r="AK50" s="41">
        <f t="shared" si="49"/>
        <v>61855.513206340009</v>
      </c>
      <c r="AL50" s="1">
        <f>('DRE ANTIGA PARCERIA CAIXA'!AL13-('DRE ANTIGA PARCERIA CAIXA'!AL107*0.49))*'DRE ANTIGA PARCERIA CAIXA'!AL$27</f>
        <v>39715.526006960004</v>
      </c>
      <c r="AM50" s="1">
        <f>('DRE ANTIGA PARCERIA CAIXA'!AM13-('DRE ANTIGA PARCERIA CAIXA'!AM107*0.49))*'DRE ANTIGA PARCERIA CAIXA'!AM$27</f>
        <v>41838.525258959999</v>
      </c>
      <c r="AN50" s="1">
        <f>('DRE ANTIGA PARCERIA CAIXA'!AN13-('DRE ANTIGA PARCERIA CAIXA'!AN107*0.49))*'DRE ANTIGA PARCERIA CAIXA'!AN$27</f>
        <v>60003.678858800005</v>
      </c>
      <c r="AO50" s="1">
        <f>('DRE ANTIGA PARCERIA CAIXA'!AO13-('DRE ANTIGA PARCERIA CAIXA'!AO107*0.49))*'DRE ANTIGA PARCERIA CAIXA'!AO$27</f>
        <v>51269.466936140001</v>
      </c>
      <c r="AP50" s="41">
        <f t="shared" si="50"/>
        <v>192827.19706086002</v>
      </c>
      <c r="AQ50" s="1">
        <f>('DRE ANTIGA PARCERIA CAIXA'!AQ13-('DRE ANTIGA PARCERIA CAIXA'!AQ107*0.49))*'DRE ANTIGA PARCERIA CAIXA'!AQ$27</f>
        <v>38059.104090569999</v>
      </c>
      <c r="AR50" s="1">
        <f>('DRE ANTIGA PARCERIA CAIXA'!AR13-('DRE ANTIGA PARCERIA CAIXA'!AR107*0.49))*'DRE ANTIGA PARCERIA CAIXA'!AR$27</f>
        <v>28880.02732465</v>
      </c>
      <c r="AS50" s="1">
        <f>('DRE ANTIGA PARCERIA CAIXA'!AS13-('DRE ANTIGA PARCERIA CAIXA'!AS107*0.49))*'DRE ANTIGA PARCERIA CAIXA'!AS$27</f>
        <v>51257.88694022</v>
      </c>
      <c r="AT50" s="1">
        <f>('DRE ANTIGA PARCERIA CAIXA'!AT13-('DRE ANTIGA PARCERIA CAIXA'!AT107*0.49))*'DRE ANTIGA PARCERIA CAIXA'!AT$27</f>
        <v>39808.16597432</v>
      </c>
      <c r="AU50" s="41">
        <f t="shared" si="51"/>
        <v>158005.18432976</v>
      </c>
      <c r="AV50" s="1">
        <f>('DRE ANTIGA PARCERIA CAIXA'!AV13-('DRE ANTIGA PARCERIA CAIXA'!AV107*0.49))*'DRE ANTIGA PARCERIA CAIXA'!AV$27</f>
        <v>45978.373800360001</v>
      </c>
      <c r="AW50" s="1">
        <f>('DRE ANTIGA PARCERIA CAIXA'!AW13-('DRE ANTIGA PARCERIA CAIXA'!AW107*0.49))*'DRE ANTIGA PARCERIA CAIXA'!AW$27</f>
        <v>56174.560207920003</v>
      </c>
      <c r="AX50" s="1">
        <f>('DRE ANTIGA PARCERIA CAIXA'!AX13-('DRE ANTIGA PARCERIA CAIXA'!AX107*0.49))*'DRE ANTIGA PARCERIA CAIXA'!AX$27</f>
        <v>70731.097579189998</v>
      </c>
      <c r="AY50" s="1">
        <f>('DRE ANTIGA PARCERIA CAIXA'!AY13-('DRE ANTIGA PARCERIA CAIXA'!AY107*0.49))*'DRE ANTIGA PARCERIA CAIXA'!AY$27</f>
        <v>64458.599789190004</v>
      </c>
      <c r="AZ50" s="41">
        <f t="shared" si="52"/>
        <v>237342.63137666002</v>
      </c>
      <c r="BA50" s="1">
        <f>('DRE ANTIGA PARCERIA CAIXA'!BA13-('DRE ANTIGA PARCERIA CAIXA'!BA107*0.49))*'DRE ANTIGA PARCERIA CAIXA'!BA$27</f>
        <v>49041.76522103</v>
      </c>
    </row>
    <row r="51" spans="1:53">
      <c r="A51" s="11"/>
      <c r="B51" s="11" t="s">
        <v>416</v>
      </c>
      <c r="C51" s="12">
        <v>2520.3870006839816</v>
      </c>
      <c r="D51" s="12">
        <v>3930.1973145001152</v>
      </c>
      <c r="E51" s="12">
        <v>4478.9750902736823</v>
      </c>
      <c r="F51" s="12">
        <v>5399.7004500303201</v>
      </c>
      <c r="G51" s="40">
        <v>16329.259855488097</v>
      </c>
      <c r="H51" s="12">
        <v>4771.38154485</v>
      </c>
      <c r="I51" s="12">
        <v>48519.696402198053</v>
      </c>
      <c r="J51" s="12">
        <v>28285.908603320884</v>
      </c>
      <c r="K51" s="12">
        <v>-66607.906105724542</v>
      </c>
      <c r="L51" s="40">
        <v>14969.080444644394</v>
      </c>
      <c r="M51" s="12">
        <v>-39406.305649818016</v>
      </c>
      <c r="N51" s="12">
        <v>42894.421422382366</v>
      </c>
      <c r="O51" s="12">
        <v>-75071.965703971349</v>
      </c>
      <c r="P51" s="12">
        <v>82553.541073966378</v>
      </c>
      <c r="Q51" s="40">
        <v>10969.691142559386</v>
      </c>
      <c r="R51" s="12">
        <v>2108.3964365730549</v>
      </c>
      <c r="S51" s="12">
        <v>11081.455958948913</v>
      </c>
      <c r="T51" s="12">
        <v>4106.111877866645</v>
      </c>
      <c r="U51" s="12">
        <v>-34419.144408160741</v>
      </c>
      <c r="V51" s="40">
        <v>-17123.180134772127</v>
      </c>
      <c r="W51" s="12">
        <v>4446.8337725339816</v>
      </c>
      <c r="X51" s="12">
        <v>4012.7446459499993</v>
      </c>
      <c r="Y51" s="12">
        <v>8761.5375592138444</v>
      </c>
      <c r="Z51" s="12">
        <v>-8405.915751779632</v>
      </c>
      <c r="AA51" s="40">
        <v>8815.2002259181918</v>
      </c>
      <c r="AB51" s="12">
        <v>6492.0374999999995</v>
      </c>
      <c r="AC51" s="12">
        <v>12599.039999999999</v>
      </c>
      <c r="AD51" s="12">
        <v>6947.5174999999999</v>
      </c>
      <c r="AE51" s="12">
        <v>10721.6325</v>
      </c>
      <c r="AF51" s="40">
        <v>36760.227500000001</v>
      </c>
      <c r="AG51" s="12">
        <f>('DRE ANTIGA PARCERIA CAIXA'!AG14-('DRE ANTIGA PARCERIA CAIXA'!AG108*0.49))*'DRE ANTIGA PARCERIA CAIXA'!AG$27</f>
        <v>5640.4230127000001</v>
      </c>
      <c r="AH51" s="12">
        <f>('DRE ANTIGA PARCERIA CAIXA'!AH14-('DRE ANTIGA PARCERIA CAIXA'!AH108*0.49))*'DRE ANTIGA PARCERIA CAIXA'!AH$27</f>
        <v>2991.9814458300002</v>
      </c>
      <c r="AI51" s="1">
        <f>('DRE ANTIGA PARCERIA CAIXA'!AI14-('DRE ANTIGA PARCERIA CAIXA'!AI108*0.49))*'DRE ANTIGA PARCERIA CAIXA'!AI$27</f>
        <v>13103.247883310001</v>
      </c>
      <c r="AJ51" s="1">
        <f>('DRE ANTIGA PARCERIA CAIXA'!AJ14-('DRE ANTIGA PARCERIA CAIXA'!AJ108*0.49))*'DRE ANTIGA PARCERIA CAIXA'!AJ$27</f>
        <v>30138.869381120003</v>
      </c>
      <c r="AK51" s="40">
        <f t="shared" si="49"/>
        <v>51874.521722960009</v>
      </c>
      <c r="AL51" s="1">
        <f>('DRE ANTIGA PARCERIA CAIXA'!AL14-('DRE ANTIGA PARCERIA CAIXA'!AL108*0.49))*'DRE ANTIGA PARCERIA CAIXA'!AL$27</f>
        <v>1796.82936692</v>
      </c>
      <c r="AM51" s="1">
        <f>('DRE ANTIGA PARCERIA CAIXA'!AM14-('DRE ANTIGA PARCERIA CAIXA'!AM108*0.49))*'DRE ANTIGA PARCERIA CAIXA'!AM$27</f>
        <v>4167.3510317099999</v>
      </c>
      <c r="AN51" s="1">
        <f>('DRE ANTIGA PARCERIA CAIXA'!AN14-('DRE ANTIGA PARCERIA CAIXA'!AN108*0.49))*'DRE ANTIGA PARCERIA CAIXA'!AN$27</f>
        <v>14565.222368210001</v>
      </c>
      <c r="AO51" s="1">
        <f>('DRE ANTIGA PARCERIA CAIXA'!AO14-('DRE ANTIGA PARCERIA CAIXA'!AO108*0.49))*'DRE ANTIGA PARCERIA CAIXA'!AO$27</f>
        <v>10193.29140858</v>
      </c>
      <c r="AP51" s="40">
        <f t="shared" si="50"/>
        <v>30722.694175420002</v>
      </c>
      <c r="AQ51" s="1">
        <f>('DRE ANTIGA PARCERIA CAIXA'!AQ14-('DRE ANTIGA PARCERIA CAIXA'!AQ108*0.49))*'DRE ANTIGA PARCERIA CAIXA'!AQ$27</f>
        <v>8413.3495357100001</v>
      </c>
      <c r="AR51" s="1">
        <f>('DRE ANTIGA PARCERIA CAIXA'!AR14-('DRE ANTIGA PARCERIA CAIXA'!AR108*0.49))*'DRE ANTIGA PARCERIA CAIXA'!AR$27</f>
        <v>10346.72635452</v>
      </c>
      <c r="AS51" s="1">
        <f>('DRE ANTIGA PARCERIA CAIXA'!AS14-('DRE ANTIGA PARCERIA CAIXA'!AS108*0.49))*'DRE ANTIGA PARCERIA CAIXA'!AS$27</f>
        <v>10846.596178400001</v>
      </c>
      <c r="AT51" s="1">
        <f>('DRE ANTIGA PARCERIA CAIXA'!AT14-('DRE ANTIGA PARCERIA CAIXA'!AT108*0.49))*'DRE ANTIGA PARCERIA CAIXA'!AT$27</f>
        <v>3253.97885352</v>
      </c>
      <c r="AU51" s="40">
        <f t="shared" si="51"/>
        <v>32860.650922150002</v>
      </c>
      <c r="AV51" s="1">
        <f>('DRE ANTIGA PARCERIA CAIXA'!AV14-('DRE ANTIGA PARCERIA CAIXA'!AV108*0.49))*'DRE ANTIGA PARCERIA CAIXA'!AV$27</f>
        <v>4117.17104939</v>
      </c>
      <c r="AW51" s="1">
        <f>('DRE ANTIGA PARCERIA CAIXA'!AW14-('DRE ANTIGA PARCERIA CAIXA'!AW108*0.49))*'DRE ANTIGA PARCERIA CAIXA'!AW$27</f>
        <v>2002.8567943300002</v>
      </c>
      <c r="AX51" s="1">
        <f>('DRE ANTIGA PARCERIA CAIXA'!AX14-('DRE ANTIGA PARCERIA CAIXA'!AX108*0.49))*'DRE ANTIGA PARCERIA CAIXA'!AX$27</f>
        <v>1672.8269106100001</v>
      </c>
      <c r="AY51" s="1">
        <f>('DRE ANTIGA PARCERIA CAIXA'!AY14-('DRE ANTIGA PARCERIA CAIXA'!AY108*0.49))*'DRE ANTIGA PARCERIA CAIXA'!AY$27</f>
        <v>-6539.3201959900007</v>
      </c>
      <c r="AZ51" s="40">
        <f t="shared" si="52"/>
        <v>1253.5345583400003</v>
      </c>
      <c r="BA51" s="1">
        <f>('DRE ANTIGA PARCERIA CAIXA'!BA14-('DRE ANTIGA PARCERIA CAIXA'!BA108*0.49))*'DRE ANTIGA PARCERIA CAIXA'!BA$27</f>
        <v>0</v>
      </c>
    </row>
    <row r="52" spans="1:53">
      <c r="A52" s="9"/>
      <c r="B52" s="9" t="s">
        <v>418</v>
      </c>
      <c r="C52" s="10">
        <v>395130.21168427501</v>
      </c>
      <c r="D52" s="10">
        <v>385161.91307946184</v>
      </c>
      <c r="E52" s="10">
        <v>405582.96829689422</v>
      </c>
      <c r="F52" s="10">
        <v>411310.0767819208</v>
      </c>
      <c r="G52" s="39">
        <v>1597185.1698425517</v>
      </c>
      <c r="H52" s="10">
        <v>415775.06425535755</v>
      </c>
      <c r="I52" s="10">
        <v>433694.55844572582</v>
      </c>
      <c r="J52" s="10">
        <v>384726.69773498882</v>
      </c>
      <c r="K52" s="10">
        <v>425053.13104287186</v>
      </c>
      <c r="L52" s="39">
        <v>1659249.4514789442</v>
      </c>
      <c r="M52" s="10">
        <v>383979.2476328261</v>
      </c>
      <c r="N52" s="10">
        <v>445239.28699388588</v>
      </c>
      <c r="O52" s="10">
        <v>643081.19455419073</v>
      </c>
      <c r="P52" s="10">
        <v>375694.8059770969</v>
      </c>
      <c r="Q52" s="39">
        <v>1847994.5351579995</v>
      </c>
      <c r="R52" s="10">
        <v>457777.61453988153</v>
      </c>
      <c r="S52" s="10">
        <v>516283.53511730832</v>
      </c>
      <c r="T52" s="10">
        <v>496758.32241435151</v>
      </c>
      <c r="U52" s="10">
        <v>526748.39568009973</v>
      </c>
      <c r="V52" s="39">
        <v>1997567.867751641</v>
      </c>
      <c r="W52" s="10">
        <v>517340.33913814818</v>
      </c>
      <c r="X52" s="10">
        <v>537227.21857168421</v>
      </c>
      <c r="Y52" s="10">
        <v>499966.42697367328</v>
      </c>
      <c r="Z52" s="10">
        <v>508751.70355574775</v>
      </c>
      <c r="AA52" s="39">
        <v>2063285.6882392531</v>
      </c>
      <c r="AB52" s="10">
        <v>168085.75329225999</v>
      </c>
      <c r="AC52" s="10">
        <v>155100.27510694161</v>
      </c>
      <c r="AD52" s="10">
        <v>126591.35270480863</v>
      </c>
      <c r="AE52" s="10">
        <v>188266.76040872425</v>
      </c>
      <c r="AF52" s="39">
        <v>638044.14151273447</v>
      </c>
      <c r="AG52" s="10">
        <f t="shared" ref="AG52:AH52" si="53">SUM(AG47:AG51)</f>
        <v>167648.00615728792</v>
      </c>
      <c r="AH52" s="10">
        <f t="shared" si="53"/>
        <v>147019.02507553247</v>
      </c>
      <c r="AI52" s="76">
        <f>SUM(AI47:AI51)</f>
        <v>179573.92068040979</v>
      </c>
      <c r="AJ52" s="76">
        <f>SUM(AJ47:AJ51)</f>
        <v>174178.2843064637</v>
      </c>
      <c r="AK52" s="39">
        <f t="shared" ref="AK52" si="54">SUM(AK47:AK51)</f>
        <v>668419.23621969402</v>
      </c>
      <c r="AL52" s="76">
        <f>SUM(AL47:AL51)</f>
        <v>194894.22633258003</v>
      </c>
      <c r="AM52" s="76">
        <f>SUM(AM47:AM51)</f>
        <v>205333.11015463001</v>
      </c>
      <c r="AN52" s="76">
        <f>SUM(AN47:AN51)</f>
        <v>230260.49887192002</v>
      </c>
      <c r="AO52" s="76">
        <f>SUM(AO47:AO51)</f>
        <v>221791.17935593001</v>
      </c>
      <c r="AP52" s="39">
        <f t="shared" ref="AP52" si="55">SUM(AP47:AP51)</f>
        <v>852279.01471506001</v>
      </c>
      <c r="AQ52" s="76">
        <f>SUM(AQ47:AQ51)</f>
        <v>190125.19801286</v>
      </c>
      <c r="AR52" s="76">
        <f>SUM(AR47:AR51)</f>
        <v>138844.15108080002</v>
      </c>
      <c r="AS52" s="76">
        <f>SUM(AS47:AS51)</f>
        <v>196237.98835913002</v>
      </c>
      <c r="AT52" s="76">
        <f>SUM(AT47:AT51)</f>
        <v>187001.49411344001</v>
      </c>
      <c r="AU52" s="39">
        <f t="shared" ref="AU52" si="56">SUM(AU47:AU51)</f>
        <v>712208.83156623004</v>
      </c>
      <c r="AV52" s="76">
        <f>SUM(AV47:AV51)</f>
        <v>155682.43014814</v>
      </c>
      <c r="AW52" s="76">
        <f t="shared" ref="AW52:AX52" si="57">SUM(AW47:AW51)</f>
        <v>188262.26616923005</v>
      </c>
      <c r="AX52" s="76">
        <f t="shared" si="57"/>
        <v>189900.83559190997</v>
      </c>
      <c r="AY52" s="76">
        <f>SUM(AY47:AY51)</f>
        <v>178240.74470012999</v>
      </c>
      <c r="AZ52" s="39">
        <f t="shared" ref="AZ52" si="58">SUM(AZ47:AZ51)</f>
        <v>712086.27660940983</v>
      </c>
      <c r="BA52" s="76">
        <f>SUM(BA47:BA51)</f>
        <v>173451.45138754998</v>
      </c>
    </row>
    <row r="53" spans="1:53">
      <c r="A53" s="11"/>
      <c r="B53" s="11" t="s">
        <v>419</v>
      </c>
      <c r="C53" s="12">
        <v>592.36239749099991</v>
      </c>
      <c r="D53" s="12">
        <v>-3577.0488921899982</v>
      </c>
      <c r="E53" s="12">
        <v>19.03060823999915</v>
      </c>
      <c r="F53" s="12">
        <v>-10957.217095862006</v>
      </c>
      <c r="G53" s="40">
        <v>-13922.872982321005</v>
      </c>
      <c r="H53" s="12">
        <v>-8.9682941759999988</v>
      </c>
      <c r="I53" s="12">
        <v>-16089.774086789999</v>
      </c>
      <c r="J53" s="12">
        <v>17.521182066001778</v>
      </c>
      <c r="K53" s="12">
        <v>6191.6528163989969</v>
      </c>
      <c r="L53" s="40">
        <v>-9889.5683825010001</v>
      </c>
      <c r="M53" s="12">
        <v>51.222830918999996</v>
      </c>
      <c r="N53" s="12">
        <v>94.529946233999965</v>
      </c>
      <c r="O53" s="12">
        <v>-34100.673935414998</v>
      </c>
      <c r="P53" s="12">
        <v>6881.9047896779948</v>
      </c>
      <c r="Q53" s="40">
        <v>-27073.016368584002</v>
      </c>
      <c r="R53" s="12">
        <v>1049.6805580170001</v>
      </c>
      <c r="S53" s="12">
        <v>-100698.197988714</v>
      </c>
      <c r="T53" s="12">
        <v>1359.2127039239772</v>
      </c>
      <c r="U53" s="12">
        <v>-54334.419333596954</v>
      </c>
      <c r="V53" s="40">
        <v>-152623.72406036998</v>
      </c>
      <c r="W53" s="12">
        <v>-12647.025773031</v>
      </c>
      <c r="X53" s="12">
        <v>-1952.5793928510006</v>
      </c>
      <c r="Y53" s="12">
        <v>566.93824172399923</v>
      </c>
      <c r="Z53" s="12">
        <v>-54349.566288866998</v>
      </c>
      <c r="AA53" s="40">
        <v>-68382.233213025</v>
      </c>
      <c r="AB53" s="12">
        <v>105.185</v>
      </c>
      <c r="AC53" s="12">
        <v>2599.2275</v>
      </c>
      <c r="AD53" s="12">
        <v>303.49250000000001</v>
      </c>
      <c r="AE53" s="12">
        <v>-27107.557968245248</v>
      </c>
      <c r="AF53" s="40">
        <v>-24099.652968245249</v>
      </c>
      <c r="AG53" s="12">
        <f>('DRE ANTIGA PARCERIA CAIXA'!AG16-('DRE ANTIGA PARCERIA CAIXA'!AG110*0.49))*'DRE ANTIGA PARCERIA CAIXA'!AG$27</f>
        <v>450.17234139000004</v>
      </c>
      <c r="AH53" s="12">
        <f>('DRE ANTIGA PARCERIA CAIXA'!AH16-('DRE ANTIGA PARCERIA CAIXA'!AH110*0.49))*'DRE ANTIGA PARCERIA CAIXA'!AH$27</f>
        <v>-130.36180406939999</v>
      </c>
      <c r="AI53" s="1">
        <f>('DRE ANTIGA PARCERIA CAIXA'!AI16-('DRE ANTIGA PARCERIA CAIXA'!AI110*0.49))*'DRE ANTIGA PARCERIA CAIXA'!AI$27</f>
        <v>8.6849969399999996</v>
      </c>
      <c r="AJ53" s="1">
        <f>('DRE ANTIGA PARCERIA CAIXA'!AJ16-('DRE ANTIGA PARCERIA CAIXA'!AJ110*0.49))*'DRE ANTIGA PARCERIA CAIXA'!AJ$27</f>
        <v>59424.196562969999</v>
      </c>
      <c r="AK53" s="40">
        <f>SUM(AG53:AJ53)</f>
        <v>59752.692097230596</v>
      </c>
      <c r="AL53" s="1">
        <f>('DRE ANTIGA PARCERIA CAIXA'!AL16-('DRE ANTIGA PARCERIA CAIXA'!AL110*0.49))*'DRE ANTIGA PARCERIA CAIXA'!AL$27</f>
        <v>234.01241755000001</v>
      </c>
      <c r="AM53" s="1">
        <f>('DRE ANTIGA PARCERIA CAIXA'!AM16-('DRE ANTIGA PARCERIA CAIXA'!AM110*0.49))*'DRE ANTIGA PARCERIA CAIXA'!AM$27</f>
        <v>-21074.14507491</v>
      </c>
      <c r="AN53" s="1">
        <f>('DRE ANTIGA PARCERIA CAIXA'!AN16-('DRE ANTIGA PARCERIA CAIXA'!AN110*0.49))*'DRE ANTIGA PARCERIA CAIXA'!AN$27</f>
        <v>-12.54499558</v>
      </c>
      <c r="AO53" s="1">
        <f>('DRE ANTIGA PARCERIA CAIXA'!AO16-('DRE ANTIGA PARCERIA CAIXA'!AO110*0.49))*'DRE ANTIGA PARCERIA CAIXA'!AO$27</f>
        <v>-15598.737004070001</v>
      </c>
      <c r="AP53" s="40">
        <f>SUM(AL53:AO53)</f>
        <v>-36451.414657009998</v>
      </c>
      <c r="AQ53" s="1">
        <f>('DRE ANTIGA PARCERIA CAIXA'!AQ16-('DRE ANTIGA PARCERIA CAIXA'!AQ110*0.49))*'DRE ANTIGA PARCERIA CAIXA'!AQ$27</f>
        <v>4.8249982999999999</v>
      </c>
      <c r="AR53" s="1">
        <f>('DRE ANTIGA PARCERIA CAIXA'!AR16-('DRE ANTIGA PARCERIA CAIXA'!AR110*0.49))*'DRE ANTIGA PARCERIA CAIXA'!AR$27</f>
        <v>-3241.4338579400001</v>
      </c>
      <c r="AS53" s="1">
        <f>('DRE ANTIGA PARCERIA CAIXA'!AS16-('DRE ANTIGA PARCERIA CAIXA'!AS110*0.49))*'DRE ANTIGA PARCERIA CAIXA'!AS$27</f>
        <v>3236.60885964</v>
      </c>
      <c r="AT53" s="1">
        <f>('DRE ANTIGA PARCERIA CAIXA'!AT16-('DRE ANTIGA PARCERIA CAIXA'!AT110*0.49))*'DRE ANTIGA PARCERIA CAIXA'!AT$27</f>
        <v>-25630.87346943</v>
      </c>
      <c r="AU53" s="40">
        <f>SUM(AQ53:AT53)</f>
        <v>-25630.87346943</v>
      </c>
      <c r="AV53" s="1">
        <f>('DRE ANTIGA PARCERIA CAIXA'!AV16-('DRE ANTIGA PARCERIA CAIXA'!AV110*0.49))*'DRE ANTIGA PARCERIA CAIXA'!AV$27</f>
        <v>10290.273874410001</v>
      </c>
      <c r="AW53" s="1">
        <f>('DRE ANTIGA PARCERIA CAIXA'!AW16-('DRE ANTIGA PARCERIA CAIXA'!AW110*0.49))*'DRE ANTIGA PARCERIA CAIXA'!AW$27</f>
        <v>-6007.1228835000002</v>
      </c>
      <c r="AX53" s="1">
        <f>('DRE ANTIGA PARCERIA CAIXA'!AX16-('DRE ANTIGA PARCERIA CAIXA'!AX110*0.49))*'DRE ANTIGA PARCERIA CAIXA'!AX$27</f>
        <v>12.06249575</v>
      </c>
      <c r="AY53" s="1">
        <f>('DRE ANTIGA PARCERIA CAIXA'!AY16-('DRE ANTIGA PARCERIA CAIXA'!AY110*0.49))*'DRE ANTIGA PARCERIA CAIXA'!AY$27</f>
        <v>28726.109878880001</v>
      </c>
      <c r="AZ53" s="40">
        <f>SUM(AV53:AY53)</f>
        <v>33021.323365540004</v>
      </c>
      <c r="BA53" s="1">
        <f>('DRE ANTIGA PARCERIA CAIXA'!BA16-('DRE ANTIGA PARCERIA CAIXA'!BA110*0.49))*'DRE ANTIGA PARCERIA CAIXA'!BA$27</f>
        <v>2552.9066005300001</v>
      </c>
    </row>
    <row r="54" spans="1:53">
      <c r="A54" s="9"/>
      <c r="B54" s="9" t="s">
        <v>420</v>
      </c>
      <c r="C54" s="10">
        <v>395722.57408176601</v>
      </c>
      <c r="D54" s="10">
        <v>381584.86418727186</v>
      </c>
      <c r="E54" s="10">
        <v>405601.99890513421</v>
      </c>
      <c r="F54" s="10">
        <v>400352.85968605877</v>
      </c>
      <c r="G54" s="39">
        <v>1583262.2968602306</v>
      </c>
      <c r="H54" s="10">
        <v>415766.09596118156</v>
      </c>
      <c r="I54" s="10">
        <v>417604.78435893584</v>
      </c>
      <c r="J54" s="10">
        <v>384744.21891705482</v>
      </c>
      <c r="K54" s="10">
        <v>431244.78385927086</v>
      </c>
      <c r="L54" s="39">
        <v>1649359.8830964433</v>
      </c>
      <c r="M54" s="10">
        <v>384030.47046374512</v>
      </c>
      <c r="N54" s="10">
        <v>445333.8169401199</v>
      </c>
      <c r="O54" s="10">
        <v>608980.52061877574</v>
      </c>
      <c r="P54" s="10">
        <v>382576.71076677489</v>
      </c>
      <c r="Q54" s="39">
        <v>1820921.5187894155</v>
      </c>
      <c r="R54" s="10">
        <v>458827.29509789852</v>
      </c>
      <c r="S54" s="10">
        <v>415585.33712859428</v>
      </c>
      <c r="T54" s="10">
        <v>498117.5351182755</v>
      </c>
      <c r="U54" s="10">
        <v>472413.97634650278</v>
      </c>
      <c r="V54" s="39">
        <v>1844944.1436912711</v>
      </c>
      <c r="W54" s="10">
        <v>504693.31336511718</v>
      </c>
      <c r="X54" s="10">
        <v>535274.63917883323</v>
      </c>
      <c r="Y54" s="10">
        <v>500533.36521539727</v>
      </c>
      <c r="Z54" s="10">
        <v>454402.13726688077</v>
      </c>
      <c r="AA54" s="39">
        <v>1994903.4550262282</v>
      </c>
      <c r="AB54" s="10">
        <v>168190.93829225999</v>
      </c>
      <c r="AC54" s="10">
        <v>157699.50260694162</v>
      </c>
      <c r="AD54" s="10">
        <v>126894.84520480862</v>
      </c>
      <c r="AE54" s="10">
        <v>161159.20244047901</v>
      </c>
      <c r="AF54" s="39">
        <v>613944.48854448926</v>
      </c>
      <c r="AG54" s="10">
        <f t="shared" ref="AG54:AH54" si="59">SUM(AG52:AG53)</f>
        <v>168098.17849867791</v>
      </c>
      <c r="AH54" s="10">
        <f t="shared" si="59"/>
        <v>146888.66327146307</v>
      </c>
      <c r="AI54" s="76">
        <f>SUM(AI52:AI53)</f>
        <v>179582.60567734978</v>
      </c>
      <c r="AJ54" s="76">
        <f>SUM(AJ52:AJ53)</f>
        <v>233602.4808694337</v>
      </c>
      <c r="AK54" s="39">
        <f t="shared" ref="AK54" si="60">SUM(AK52:AK53)</f>
        <v>728171.9283169246</v>
      </c>
      <c r="AL54" s="76">
        <f>SUM(AL52:AL53)</f>
        <v>195128.23875013003</v>
      </c>
      <c r="AM54" s="76">
        <f>SUM(AM52:AM53)</f>
        <v>184258.96507972002</v>
      </c>
      <c r="AN54" s="76">
        <f>SUM(AN52:AN53)</f>
        <v>230247.95387634001</v>
      </c>
      <c r="AO54" s="76">
        <f>SUM(AO52:AO53)</f>
        <v>206192.44235186002</v>
      </c>
      <c r="AP54" s="39">
        <f t="shared" ref="AP54" si="61">SUM(AP52:AP53)</f>
        <v>815827.60005805001</v>
      </c>
      <c r="AQ54" s="76">
        <f>SUM(AQ52:AQ53)</f>
        <v>190130.02301116</v>
      </c>
      <c r="AR54" s="76">
        <f>SUM(AR52:AR53)</f>
        <v>135602.71722286002</v>
      </c>
      <c r="AS54" s="76">
        <f>SUM(AS52:AS53)</f>
        <v>199474.59721877001</v>
      </c>
      <c r="AT54" s="76">
        <f>SUM(AT52:AT53)</f>
        <v>161370.62064401002</v>
      </c>
      <c r="AU54" s="39">
        <f t="shared" ref="AU54" si="62">SUM(AU52:AU53)</f>
        <v>686577.95809680002</v>
      </c>
      <c r="AV54" s="76">
        <f>SUM(AV52:AV53)</f>
        <v>165972.70402254999</v>
      </c>
      <c r="AW54" s="76">
        <f t="shared" ref="AW54:AX54" si="63">SUM(AW52:AW53)</f>
        <v>182255.14328573004</v>
      </c>
      <c r="AX54" s="76">
        <f t="shared" si="63"/>
        <v>189912.89808765997</v>
      </c>
      <c r="AY54" s="76">
        <f>SUM(AY52:AY53)</f>
        <v>206966.85457900999</v>
      </c>
      <c r="AZ54" s="39">
        <f t="shared" ref="AZ54" si="64">SUM(AZ52:AZ53)</f>
        <v>745107.59997494984</v>
      </c>
      <c r="BA54" s="76">
        <f>SUM(BA52:BA53)</f>
        <v>176004.35798807998</v>
      </c>
    </row>
    <row r="55" spans="1:53">
      <c r="A55" s="11"/>
      <c r="B55" s="11" t="s">
        <v>421</v>
      </c>
      <c r="C55" s="12">
        <v>-96339.056393194711</v>
      </c>
      <c r="D55" s="12">
        <v>-94515.001885208258</v>
      </c>
      <c r="E55" s="12">
        <v>-98694.861719222201</v>
      </c>
      <c r="F55" s="12">
        <v>-85086.512413919758</v>
      </c>
      <c r="G55" s="40">
        <v>-374635.43241154496</v>
      </c>
      <c r="H55" s="12">
        <v>-98932.921795718532</v>
      </c>
      <c r="I55" s="12">
        <v>-89823.010096101236</v>
      </c>
      <c r="J55" s="12">
        <v>-89747.667014720078</v>
      </c>
      <c r="K55" s="12">
        <v>-82505.505766999282</v>
      </c>
      <c r="L55" s="40">
        <v>-361009.10467353911</v>
      </c>
      <c r="M55" s="12">
        <v>-78707.008242637428</v>
      </c>
      <c r="N55" s="12">
        <v>-122599.96839933255</v>
      </c>
      <c r="O55" s="12">
        <v>-189987.99519535477</v>
      </c>
      <c r="P55" s="12">
        <v>-44728.8303023966</v>
      </c>
      <c r="Q55" s="40">
        <v>-436023.8021397214</v>
      </c>
      <c r="R55" s="12">
        <v>-112218.92327929162</v>
      </c>
      <c r="S55" s="12">
        <v>-97724.81879131477</v>
      </c>
      <c r="T55" s="12">
        <v>-118109.46744574571</v>
      </c>
      <c r="U55" s="12">
        <v>-142194.3673502405</v>
      </c>
      <c r="V55" s="40">
        <v>-470247.57686659263</v>
      </c>
      <c r="W55" s="12">
        <v>-123903.23054962403</v>
      </c>
      <c r="X55" s="12">
        <v>-152796.02163777727</v>
      </c>
      <c r="Y55" s="12">
        <v>-119902.09008803677</v>
      </c>
      <c r="Z55" s="12">
        <v>-98521.64907841105</v>
      </c>
      <c r="AA55" s="40">
        <v>-495122.99135384912</v>
      </c>
      <c r="AB55" s="12">
        <v>-40890.785781919003</v>
      </c>
      <c r="AC55" s="12">
        <v>-37279.2567465475</v>
      </c>
      <c r="AD55" s="12">
        <v>-28877.58646122925</v>
      </c>
      <c r="AE55" s="12">
        <v>-31551.707918678247</v>
      </c>
      <c r="AF55" s="40">
        <v>-138599.33690837398</v>
      </c>
      <c r="AG55" s="12">
        <f>('DRE ANTIGA PARCERIA CAIXA'!AG18-('DRE ANTIGA PARCERIA CAIXA'!AG112*0.49))*'DRE ANTIGA PARCERIA CAIXA'!AG$27</f>
        <v>-41118.244687737701</v>
      </c>
      <c r="AH55" s="12">
        <f>('DRE ANTIGA PARCERIA CAIXA'!AH18-('DRE ANTIGA PARCERIA CAIXA'!AH112*0.49))*'DRE ANTIGA PARCERIA CAIXA'!AH$27</f>
        <v>-37094.524205422102</v>
      </c>
      <c r="AI55" s="1">
        <f>('DRE ANTIGA PARCERIA CAIXA'!AI18-('DRE ANTIGA PARCERIA CAIXA'!AI112*0.49))*'DRE ANTIGA PARCERIA CAIXA'!AI$27</f>
        <v>-40970.146189917505</v>
      </c>
      <c r="AJ55" s="1">
        <f>('DRE ANTIGA PARCERIA CAIXA'!AJ18-('DRE ANTIGA PARCERIA CAIXA'!AJ112*0.49))*'DRE ANTIGA PARCERIA CAIXA'!AJ$27</f>
        <v>-49801.084853497603</v>
      </c>
      <c r="AK55" s="40">
        <f t="shared" ref="AK55:AK58" si="65">SUM(AG55:AJ55)</f>
        <v>-168983.99993657492</v>
      </c>
      <c r="AL55" s="1">
        <f>('DRE ANTIGA PARCERIA CAIXA'!AL18-('DRE ANTIGA PARCERIA CAIXA'!AL112*0.49))*'DRE ANTIGA PARCERIA CAIXA'!AL$27</f>
        <v>-48127.910543010003</v>
      </c>
      <c r="AM55" s="1">
        <f>('DRE ANTIGA PARCERIA CAIXA'!AM18-('DRE ANTIGA PARCERIA CAIXA'!AM112*0.49))*'DRE ANTIGA PARCERIA CAIXA'!AM$27</f>
        <v>-45158.124089360004</v>
      </c>
      <c r="AN55" s="1">
        <f>('DRE ANTIGA PARCERIA CAIXA'!AN18-('DRE ANTIGA PARCERIA CAIXA'!AN112*0.49))*'DRE ANTIGA PARCERIA CAIXA'!AN$27</f>
        <v>-53460.981164000004</v>
      </c>
      <c r="AO55" s="1">
        <f>('DRE ANTIGA PARCERIA CAIXA'!AO18-('DRE ANTIGA PARCERIA CAIXA'!AO112*0.49))*'DRE ANTIGA PARCERIA CAIXA'!AO$27</f>
        <v>-40940.110575500003</v>
      </c>
      <c r="AP55" s="40">
        <f t="shared" ref="AP55:AP58" si="66">SUM(AL55:AO55)</f>
        <v>-187687.12637187002</v>
      </c>
      <c r="AQ55" s="1">
        <f>('DRE ANTIGA PARCERIA CAIXA'!AQ18-('DRE ANTIGA PARCERIA CAIXA'!AQ112*0.49))*'DRE ANTIGA PARCERIA CAIXA'!AQ$27</f>
        <v>-45293.70654159</v>
      </c>
      <c r="AR55" s="1">
        <f>('DRE ANTIGA PARCERIA CAIXA'!AR18-('DRE ANTIGA PARCERIA CAIXA'!AR112*0.49))*'DRE ANTIGA PARCERIA CAIXA'!AR$27</f>
        <v>-31881.65876708</v>
      </c>
      <c r="AS55" s="1">
        <f>('DRE ANTIGA PARCERIA CAIXA'!AS18-('DRE ANTIGA PARCERIA CAIXA'!AS112*0.49))*'DRE ANTIGA PARCERIA CAIXA'!AS$27</f>
        <v>-47048.075923470002</v>
      </c>
      <c r="AT55" s="1">
        <f>('DRE ANTIGA PARCERIA CAIXA'!AT18-('DRE ANTIGA PARCERIA CAIXA'!AT112*0.49))*'DRE ANTIGA PARCERIA CAIXA'!AT$27</f>
        <v>-23829.219104210002</v>
      </c>
      <c r="AU55" s="40">
        <f t="shared" ref="AU55:AU58" si="67">SUM(AQ55:AT55)</f>
        <v>-148052.66033635</v>
      </c>
      <c r="AV55" s="1">
        <f>('DRE ANTIGA PARCERIA CAIXA'!AV18-('DRE ANTIGA PARCERIA CAIXA'!AV112*0.49))*'DRE ANTIGA PARCERIA CAIXA'!AV$27</f>
        <v>-39973.180916180005</v>
      </c>
      <c r="AW55" s="1">
        <f>('DRE ANTIGA PARCERIA CAIXA'!AW18-('DRE ANTIGA PARCERIA CAIXA'!AW112*0.49))*'DRE ANTIGA PARCERIA CAIXA'!AW$27</f>
        <v>-42887.479889380003</v>
      </c>
      <c r="AX55" s="1">
        <f>('DRE ANTIGA PARCERIA CAIXA'!AX18-('DRE ANTIGA PARCERIA CAIXA'!AX112*0.49))*'DRE ANTIGA PARCERIA CAIXA'!AX$27</f>
        <v>-46196.946223350002</v>
      </c>
      <c r="AY55" s="1">
        <f>('DRE ANTIGA PARCERIA CAIXA'!AY18-('DRE ANTIGA PARCERIA CAIXA'!AY112*0.49))*'DRE ANTIGA PARCERIA CAIXA'!AY$27</f>
        <v>-47087.640909530004</v>
      </c>
      <c r="AZ55" s="40">
        <f t="shared" ref="AZ55:AZ58" si="68">SUM(AV55:AY55)</f>
        <v>-176145.24793844001</v>
      </c>
      <c r="BA55" s="1">
        <f>('DRE ANTIGA PARCERIA CAIXA'!BA18-('DRE ANTIGA PARCERIA CAIXA'!BA112*0.49))*'DRE ANTIGA PARCERIA CAIXA'!BA$27</f>
        <v>-42537.667512630003</v>
      </c>
    </row>
    <row r="56" spans="1:53">
      <c r="A56" s="11"/>
      <c r="B56" s="11" t="s">
        <v>422</v>
      </c>
      <c r="C56" s="12">
        <v>-75267.624947298042</v>
      </c>
      <c r="D56" s="12">
        <v>-73112.423466793232</v>
      </c>
      <c r="E56" s="12">
        <v>-77251.448229751419</v>
      </c>
      <c r="F56" s="12">
        <v>-64759.430422866884</v>
      </c>
      <c r="G56" s="40">
        <v>-290390.92706670961</v>
      </c>
      <c r="H56" s="12">
        <v>-81211.65822238315</v>
      </c>
      <c r="I56" s="12">
        <v>-68103.446415712315</v>
      </c>
      <c r="J56" s="12">
        <v>-63575.271398750316</v>
      </c>
      <c r="K56" s="12">
        <v>-91090.538505832563</v>
      </c>
      <c r="L56" s="40">
        <v>-303980.91454267834</v>
      </c>
      <c r="M56" s="12">
        <v>-63302.016532034613</v>
      </c>
      <c r="N56" s="12">
        <v>-97429.926252956109</v>
      </c>
      <c r="O56" s="12">
        <v>-157260.1382826817</v>
      </c>
      <c r="P56" s="12">
        <v>-32413.035851353423</v>
      </c>
      <c r="Q56" s="40">
        <v>-350405.11691902584</v>
      </c>
      <c r="R56" s="12">
        <v>-66370.884727418437</v>
      </c>
      <c r="S56" s="12">
        <v>-59225.274935013564</v>
      </c>
      <c r="T56" s="12">
        <v>-72212.970535236644</v>
      </c>
      <c r="U56" s="12">
        <v>-86283.725797470805</v>
      </c>
      <c r="V56" s="40">
        <v>-284092.85599513946</v>
      </c>
      <c r="W56" s="12">
        <v>-73899.501713889724</v>
      </c>
      <c r="X56" s="12">
        <v>-90123.021032645251</v>
      </c>
      <c r="Y56" s="12">
        <v>-71250.965902498865</v>
      </c>
      <c r="Z56" s="12">
        <v>-58680.799475635395</v>
      </c>
      <c r="AA56" s="40">
        <v>-293954.28812466923</v>
      </c>
      <c r="AB56" s="12">
        <v>-25305.070006010748</v>
      </c>
      <c r="AC56" s="12">
        <v>-22201.931375559001</v>
      </c>
      <c r="AD56" s="12">
        <v>-27105.460749716</v>
      </c>
      <c r="AE56" s="12">
        <v>-24747.553019119499</v>
      </c>
      <c r="AF56" s="40">
        <v>-99360.015150405248</v>
      </c>
      <c r="AG56" s="12">
        <f>('DRE ANTIGA PARCERIA CAIXA'!AG19-('DRE ANTIGA PARCERIA CAIXA'!AG113*0.49))*'DRE ANTIGA PARCERIA CAIXA'!AG$27</f>
        <v>-24449.839335545803</v>
      </c>
      <c r="AH56" s="12">
        <f>('DRE ANTIGA PARCERIA CAIXA'!AH19-('DRE ANTIGA PARCERIA CAIXA'!AH113*0.49))*'DRE ANTIGA PARCERIA CAIXA'!AH$27</f>
        <v>-21388.889364015602</v>
      </c>
      <c r="AI56" s="1">
        <f>('DRE ANTIGA PARCERIA CAIXA'!AI19-('DRE ANTIGA PARCERIA CAIXA'!AI113*0.49))*'DRE ANTIGA PARCERIA CAIXA'!AI$27</f>
        <v>-26487.793167510001</v>
      </c>
      <c r="AJ56" s="1">
        <f>('DRE ANTIGA PARCERIA CAIXA'!AJ19-('DRE ANTIGA PARCERIA CAIXA'!AJ113*0.49))*'DRE ANTIGA PARCERIA CAIXA'!AJ$27</f>
        <v>-30739.678169436</v>
      </c>
      <c r="AK56" s="40">
        <f t="shared" si="65"/>
        <v>-103066.20003650741</v>
      </c>
      <c r="AL56" s="1">
        <f>('DRE ANTIGA PARCERIA CAIXA'!AL19-('DRE ANTIGA PARCERIA CAIXA'!AL113*0.49))*'DRE ANTIGA PARCERIA CAIXA'!AL$27</f>
        <v>-28550.962440589999</v>
      </c>
      <c r="AM56" s="1">
        <f>('DRE ANTIGA PARCERIA CAIXA'!AM19-('DRE ANTIGA PARCERIA CAIXA'!AM113*0.49))*'DRE ANTIGA PARCERIA CAIXA'!AM$27</f>
        <v>-26757.510572480001</v>
      </c>
      <c r="AN56" s="1">
        <f>('DRE ANTIGA PARCERIA CAIXA'!AN19-('DRE ANTIGA PARCERIA CAIXA'!AN113*0.49))*'DRE ANTIGA PARCERIA CAIXA'!AN$27</f>
        <v>-31883.5887664</v>
      </c>
      <c r="AO56" s="1">
        <f>('DRE ANTIGA PARCERIA CAIXA'!AO19-('DRE ANTIGA PARCERIA CAIXA'!AO113*0.49))*'DRE ANTIGA PARCERIA CAIXA'!AO$27</f>
        <v>-25850.410892080003</v>
      </c>
      <c r="AP56" s="40">
        <f t="shared" si="66"/>
        <v>-113042.47267155001</v>
      </c>
      <c r="AQ56" s="1">
        <f>('DRE ANTIGA PARCERIA CAIXA'!AQ19-('DRE ANTIGA PARCERIA CAIXA'!AQ113*0.49))*'DRE ANTIGA PARCERIA CAIXA'!AQ$27</f>
        <v>-26806.243055310002</v>
      </c>
      <c r="AR56" s="1">
        <f>('DRE ANTIGA PARCERIA CAIXA'!AR19-('DRE ANTIGA PARCERIA CAIXA'!AR113*0.49))*'DRE ANTIGA PARCERIA CAIXA'!AR$27</f>
        <v>-19392.63316736</v>
      </c>
      <c r="AS56" s="1">
        <f>('DRE ANTIGA PARCERIA CAIXA'!AS19-('DRE ANTIGA PARCERIA CAIXA'!AS113*0.49))*'DRE ANTIGA PARCERIA CAIXA'!AS$27</f>
        <v>-27680.050247440002</v>
      </c>
      <c r="AT56" s="1">
        <f>('DRE ANTIGA PARCERIA CAIXA'!AT19-('DRE ANTIGA PARCERIA CAIXA'!AT113*0.49))*'DRE ANTIGA PARCERIA CAIXA'!AT$27</f>
        <v>-17104.136473670002</v>
      </c>
      <c r="AU56" s="40">
        <f t="shared" si="67"/>
        <v>-90983.062943780009</v>
      </c>
      <c r="AV56" s="1">
        <f>('DRE ANTIGA PARCERIA CAIXA'!AV19-('DRE ANTIGA PARCERIA CAIXA'!AV113*0.49))*'DRE ANTIGA PARCERIA CAIXA'!AV$27</f>
        <v>-23488.091724400001</v>
      </c>
      <c r="AW56" s="1">
        <f>('DRE ANTIGA PARCERIA CAIXA'!AW19-('DRE ANTIGA PARCERIA CAIXA'!AW113*0.49))*'DRE ANTIGA PARCERIA CAIXA'!AW$27</f>
        <v>-25886.59837933</v>
      </c>
      <c r="AX56" s="1">
        <f>('DRE ANTIGA PARCERIA CAIXA'!AX19-('DRE ANTIGA PARCERIA CAIXA'!AX113*0.49))*'DRE ANTIGA PARCERIA CAIXA'!AX$27</f>
        <v>-27012.752982550002</v>
      </c>
      <c r="AY56" s="1">
        <f>('DRE ANTIGA PARCERIA CAIXA'!AY19-('DRE ANTIGA PARCERIA CAIXA'!AY113*0.49))*'DRE ANTIGA PARCERIA CAIXA'!AY$27</f>
        <v>-30090.136898290002</v>
      </c>
      <c r="AZ56" s="40">
        <f t="shared" si="68"/>
        <v>-106477.57998456999</v>
      </c>
      <c r="BA56" s="1">
        <f>('DRE ANTIGA PARCERIA CAIXA'!BA19-('DRE ANTIGA PARCERIA CAIXA'!BA113*0.49))*'DRE ANTIGA PARCERIA CAIXA'!BA$27</f>
        <v>-25835.45339735</v>
      </c>
    </row>
    <row r="57" spans="1:53">
      <c r="A57" s="11"/>
      <c r="B57" s="11" t="s">
        <v>423</v>
      </c>
      <c r="C57" s="12">
        <v>0</v>
      </c>
      <c r="D57" s="12">
        <v>0</v>
      </c>
      <c r="E57" s="12">
        <v>0</v>
      </c>
      <c r="F57" s="12">
        <v>0</v>
      </c>
      <c r="G57" s="40">
        <v>0</v>
      </c>
      <c r="H57" s="12">
        <v>0</v>
      </c>
      <c r="I57" s="12">
        <v>0</v>
      </c>
      <c r="J57" s="12">
        <v>0</v>
      </c>
      <c r="K57" s="12">
        <v>0</v>
      </c>
      <c r="L57" s="40">
        <v>0</v>
      </c>
      <c r="M57" s="12">
        <v>0</v>
      </c>
      <c r="N57" s="12">
        <v>0</v>
      </c>
      <c r="O57" s="12">
        <v>0</v>
      </c>
      <c r="P57" s="12">
        <v>0</v>
      </c>
      <c r="Q57" s="40">
        <v>0</v>
      </c>
      <c r="R57" s="12">
        <v>0</v>
      </c>
      <c r="S57" s="12">
        <v>0</v>
      </c>
      <c r="T57" s="12">
        <v>0</v>
      </c>
      <c r="U57" s="12">
        <v>0</v>
      </c>
      <c r="V57" s="40">
        <v>0</v>
      </c>
      <c r="W57" s="12">
        <v>0</v>
      </c>
      <c r="X57" s="12">
        <v>0</v>
      </c>
      <c r="Y57" s="12">
        <v>0</v>
      </c>
      <c r="Z57" s="12">
        <v>0</v>
      </c>
      <c r="AA57" s="40">
        <v>0</v>
      </c>
      <c r="AB57" s="12">
        <v>0</v>
      </c>
      <c r="AC57" s="12">
        <v>0</v>
      </c>
      <c r="AD57" s="12">
        <v>0</v>
      </c>
      <c r="AE57" s="12">
        <v>0</v>
      </c>
      <c r="AF57" s="40">
        <v>0</v>
      </c>
      <c r="AG57" s="12">
        <f>('DRE ANTIGA PARCERIA CAIXA'!AG20-('DRE ANTIGA PARCERIA CAIXA'!AG114*0.49))*'DRE ANTIGA PARCERIA CAIXA'!AG$27</f>
        <v>0</v>
      </c>
      <c r="AH57" s="12">
        <f>('DRE ANTIGA PARCERIA CAIXA'!AH20-('DRE ANTIGA PARCERIA CAIXA'!AH114*0.49))*'DRE ANTIGA PARCERIA CAIXA'!AH$27</f>
        <v>0</v>
      </c>
      <c r="AI57" s="1">
        <f>('DRE ANTIGA PARCERIA CAIXA'!AI20-('DRE ANTIGA PARCERIA CAIXA'!AI114*0.49))*'DRE ANTIGA PARCERIA CAIXA'!AI$27</f>
        <v>0</v>
      </c>
      <c r="AJ57" s="1">
        <f>('DRE ANTIGA PARCERIA CAIXA'!AJ20-('DRE ANTIGA PARCERIA CAIXA'!AJ114*0.49))*'DRE ANTIGA PARCERIA CAIXA'!AJ$27</f>
        <v>0</v>
      </c>
      <c r="AK57" s="40">
        <f t="shared" si="65"/>
        <v>0</v>
      </c>
      <c r="AL57" s="1">
        <f>('DRE ANTIGA PARCERIA CAIXA'!AL20-('DRE ANTIGA PARCERIA CAIXA'!AL114*0.49))*'DRE ANTIGA PARCERIA CAIXA'!AL$27</f>
        <v>0</v>
      </c>
      <c r="AM57" s="1">
        <f>('DRE ANTIGA PARCERIA CAIXA'!AM20-('DRE ANTIGA PARCERIA CAIXA'!AM114*0.49))*'DRE ANTIGA PARCERIA CAIXA'!AM$27</f>
        <v>0</v>
      </c>
      <c r="AN57" s="1">
        <f>('DRE ANTIGA PARCERIA CAIXA'!AN20-('DRE ANTIGA PARCERIA CAIXA'!AN114*0.49))*'DRE ANTIGA PARCERIA CAIXA'!AN$27</f>
        <v>0</v>
      </c>
      <c r="AO57" s="1">
        <f>('DRE ANTIGA PARCERIA CAIXA'!AO20-('DRE ANTIGA PARCERIA CAIXA'!AO114*0.49))*'DRE ANTIGA PARCERIA CAIXA'!AO$27</f>
        <v>0</v>
      </c>
      <c r="AP57" s="40">
        <f t="shared" si="66"/>
        <v>0</v>
      </c>
      <c r="AQ57" s="1">
        <f>('DRE ANTIGA PARCERIA CAIXA'!AQ20-('DRE ANTIGA PARCERIA CAIXA'!AQ114*0.49))*'DRE ANTIGA PARCERIA CAIXA'!AQ$27</f>
        <v>0</v>
      </c>
      <c r="AR57" s="1">
        <f>('DRE ANTIGA PARCERIA CAIXA'!AR20-('DRE ANTIGA PARCERIA CAIXA'!AR114*0.49))*'DRE ANTIGA PARCERIA CAIXA'!AR$27</f>
        <v>0</v>
      </c>
      <c r="AS57" s="1">
        <f>('DRE ANTIGA PARCERIA CAIXA'!AS20-('DRE ANTIGA PARCERIA CAIXA'!AS114*0.49))*'DRE ANTIGA PARCERIA CAIXA'!AS$27</f>
        <v>0</v>
      </c>
      <c r="AT57" s="1">
        <f>('DRE ANTIGA PARCERIA CAIXA'!AT20-('DRE ANTIGA PARCERIA CAIXA'!AT114*0.49))*'DRE ANTIGA PARCERIA CAIXA'!AT$27</f>
        <v>0</v>
      </c>
      <c r="AU57" s="40">
        <f t="shared" si="67"/>
        <v>0</v>
      </c>
      <c r="AV57" s="1">
        <f>('DRE ANTIGA PARCERIA CAIXA'!AV20-('DRE ANTIGA PARCERIA CAIXA'!AV114*0.49))*'DRE ANTIGA PARCERIA CAIXA'!AV$27</f>
        <v>0</v>
      </c>
      <c r="AW57" s="1">
        <f>('DRE ANTIGA PARCERIA CAIXA'!AW20-('DRE ANTIGA PARCERIA CAIXA'!AW114*0.49))*'DRE ANTIGA PARCERIA CAIXA'!AW$27</f>
        <v>0</v>
      </c>
      <c r="AX57" s="1">
        <f>('DRE ANTIGA PARCERIA CAIXA'!AX20-('DRE ANTIGA PARCERIA CAIXA'!AX114*0.49))*'DRE ANTIGA PARCERIA CAIXA'!AX$27</f>
        <v>0</v>
      </c>
      <c r="AY57" s="1">
        <f>('DRE ANTIGA PARCERIA CAIXA'!AY20-('DRE ANTIGA PARCERIA CAIXA'!AY114*0.49))*'DRE ANTIGA PARCERIA CAIXA'!AY$27</f>
        <v>0</v>
      </c>
      <c r="AZ57" s="40">
        <f t="shared" si="68"/>
        <v>0</v>
      </c>
      <c r="BA57" s="1">
        <f>('DRE ANTIGA PARCERIA CAIXA'!BA20-('DRE ANTIGA PARCERIA CAIXA'!BA114*0.49))*'DRE ANTIGA PARCERIA CAIXA'!BA$27</f>
        <v>0</v>
      </c>
    </row>
    <row r="58" spans="1:53">
      <c r="A58" s="11"/>
      <c r="B58" s="11" t="s">
        <v>424</v>
      </c>
      <c r="C58" s="12">
        <v>-3.4772261811442146E-3</v>
      </c>
      <c r="D58" s="12">
        <v>3.4772261776364758E-3</v>
      </c>
      <c r="E58" s="12">
        <v>-98.195959979992978</v>
      </c>
      <c r="F58" s="12">
        <v>98.195959980000865</v>
      </c>
      <c r="G58" s="40">
        <v>4.3769432522822171E-12</v>
      </c>
      <c r="H58" s="12">
        <v>0</v>
      </c>
      <c r="I58" s="12">
        <v>1.0523217497393488E-11</v>
      </c>
      <c r="J58" s="12">
        <v>-8.7693479144945736E-12</v>
      </c>
      <c r="K58" s="12">
        <v>-5.2616087486967441E-12</v>
      </c>
      <c r="L58" s="40">
        <v>-3.5077391657978294E-12</v>
      </c>
      <c r="M58" s="12">
        <v>3.5077391657978294E-12</v>
      </c>
      <c r="N58" s="12">
        <v>1.7538695828989147E-12</v>
      </c>
      <c r="O58" s="12">
        <v>-1.0523217497393488E-11</v>
      </c>
      <c r="P58" s="12">
        <v>1.7538695828989147E-12</v>
      </c>
      <c r="Q58" s="40">
        <v>-3.5077391657978294E-12</v>
      </c>
      <c r="R58" s="12">
        <v>3.5077391657978294E-12</v>
      </c>
      <c r="S58" s="12">
        <v>-7.0154783315956589E-12</v>
      </c>
      <c r="T58" s="12">
        <v>-3.5077391657978294E-12</v>
      </c>
      <c r="U58" s="12">
        <v>3.5077391657978294E-12</v>
      </c>
      <c r="V58" s="40">
        <v>-3.5077391657978294E-12</v>
      </c>
      <c r="W58" s="12">
        <v>0</v>
      </c>
      <c r="X58" s="12">
        <v>8.7693479144945736E-13</v>
      </c>
      <c r="Y58" s="12">
        <v>1.7538695828989147E-12</v>
      </c>
      <c r="Z58" s="12">
        <v>-261.51886247303469</v>
      </c>
      <c r="AA58" s="40">
        <v>-261.51886247303207</v>
      </c>
      <c r="AB58" s="12">
        <v>-408.02725660724866</v>
      </c>
      <c r="AC58" s="12">
        <v>-392.50718862725989</v>
      </c>
      <c r="AD58" s="12">
        <v>-383.84706999423952</v>
      </c>
      <c r="AE58" s="12">
        <v>-1611.1855805362843</v>
      </c>
      <c r="AF58" s="40">
        <v>-2795.5670957650323</v>
      </c>
      <c r="AG58" s="12">
        <f>('DRE ANTIGA PARCERIA CAIXA'!AG21-'DRE ANTIGA PARCERIA CAIXA'!AG303-('DRE ANTIGA PARCERIA CAIXA'!AG115*0.49))*'DRE ANTIGA PARCERIA CAIXA'!AG$27</f>
        <v>-1133.39210067</v>
      </c>
      <c r="AH58" s="12">
        <f>('DRE ANTIGA PARCERIA CAIXA'!AH21-'DRE ANTIGA PARCERIA CAIXA'!AH303-('DRE ANTIGA PARCERIA CAIXA'!AH115*0.49))*'DRE ANTIGA PARCERIA CAIXA'!AH$27</f>
        <v>-503.72982252000003</v>
      </c>
      <c r="AI58" s="1">
        <f>('DRE ANTIGA PARCERIA CAIXA'!AI21-'DRE ANTIGA PARCERIA CAIXA'!AI303-('DRE ANTIGA PARCERIA CAIXA'!AI115*0.49))*'DRE ANTIGA PARCERIA CAIXA'!AI$27</f>
        <v>-537.50481062000006</v>
      </c>
      <c r="AJ58" s="1">
        <f>('DRE ANTIGA PARCERIA CAIXA'!AJ21-'DRE ANTIGA PARCERIA CAIXA'!AJ303-('DRE ANTIGA PARCERIA CAIXA'!AJ115*0.49))*'DRE ANTIGA PARCERIA CAIXA'!AJ$27</f>
        <v>522.54731589000005</v>
      </c>
      <c r="AK58" s="40">
        <f t="shared" si="65"/>
        <v>-1652.0794179200002</v>
      </c>
      <c r="AL58" s="1">
        <f>('DRE ANTIGA PARCERIA CAIXA'!AL21-'DRE ANTIGA PARCERIA CAIXA'!AL303-('DRE ANTIGA PARCERIA CAIXA'!AL115*0.49))*'DRE ANTIGA PARCERIA CAIXA'!AL$27</f>
        <v>0</v>
      </c>
      <c r="AM58" s="1">
        <f>('DRE ANTIGA PARCERIA CAIXA'!AM21-'DRE ANTIGA PARCERIA CAIXA'!AM303-('DRE ANTIGA PARCERIA CAIXA'!AM115*0.49))*'DRE ANTIGA PARCERIA CAIXA'!AM$27</f>
        <v>0</v>
      </c>
      <c r="AN58" s="1">
        <f>('DRE ANTIGA PARCERIA CAIXA'!AN21-'DRE ANTIGA PARCERIA CAIXA'!AN303-('DRE ANTIGA PARCERIA CAIXA'!AN115*0.49))*'DRE ANTIGA PARCERIA CAIXA'!AN$27</f>
        <v>0</v>
      </c>
      <c r="AO58" s="1">
        <f>('DRE ANTIGA PARCERIA CAIXA'!AO21-'DRE ANTIGA PARCERIA CAIXA'!AO303-('DRE ANTIGA PARCERIA CAIXA'!AO115*0.49))*'DRE ANTIGA PARCERIA CAIXA'!AO$27</f>
        <v>0</v>
      </c>
      <c r="AP58" s="40">
        <f t="shared" si="66"/>
        <v>0</v>
      </c>
      <c r="AQ58" s="1">
        <f>('DRE ANTIGA PARCERIA CAIXA'!AQ21-'DRE ANTIGA PARCERIA CAIXA'!AQ303-('DRE ANTIGA PARCERIA CAIXA'!AQ115*0.49))*'DRE ANTIGA PARCERIA CAIXA'!AQ$27</f>
        <v>0</v>
      </c>
      <c r="AR58" s="1">
        <f>('DRE ANTIGA PARCERIA CAIXA'!AR21-'DRE ANTIGA PARCERIA CAIXA'!AR303-('DRE ANTIGA PARCERIA CAIXA'!AR115*0.49))*'DRE ANTIGA PARCERIA CAIXA'!AR$27</f>
        <v>0</v>
      </c>
      <c r="AS58" s="1">
        <f>('DRE ANTIGA PARCERIA CAIXA'!AS21-'DRE ANTIGA PARCERIA CAIXA'!AS303-('DRE ANTIGA PARCERIA CAIXA'!AS115*0.49))*'DRE ANTIGA PARCERIA CAIXA'!AS$27</f>
        <v>0</v>
      </c>
      <c r="AT58" s="1">
        <f>('DRE ANTIGA PARCERIA CAIXA'!AT21-'DRE ANTIGA PARCERIA CAIXA'!AT303-('DRE ANTIGA PARCERIA CAIXA'!AT115*0.49))*'DRE ANTIGA PARCERIA CAIXA'!AT$27</f>
        <v>0</v>
      </c>
      <c r="AU58" s="40">
        <f t="shared" si="67"/>
        <v>0</v>
      </c>
      <c r="AV58" s="1">
        <f>('DRE ANTIGA PARCERIA CAIXA'!AV21-'DRE ANTIGA PARCERIA CAIXA'!AV303-('DRE ANTIGA PARCERIA CAIXA'!AV115*0.49))*'DRE ANTIGA PARCERIA CAIXA'!AV$27</f>
        <v>0</v>
      </c>
      <c r="AW58" s="1">
        <f>('DRE ANTIGA PARCERIA CAIXA'!AW21-'DRE ANTIGA PARCERIA CAIXA'!AW303-('DRE ANTIGA PARCERIA CAIXA'!AW115*0.49))*'DRE ANTIGA PARCERIA CAIXA'!AW$27</f>
        <v>0</v>
      </c>
      <c r="AX58" s="1">
        <f>('DRE ANTIGA PARCERIA CAIXA'!AX21-'DRE ANTIGA PARCERIA CAIXA'!AX303-('DRE ANTIGA PARCERIA CAIXA'!AX115*0.49))*'DRE ANTIGA PARCERIA CAIXA'!AX$27</f>
        <v>0</v>
      </c>
      <c r="AY58" s="1">
        <f>('DRE ANTIGA PARCERIA CAIXA'!AY21-'DRE ANTIGA PARCERIA CAIXA'!AY303-('DRE ANTIGA PARCERIA CAIXA'!AY115*0.49))*'DRE ANTIGA PARCERIA CAIXA'!AY$27</f>
        <v>0</v>
      </c>
      <c r="AZ58" s="40">
        <f t="shared" si="68"/>
        <v>0</v>
      </c>
      <c r="BA58" s="1">
        <f>('DRE ANTIGA PARCERIA CAIXA'!BA21-'DRE ANTIGA PARCERIA CAIXA'!BA303-('DRE ANTIGA PARCERIA CAIXA'!BA115*0.49))*'DRE ANTIGA PARCERIA CAIXA'!BA$27</f>
        <v>0</v>
      </c>
    </row>
    <row r="59" spans="1:53">
      <c r="A59" s="15"/>
      <c r="B59" s="15" t="s">
        <v>425</v>
      </c>
      <c r="C59" s="16">
        <v>224115.88926404709</v>
      </c>
      <c r="D59" s="16">
        <v>213957.44231249657</v>
      </c>
      <c r="E59" s="16">
        <v>229557.49299618058</v>
      </c>
      <c r="F59" s="16">
        <v>250605.11280925214</v>
      </c>
      <c r="G59" s="45">
        <v>918235.93738197605</v>
      </c>
      <c r="H59" s="16">
        <v>235621.51594307987</v>
      </c>
      <c r="I59" s="16">
        <v>259678.32784712227</v>
      </c>
      <c r="J59" s="16">
        <v>231421.28050358442</v>
      </c>
      <c r="K59" s="16">
        <v>257648.73958643904</v>
      </c>
      <c r="L59" s="45">
        <v>984369.86388022592</v>
      </c>
      <c r="M59" s="16">
        <v>242021.44568907307</v>
      </c>
      <c r="N59" s="16">
        <v>225303.92228783126</v>
      </c>
      <c r="O59" s="16">
        <v>261732.38714073924</v>
      </c>
      <c r="P59" s="16">
        <v>305434.84461302485</v>
      </c>
      <c r="Q59" s="45">
        <v>1034492.5997306684</v>
      </c>
      <c r="R59" s="16">
        <v>280237.48709118849</v>
      </c>
      <c r="S59" s="16">
        <v>258635.24340226594</v>
      </c>
      <c r="T59" s="16">
        <v>307795.09713729314</v>
      </c>
      <c r="U59" s="16">
        <v>243935.8831987915</v>
      </c>
      <c r="V59" s="45">
        <v>1090603.7108295388</v>
      </c>
      <c r="W59" s="16">
        <v>306890.58110160346</v>
      </c>
      <c r="X59" s="16">
        <v>292355.5965084107</v>
      </c>
      <c r="Y59" s="16">
        <v>309380.30922486162</v>
      </c>
      <c r="Z59" s="16">
        <v>296938.1698503613</v>
      </c>
      <c r="AA59" s="45">
        <v>1205564.6566852366</v>
      </c>
      <c r="AB59" s="16">
        <v>101587.05524772299</v>
      </c>
      <c r="AC59" s="16">
        <v>97825.807296207859</v>
      </c>
      <c r="AD59" s="16">
        <v>70527.950923869124</v>
      </c>
      <c r="AE59" s="16">
        <v>103248.75592214498</v>
      </c>
      <c r="AF59" s="45">
        <v>373189.56938994501</v>
      </c>
      <c r="AG59" s="16">
        <f t="shared" ref="AG59:AH59" si="69">SUM(AG54:AG58)</f>
        <v>101396.70237472441</v>
      </c>
      <c r="AH59" s="16">
        <f t="shared" si="69"/>
        <v>87901.519879505358</v>
      </c>
      <c r="AI59" s="16">
        <f>SUM(AI54:AI58)</f>
        <v>111587.16150930227</v>
      </c>
      <c r="AJ59" s="16">
        <f>SUM(AJ54:AJ58)</f>
        <v>153584.2651623901</v>
      </c>
      <c r="AK59" s="45">
        <f t="shared" ref="AK59" si="70">SUM(AK54:AK58)</f>
        <v>454469.64892592229</v>
      </c>
      <c r="AL59" s="16">
        <f>SUM(AL54:AL58)</f>
        <v>118449.36576653001</v>
      </c>
      <c r="AM59" s="16">
        <f>SUM(AM54:AM58)</f>
        <v>112343.33041788</v>
      </c>
      <c r="AN59" s="16">
        <f>SUM(AN54:AN58)</f>
        <v>144903.38394594</v>
      </c>
      <c r="AO59" s="16">
        <f>SUM(AO54:AO58)</f>
        <v>139401.92088428003</v>
      </c>
      <c r="AP59" s="45">
        <f t="shared" ref="AP59" si="71">SUM(AP54:AP58)</f>
        <v>515098.00101462996</v>
      </c>
      <c r="AQ59" s="16">
        <f>SUM(AQ54:AQ58)</f>
        <v>118030.07341425998</v>
      </c>
      <c r="AR59" s="16">
        <f>SUM(AR54:AR58)</f>
        <v>84328.425288420025</v>
      </c>
      <c r="AS59" s="16">
        <f>SUM(AS54:AS58)</f>
        <v>124746.47104786002</v>
      </c>
      <c r="AT59" s="16">
        <f>SUM(AT54:AT58)</f>
        <v>120437.26506613001</v>
      </c>
      <c r="AU59" s="45">
        <f t="shared" ref="AU59" si="72">SUM(AU54:AU58)</f>
        <v>447542.23481667007</v>
      </c>
      <c r="AV59" s="16">
        <f>SUM(AV54:AV58)</f>
        <v>102511.43138196999</v>
      </c>
      <c r="AW59" s="16">
        <f t="shared" ref="AW59:AX59" si="73">SUM(AW54:AW58)</f>
        <v>113481.06501702005</v>
      </c>
      <c r="AX59" s="16">
        <f t="shared" si="73"/>
        <v>116703.19888175995</v>
      </c>
      <c r="AY59" s="16">
        <f>SUM(AY54:AY58)</f>
        <v>129789.07677119</v>
      </c>
      <c r="AZ59" s="45">
        <f t="shared" ref="AZ59" si="74">SUM(AZ54:AZ58)</f>
        <v>462484.77205193992</v>
      </c>
      <c r="BA59" s="16">
        <f>SUM(BA54:BA58)</f>
        <v>107631.23707809998</v>
      </c>
    </row>
    <row r="60" spans="1:53">
      <c r="A60" s="11"/>
      <c r="B60" s="11" t="s">
        <v>431</v>
      </c>
      <c r="C60" s="12">
        <v>0</v>
      </c>
      <c r="D60" s="12">
        <v>0</v>
      </c>
      <c r="E60" s="12">
        <v>0</v>
      </c>
      <c r="F60" s="12">
        <v>0</v>
      </c>
      <c r="G60" s="40">
        <v>0</v>
      </c>
      <c r="H60" s="12">
        <v>0</v>
      </c>
      <c r="I60" s="12">
        <v>0</v>
      </c>
      <c r="J60" s="12">
        <v>0</v>
      </c>
      <c r="K60" s="12">
        <v>0</v>
      </c>
      <c r="L60" s="40">
        <v>0</v>
      </c>
      <c r="M60" s="12">
        <v>0</v>
      </c>
      <c r="N60" s="12">
        <v>0</v>
      </c>
      <c r="O60" s="12">
        <v>0</v>
      </c>
      <c r="P60" s="12">
        <v>0</v>
      </c>
      <c r="Q60" s="40">
        <v>0</v>
      </c>
      <c r="R60" s="12">
        <v>0</v>
      </c>
      <c r="S60" s="12">
        <v>3089.7788999999998</v>
      </c>
      <c r="T60" s="12">
        <v>1315.1687999999999</v>
      </c>
      <c r="U60" s="12">
        <v>1306.780881907719</v>
      </c>
      <c r="V60" s="40">
        <v>5711.7285819077188</v>
      </c>
      <c r="W60" s="12">
        <v>1306.9730999999999</v>
      </c>
      <c r="X60" s="12">
        <v>1311.7940999999998</v>
      </c>
      <c r="Y60" s="12">
        <v>1310.8299</v>
      </c>
      <c r="Z60" s="12">
        <v>-1926.9536999999998</v>
      </c>
      <c r="AA60" s="40">
        <v>2002.6434000000002</v>
      </c>
      <c r="AB60" s="12">
        <v>27382.313870701215</v>
      </c>
      <c r="AC60" s="12">
        <v>28600.091348418468</v>
      </c>
      <c r="AD60" s="12">
        <v>27213.372427680326</v>
      </c>
      <c r="AE60" s="12">
        <v>10564.45363096757</v>
      </c>
      <c r="AF60" s="40">
        <v>93760.231277767583</v>
      </c>
      <c r="AG60" s="12">
        <f>('DRE ANTIGA PARCERIA CAIXA'!AG24-('DRE ANTIGA PARCERIA CAIXA'!AG118*0.49))*'DRE ANTIGA PARCERIA CAIXA'!AG$27</f>
        <v>25304.703584350002</v>
      </c>
      <c r="AH60" s="12">
        <f>('DRE ANTIGA PARCERIA CAIXA'!AH24-('DRE ANTIGA PARCERIA CAIXA'!AH118*0.49))*'DRE ANTIGA PARCERIA CAIXA'!AH$27</f>
        <v>16586.414156080002</v>
      </c>
      <c r="AI60" s="1">
        <f>('DRE ANTIGA PARCERIA CAIXA'!AI24-('DRE ANTIGA PARCERIA CAIXA'!AI118*0.49))*'DRE ANTIGA PARCERIA CAIXA'!AI$27</f>
        <v>6866.9375805600002</v>
      </c>
      <c r="AJ60" s="1">
        <f>('DRE ANTIGA PARCERIA CAIXA'!AJ24-('DRE ANTIGA PARCERIA CAIXA'!AJ118*0.49))*'DRE ANTIGA PARCERIA CAIXA'!AJ$27</f>
        <v>-84.437470250000004</v>
      </c>
      <c r="AK60" s="40">
        <f>SUM(AG60:AJ60)</f>
        <v>48673.617850740004</v>
      </c>
      <c r="AL60" s="1">
        <f>('DRE ANTIGA PARCERIA CAIXA'!AL24-('DRE ANTIGA PARCERIA CAIXA'!AL118*0.49))*'DRE ANTIGA PARCERIA CAIXA'!AL$27</f>
        <v>89.605043429300011</v>
      </c>
      <c r="AM60" s="1">
        <f>('DRE ANTIGA PARCERIA CAIXA'!AM24-('DRE ANTIGA PARCERIA CAIXA'!AM118*0.49))*'DRE ANTIGA PARCERIA CAIXA'!AM$27</f>
        <v>327.13488474000002</v>
      </c>
      <c r="AN60" s="1">
        <f>('DRE ANTIGA PARCERIA CAIXA'!AN24-('DRE ANTIGA PARCERIA CAIXA'!AN118*0.49))*'DRE ANTIGA PARCERIA CAIXA'!AN$27</f>
        <v>-451.6270033774764</v>
      </c>
      <c r="AO60" s="1">
        <f>('DRE ANTIGA PARCERIA CAIXA'!AO24-('DRE ANTIGA PARCERIA CAIXA'!AO118*0.49))*'DRE ANTIGA PARCERIA CAIXA'!AO$27</f>
        <v>2963.3439559198964</v>
      </c>
      <c r="AP60" s="40">
        <f>SUM(AL60:AO60)</f>
        <v>2928.4568807117203</v>
      </c>
      <c r="AQ60" s="1">
        <f>('DRE ANTIGA PARCERIA CAIXA'!AQ24-('DRE ANTIGA PARCERIA CAIXA'!AQ118*0.49))*'DRE ANTIGA PARCERIA CAIXA'!AQ$27</f>
        <v>174.66493846</v>
      </c>
      <c r="AR60" s="1">
        <f>('DRE ANTIGA PARCERIA CAIXA'!AR24-('DRE ANTIGA PARCERIA CAIXA'!AR118*0.49))*'DRE ANTIGA PARCERIA CAIXA'!AR$27</f>
        <v>962.10466101999998</v>
      </c>
      <c r="AS60" s="1">
        <f>('DRE ANTIGA PARCERIA CAIXA'!AS24-('DRE ANTIGA PARCERIA CAIXA'!AS118*0.49))*'DRE ANTIGA PARCERIA CAIXA'!AS$27</f>
        <v>-2582.1940902110882</v>
      </c>
      <c r="AT60" s="1">
        <f>('DRE ANTIGA PARCERIA CAIXA'!AT24-('DRE ANTIGA PARCERIA CAIXA'!AT118*0.49))*'DRE ANTIGA PARCERIA CAIXA'!AT$27</f>
        <v>-326.65238491000002</v>
      </c>
      <c r="AU60" s="40">
        <f>SUM(AQ60:AT60)</f>
        <v>-1772.0768756410885</v>
      </c>
      <c r="AV60" s="1">
        <f>('DRE ANTIGA PARCERIA CAIXA'!AV24-('DRE ANTIGA PARCERIA CAIXA'!AV118*0.49))*'DRE ANTIGA PARCERIA CAIXA'!AV$27</f>
        <v>-63.207477730000001</v>
      </c>
      <c r="AW60" s="1">
        <f>('DRE ANTIGA PARCERIA CAIXA'!AW24-('DRE ANTIGA PARCERIA CAIXA'!AW118*0.49))*'DRE ANTIGA PARCERIA CAIXA'!AW$27</f>
        <v>-252.82991092</v>
      </c>
      <c r="AX60" s="1">
        <f>('DRE ANTIGA PARCERIA CAIXA'!AX24-('DRE ANTIGA PARCERIA CAIXA'!AX118*0.49))*'DRE ANTIGA PARCERIA CAIXA'!AX$27</f>
        <v>267.30490581999999</v>
      </c>
      <c r="AY60" s="1">
        <f>('DRE ANTIGA PARCERIA CAIXA'!AY24-('DRE ANTIGA PARCERIA CAIXA'!AY118*0.49))*'DRE ANTIGA PARCERIA CAIXA'!AY$27</f>
        <v>-1690.19690449</v>
      </c>
      <c r="AZ60" s="40">
        <f>SUM(AV60:AY60)</f>
        <v>-1738.9293873199999</v>
      </c>
      <c r="BA60" s="1">
        <f>('DRE ANTIGA PARCERIA CAIXA'!BA24-('DRE ANTIGA PARCERIA CAIXA'!BA118*0.49))*'DRE ANTIGA PARCERIA CAIXA'!BA$27</f>
        <v>9452.1716697000011</v>
      </c>
    </row>
    <row r="61" spans="1:53" ht="15.75" thickBot="1">
      <c r="A61" s="15"/>
      <c r="B61" s="15" t="s">
        <v>428</v>
      </c>
      <c r="C61" s="33">
        <v>224115.88926404709</v>
      </c>
      <c r="D61" s="33">
        <v>213957.44231249657</v>
      </c>
      <c r="E61" s="33">
        <v>229557.49299618058</v>
      </c>
      <c r="F61" s="33">
        <v>250605.11280925214</v>
      </c>
      <c r="G61" s="37">
        <v>918235.93738197605</v>
      </c>
      <c r="H61" s="33">
        <v>235621.51594307987</v>
      </c>
      <c r="I61" s="33">
        <v>259678.32784712227</v>
      </c>
      <c r="J61" s="33">
        <v>231421.28050358442</v>
      </c>
      <c r="K61" s="33">
        <v>257648.73958643904</v>
      </c>
      <c r="L61" s="37">
        <v>984369.86388022592</v>
      </c>
      <c r="M61" s="33">
        <v>242021.44568907307</v>
      </c>
      <c r="N61" s="33">
        <v>225303.92228783126</v>
      </c>
      <c r="O61" s="33">
        <v>261732.38714073924</v>
      </c>
      <c r="P61" s="33">
        <v>305434.84461302485</v>
      </c>
      <c r="Q61" s="37">
        <v>1034492.5997306684</v>
      </c>
      <c r="R61" s="33">
        <v>280237.48709118849</v>
      </c>
      <c r="S61" s="33">
        <v>261725.02230226595</v>
      </c>
      <c r="T61" s="33">
        <v>309110.26593729312</v>
      </c>
      <c r="U61" s="33">
        <v>245242.66408069924</v>
      </c>
      <c r="V61" s="37">
        <v>1096315.4394114465</v>
      </c>
      <c r="W61" s="33">
        <v>308197.55420160346</v>
      </c>
      <c r="X61" s="33">
        <v>293667.3906084107</v>
      </c>
      <c r="Y61" s="33">
        <v>310691.13912486163</v>
      </c>
      <c r="Z61" s="33">
        <v>295011.21615036129</v>
      </c>
      <c r="AA61" s="37">
        <v>1207567.3000852366</v>
      </c>
      <c r="AB61" s="33">
        <v>128969.36911842421</v>
      </c>
      <c r="AC61" s="33">
        <v>126425.89864462633</v>
      </c>
      <c r="AD61" s="33">
        <v>97741.32335154945</v>
      </c>
      <c r="AE61" s="33">
        <v>113813.20955311255</v>
      </c>
      <c r="AF61" s="37">
        <v>466949.80066771258</v>
      </c>
      <c r="AG61" s="33">
        <f t="shared" ref="AG61:AH61" si="75">SUM(AG59:AG60)</f>
        <v>126701.40595907441</v>
      </c>
      <c r="AH61" s="33">
        <f t="shared" si="75"/>
        <v>104487.93403558536</v>
      </c>
      <c r="AI61" s="33">
        <f>SUM(AI59:AI60)</f>
        <v>118454.09908986227</v>
      </c>
      <c r="AJ61" s="33">
        <f>SUM(AJ59:AJ60)</f>
        <v>153499.8276921401</v>
      </c>
      <c r="AK61" s="37">
        <f t="shared" ref="AK61" si="76">SUM(AK59:AK60)</f>
        <v>503143.26677666232</v>
      </c>
      <c r="AL61" s="33">
        <f>SUM(AL59:AL60)</f>
        <v>118538.97080995931</v>
      </c>
      <c r="AM61" s="33">
        <f>SUM(AM59:AM60)</f>
        <v>112670.46530262</v>
      </c>
      <c r="AN61" s="33">
        <f>SUM(AN59:AN60)</f>
        <v>144451.75694256253</v>
      </c>
      <c r="AO61" s="33">
        <f>SUM(AO59:AO60)</f>
        <v>142365.26484019993</v>
      </c>
      <c r="AP61" s="37">
        <f t="shared" ref="AP61" si="77">SUM(AP59:AP60)</f>
        <v>518026.45789534168</v>
      </c>
      <c r="AQ61" s="33">
        <f>SUM(AQ59:AQ60)</f>
        <v>118204.73835271999</v>
      </c>
      <c r="AR61" s="33">
        <f>SUM(AR59:AR60)</f>
        <v>85290.529949440024</v>
      </c>
      <c r="AS61" s="33">
        <f>SUM(AS59:AS60)</f>
        <v>122164.27695764892</v>
      </c>
      <c r="AT61" s="33">
        <f>SUM(AT59:AT60)</f>
        <v>120110.61268122001</v>
      </c>
      <c r="AU61" s="37">
        <f t="shared" ref="AU61" si="78">SUM(AU59:AU60)</f>
        <v>445770.157941029</v>
      </c>
      <c r="AV61" s="33">
        <f>SUM(AV59:AV60)</f>
        <v>102448.22390423999</v>
      </c>
      <c r="AW61" s="33">
        <f t="shared" ref="AW61:AX61" si="79">SUM(AW59:AW60)</f>
        <v>113228.23510610005</v>
      </c>
      <c r="AX61" s="33">
        <f t="shared" si="79"/>
        <v>116970.50378757995</v>
      </c>
      <c r="AY61" s="33">
        <f>SUM(AY59:AY60)</f>
        <v>128098.87986669999</v>
      </c>
      <c r="AZ61" s="37">
        <f t="shared" ref="AZ61" si="80">SUM(AZ59:AZ60)</f>
        <v>460745.84266461991</v>
      </c>
      <c r="BA61" s="33">
        <f>SUM(BA59:BA60)</f>
        <v>117083.40874779999</v>
      </c>
    </row>
    <row r="62" spans="1:53" s="2" customFormat="1" ht="15.75" thickBo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65"/>
      <c r="AI62" s="65"/>
      <c r="AJ62" s="3"/>
      <c r="AK62" s="3"/>
      <c r="AL62" s="3"/>
      <c r="AM62" s="65"/>
      <c r="AN62" s="65"/>
      <c r="AO62" s="3"/>
      <c r="AP62" s="3"/>
      <c r="AQ62" s="3"/>
      <c r="AR62" s="65"/>
      <c r="AS62" s="65"/>
      <c r="AT62" s="3"/>
      <c r="AU62" s="3"/>
      <c r="AV62" s="3"/>
      <c r="AW62" s="3"/>
      <c r="AX62" s="3"/>
      <c r="AY62" s="3"/>
      <c r="AZ62" s="3"/>
      <c r="BA62" s="3"/>
    </row>
    <row r="63" spans="1:53" s="30" customFormat="1" ht="24.4" customHeight="1">
      <c r="A63" s="625"/>
      <c r="B63" s="625" t="s">
        <v>433</v>
      </c>
      <c r="C63" s="626" t="s">
        <v>224</v>
      </c>
      <c r="D63" s="626" t="s">
        <v>225</v>
      </c>
      <c r="E63" s="626" t="s">
        <v>226</v>
      </c>
      <c r="F63" s="626" t="s">
        <v>227</v>
      </c>
      <c r="G63" s="652">
        <v>2016</v>
      </c>
      <c r="H63" s="626" t="s">
        <v>228</v>
      </c>
      <c r="I63" s="626" t="s">
        <v>229</v>
      </c>
      <c r="J63" s="626" t="s">
        <v>230</v>
      </c>
      <c r="K63" s="626" t="s">
        <v>231</v>
      </c>
      <c r="L63" s="652">
        <v>2017</v>
      </c>
      <c r="M63" s="626" t="s">
        <v>232</v>
      </c>
      <c r="N63" s="626" t="s">
        <v>233</v>
      </c>
      <c r="O63" s="626" t="s">
        <v>234</v>
      </c>
      <c r="P63" s="626" t="s">
        <v>235</v>
      </c>
      <c r="Q63" s="652">
        <v>2018</v>
      </c>
      <c r="R63" s="626" t="s">
        <v>236</v>
      </c>
      <c r="S63" s="626" t="s">
        <v>237</v>
      </c>
      <c r="T63" s="626" t="s">
        <v>238</v>
      </c>
      <c r="U63" s="626" t="s">
        <v>239</v>
      </c>
      <c r="V63" s="652">
        <v>2019</v>
      </c>
      <c r="W63" s="626" t="s">
        <v>240</v>
      </c>
      <c r="X63" s="626" t="s">
        <v>241</v>
      </c>
      <c r="Y63" s="626" t="s">
        <v>242</v>
      </c>
      <c r="Z63" s="626" t="s">
        <v>243</v>
      </c>
      <c r="AA63" s="652">
        <v>2020</v>
      </c>
      <c r="AB63" s="626" t="s">
        <v>244</v>
      </c>
      <c r="AC63" s="626" t="s">
        <v>245</v>
      </c>
      <c r="AD63" s="626" t="s">
        <v>246</v>
      </c>
      <c r="AE63" s="626" t="s">
        <v>247</v>
      </c>
      <c r="AF63" s="652">
        <v>2021</v>
      </c>
      <c r="AG63" s="626" t="s">
        <v>248</v>
      </c>
      <c r="AH63" s="626" t="s">
        <v>249</v>
      </c>
      <c r="AI63" s="626" t="s">
        <v>250</v>
      </c>
      <c r="AJ63" s="626" t="s">
        <v>215</v>
      </c>
      <c r="AK63" s="652">
        <v>2022</v>
      </c>
      <c r="AL63" s="626" t="s">
        <v>252</v>
      </c>
      <c r="AM63" s="626" t="s">
        <v>253</v>
      </c>
      <c r="AN63" s="626" t="s">
        <v>254</v>
      </c>
      <c r="AO63" s="626" t="s">
        <v>219</v>
      </c>
      <c r="AP63" s="652">
        <v>2023</v>
      </c>
      <c r="AQ63" s="626" t="s">
        <v>223</v>
      </c>
      <c r="AR63" s="626" t="s">
        <v>256</v>
      </c>
      <c r="AS63" s="626" t="s">
        <v>357</v>
      </c>
      <c r="AT63" s="626" t="s">
        <v>358</v>
      </c>
      <c r="AU63" s="652">
        <v>2024</v>
      </c>
      <c r="AV63" s="626" t="s">
        <v>359</v>
      </c>
      <c r="AW63" s="626" t="s">
        <v>1115</v>
      </c>
      <c r="AX63" s="626" t="s">
        <v>1116</v>
      </c>
      <c r="AY63" s="626" t="s">
        <v>1117</v>
      </c>
      <c r="AZ63" s="653" t="s">
        <v>1118</v>
      </c>
      <c r="BA63" s="645" t="s">
        <v>1124</v>
      </c>
    </row>
    <row r="64" spans="1:53">
      <c r="A64" s="9"/>
      <c r="B64" s="9" t="s">
        <v>412</v>
      </c>
      <c r="C64" s="10"/>
      <c r="D64" s="10"/>
      <c r="E64" s="10"/>
      <c r="F64" s="10"/>
      <c r="G64" s="39"/>
      <c r="H64" s="10"/>
      <c r="I64" s="10"/>
      <c r="J64" s="10"/>
      <c r="K64" s="10"/>
      <c r="L64" s="39"/>
      <c r="M64" s="10"/>
      <c r="N64" s="10"/>
      <c r="O64" s="10"/>
      <c r="P64" s="10"/>
      <c r="Q64" s="39"/>
      <c r="R64" s="10"/>
      <c r="S64" s="10"/>
      <c r="T64" s="10"/>
      <c r="U64" s="10"/>
      <c r="V64" s="39"/>
      <c r="W64" s="10"/>
      <c r="X64" s="10"/>
      <c r="Y64" s="10"/>
      <c r="Z64" s="10">
        <f>0+('DRE NOVAS PARCERIAS CAIXA'!Z102*'DRE NOVAS PARCERIAS CAIXA'!Z116)</f>
        <v>0.38042399999999926</v>
      </c>
      <c r="AA64" s="39">
        <f>SUM(W64:Z64)</f>
        <v>0.38042399999999926</v>
      </c>
      <c r="AB64" s="10">
        <f>223667.937258011+('DRE NOVAS PARCERIAS CAIXA'!AB102*'DRE NOVAS PARCERIAS CAIXA'!AB116)</f>
        <v>378404.52705314057</v>
      </c>
      <c r="AC64" s="10">
        <f>229538.493106462+('DRE NOVAS PARCERIAS CAIXA'!AC102*'DRE NOVAS PARCERIAS CAIXA'!AC116)</f>
        <v>397140.88624333229</v>
      </c>
      <c r="AD64" s="10">
        <f>292504.380730404+('DRE NOVAS PARCERIAS CAIXA'!AD102*'DRE NOVAS PARCERIAS CAIXA'!AD116)</f>
        <v>472215.95138840389</v>
      </c>
      <c r="AE64" s="10">
        <f>315127.88163761+('DRE NOVAS PARCERIAS CAIXA'!AE102*'DRE NOVAS PARCERIAS CAIXA'!AE116)</f>
        <v>495827.48163761001</v>
      </c>
      <c r="AF64" s="39">
        <f>SUM(AB64:AE64)</f>
        <v>1743588.8463224866</v>
      </c>
      <c r="AG64" s="10">
        <f>('DRE NOVAS PARCERIAS CAIXA'!AG10*'DRE NOVAS PARCERIAS CAIXA'!AG$27)+('DRE NOVAS PARCERIAS CAIXA'!AG102*'DRE NOVAS PARCERIAS CAIXA'!AG$116)+('DRE NOVAS PARCERIAS CAIXA'!AG129*'DRE NOVAS PARCERIAS CAIXA'!AG$146)+('DRE NOVAS PARCERIAS CAIXA'!AG159*'DRE NOVAS PARCERIAS CAIXA'!AG$176)+('DRE NOVAS PARCERIAS CAIXA'!AG183*'DRE NOVAS PARCERIAS CAIXA'!AG$201)+('DRE NOVAS PARCERIAS CAIXA'!AG208*'DRE NOVAS PARCERIAS CAIXA'!AG$226)</f>
        <v>480010.18910257681</v>
      </c>
      <c r="AH64" s="10">
        <f>('DRE NOVAS PARCERIAS CAIXA'!AH10*'DRE NOVAS PARCERIAS CAIXA'!AH$27)+('DRE NOVAS PARCERIAS CAIXA'!AH102*'DRE NOVAS PARCERIAS CAIXA'!AH$116)+('DRE NOVAS PARCERIAS CAIXA'!AH129*'DRE NOVAS PARCERIAS CAIXA'!AH$146)+('DRE NOVAS PARCERIAS CAIXA'!AH159*'DRE NOVAS PARCERIAS CAIXA'!AH$176)+('DRE NOVAS PARCERIAS CAIXA'!AH183*'DRE NOVAS PARCERIAS CAIXA'!AH$201)+('DRE NOVAS PARCERIAS CAIXA'!AH208*'DRE NOVAS PARCERIAS CAIXA'!AH$226)</f>
        <v>635551.11066575861</v>
      </c>
      <c r="AI64" s="10">
        <f>('DRE NOVAS PARCERIAS CAIXA'!AI10*'DRE NOVAS PARCERIAS CAIXA'!AI$27)+('DRE NOVAS PARCERIAS CAIXA'!AI102*'DRE NOVAS PARCERIAS CAIXA'!AI$116)+('DRE NOVAS PARCERIAS CAIXA'!AI129*'DRE NOVAS PARCERIAS CAIXA'!AI$146)+('DRE NOVAS PARCERIAS CAIXA'!AI159*'DRE NOVAS PARCERIAS CAIXA'!AI$176)+('DRE NOVAS PARCERIAS CAIXA'!AI183*'DRE NOVAS PARCERIAS CAIXA'!AI$201)+('DRE NOVAS PARCERIAS CAIXA'!AI208*'DRE NOVAS PARCERIAS CAIXA'!AI$226)</f>
        <v>609405.80835750001</v>
      </c>
      <c r="AJ64" s="10">
        <f>('DRE NOVAS PARCERIAS CAIXA'!AJ10*'DRE NOVAS PARCERIAS CAIXA'!AJ$27)+('DRE NOVAS PARCERIAS CAIXA'!AJ102*'DRE NOVAS PARCERIAS CAIXA'!AJ$116)+('DRE NOVAS PARCERIAS CAIXA'!AJ129*'DRE NOVAS PARCERIAS CAIXA'!AJ$146)+('DRE NOVAS PARCERIAS CAIXA'!AJ159*'DRE NOVAS PARCERIAS CAIXA'!AJ$176)+('DRE NOVAS PARCERIAS CAIXA'!AJ183*'DRE NOVAS PARCERIAS CAIXA'!AJ$201)+('DRE NOVAS PARCERIAS CAIXA'!AJ208*'DRE NOVAS PARCERIAS CAIXA'!AJ$226)</f>
        <v>731534.44408499997</v>
      </c>
      <c r="AK64" s="39">
        <f>SUM(AG64:AJ64)</f>
        <v>2456501.5522108353</v>
      </c>
      <c r="AL64" s="10">
        <f>('DRE NOVAS PARCERIAS CAIXA'!AL10*'DRE NOVAS PARCERIAS CAIXA'!AL$27)+('DRE NOVAS PARCERIAS CAIXA'!AL102*'DRE NOVAS PARCERIAS CAIXA'!AL$116)+('DRE NOVAS PARCERIAS CAIXA'!AL129*'DRE NOVAS PARCERIAS CAIXA'!AL$146)+('DRE NOVAS PARCERIAS CAIXA'!AL159*'DRE NOVAS PARCERIAS CAIXA'!AL$176)+('DRE NOVAS PARCERIAS CAIXA'!AL183*'DRE NOVAS PARCERIAS CAIXA'!AL$201)+('DRE NOVAS PARCERIAS CAIXA'!AL208*'DRE NOVAS PARCERIAS CAIXA'!AL$226)</f>
        <v>777997.64999999991</v>
      </c>
      <c r="AM64" s="10">
        <f>('DRE NOVAS PARCERIAS CAIXA'!AM10*'DRE NOVAS PARCERIAS CAIXA'!AM$27)+('DRE NOVAS PARCERIAS CAIXA'!AM102*'DRE NOVAS PARCERIAS CAIXA'!AM$116)+('DRE NOVAS PARCERIAS CAIXA'!AM129*'DRE NOVAS PARCERIAS CAIXA'!AM$146)+('DRE NOVAS PARCERIAS CAIXA'!AM159*'DRE NOVAS PARCERIAS CAIXA'!AM$176)+('DRE NOVAS PARCERIAS CAIXA'!AM183*'DRE NOVAS PARCERIAS CAIXA'!AM$201)+('DRE NOVAS PARCERIAS CAIXA'!AM208*'DRE NOVAS PARCERIAS CAIXA'!AM$226)</f>
        <v>841813.23791999999</v>
      </c>
      <c r="AN64" s="10">
        <f>('DRE NOVAS PARCERIAS CAIXA'!AN10*'DRE NOVAS PARCERIAS CAIXA'!AN$27)+('DRE NOVAS PARCERIAS CAIXA'!AN102*'DRE NOVAS PARCERIAS CAIXA'!AN$116)+('DRE NOVAS PARCERIAS CAIXA'!AN129*'DRE NOVAS PARCERIAS CAIXA'!AN$146)+('DRE NOVAS PARCERIAS CAIXA'!AN159*'DRE NOVAS PARCERIAS CAIXA'!AN$176)+('DRE NOVAS PARCERIAS CAIXA'!AN183*'DRE NOVAS PARCERIAS CAIXA'!AN$201)+('DRE NOVAS PARCERIAS CAIXA'!AN208*'DRE NOVAS PARCERIAS CAIXA'!AN$226)</f>
        <v>868844.17021576094</v>
      </c>
      <c r="AO64" s="10">
        <f>('DRE NOVAS PARCERIAS CAIXA'!AO10*'DRE NOVAS PARCERIAS CAIXA'!AO$27)+('DRE NOVAS PARCERIAS CAIXA'!AO102*'DRE NOVAS PARCERIAS CAIXA'!AO$116)+('DRE NOVAS PARCERIAS CAIXA'!AO129*'DRE NOVAS PARCERIAS CAIXA'!AO$146)+('DRE NOVAS PARCERIAS CAIXA'!AO159*'DRE NOVAS PARCERIAS CAIXA'!AO$176)+('DRE NOVAS PARCERIAS CAIXA'!AO183*'DRE NOVAS PARCERIAS CAIXA'!AO$201)+('DRE NOVAS PARCERIAS CAIXA'!AO208*'DRE NOVAS PARCERIAS CAIXA'!AO$226)</f>
        <v>881099.78741999995</v>
      </c>
      <c r="AP64" s="39">
        <f>SUM(AL64:AO64)</f>
        <v>3369754.8455557609</v>
      </c>
      <c r="AQ64" s="10">
        <f>('DRE NOVAS PARCERIAS CAIXA'!AQ10*'DRE NOVAS PARCERIAS CAIXA'!AQ$27)+('DRE NOVAS PARCERIAS CAIXA'!AQ102*'DRE NOVAS PARCERIAS CAIXA'!AQ$116)+('DRE NOVAS PARCERIAS CAIXA'!AQ129*'DRE NOVAS PARCERIAS CAIXA'!AQ$146)+('DRE NOVAS PARCERIAS CAIXA'!AQ159*'DRE NOVAS PARCERIAS CAIXA'!AQ$176)+('DRE NOVAS PARCERIAS CAIXA'!AQ183*'DRE NOVAS PARCERIAS CAIXA'!AQ$201)+('DRE NOVAS PARCERIAS CAIXA'!AQ208*'DRE NOVAS PARCERIAS CAIXA'!AQ$226)</f>
        <v>923016.57773999998</v>
      </c>
      <c r="AR64" s="10">
        <f>('DRE NOVAS PARCERIAS CAIXA'!AR10*'DRE NOVAS PARCERIAS CAIXA'!AR$27)+('DRE NOVAS PARCERIAS CAIXA'!AR102*'DRE NOVAS PARCERIAS CAIXA'!AR$116)+('DRE NOVAS PARCERIAS CAIXA'!AR129*'DRE NOVAS PARCERIAS CAIXA'!AR$146)+('DRE NOVAS PARCERIAS CAIXA'!AR159*'DRE NOVAS PARCERIAS CAIXA'!AR$176)+('DRE NOVAS PARCERIAS CAIXA'!AR183*'DRE NOVAS PARCERIAS CAIXA'!AR$201)+('DRE NOVAS PARCERIAS CAIXA'!AR208*'DRE NOVAS PARCERIAS CAIXA'!AR$226)</f>
        <v>712503.3523725</v>
      </c>
      <c r="AS64" s="10">
        <f>('DRE NOVAS PARCERIAS CAIXA'!AS10*'DRE NOVAS PARCERIAS CAIXA'!AS$27)+('DRE NOVAS PARCERIAS CAIXA'!AS102*'DRE NOVAS PARCERIAS CAIXA'!AS$116)+('DRE NOVAS PARCERIAS CAIXA'!AS129*'DRE NOVAS PARCERIAS CAIXA'!AS$146)+('DRE NOVAS PARCERIAS CAIXA'!AS159*'DRE NOVAS PARCERIAS CAIXA'!AS$176)+('DRE NOVAS PARCERIAS CAIXA'!AS183*'DRE NOVAS PARCERIAS CAIXA'!AS$201)+('DRE NOVAS PARCERIAS CAIXA'!AS208*'DRE NOVAS PARCERIAS CAIXA'!AS$226)</f>
        <v>1002966.4821074998</v>
      </c>
      <c r="AT64" s="10">
        <f>('DRE NOVAS PARCERIAS CAIXA'!AT10*'DRE NOVAS PARCERIAS CAIXA'!AT$27)+('DRE NOVAS PARCERIAS CAIXA'!AT102*'DRE NOVAS PARCERIAS CAIXA'!AT$116)+('DRE NOVAS PARCERIAS CAIXA'!AT129*'DRE NOVAS PARCERIAS CAIXA'!AT$146)+('DRE NOVAS PARCERIAS CAIXA'!AT159*'DRE NOVAS PARCERIAS CAIXA'!AT$176)+('DRE NOVAS PARCERIAS CAIXA'!AT183*'DRE NOVAS PARCERIAS CAIXA'!AT$201)+('DRE NOVAS PARCERIAS CAIXA'!AT208*'DRE NOVAS PARCERIAS CAIXA'!AT$226)</f>
        <v>1019644.7876774999</v>
      </c>
      <c r="AU64" s="39">
        <f>SUM(AQ64:AT64)</f>
        <v>3658131.1998974998</v>
      </c>
      <c r="AV64" s="10">
        <f>('DRE NOVAS PARCERIAS CAIXA'!AV10*'DRE NOVAS PARCERIAS CAIXA'!AV$27)+('DRE NOVAS PARCERIAS CAIXA'!AV102*'DRE NOVAS PARCERIAS CAIXA'!AV$116)+('DRE NOVAS PARCERIAS CAIXA'!AV129*'DRE NOVAS PARCERIAS CAIXA'!AV$146)+('DRE NOVAS PARCERIAS CAIXA'!AV159*'DRE NOVAS PARCERIAS CAIXA'!AV$176)+('DRE NOVAS PARCERIAS CAIXA'!AV183*'DRE NOVAS PARCERIAS CAIXA'!AV$201)+('DRE NOVAS PARCERIAS CAIXA'!AV208*'DRE NOVAS PARCERIAS CAIXA'!AV$226)</f>
        <v>1040258.8360125001</v>
      </c>
      <c r="AW64" s="10">
        <f>('DRE NOVAS PARCERIAS CAIXA'!AW10*'DRE NOVAS PARCERIAS CAIXA'!AW$27)+('DRE NOVAS PARCERIAS CAIXA'!AW102*'DRE NOVAS PARCERIAS CAIXA'!AW$116)+('DRE NOVAS PARCERIAS CAIXA'!AW129*'DRE NOVAS PARCERIAS CAIXA'!AW$146)+('DRE NOVAS PARCERIAS CAIXA'!AW159*'DRE NOVAS PARCERIAS CAIXA'!AW$176)+('DRE NOVAS PARCERIAS CAIXA'!AW183*'DRE NOVAS PARCERIAS CAIXA'!AW$201)+('DRE NOVAS PARCERIAS CAIXA'!AW208*'DRE NOVAS PARCERIAS CAIXA'!AW$226)</f>
        <v>1064026.25211</v>
      </c>
      <c r="AX64" s="10">
        <f>('DRE NOVAS PARCERIAS CAIXA'!AX10*'DRE NOVAS PARCERIAS CAIXA'!AX$27)+('DRE NOVAS PARCERIAS CAIXA'!AX102*'DRE NOVAS PARCERIAS CAIXA'!AX$116)+('DRE NOVAS PARCERIAS CAIXA'!AX129*'DRE NOVAS PARCERIAS CAIXA'!AX$146)+('DRE NOVAS PARCERIAS CAIXA'!AX159*'DRE NOVAS PARCERIAS CAIXA'!AX$176)+('DRE NOVAS PARCERIAS CAIXA'!AX183*'DRE NOVAS PARCERIAS CAIXA'!AX$201)+('DRE NOVAS PARCERIAS CAIXA'!AX208*'DRE NOVAS PARCERIAS CAIXA'!AX$226)</f>
        <v>1125083.1189655818</v>
      </c>
      <c r="AY64" s="10">
        <f>('DRE NOVAS PARCERIAS CAIXA'!AY10*'DRE NOVAS PARCERIAS CAIXA'!AY$27)+('DRE NOVAS PARCERIAS CAIXA'!AY102*'DRE NOVAS PARCERIAS CAIXA'!AY$116)+('DRE NOVAS PARCERIAS CAIXA'!AY129*'DRE NOVAS PARCERIAS CAIXA'!AY$146)+('DRE NOVAS PARCERIAS CAIXA'!AY159*'DRE NOVAS PARCERIAS CAIXA'!AY$176)+('DRE NOVAS PARCERIAS CAIXA'!AY183*'DRE NOVAS PARCERIAS CAIXA'!AY$201)+('DRE NOVAS PARCERIAS CAIXA'!AY208*'DRE NOVAS PARCERIAS CAIXA'!AY$226)</f>
        <v>1152372.3755325</v>
      </c>
      <c r="AZ64" s="39">
        <f>SUM(AV64:AY64)</f>
        <v>4381740.5826205816</v>
      </c>
      <c r="BA64" s="10">
        <f>('DRE NOVAS PARCERIAS CAIXA'!BA10*'DRE NOVAS PARCERIAS CAIXA'!BA$27)+('DRE NOVAS PARCERIAS CAIXA'!BA102*'DRE NOVAS PARCERIAS CAIXA'!BA$116)+('DRE NOVAS PARCERIAS CAIXA'!BA129*'DRE NOVAS PARCERIAS CAIXA'!BA$146)+('DRE NOVAS PARCERIAS CAIXA'!BA159*'DRE NOVAS PARCERIAS CAIXA'!BA$176)+('DRE NOVAS PARCERIAS CAIXA'!BA183*'DRE NOVAS PARCERIAS CAIXA'!BA$201)+('DRE NOVAS PARCERIAS CAIXA'!BA208*'DRE NOVAS PARCERIAS CAIXA'!BA$226)</f>
        <v>1176957.3299099999</v>
      </c>
    </row>
    <row r="65" spans="1:53">
      <c r="A65" s="11"/>
      <c r="B65" s="11" t="s">
        <v>413</v>
      </c>
      <c r="C65" s="8"/>
      <c r="D65" s="8"/>
      <c r="E65" s="8"/>
      <c r="F65" s="8"/>
      <c r="G65" s="40"/>
      <c r="H65" s="8"/>
      <c r="I65" s="8"/>
      <c r="J65" s="8"/>
      <c r="K65" s="8"/>
      <c r="L65" s="40"/>
      <c r="M65" s="8"/>
      <c r="N65" s="8"/>
      <c r="O65" s="8"/>
      <c r="P65" s="8"/>
      <c r="Q65" s="40"/>
      <c r="R65" s="12"/>
      <c r="S65" s="12"/>
      <c r="T65" s="12"/>
      <c r="U65" s="12"/>
      <c r="V65" s="40"/>
      <c r="W65" s="12"/>
      <c r="X65" s="12"/>
      <c r="Y65" s="12"/>
      <c r="Z65" s="12">
        <v>-87.544634000000002</v>
      </c>
      <c r="AA65" s="40">
        <v>-87.544634000000002</v>
      </c>
      <c r="AB65" s="12">
        <v>-108902.43491112957</v>
      </c>
      <c r="AC65" s="12">
        <v>-121301.61541187043</v>
      </c>
      <c r="AD65" s="12">
        <v>-125485.21086450001</v>
      </c>
      <c r="AE65" s="12">
        <v>-147812.00320349986</v>
      </c>
      <c r="AF65" s="40">
        <v>-503501.26439099992</v>
      </c>
      <c r="AG65" s="12">
        <f>('DRE NOVAS PARCERIAS CAIXA'!AG11*'DRE NOVAS PARCERIAS CAIXA'!AG$27)+('DRE NOVAS PARCERIAS CAIXA'!AG130*'DRE NOVAS PARCERIAS CAIXA'!AG$146)+('DRE NOVAS PARCERIAS CAIXA'!AG160*'DRE NOVAS PARCERIAS CAIXA'!AG$176)+('DRE NOVAS PARCERIAS CAIXA'!AG184*'DRE NOVAS PARCERIAS CAIXA'!AG$201)+('DRE NOVAS PARCERIAS CAIXA'!AG209*'DRE NOVAS PARCERIAS CAIXA'!AG$226)</f>
        <v>-134024.50170269262</v>
      </c>
      <c r="AH65" s="12">
        <f>('DRE NOVAS PARCERIAS CAIXA'!AH11*'DRE NOVAS PARCERIAS CAIXA'!AH$27)+('DRE NOVAS PARCERIAS CAIXA'!AH130*'DRE NOVAS PARCERIAS CAIXA'!AH$146)+('DRE NOVAS PARCERIAS CAIXA'!AH160*'DRE NOVAS PARCERIAS CAIXA'!AH$176)+('DRE NOVAS PARCERIAS CAIXA'!AH184*'DRE NOVAS PARCERIAS CAIXA'!AH$201)+('DRE NOVAS PARCERIAS CAIXA'!AH209*'DRE NOVAS PARCERIAS CAIXA'!AH$226)</f>
        <v>-146043.52646024356</v>
      </c>
      <c r="AI65" s="110">
        <f>('DRE NOVAS PARCERIAS CAIXA'!AI11*'DRE NOVAS PARCERIAS CAIXA'!AI$27)+('DRE NOVAS PARCERIAS CAIXA'!AI130*'DRE NOVAS PARCERIAS CAIXA'!AI$146)+('DRE NOVAS PARCERIAS CAIXA'!AI160*'DRE NOVAS PARCERIAS CAIXA'!AI$176)+('DRE NOVAS PARCERIAS CAIXA'!AI184*'DRE NOVAS PARCERIAS CAIXA'!AI$201)+('DRE NOVAS PARCERIAS CAIXA'!AI209*'DRE NOVAS PARCERIAS CAIXA'!AI$226)</f>
        <v>-114858.05835750001</v>
      </c>
      <c r="AJ65" s="110">
        <f>('DRE NOVAS PARCERIAS CAIXA'!AJ11*'DRE NOVAS PARCERIAS CAIXA'!AJ$27)+('DRE NOVAS PARCERIAS CAIXA'!AJ130*'DRE NOVAS PARCERIAS CAIXA'!AJ$146)+('DRE NOVAS PARCERIAS CAIXA'!AJ160*'DRE NOVAS PARCERIAS CAIXA'!AJ$176)+('DRE NOVAS PARCERIAS CAIXA'!AJ184*'DRE NOVAS PARCERIAS CAIXA'!AJ$201)+('DRE NOVAS PARCERIAS CAIXA'!AJ209*'DRE NOVAS PARCERIAS CAIXA'!AJ$226)</f>
        <v>-165959.444085</v>
      </c>
      <c r="AK65" s="40">
        <f t="shared" ref="AK65:AK79" si="81">SUM(AG65:AJ65)</f>
        <v>-560885.53060543619</v>
      </c>
      <c r="AL65" s="12">
        <f>('DRE NOVAS PARCERIAS CAIXA'!AL11*'DRE NOVAS PARCERIAS CAIXA'!AL$27)+('DRE NOVAS PARCERIAS CAIXA'!AL130*'DRE NOVAS PARCERIAS CAIXA'!AL$146)+('DRE NOVAS PARCERIAS CAIXA'!AL160*'DRE NOVAS PARCERIAS CAIXA'!AL$176)+('DRE NOVAS PARCERIAS CAIXA'!AL184*'DRE NOVAS PARCERIAS CAIXA'!AL$201)+('DRE NOVAS PARCERIAS CAIXA'!AL209*'DRE NOVAS PARCERIAS CAIXA'!AL$226)</f>
        <v>-162777.11924999999</v>
      </c>
      <c r="AM65" s="12">
        <f>('DRE NOVAS PARCERIAS CAIXA'!AM11*'DRE NOVAS PARCERIAS CAIXA'!AM$27)+('DRE NOVAS PARCERIAS CAIXA'!AM130*'DRE NOVAS PARCERIAS CAIXA'!AM$146)+('DRE NOVAS PARCERIAS CAIXA'!AM160*'DRE NOVAS PARCERIAS CAIXA'!AM$176)+('DRE NOVAS PARCERIAS CAIXA'!AM184*'DRE NOVAS PARCERIAS CAIXA'!AM$201)+('DRE NOVAS PARCERIAS CAIXA'!AM209*'DRE NOVAS PARCERIAS CAIXA'!AM$226)</f>
        <v>-159213.03792</v>
      </c>
      <c r="AN65" s="12">
        <f>('DRE NOVAS PARCERIAS CAIXA'!AN11*'DRE NOVAS PARCERIAS CAIXA'!AN$27)+('DRE NOVAS PARCERIAS CAIXA'!AN130*'DRE NOVAS PARCERIAS CAIXA'!AN$146)+('DRE NOVAS PARCERIAS CAIXA'!AN160*'DRE NOVAS PARCERIAS CAIXA'!AN$176)+('DRE NOVAS PARCERIAS CAIXA'!AN184*'DRE NOVAS PARCERIAS CAIXA'!AN$201)+('DRE NOVAS PARCERIAS CAIXA'!AN209*'DRE NOVAS PARCERIAS CAIXA'!AN$226)</f>
        <v>-156012.28084085337</v>
      </c>
      <c r="AO65" s="12">
        <f>('DRE NOVAS PARCERIAS CAIXA'!AO11*'DRE NOVAS PARCERIAS CAIXA'!AO$27)+('DRE NOVAS PARCERIAS CAIXA'!AO130*'DRE NOVAS PARCERIAS CAIXA'!AO$146)+('DRE NOVAS PARCERIAS CAIXA'!AO160*'DRE NOVAS PARCERIAS CAIXA'!AO$176)+('DRE NOVAS PARCERIAS CAIXA'!AO184*'DRE NOVAS PARCERIAS CAIXA'!AO$201)+('DRE NOVAS PARCERIAS CAIXA'!AO209*'DRE NOVAS PARCERIAS CAIXA'!AO$226)</f>
        <v>-197501.63741999998</v>
      </c>
      <c r="AP65" s="40">
        <f t="shared" ref="AP65:AP79" si="82">SUM(AL65:AO65)</f>
        <v>-675504.07543085329</v>
      </c>
      <c r="AQ65" s="12">
        <f>('DRE NOVAS PARCERIAS CAIXA'!AQ11*'DRE NOVAS PARCERIAS CAIXA'!AQ$27)+('DRE NOVAS PARCERIAS CAIXA'!AQ130*'DRE NOVAS PARCERIAS CAIXA'!AQ$146)+('DRE NOVAS PARCERIAS CAIXA'!AQ160*'DRE NOVAS PARCERIAS CAIXA'!AQ$176)+('DRE NOVAS PARCERIAS CAIXA'!AQ184*'DRE NOVAS PARCERIAS CAIXA'!AQ$201)+('DRE NOVAS PARCERIAS CAIXA'!AQ209*'DRE NOVAS PARCERIAS CAIXA'!AQ$226)</f>
        <v>-169439.25774</v>
      </c>
      <c r="AR65" s="12">
        <f>('DRE NOVAS PARCERIAS CAIXA'!AR11*'DRE NOVAS PARCERIAS CAIXA'!AR$27)+('DRE NOVAS PARCERIAS CAIXA'!AR130*'DRE NOVAS PARCERIAS CAIXA'!AR$146)+('DRE NOVAS PARCERIAS CAIXA'!AR160*'DRE NOVAS PARCERIAS CAIXA'!AR$176)+('DRE NOVAS PARCERIAS CAIXA'!AR184*'DRE NOVAS PARCERIAS CAIXA'!AR$201)+('DRE NOVAS PARCERIAS CAIXA'!AR209*'DRE NOVAS PARCERIAS CAIXA'!AR$226)</f>
        <v>-182419.10237250003</v>
      </c>
      <c r="AS65" s="12">
        <f>('DRE NOVAS PARCERIAS CAIXA'!AS11*'DRE NOVAS PARCERIAS CAIXA'!AS$27)+('DRE NOVAS PARCERIAS CAIXA'!AS130*'DRE NOVAS PARCERIAS CAIXA'!AS$146)+('DRE NOVAS PARCERIAS CAIXA'!AS160*'DRE NOVAS PARCERIAS CAIXA'!AS$176)+('DRE NOVAS PARCERIAS CAIXA'!AS184*'DRE NOVAS PARCERIAS CAIXA'!AS$201)+('DRE NOVAS PARCERIAS CAIXA'!AS209*'DRE NOVAS PARCERIAS CAIXA'!AS$226)</f>
        <v>-201334.98210749999</v>
      </c>
      <c r="AT65" s="12">
        <f>('DRE NOVAS PARCERIAS CAIXA'!AT11*'DRE NOVAS PARCERIAS CAIXA'!AT$27)+('DRE NOVAS PARCERIAS CAIXA'!AT130*'DRE NOVAS PARCERIAS CAIXA'!AT$146)+('DRE NOVAS PARCERIAS CAIXA'!AT160*'DRE NOVAS PARCERIAS CAIXA'!AT$176)+('DRE NOVAS PARCERIAS CAIXA'!AT184*'DRE NOVAS PARCERIAS CAIXA'!AT$201)+('DRE NOVAS PARCERIAS CAIXA'!AT209*'DRE NOVAS PARCERIAS CAIXA'!AT$226)</f>
        <v>-229784.83767750001</v>
      </c>
      <c r="AU65" s="40">
        <f t="shared" ref="AU65:AU79" si="83">SUM(AQ65:AT65)</f>
        <v>-782978.17989749997</v>
      </c>
      <c r="AV65" s="12">
        <f>('DRE NOVAS PARCERIAS CAIXA'!AV11*'DRE NOVAS PARCERIAS CAIXA'!AV$27)+('DRE NOVAS PARCERIAS CAIXA'!AV130*'DRE NOVAS PARCERIAS CAIXA'!AV$146)+('DRE NOVAS PARCERIAS CAIXA'!AV160*'DRE NOVAS PARCERIAS CAIXA'!AV$176)+('DRE NOVAS PARCERIAS CAIXA'!AV184*'DRE NOVAS PARCERIAS CAIXA'!AV$201)+('DRE NOVAS PARCERIAS CAIXA'!AV209*'DRE NOVAS PARCERIAS CAIXA'!AV$226)</f>
        <v>-196768.72751249999</v>
      </c>
      <c r="AW65" s="12">
        <f>('DRE NOVAS PARCERIAS CAIXA'!AW11*'DRE NOVAS PARCERIAS CAIXA'!AW$27)+('DRE NOVAS PARCERIAS CAIXA'!AW130*'DRE NOVAS PARCERIAS CAIXA'!AW$146)+('DRE NOVAS PARCERIAS CAIXA'!AW160*'DRE NOVAS PARCERIAS CAIXA'!AW$176)+('DRE NOVAS PARCERIAS CAIXA'!AW184*'DRE NOVAS PARCERIAS CAIXA'!AW$201)+('DRE NOVAS PARCERIAS CAIXA'!AW209*'DRE NOVAS PARCERIAS CAIXA'!AW$226)</f>
        <v>-201700.50336</v>
      </c>
      <c r="AX65" s="12">
        <f>('DRE NOVAS PARCERIAS CAIXA'!AX11*'DRE NOVAS PARCERIAS CAIXA'!AX$27)+('DRE NOVAS PARCERIAS CAIXA'!AX130*'DRE NOVAS PARCERIAS CAIXA'!AX$146)+('DRE NOVAS PARCERIAS CAIXA'!AX160*'DRE NOVAS PARCERIAS CAIXA'!AX$176)+('DRE NOVAS PARCERIAS CAIXA'!AX184*'DRE NOVAS PARCERIAS CAIXA'!AX$201)+('DRE NOVAS PARCERIAS CAIXA'!AX209*'DRE NOVAS PARCERIAS CAIXA'!AX$226)</f>
        <v>-217773.52675248886</v>
      </c>
      <c r="AY65" s="12">
        <f>('DRE NOVAS PARCERIAS CAIXA'!AY11*'DRE NOVAS PARCERIAS CAIXA'!AY$27)+('DRE NOVAS PARCERIAS CAIXA'!AY130*'DRE NOVAS PARCERIAS CAIXA'!AY$146)+('DRE NOVAS PARCERIAS CAIXA'!AY160*'DRE NOVAS PARCERIAS CAIXA'!AY$176)+('DRE NOVAS PARCERIAS CAIXA'!AY184*'DRE NOVAS PARCERIAS CAIXA'!AY$201)+('DRE NOVAS PARCERIAS CAIXA'!AY209*'DRE NOVAS PARCERIAS CAIXA'!AY$226)</f>
        <v>-280125.07440000004</v>
      </c>
      <c r="AZ65" s="40">
        <f t="shared" ref="AZ65:AZ79" si="84">SUM(AV65:AY65)</f>
        <v>-896367.83202498895</v>
      </c>
      <c r="BA65" s="12">
        <f>('DRE NOVAS PARCERIAS CAIXA'!BA11*'DRE NOVAS PARCERIAS CAIXA'!BA$27)+('DRE NOVAS PARCERIAS CAIXA'!BA130*'DRE NOVAS PARCERIAS CAIXA'!BA$146)+('DRE NOVAS PARCERIAS CAIXA'!BA160*'DRE NOVAS PARCERIAS CAIXA'!BA$176)+('DRE NOVAS PARCERIAS CAIXA'!BA184*'DRE NOVAS PARCERIAS CAIXA'!BA$201)+('DRE NOVAS PARCERIAS CAIXA'!BA209*'DRE NOVAS PARCERIAS CAIXA'!BA$226)</f>
        <v>-219385.07991000003</v>
      </c>
    </row>
    <row r="66" spans="1:53">
      <c r="A66" s="11"/>
      <c r="B66" s="11" t="s">
        <v>414</v>
      </c>
      <c r="C66" s="13"/>
      <c r="D66" s="13"/>
      <c r="E66" s="13"/>
      <c r="F66" s="13"/>
      <c r="G66" s="41"/>
      <c r="H66" s="13"/>
      <c r="I66" s="13"/>
      <c r="J66" s="13"/>
      <c r="K66" s="13"/>
      <c r="L66" s="41"/>
      <c r="M66" s="13"/>
      <c r="N66" s="13"/>
      <c r="O66" s="13"/>
      <c r="P66" s="13"/>
      <c r="Q66" s="41"/>
      <c r="R66" s="13"/>
      <c r="S66" s="13"/>
      <c r="T66" s="13"/>
      <c r="U66" s="13"/>
      <c r="V66" s="41"/>
      <c r="W66" s="13"/>
      <c r="X66" s="13"/>
      <c r="Y66" s="13"/>
      <c r="Z66" s="13">
        <v>-51.253025999999998</v>
      </c>
      <c r="AA66" s="41">
        <v>-51.253025999999998</v>
      </c>
      <c r="AB66" s="13">
        <v>-33898.942394999991</v>
      </c>
      <c r="AC66" s="13">
        <v>-34792.365888</v>
      </c>
      <c r="AD66" s="13">
        <v>-38275.475579999969</v>
      </c>
      <c r="AE66" s="13">
        <v>-48009.344809500006</v>
      </c>
      <c r="AF66" s="41">
        <v>-154976.12867249997</v>
      </c>
      <c r="AG66" s="13">
        <f>('DRE NOVAS PARCERIAS CAIXA'!AG12*'DRE NOVAS PARCERIAS CAIXA'!AG$27)+('DRE NOVAS PARCERIAS CAIXA'!AG131*'DRE NOVAS PARCERIAS CAIXA'!AG$146)+('DRE NOVAS PARCERIAS CAIXA'!AG161*'DRE NOVAS PARCERIAS CAIXA'!AG$176)+('DRE NOVAS PARCERIAS CAIXA'!AG185*'DRE NOVAS PARCERIAS CAIXA'!AG$201)+('DRE NOVAS PARCERIAS CAIXA'!AG210*'DRE NOVAS PARCERIAS CAIXA'!AG$226)</f>
        <v>-50514.681781266918</v>
      </c>
      <c r="AH66" s="13">
        <f>('DRE NOVAS PARCERIAS CAIXA'!AH12*'DRE NOVAS PARCERIAS CAIXA'!AH$27)+('DRE NOVAS PARCERIAS CAIXA'!AH131*'DRE NOVAS PARCERIAS CAIXA'!AH$146)+('DRE NOVAS PARCERIAS CAIXA'!AH161*'DRE NOVAS PARCERIAS CAIXA'!AH$176)+('DRE NOVAS PARCERIAS CAIXA'!AH185*'DRE NOVAS PARCERIAS CAIXA'!AH$201)+('DRE NOVAS PARCERIAS CAIXA'!AH210*'DRE NOVAS PARCERIAS CAIXA'!AH$226)</f>
        <v>-55921.2</v>
      </c>
      <c r="AI66" s="110">
        <f>('DRE NOVAS PARCERIAS CAIXA'!AI12*'DRE NOVAS PARCERIAS CAIXA'!AI$27)+('DRE NOVAS PARCERIAS CAIXA'!AI131*'DRE NOVAS PARCERIAS CAIXA'!AI$146)+('DRE NOVAS PARCERIAS CAIXA'!AI161*'DRE NOVAS PARCERIAS CAIXA'!AI$176)+('DRE NOVAS PARCERIAS CAIXA'!AI185*'DRE NOVAS PARCERIAS CAIXA'!AI$201)+('DRE NOVAS PARCERIAS CAIXA'!AI210*'DRE NOVAS PARCERIAS CAIXA'!AI$226)</f>
        <v>-63189.9</v>
      </c>
      <c r="AJ66" s="110">
        <f>('DRE NOVAS PARCERIAS CAIXA'!AJ12*'DRE NOVAS PARCERIAS CAIXA'!AJ$27)+('DRE NOVAS PARCERIAS CAIXA'!AJ131*'DRE NOVAS PARCERIAS CAIXA'!AJ$146)+('DRE NOVAS PARCERIAS CAIXA'!AJ161*'DRE NOVAS PARCERIAS CAIXA'!AJ$176)+('DRE NOVAS PARCERIAS CAIXA'!AJ185*'DRE NOVAS PARCERIAS CAIXA'!AJ$201)+('DRE NOVAS PARCERIAS CAIXA'!AJ210*'DRE NOVAS PARCERIAS CAIXA'!AJ$226)</f>
        <v>-69564.600000000006</v>
      </c>
      <c r="AK66" s="41">
        <f t="shared" si="81"/>
        <v>-239190.38178126691</v>
      </c>
      <c r="AL66" s="13">
        <f>('DRE NOVAS PARCERIAS CAIXA'!AL12*'DRE NOVAS PARCERIAS CAIXA'!AL$27)+('DRE NOVAS PARCERIAS CAIXA'!AL131*'DRE NOVAS PARCERIAS CAIXA'!AL$146)+('DRE NOVAS PARCERIAS CAIXA'!AL161*'DRE NOVAS PARCERIAS CAIXA'!AL$176)+('DRE NOVAS PARCERIAS CAIXA'!AL185*'DRE NOVAS PARCERIAS CAIXA'!AL$201)+('DRE NOVAS PARCERIAS CAIXA'!AL210*'DRE NOVAS PARCERIAS CAIXA'!AL$226)</f>
        <v>-75786.75</v>
      </c>
      <c r="AM66" s="13">
        <f>('DRE NOVAS PARCERIAS CAIXA'!AM12*'DRE NOVAS PARCERIAS CAIXA'!AM$27)+('DRE NOVAS PARCERIAS CAIXA'!AM131*'DRE NOVAS PARCERIAS CAIXA'!AM$146)+('DRE NOVAS PARCERIAS CAIXA'!AM161*'DRE NOVAS PARCERIAS CAIXA'!AM$176)+('DRE NOVAS PARCERIAS CAIXA'!AM185*'DRE NOVAS PARCERIAS CAIXA'!AM$201)+('DRE NOVAS PARCERIAS CAIXA'!AM210*'DRE NOVAS PARCERIAS CAIXA'!AM$226)</f>
        <v>-79644.899999999994</v>
      </c>
      <c r="AN66" s="13">
        <f>('DRE NOVAS PARCERIAS CAIXA'!AN12*'DRE NOVAS PARCERIAS CAIXA'!AN$27)+('DRE NOVAS PARCERIAS CAIXA'!AN131*'DRE NOVAS PARCERIAS CAIXA'!AN$146)+('DRE NOVAS PARCERIAS CAIXA'!AN161*'DRE NOVAS PARCERIAS CAIXA'!AN$176)+('DRE NOVAS PARCERIAS CAIXA'!AN185*'DRE NOVAS PARCERIAS CAIXA'!AN$201)+('DRE NOVAS PARCERIAS CAIXA'!AN210*'DRE NOVAS PARCERIAS CAIXA'!AN$226)</f>
        <v>-82606.599896556814</v>
      </c>
      <c r="AO66" s="13">
        <f>('DRE NOVAS PARCERIAS CAIXA'!AO12*'DRE NOVAS PARCERIAS CAIXA'!AO$27)+('DRE NOVAS PARCERIAS CAIXA'!AO131*'DRE NOVAS PARCERIAS CAIXA'!AO$146)+('DRE NOVAS PARCERIAS CAIXA'!AO161*'DRE NOVAS PARCERIAS CAIXA'!AO$176)+('DRE NOVAS PARCERIAS CAIXA'!AO185*'DRE NOVAS PARCERIAS CAIXA'!AO$201)+('DRE NOVAS PARCERIAS CAIXA'!AO210*'DRE NOVAS PARCERIAS CAIXA'!AO$226)</f>
        <v>-86055.9</v>
      </c>
      <c r="AP66" s="41">
        <f t="shared" si="82"/>
        <v>-324094.1498965568</v>
      </c>
      <c r="AQ66" s="13">
        <f>('DRE NOVAS PARCERIAS CAIXA'!AQ12*'DRE NOVAS PARCERIAS CAIXA'!AQ$27)+('DRE NOVAS PARCERIAS CAIXA'!AQ131*'DRE NOVAS PARCERIAS CAIXA'!AQ$146)+('DRE NOVAS PARCERIAS CAIXA'!AQ161*'DRE NOVAS PARCERIAS CAIXA'!AQ$176)+('DRE NOVAS PARCERIAS CAIXA'!AQ185*'DRE NOVAS PARCERIAS CAIXA'!AQ$201)+('DRE NOVAS PARCERIAS CAIXA'!AQ210*'DRE NOVAS PARCERIAS CAIXA'!AQ$226)</f>
        <v>-89219.549999999988</v>
      </c>
      <c r="AR66" s="13">
        <f>('DRE NOVAS PARCERIAS CAIXA'!AR12*'DRE NOVAS PARCERIAS CAIXA'!AR$27)+('DRE NOVAS PARCERIAS CAIXA'!AR131*'DRE NOVAS PARCERIAS CAIXA'!AR$146)+('DRE NOVAS PARCERIAS CAIXA'!AR161*'DRE NOVAS PARCERIAS CAIXA'!AR$176)+('DRE NOVAS PARCERIAS CAIXA'!AR185*'DRE NOVAS PARCERIAS CAIXA'!AR$201)+('DRE NOVAS PARCERIAS CAIXA'!AR210*'DRE NOVAS PARCERIAS CAIXA'!AR$226)</f>
        <v>-94612.35</v>
      </c>
      <c r="AS66" s="13">
        <f>('DRE NOVAS PARCERIAS CAIXA'!AS12*'DRE NOVAS PARCERIAS CAIXA'!AS$27)+('DRE NOVAS PARCERIAS CAIXA'!AS131*'DRE NOVAS PARCERIAS CAIXA'!AS$146)+('DRE NOVAS PARCERIAS CAIXA'!AS161*'DRE NOVAS PARCERIAS CAIXA'!AS$176)+('DRE NOVAS PARCERIAS CAIXA'!AS185*'DRE NOVAS PARCERIAS CAIXA'!AS$201)+('DRE NOVAS PARCERIAS CAIXA'!AS210*'DRE NOVAS PARCERIAS CAIXA'!AS$226)</f>
        <v>-92748</v>
      </c>
      <c r="AT66" s="13">
        <f>('DRE NOVAS PARCERIAS CAIXA'!AT12*'DRE NOVAS PARCERIAS CAIXA'!AT$27)+('DRE NOVAS PARCERIAS CAIXA'!AT131*'DRE NOVAS PARCERIAS CAIXA'!AT$146)+('DRE NOVAS PARCERIAS CAIXA'!AT161*'DRE NOVAS PARCERIAS CAIXA'!AT$176)+('DRE NOVAS PARCERIAS CAIXA'!AT185*'DRE NOVAS PARCERIAS CAIXA'!AT$201)+('DRE NOVAS PARCERIAS CAIXA'!AT210*'DRE NOVAS PARCERIAS CAIXA'!AT$226)</f>
        <v>-93081.75</v>
      </c>
      <c r="AU66" s="41">
        <f t="shared" si="83"/>
        <v>-369661.65</v>
      </c>
      <c r="AV66" s="13">
        <f>('DRE NOVAS PARCERIAS CAIXA'!AV12*'DRE NOVAS PARCERIAS CAIXA'!AV$27)+('DRE NOVAS PARCERIAS CAIXA'!AV131*'DRE NOVAS PARCERIAS CAIXA'!AV$146)+('DRE NOVAS PARCERIAS CAIXA'!AV161*'DRE NOVAS PARCERIAS CAIXA'!AV$176)+('DRE NOVAS PARCERIAS CAIXA'!AV185*'DRE NOVAS PARCERIAS CAIXA'!AV$201)+('DRE NOVAS PARCERIAS CAIXA'!AV210*'DRE NOVAS PARCERIAS CAIXA'!AV$226)</f>
        <v>-98173.35</v>
      </c>
      <c r="AW66" s="13">
        <f>('DRE NOVAS PARCERIAS CAIXA'!AW12*'DRE NOVAS PARCERIAS CAIXA'!AW$27)+('DRE NOVAS PARCERIAS CAIXA'!AW131*'DRE NOVAS PARCERIAS CAIXA'!AW$146)+('DRE NOVAS PARCERIAS CAIXA'!AW161*'DRE NOVAS PARCERIAS CAIXA'!AW$176)+('DRE NOVAS PARCERIAS CAIXA'!AW185*'DRE NOVAS PARCERIAS CAIXA'!AW$201)+('DRE NOVAS PARCERIAS CAIXA'!AW210*'DRE NOVAS PARCERIAS CAIXA'!AW$226)</f>
        <v>-94782</v>
      </c>
      <c r="AX66" s="13">
        <f>('DRE NOVAS PARCERIAS CAIXA'!AX12*'DRE NOVAS PARCERIAS CAIXA'!AX$27)+('DRE NOVAS PARCERIAS CAIXA'!AX131*'DRE NOVAS PARCERIAS CAIXA'!AX$146)+('DRE NOVAS PARCERIAS CAIXA'!AX161*'DRE NOVAS PARCERIAS CAIXA'!AX$176)+('DRE NOVAS PARCERIAS CAIXA'!AX185*'DRE NOVAS PARCERIAS CAIXA'!AX$201)+('DRE NOVAS PARCERIAS CAIXA'!AX210*'DRE NOVAS PARCERIAS CAIXA'!AX$226)</f>
        <v>-97560.010514260372</v>
      </c>
      <c r="AY66" s="13">
        <f>('DRE NOVAS PARCERIAS CAIXA'!AY12*'DRE NOVAS PARCERIAS CAIXA'!AY$27)+('DRE NOVAS PARCERIAS CAIXA'!AY131*'DRE NOVAS PARCERIAS CAIXA'!AY$146)+('DRE NOVAS PARCERIAS CAIXA'!AY161*'DRE NOVAS PARCERIAS CAIXA'!AY$176)+('DRE NOVAS PARCERIAS CAIXA'!AY185*'DRE NOVAS PARCERIAS CAIXA'!AY$201)+('DRE NOVAS PARCERIAS CAIXA'!AY210*'DRE NOVAS PARCERIAS CAIXA'!AY$226)</f>
        <v>-99036.15</v>
      </c>
      <c r="AZ66" s="41">
        <f t="shared" si="84"/>
        <v>-389551.51051426039</v>
      </c>
      <c r="BA66" s="13">
        <f>('DRE NOVAS PARCERIAS CAIXA'!BA12*'DRE NOVAS PARCERIAS CAIXA'!BA$27)+('DRE NOVAS PARCERIAS CAIXA'!BA131*'DRE NOVAS PARCERIAS CAIXA'!BA$146)+('DRE NOVAS PARCERIAS CAIXA'!BA161*'DRE NOVAS PARCERIAS CAIXA'!BA$176)+('DRE NOVAS PARCERIAS CAIXA'!BA185*'DRE NOVAS PARCERIAS CAIXA'!BA$201)+('DRE NOVAS PARCERIAS CAIXA'!BA210*'DRE NOVAS PARCERIAS CAIXA'!BA$226)</f>
        <v>-95237.549999999988</v>
      </c>
    </row>
    <row r="67" spans="1:53">
      <c r="A67" s="11"/>
      <c r="B67" s="11" t="s">
        <v>415</v>
      </c>
      <c r="C67" s="13"/>
      <c r="D67" s="13"/>
      <c r="E67" s="13"/>
      <c r="F67" s="13"/>
      <c r="G67" s="41"/>
      <c r="H67" s="13"/>
      <c r="I67" s="13"/>
      <c r="J67" s="13"/>
      <c r="K67" s="13"/>
      <c r="L67" s="41"/>
      <c r="M67" s="13"/>
      <c r="N67" s="13"/>
      <c r="O67" s="13"/>
      <c r="P67" s="13"/>
      <c r="Q67" s="41"/>
      <c r="R67" s="13"/>
      <c r="S67" s="13"/>
      <c r="T67" s="13"/>
      <c r="U67" s="13"/>
      <c r="V67" s="41"/>
      <c r="W67" s="13"/>
      <c r="X67" s="13"/>
      <c r="Y67" s="13"/>
      <c r="Z67" s="13">
        <f>944.142062-('DRE NOVAS PARCERIAS CAIXA'!Z102*'DRE NOVAS PARCERIAS CAIXA'!Z116)</f>
        <v>943.76163800000006</v>
      </c>
      <c r="AA67" s="41">
        <f>SUM(W67:Z67)</f>
        <v>943.76163800000006</v>
      </c>
      <c r="AB67" s="13">
        <f>221703.676183629-('DRE NOVAS PARCERIAS CAIXA'!AB102*'DRE NOVAS PARCERIAS CAIXA'!AB116)</f>
        <v>66967.086388499389</v>
      </c>
      <c r="AC67" s="13">
        <f>235933.896908871-('DRE NOVAS PARCERIAS CAIXA'!AC102*'DRE NOVAS PARCERIAS CAIXA'!AC116)</f>
        <v>68331.503772000724</v>
      </c>
      <c r="AD67" s="13">
        <f>235061.493871499-('DRE NOVAS PARCERIAS CAIXA'!AD102*'DRE NOVAS PARCERIAS CAIXA'!AD116)</f>
        <v>55349.923213499133</v>
      </c>
      <c r="AE67" s="13">
        <f>274816.360017001-('DRE NOVAS PARCERIAS CAIXA'!AE102*'DRE NOVAS PARCERIAS CAIXA'!AE116)</f>
        <v>94116.760017000983</v>
      </c>
      <c r="AF67" s="41">
        <f>SUM(AB67:AE67)</f>
        <v>284765.27339100023</v>
      </c>
      <c r="AG67" s="13">
        <f>('DRE NOVAS PARCERIAS CAIXA'!AG13*'DRE NOVAS PARCERIAS CAIXA'!AG$27)-('DRE NOVAS PARCERIAS CAIXA'!AG102*'DRE NOVAS PARCERIAS CAIXA'!AG$116)+('DRE NOVAS PARCERIAS CAIXA'!AG132*'DRE NOVAS PARCERIAS CAIXA'!AG$146)+('DRE NOVAS PARCERIAS CAIXA'!AG162*'DRE NOVAS PARCERIAS CAIXA'!AG$176)+('DRE NOVAS PARCERIAS CAIXA'!AG186*'DRE NOVAS PARCERIAS CAIXA'!AG$201)+('DRE NOVAS PARCERIAS CAIXA'!AG211*'DRE NOVAS PARCERIAS CAIXA'!AG$226)</f>
        <v>107813.62394003324</v>
      </c>
      <c r="AH67" s="13">
        <f>('DRE NOVAS PARCERIAS CAIXA'!AH13*'DRE NOVAS PARCERIAS CAIXA'!AH$27)-('DRE NOVAS PARCERIAS CAIXA'!AH102*'DRE NOVAS PARCERIAS CAIXA'!AH$116)+('DRE NOVAS PARCERIAS CAIXA'!AH132*'DRE NOVAS PARCERIAS CAIXA'!AH$146)+('DRE NOVAS PARCERIAS CAIXA'!AH162*'DRE NOVAS PARCERIAS CAIXA'!AH$176)+('DRE NOVAS PARCERIAS CAIXA'!AH186*'DRE NOVAS PARCERIAS CAIXA'!AH$201)+('DRE NOVAS PARCERIAS CAIXA'!AH211*'DRE NOVAS PARCERIAS CAIXA'!AH$226)</f>
        <v>85456.871568261209</v>
      </c>
      <c r="AI67" s="13">
        <f>('DRE NOVAS PARCERIAS CAIXA'!AI13*'DRE NOVAS PARCERIAS CAIXA'!AI$27)-('DRE NOVAS PARCERIAS CAIXA'!AI102*'DRE NOVAS PARCERIAS CAIXA'!AI$116)+('DRE NOVAS PARCERIAS CAIXA'!AI132*'DRE NOVAS PARCERIAS CAIXA'!AI$146)+('DRE NOVAS PARCERIAS CAIXA'!AI162*'DRE NOVAS PARCERIAS CAIXA'!AI$176)+('DRE NOVAS PARCERIAS CAIXA'!AI186*'DRE NOVAS PARCERIAS CAIXA'!AI$201)+('DRE NOVAS PARCERIAS CAIXA'!AI211*'DRE NOVAS PARCERIAS CAIXA'!AI$226)</f>
        <v>121953.15</v>
      </c>
      <c r="AJ67" s="13">
        <f>('DRE NOVAS PARCERIAS CAIXA'!AJ13*'DRE NOVAS PARCERIAS CAIXA'!AJ$27)-('DRE NOVAS PARCERIAS CAIXA'!AJ102*'DRE NOVAS PARCERIAS CAIXA'!AJ$116)+('DRE NOVAS PARCERIAS CAIXA'!AJ132*'DRE NOVAS PARCERIAS CAIXA'!AJ$146)+('DRE NOVAS PARCERIAS CAIXA'!AJ162*'DRE NOVAS PARCERIAS CAIXA'!AJ$176)+('DRE NOVAS PARCERIAS CAIXA'!AJ186*'DRE NOVAS PARCERIAS CAIXA'!AJ$201)+('DRE NOVAS PARCERIAS CAIXA'!AJ211*'DRE NOVAS PARCERIAS CAIXA'!AJ$226)</f>
        <v>151949.03971800956</v>
      </c>
      <c r="AK67" s="41">
        <f t="shared" si="81"/>
        <v>467172.68522630399</v>
      </c>
      <c r="AL67" s="13">
        <f>('DRE NOVAS PARCERIAS CAIXA'!AL13*'DRE NOVAS PARCERIAS CAIXA'!AL$27)-('DRE NOVAS PARCERIAS CAIXA'!AL102*'DRE NOVAS PARCERIAS CAIXA'!AL$116)+('DRE NOVAS PARCERIAS CAIXA'!AL132*'DRE NOVAS PARCERIAS CAIXA'!AL$146)+('DRE NOVAS PARCERIAS CAIXA'!AL162*'DRE NOVAS PARCERIAS CAIXA'!AL$176)+('DRE NOVAS PARCERIAS CAIXA'!AL186*'DRE NOVAS PARCERIAS CAIXA'!AL$201)+('DRE NOVAS PARCERIAS CAIXA'!AL211*'DRE NOVAS PARCERIAS CAIXA'!AL$226)</f>
        <v>191073.62854800455</v>
      </c>
      <c r="AM67" s="13">
        <f>('DRE NOVAS PARCERIAS CAIXA'!AM13*'DRE NOVAS PARCERIAS CAIXA'!AM$27)-('DRE NOVAS PARCERIAS CAIXA'!AM102*'DRE NOVAS PARCERIAS CAIXA'!AM$116)+('DRE NOVAS PARCERIAS CAIXA'!AM132*'DRE NOVAS PARCERIAS CAIXA'!AM$146)+('DRE NOVAS PARCERIAS CAIXA'!AM162*'DRE NOVAS PARCERIAS CAIXA'!AM$176)+('DRE NOVAS PARCERIAS CAIXA'!AM186*'DRE NOVAS PARCERIAS CAIXA'!AM$201)+('DRE NOVAS PARCERIAS CAIXA'!AM211*'DRE NOVAS PARCERIAS CAIXA'!AM$226)</f>
        <v>175483.4078340008</v>
      </c>
      <c r="AN67" s="13">
        <f>('DRE NOVAS PARCERIAS CAIXA'!AN13*'DRE NOVAS PARCERIAS CAIXA'!AN$27)-('DRE NOVAS PARCERIAS CAIXA'!AN102*'DRE NOVAS PARCERIAS CAIXA'!AN$116)+('DRE NOVAS PARCERIAS CAIXA'!AN132*'DRE NOVAS PARCERIAS CAIXA'!AN$146)+('DRE NOVAS PARCERIAS CAIXA'!AN162*'DRE NOVAS PARCERIAS CAIXA'!AN$176)+('DRE NOVAS PARCERIAS CAIXA'!AN186*'DRE NOVAS PARCERIAS CAIXA'!AN$201)+('DRE NOVAS PARCERIAS CAIXA'!AN211*'DRE NOVAS PARCERIAS CAIXA'!AN$226)</f>
        <v>219565.35810506617</v>
      </c>
      <c r="AO67" s="13">
        <f>('DRE NOVAS PARCERIAS CAIXA'!AO13*'DRE NOVAS PARCERIAS CAIXA'!AO$27)-('DRE NOVAS PARCERIAS CAIXA'!AO102*'DRE NOVAS PARCERIAS CAIXA'!AO$116)+('DRE NOVAS PARCERIAS CAIXA'!AO132*'DRE NOVAS PARCERIAS CAIXA'!AO$146)+('DRE NOVAS PARCERIAS CAIXA'!AO162*'DRE NOVAS PARCERIAS CAIXA'!AO$176)+('DRE NOVAS PARCERIAS CAIXA'!AO186*'DRE NOVAS PARCERIAS CAIXA'!AO$201)+('DRE NOVAS PARCERIAS CAIXA'!AO211*'DRE NOVAS PARCERIAS CAIXA'!AO$226)</f>
        <v>212256.38413799513</v>
      </c>
      <c r="AP67" s="41">
        <f t="shared" si="82"/>
        <v>798378.77862506662</v>
      </c>
      <c r="AQ67" s="13">
        <f>('DRE NOVAS PARCERIAS CAIXA'!AQ13*'DRE NOVAS PARCERIAS CAIXA'!AQ$27)-('DRE NOVAS PARCERIAS CAIXA'!AQ102*'DRE NOVAS PARCERIAS CAIXA'!AQ$116)+('DRE NOVAS PARCERIAS CAIXA'!AQ132*'DRE NOVAS PARCERIAS CAIXA'!AQ$146)+('DRE NOVAS PARCERIAS CAIXA'!AQ162*'DRE NOVAS PARCERIAS CAIXA'!AQ$176)+('DRE NOVAS PARCERIAS CAIXA'!AQ186*'DRE NOVAS PARCERIAS CAIXA'!AQ$201)+('DRE NOVAS PARCERIAS CAIXA'!AQ211*'DRE NOVAS PARCERIAS CAIXA'!AQ$226)</f>
        <v>201140.87782800006</v>
      </c>
      <c r="AR67" s="13">
        <f>('DRE NOVAS PARCERIAS CAIXA'!AR13*'DRE NOVAS PARCERIAS CAIXA'!AR$27)-('DRE NOVAS PARCERIAS CAIXA'!AR102*'DRE NOVAS PARCERIAS CAIXA'!AR$116)+('DRE NOVAS PARCERIAS CAIXA'!AR132*'DRE NOVAS PARCERIAS CAIXA'!AR$146)+('DRE NOVAS PARCERIAS CAIXA'!AR162*'DRE NOVAS PARCERIAS CAIXA'!AR$176)+('DRE NOVAS PARCERIAS CAIXA'!AR186*'DRE NOVAS PARCERIAS CAIXA'!AR$201)+('DRE NOVAS PARCERIAS CAIXA'!AR211*'DRE NOVAS PARCERIAS CAIXA'!AR$226)</f>
        <v>208519.249566001</v>
      </c>
      <c r="AS67" s="13">
        <f>('DRE NOVAS PARCERIAS CAIXA'!AS13*'DRE NOVAS PARCERIAS CAIXA'!AS$27)-('DRE NOVAS PARCERIAS CAIXA'!AS102*'DRE NOVAS PARCERIAS CAIXA'!AS$116)+('DRE NOVAS PARCERIAS CAIXA'!AS132*'DRE NOVAS PARCERIAS CAIXA'!AS$146)+('DRE NOVAS PARCERIAS CAIXA'!AS162*'DRE NOVAS PARCERIAS CAIXA'!AS$176)+('DRE NOVAS PARCERIAS CAIXA'!AS186*'DRE NOVAS PARCERIAS CAIXA'!AS$201)+('DRE NOVAS PARCERIAS CAIXA'!AS211*'DRE NOVAS PARCERIAS CAIXA'!AS$226)</f>
        <v>213558.6276959987</v>
      </c>
      <c r="AT67" s="13">
        <f>('DRE NOVAS PARCERIAS CAIXA'!AT13*'DRE NOVAS PARCERIAS CAIXA'!AT$27)-('DRE NOVAS PARCERIAS CAIXA'!AT102*'DRE NOVAS PARCERIAS CAIXA'!AT$116)+('DRE NOVAS PARCERIAS CAIXA'!AT132*'DRE NOVAS PARCERIAS CAIXA'!AT$146)+('DRE NOVAS PARCERIAS CAIXA'!AT162*'DRE NOVAS PARCERIAS CAIXA'!AT$176)+('DRE NOVAS PARCERIAS CAIXA'!AT186*'DRE NOVAS PARCERIAS CAIXA'!AT$201)+('DRE NOVAS PARCERIAS CAIXA'!AT211*'DRE NOVAS PARCERIAS CAIXA'!AT$226)</f>
        <v>231674.52338999999</v>
      </c>
      <c r="AU67" s="41">
        <f t="shared" si="83"/>
        <v>854893.27847999975</v>
      </c>
      <c r="AV67" s="13">
        <f>('DRE NOVAS PARCERIAS CAIXA'!AV13*'DRE NOVAS PARCERIAS CAIXA'!AV$27)-('DRE NOVAS PARCERIAS CAIXA'!AV102*'DRE NOVAS PARCERIAS CAIXA'!AV$116)+('DRE NOVAS PARCERIAS CAIXA'!AV132*'DRE NOVAS PARCERIAS CAIXA'!AV$146)+('DRE NOVAS PARCERIAS CAIXA'!AV162*'DRE NOVAS PARCERIAS CAIXA'!AV$176)+('DRE NOVAS PARCERIAS CAIXA'!AV186*'DRE NOVAS PARCERIAS CAIXA'!AV$201)+('DRE NOVAS PARCERIAS CAIXA'!AV211*'DRE NOVAS PARCERIAS CAIXA'!AV$226)</f>
        <v>247187.03586599923</v>
      </c>
      <c r="AW67" s="13">
        <f>('DRE NOVAS PARCERIAS CAIXA'!AW13*'DRE NOVAS PARCERIAS CAIXA'!AW$27)-('DRE NOVAS PARCERIAS CAIXA'!AW102*'DRE NOVAS PARCERIAS CAIXA'!AW$116)+('DRE NOVAS PARCERIAS CAIXA'!AW132*'DRE NOVAS PARCERIAS CAIXA'!AW$146)+('DRE NOVAS PARCERIAS CAIXA'!AW162*'DRE NOVAS PARCERIAS CAIXA'!AW$176)+('DRE NOVAS PARCERIAS CAIXA'!AW186*'DRE NOVAS PARCERIAS CAIXA'!AW$201)+('DRE NOVAS PARCERIAS CAIXA'!AW211*'DRE NOVAS PARCERIAS CAIXA'!AW$226)</f>
        <v>255091.72197600058</v>
      </c>
      <c r="AX67" s="13">
        <f>('DRE NOVAS PARCERIAS CAIXA'!AX13*'DRE NOVAS PARCERIAS CAIXA'!AX$27)-('DRE NOVAS PARCERIAS CAIXA'!AX102*'DRE NOVAS PARCERIAS CAIXA'!AX$116)+('DRE NOVAS PARCERIAS CAIXA'!AX132*'DRE NOVAS PARCERIAS CAIXA'!AX$146)+('DRE NOVAS PARCERIAS CAIXA'!AX162*'DRE NOVAS PARCERIAS CAIXA'!AX$176)+('DRE NOVAS PARCERIAS CAIXA'!AX186*'DRE NOVAS PARCERIAS CAIXA'!AX$201)+('DRE NOVAS PARCERIAS CAIXA'!AX211*'DRE NOVAS PARCERIAS CAIXA'!AX$226)</f>
        <v>314408.41551682568</v>
      </c>
      <c r="AY67" s="13">
        <f>('DRE NOVAS PARCERIAS CAIXA'!AY13*'DRE NOVAS PARCERIAS CAIXA'!AY$27)-('DRE NOVAS PARCERIAS CAIXA'!AY102*'DRE NOVAS PARCERIAS CAIXA'!AY$116)+('DRE NOVAS PARCERIAS CAIXA'!AY132*'DRE NOVAS PARCERIAS CAIXA'!AY$146)+('DRE NOVAS PARCERIAS CAIXA'!AY162*'DRE NOVAS PARCERIAS CAIXA'!AY$176)+('DRE NOVAS PARCERIAS CAIXA'!AY186*'DRE NOVAS PARCERIAS CAIXA'!AY$201)+('DRE NOVAS PARCERIAS CAIXA'!AY211*'DRE NOVAS PARCERIAS CAIXA'!AY$226)</f>
        <v>304596.81075600244</v>
      </c>
      <c r="AZ67" s="41">
        <f t="shared" si="84"/>
        <v>1121283.9841148281</v>
      </c>
      <c r="BA67" s="13">
        <f>('DRE NOVAS PARCERIAS CAIXA'!BA13*'DRE NOVAS PARCERIAS CAIXA'!BA$27)-('DRE NOVAS PARCERIAS CAIXA'!BA102*'DRE NOVAS PARCERIAS CAIXA'!BA$116)+('DRE NOVAS PARCERIAS CAIXA'!BA132*'DRE NOVAS PARCERIAS CAIXA'!BA$146)+('DRE NOVAS PARCERIAS CAIXA'!BA162*'DRE NOVAS PARCERIAS CAIXA'!BA$176)+('DRE NOVAS PARCERIAS CAIXA'!BA186*'DRE NOVAS PARCERIAS CAIXA'!BA$201)+('DRE NOVAS PARCERIAS CAIXA'!BA211*'DRE NOVAS PARCERIAS CAIXA'!BA$226)</f>
        <v>291843.2385659992</v>
      </c>
    </row>
    <row r="68" spans="1:53">
      <c r="A68" s="11"/>
      <c r="B68" s="11" t="s">
        <v>416</v>
      </c>
      <c r="C68" s="8"/>
      <c r="D68" s="8"/>
      <c r="E68" s="8"/>
      <c r="F68" s="8"/>
      <c r="G68" s="40"/>
      <c r="H68" s="8"/>
      <c r="I68" s="8"/>
      <c r="J68" s="8"/>
      <c r="K68" s="8"/>
      <c r="L68" s="40"/>
      <c r="M68" s="8"/>
      <c r="N68" s="8"/>
      <c r="O68" s="8"/>
      <c r="P68" s="8"/>
      <c r="Q68" s="40"/>
      <c r="R68" s="12"/>
      <c r="S68" s="12"/>
      <c r="T68" s="12"/>
      <c r="U68" s="12"/>
      <c r="V68" s="40"/>
      <c r="W68" s="12"/>
      <c r="X68" s="12"/>
      <c r="Y68" s="12"/>
      <c r="Z68" s="13">
        <v>0</v>
      </c>
      <c r="AA68" s="40">
        <v>0</v>
      </c>
      <c r="AB68" s="13">
        <v>0</v>
      </c>
      <c r="AC68" s="13">
        <v>-6.5999999999999991E-3</v>
      </c>
      <c r="AD68" s="13">
        <v>0</v>
      </c>
      <c r="AE68" s="13">
        <v>0</v>
      </c>
      <c r="AF68" s="40">
        <v>-6.5999999999999991E-3</v>
      </c>
      <c r="AG68" s="13">
        <f>('DRE NOVAS PARCERIAS CAIXA'!AG14*'DRE NOVAS PARCERIAS CAIXA'!AG$27)+('DRE NOVAS PARCERIAS CAIXA'!AG133*'DRE NOVAS PARCERIAS CAIXA'!AG$146)+('DRE NOVAS PARCERIAS CAIXA'!AG163*'DRE NOVAS PARCERIAS CAIXA'!AG$176)+('DRE NOVAS PARCERIAS CAIXA'!AG187*'DRE NOVAS PARCERIAS CAIXA'!AG$201)+('DRE NOVAS PARCERIAS CAIXA'!AG212*'DRE NOVAS PARCERIAS CAIXA'!AG$226)</f>
        <v>0</v>
      </c>
      <c r="AH68" s="13">
        <f>('DRE NOVAS PARCERIAS CAIXA'!AH14*'DRE NOVAS PARCERIAS CAIXA'!AH$27)+('DRE NOVAS PARCERIAS CAIXA'!AH133*'DRE NOVAS PARCERIAS CAIXA'!AH$146)+('DRE NOVAS PARCERIAS CAIXA'!AH163*'DRE NOVAS PARCERIAS CAIXA'!AH$176)+('DRE NOVAS PARCERIAS CAIXA'!AH187*'DRE NOVAS PARCERIAS CAIXA'!AH$201)+('DRE NOVAS PARCERIAS CAIXA'!AH212*'DRE NOVAS PARCERIAS CAIXA'!AH$226)</f>
        <v>0</v>
      </c>
      <c r="AI68" s="1">
        <f>('DRE NOVAS PARCERIAS CAIXA'!AI14*'DRE NOVAS PARCERIAS CAIXA'!AI$27)+('DRE NOVAS PARCERIAS CAIXA'!AI133*'DRE NOVAS PARCERIAS CAIXA'!AI$146)+('DRE NOVAS PARCERIAS CAIXA'!AI163*'DRE NOVAS PARCERIAS CAIXA'!AI$176)+('DRE NOVAS PARCERIAS CAIXA'!AI187*'DRE NOVAS PARCERIAS CAIXA'!AI$201)+('DRE NOVAS PARCERIAS CAIXA'!AI212*'DRE NOVAS PARCERIAS CAIXA'!AI$226)</f>
        <v>0</v>
      </c>
      <c r="AJ68" s="1">
        <f>('DRE NOVAS PARCERIAS CAIXA'!AJ14*'DRE NOVAS PARCERIAS CAIXA'!AJ$27)+('DRE NOVAS PARCERIAS CAIXA'!AJ133*'DRE NOVAS PARCERIAS CAIXA'!AJ$146)+('DRE NOVAS PARCERIAS CAIXA'!AJ163*'DRE NOVAS PARCERIAS CAIXA'!AJ$176)+('DRE NOVAS PARCERIAS CAIXA'!AJ187*'DRE NOVAS PARCERIAS CAIXA'!AJ$201)+('DRE NOVAS PARCERIAS CAIXA'!AJ212*'DRE NOVAS PARCERIAS CAIXA'!AJ$226)</f>
        <v>0</v>
      </c>
      <c r="AK68" s="40">
        <f t="shared" si="81"/>
        <v>0</v>
      </c>
      <c r="AL68" s="13">
        <f>('DRE NOVAS PARCERIAS CAIXA'!AL14*'DRE NOVAS PARCERIAS CAIXA'!AL$27)+('DRE NOVAS PARCERIAS CAIXA'!AL133*'DRE NOVAS PARCERIAS CAIXA'!AL$146)+('DRE NOVAS PARCERIAS CAIXA'!AL163*'DRE NOVAS PARCERIAS CAIXA'!AL$176)+('DRE NOVAS PARCERIAS CAIXA'!AL187*'DRE NOVAS PARCERIAS CAIXA'!AL$201)+('DRE NOVAS PARCERIAS CAIXA'!AL212*'DRE NOVAS PARCERIAS CAIXA'!AL$226)</f>
        <v>0</v>
      </c>
      <c r="AM68" s="13">
        <f>('DRE NOVAS PARCERIAS CAIXA'!AM14*'DRE NOVAS PARCERIAS CAIXA'!AM$27)+('DRE NOVAS PARCERIAS CAIXA'!AM133*'DRE NOVAS PARCERIAS CAIXA'!AM$146)+('DRE NOVAS PARCERIAS CAIXA'!AM163*'DRE NOVAS PARCERIAS CAIXA'!AM$176)+('DRE NOVAS PARCERIAS CAIXA'!AM187*'DRE NOVAS PARCERIAS CAIXA'!AM$201)+('DRE NOVAS PARCERIAS CAIXA'!AM212*'DRE NOVAS PARCERIAS CAIXA'!AM$226)</f>
        <v>0</v>
      </c>
      <c r="AN68" s="13">
        <f>('DRE NOVAS PARCERIAS CAIXA'!AN14*'DRE NOVAS PARCERIAS CAIXA'!AN$27)+('DRE NOVAS PARCERIAS CAIXA'!AN133*'DRE NOVAS PARCERIAS CAIXA'!AN$146)+('DRE NOVAS PARCERIAS CAIXA'!AN163*'DRE NOVAS PARCERIAS CAIXA'!AN$176)+('DRE NOVAS PARCERIAS CAIXA'!AN187*'DRE NOVAS PARCERIAS CAIXA'!AN$201)+('DRE NOVAS PARCERIAS CAIXA'!AN212*'DRE NOVAS PARCERIAS CAIXA'!AN$226)</f>
        <v>0</v>
      </c>
      <c r="AO68" s="13">
        <f>('DRE NOVAS PARCERIAS CAIXA'!AO14*'DRE NOVAS PARCERIAS CAIXA'!AO$27)+('DRE NOVAS PARCERIAS CAIXA'!AO133*'DRE NOVAS PARCERIAS CAIXA'!AO$146)+('DRE NOVAS PARCERIAS CAIXA'!AO163*'DRE NOVAS PARCERIAS CAIXA'!AO$176)+('DRE NOVAS PARCERIAS CAIXA'!AO187*'DRE NOVAS PARCERIAS CAIXA'!AO$201)+('DRE NOVAS PARCERIAS CAIXA'!AO212*'DRE NOVAS PARCERIAS CAIXA'!AO$226)</f>
        <v>0</v>
      </c>
      <c r="AP68" s="40">
        <f t="shared" si="82"/>
        <v>0</v>
      </c>
      <c r="AQ68" s="13">
        <f>('DRE NOVAS PARCERIAS CAIXA'!AQ14*'DRE NOVAS PARCERIAS CAIXA'!AQ$27)+('DRE NOVAS PARCERIAS CAIXA'!AQ133*'DRE NOVAS PARCERIAS CAIXA'!AQ$146)+('DRE NOVAS PARCERIAS CAIXA'!AQ163*'DRE NOVAS PARCERIAS CAIXA'!AQ$176)+('DRE NOVAS PARCERIAS CAIXA'!AQ187*'DRE NOVAS PARCERIAS CAIXA'!AQ$201)+('DRE NOVAS PARCERIAS CAIXA'!AQ212*'DRE NOVAS PARCERIAS CAIXA'!AQ$226)</f>
        <v>0</v>
      </c>
      <c r="AR68" s="13">
        <f>('DRE NOVAS PARCERIAS CAIXA'!AR14*'DRE NOVAS PARCERIAS CAIXA'!AR$27)+('DRE NOVAS PARCERIAS CAIXA'!AR133*'DRE NOVAS PARCERIAS CAIXA'!AR$146)+('DRE NOVAS PARCERIAS CAIXA'!AR163*'DRE NOVAS PARCERIAS CAIXA'!AR$176)+('DRE NOVAS PARCERIAS CAIXA'!AR187*'DRE NOVAS PARCERIAS CAIXA'!AR$201)+('DRE NOVAS PARCERIAS CAIXA'!AR212*'DRE NOVAS PARCERIAS CAIXA'!AR$226)</f>
        <v>0</v>
      </c>
      <c r="AS68" s="13">
        <f>('DRE NOVAS PARCERIAS CAIXA'!AS14*'DRE NOVAS PARCERIAS CAIXA'!AS$27)+('DRE NOVAS PARCERIAS CAIXA'!AS133*'DRE NOVAS PARCERIAS CAIXA'!AS$146)+('DRE NOVAS PARCERIAS CAIXA'!AS163*'DRE NOVAS PARCERIAS CAIXA'!AS$176)+('DRE NOVAS PARCERIAS CAIXA'!AS187*'DRE NOVAS PARCERIAS CAIXA'!AS$201)+('DRE NOVAS PARCERIAS CAIXA'!AS212*'DRE NOVAS PARCERIAS CAIXA'!AS$226)</f>
        <v>0</v>
      </c>
      <c r="AT68" s="13">
        <f>('DRE NOVAS PARCERIAS CAIXA'!AT14*'DRE NOVAS PARCERIAS CAIXA'!AT$27)+('DRE NOVAS PARCERIAS CAIXA'!AT133*'DRE NOVAS PARCERIAS CAIXA'!AT$146)+('DRE NOVAS PARCERIAS CAIXA'!AT163*'DRE NOVAS PARCERIAS CAIXA'!AT$176)+('DRE NOVAS PARCERIAS CAIXA'!AT187*'DRE NOVAS PARCERIAS CAIXA'!AT$201)+('DRE NOVAS PARCERIAS CAIXA'!AT212*'DRE NOVAS PARCERIAS CAIXA'!AT$226)</f>
        <v>0</v>
      </c>
      <c r="AU68" s="40">
        <f t="shared" si="83"/>
        <v>0</v>
      </c>
      <c r="AV68" s="13">
        <f>('DRE NOVAS PARCERIAS CAIXA'!AV14*'DRE NOVAS PARCERIAS CAIXA'!AV$27)+('DRE NOVAS PARCERIAS CAIXA'!AV133*'DRE NOVAS PARCERIAS CAIXA'!AV$146)+('DRE NOVAS PARCERIAS CAIXA'!AV163*'DRE NOVAS PARCERIAS CAIXA'!AV$176)+('DRE NOVAS PARCERIAS CAIXA'!AV187*'DRE NOVAS PARCERIAS CAIXA'!AV$201)+('DRE NOVAS PARCERIAS CAIXA'!AV212*'DRE NOVAS PARCERIAS CAIXA'!AV$226)</f>
        <v>0</v>
      </c>
      <c r="AW68" s="13">
        <f>('DRE NOVAS PARCERIAS CAIXA'!AW14*'DRE NOVAS PARCERIAS CAIXA'!AW$27)+('DRE NOVAS PARCERIAS CAIXA'!AW133*'DRE NOVAS PARCERIAS CAIXA'!AW$146)+('DRE NOVAS PARCERIAS CAIXA'!AW163*'DRE NOVAS PARCERIAS CAIXA'!AW$176)+('DRE NOVAS PARCERIAS CAIXA'!AW187*'DRE NOVAS PARCERIAS CAIXA'!AW$201)+('DRE NOVAS PARCERIAS CAIXA'!AW212*'DRE NOVAS PARCERIAS CAIXA'!AW$226)</f>
        <v>0</v>
      </c>
      <c r="AX68" s="13">
        <f>('DRE NOVAS PARCERIAS CAIXA'!AX14*'DRE NOVAS PARCERIAS CAIXA'!AX$27)+('DRE NOVAS PARCERIAS CAIXA'!AX133*'DRE NOVAS PARCERIAS CAIXA'!AX$146)+('DRE NOVAS PARCERIAS CAIXA'!AX163*'DRE NOVAS PARCERIAS CAIXA'!AX$176)+('DRE NOVAS PARCERIAS CAIXA'!AX187*'DRE NOVAS PARCERIAS CAIXA'!AX$201)+('DRE NOVAS PARCERIAS CAIXA'!AX212*'DRE NOVAS PARCERIAS CAIXA'!AX$226)</f>
        <v>0</v>
      </c>
      <c r="AY68" s="13">
        <f>('DRE NOVAS PARCERIAS CAIXA'!AY14*'DRE NOVAS PARCERIAS CAIXA'!AY$27)+('DRE NOVAS PARCERIAS CAIXA'!AY133*'DRE NOVAS PARCERIAS CAIXA'!AY$146)+('DRE NOVAS PARCERIAS CAIXA'!AY163*'DRE NOVAS PARCERIAS CAIXA'!AY$176)+('DRE NOVAS PARCERIAS CAIXA'!AY187*'DRE NOVAS PARCERIAS CAIXA'!AY$201)+('DRE NOVAS PARCERIAS CAIXA'!AY212*'DRE NOVAS PARCERIAS CAIXA'!AY$226)</f>
        <v>0</v>
      </c>
      <c r="AZ68" s="40">
        <f t="shared" si="84"/>
        <v>0</v>
      </c>
      <c r="BA68" s="13">
        <f>('DRE NOVAS PARCERIAS CAIXA'!BA14*'DRE NOVAS PARCERIAS CAIXA'!BA$27)+('DRE NOVAS PARCERIAS CAIXA'!BA133*'DRE NOVAS PARCERIAS CAIXA'!BA$146)+('DRE NOVAS PARCERIAS CAIXA'!BA163*'DRE NOVAS PARCERIAS CAIXA'!BA$176)+('DRE NOVAS PARCERIAS CAIXA'!BA187*'DRE NOVAS PARCERIAS CAIXA'!BA$201)+('DRE NOVAS PARCERIAS CAIXA'!BA212*'DRE NOVAS PARCERIAS CAIXA'!BA$226)</f>
        <v>0</v>
      </c>
    </row>
    <row r="69" spans="1:53">
      <c r="A69" s="11"/>
      <c r="B69" s="11" t="s">
        <v>434</v>
      </c>
      <c r="C69" s="8"/>
      <c r="D69" s="8"/>
      <c r="E69" s="8"/>
      <c r="F69" s="8"/>
      <c r="G69" s="40"/>
      <c r="H69" s="8"/>
      <c r="I69" s="8"/>
      <c r="J69" s="8"/>
      <c r="K69" s="8"/>
      <c r="L69" s="40"/>
      <c r="M69" s="8"/>
      <c r="N69" s="8"/>
      <c r="O69" s="8"/>
      <c r="P69" s="8"/>
      <c r="Q69" s="40"/>
      <c r="R69" s="12"/>
      <c r="S69" s="12"/>
      <c r="T69" s="12"/>
      <c r="U69" s="12"/>
      <c r="V69" s="40"/>
      <c r="W69" s="12"/>
      <c r="X69" s="12"/>
      <c r="Y69" s="12"/>
      <c r="Z69" s="13"/>
      <c r="AA69" s="40"/>
      <c r="AB69" s="13"/>
      <c r="AC69" s="13"/>
      <c r="AD69" s="13">
        <v>-137.25</v>
      </c>
      <c r="AE69" s="13">
        <v>2062.5</v>
      </c>
      <c r="AF69" s="40">
        <v>1925.25</v>
      </c>
      <c r="AG69" s="13">
        <f>'DRE NOVAS PARCERIAS CAIXA'!AG188*'DRE NOVAS PARCERIAS CAIXA'!AG201</f>
        <v>0.74997199559397298</v>
      </c>
      <c r="AH69" s="13">
        <f>'DRE NOVAS PARCERIAS CAIXA'!AH188*'DRE NOVAS PARCERIAS CAIXA'!AH201</f>
        <v>0.75</v>
      </c>
      <c r="AI69" s="1">
        <f>'DRE NOVAS PARCERIAS CAIXA'!AI188*'DRE NOVAS PARCERIAS CAIXA'!AI201</f>
        <v>0.75</v>
      </c>
      <c r="AJ69" s="1">
        <f>'DRE NOVAS PARCERIAS CAIXA'!AJ188*'DRE NOVAS PARCERIAS CAIXA'!AJ201</f>
        <v>0</v>
      </c>
      <c r="AK69" s="40">
        <f t="shared" si="81"/>
        <v>2.249971995593973</v>
      </c>
      <c r="AL69" s="13">
        <f>'DRE NOVAS PARCERIAS CAIXA'!AL188*'DRE NOVAS PARCERIAS CAIXA'!AL201</f>
        <v>0</v>
      </c>
      <c r="AM69" s="13">
        <f>'DRE NOVAS PARCERIAS CAIXA'!AM188*'DRE NOVAS PARCERIAS CAIXA'!AM201</f>
        <v>0</v>
      </c>
      <c r="AN69" s="13">
        <f>'DRE NOVAS PARCERIAS CAIXA'!AN188*'DRE NOVAS PARCERIAS CAIXA'!AN201</f>
        <v>0</v>
      </c>
      <c r="AO69" s="13">
        <f>'DRE NOVAS PARCERIAS CAIXA'!AO188*'DRE NOVAS PARCERIAS CAIXA'!AO201</f>
        <v>0</v>
      </c>
      <c r="AP69" s="40">
        <f t="shared" si="82"/>
        <v>0</v>
      </c>
      <c r="AQ69" s="13">
        <f>'DRE NOVAS PARCERIAS CAIXA'!AQ188*'DRE NOVAS PARCERIAS CAIXA'!AQ201</f>
        <v>0</v>
      </c>
      <c r="AR69" s="13">
        <f>'DRE NOVAS PARCERIAS CAIXA'!AR188*'DRE NOVAS PARCERIAS CAIXA'!AR201</f>
        <v>0</v>
      </c>
      <c r="AS69" s="13">
        <f>'DRE NOVAS PARCERIAS CAIXA'!AS188*'DRE NOVAS PARCERIAS CAIXA'!AS201</f>
        <v>0</v>
      </c>
      <c r="AT69" s="13">
        <f>'DRE NOVAS PARCERIAS CAIXA'!AT188*'DRE NOVAS PARCERIAS CAIXA'!AT201</f>
        <v>0</v>
      </c>
      <c r="AU69" s="40">
        <f t="shared" si="83"/>
        <v>0</v>
      </c>
      <c r="AV69" s="13">
        <f>'DRE NOVAS PARCERIAS CAIXA'!AV188*'DRE NOVAS PARCERIAS CAIXA'!AV201</f>
        <v>0</v>
      </c>
      <c r="AW69" s="13">
        <f>'DRE NOVAS PARCERIAS CAIXA'!AW188*'DRE NOVAS PARCERIAS CAIXA'!AW201</f>
        <v>0</v>
      </c>
      <c r="AX69" s="13">
        <f>'DRE NOVAS PARCERIAS CAIXA'!AX188*'DRE NOVAS PARCERIAS CAIXA'!AX201</f>
        <v>0</v>
      </c>
      <c r="AY69" s="13">
        <f>'DRE NOVAS PARCERIAS CAIXA'!AY188*'DRE NOVAS PARCERIAS CAIXA'!AY201</f>
        <v>0</v>
      </c>
      <c r="AZ69" s="40">
        <f t="shared" si="84"/>
        <v>0</v>
      </c>
      <c r="BA69" s="13">
        <f>'DRE NOVAS PARCERIAS CAIXA'!BA188*'DRE NOVAS PARCERIAS CAIXA'!BA201</f>
        <v>0</v>
      </c>
    </row>
    <row r="70" spans="1:53">
      <c r="A70" s="9"/>
      <c r="B70" s="9" t="s">
        <v>418</v>
      </c>
      <c r="C70" s="10"/>
      <c r="D70" s="10"/>
      <c r="E70" s="10"/>
      <c r="F70" s="10"/>
      <c r="G70" s="39"/>
      <c r="H70" s="10"/>
      <c r="I70" s="10"/>
      <c r="J70" s="10"/>
      <c r="K70" s="10"/>
      <c r="L70" s="39"/>
      <c r="M70" s="10"/>
      <c r="N70" s="10"/>
      <c r="O70" s="10"/>
      <c r="P70" s="10"/>
      <c r="Q70" s="39"/>
      <c r="R70" s="10"/>
      <c r="S70" s="10"/>
      <c r="T70" s="10"/>
      <c r="U70" s="10"/>
      <c r="V70" s="39"/>
      <c r="W70" s="10"/>
      <c r="X70" s="10"/>
      <c r="Y70" s="10"/>
      <c r="Z70" s="10">
        <v>805.34440199999995</v>
      </c>
      <c r="AA70" s="39">
        <v>805.34440199999995</v>
      </c>
      <c r="AB70" s="10">
        <v>302570.23613551114</v>
      </c>
      <c r="AC70" s="10">
        <v>309378.40211546212</v>
      </c>
      <c r="AD70" s="10">
        <v>363667.93815740227</v>
      </c>
      <c r="AE70" s="10">
        <v>396185.39364161133</v>
      </c>
      <c r="AF70" s="39">
        <v>1371801.9700499868</v>
      </c>
      <c r="AG70" s="10">
        <f>SUM(AG64:AG69)</f>
        <v>403285.37953064614</v>
      </c>
      <c r="AH70" s="10">
        <f>SUM(AH64:AH69)</f>
        <v>519044.00577377621</v>
      </c>
      <c r="AI70" s="76">
        <f>SUM(AI64:AI69)</f>
        <v>553311.75</v>
      </c>
      <c r="AJ70" s="76">
        <f>SUM(AJ64:AJ69)</f>
        <v>647959.43971800955</v>
      </c>
      <c r="AK70" s="39">
        <f t="shared" si="81"/>
        <v>2123600.575022432</v>
      </c>
      <c r="AL70" s="10">
        <f>SUM(AL64:AL69)</f>
        <v>730507.40929800447</v>
      </c>
      <c r="AM70" s="10">
        <f>SUM(AM64:AM69)</f>
        <v>778438.7078340007</v>
      </c>
      <c r="AN70" s="10">
        <f t="shared" ref="AN70:AO70" si="85">SUM(AN64:AN69)</f>
        <v>849790.6475834169</v>
      </c>
      <c r="AO70" s="10">
        <f t="shared" si="85"/>
        <v>809798.63413799508</v>
      </c>
      <c r="AP70" s="39">
        <f t="shared" si="82"/>
        <v>3168535.398853417</v>
      </c>
      <c r="AQ70" s="10">
        <f>SUM(AQ64:AQ69)</f>
        <v>865498.64782800013</v>
      </c>
      <c r="AR70" s="10">
        <f>SUM(AR64:AR69)</f>
        <v>643991.14956600103</v>
      </c>
      <c r="AS70" s="10">
        <f t="shared" ref="AS70:AT70" si="86">SUM(AS64:AS69)</f>
        <v>922442.12769599864</v>
      </c>
      <c r="AT70" s="10">
        <f t="shared" si="86"/>
        <v>928452.72338999994</v>
      </c>
      <c r="AU70" s="39">
        <f t="shared" si="83"/>
        <v>3360384.64848</v>
      </c>
      <c r="AV70" s="10">
        <f t="shared" ref="AV70:AX70" si="87">SUM(AV64:AV69)</f>
        <v>992503.79436599929</v>
      </c>
      <c r="AW70" s="10">
        <f t="shared" si="87"/>
        <v>1022635.4707260006</v>
      </c>
      <c r="AX70" s="10">
        <f t="shared" si="87"/>
        <v>1124157.9972156582</v>
      </c>
      <c r="AY70" s="10">
        <f>SUM(AY64:AY69)</f>
        <v>1077807.9618885024</v>
      </c>
      <c r="AZ70" s="39">
        <f t="shared" si="84"/>
        <v>4217105.2241961602</v>
      </c>
      <c r="BA70" s="10">
        <f>SUM(BA64:BA69)</f>
        <v>1154177.9385659988</v>
      </c>
    </row>
    <row r="71" spans="1:53">
      <c r="A71" s="11"/>
      <c r="B71" s="11" t="s">
        <v>419</v>
      </c>
      <c r="C71" s="8"/>
      <c r="D71" s="8"/>
      <c r="E71" s="8"/>
      <c r="F71" s="8"/>
      <c r="G71" s="40"/>
      <c r="H71" s="8"/>
      <c r="I71" s="8"/>
      <c r="J71" s="8"/>
      <c r="K71" s="8"/>
      <c r="L71" s="40"/>
      <c r="M71" s="8"/>
      <c r="N71" s="8"/>
      <c r="O71" s="8"/>
      <c r="P71" s="8"/>
      <c r="Q71" s="40"/>
      <c r="R71" s="12"/>
      <c r="S71" s="12"/>
      <c r="T71" s="12"/>
      <c r="U71" s="12"/>
      <c r="V71" s="40"/>
      <c r="W71" s="12"/>
      <c r="X71" s="12"/>
      <c r="Y71" s="12"/>
      <c r="Z71" s="13">
        <v>0.77395200000000008</v>
      </c>
      <c r="AA71" s="40">
        <v>0.77395200000000008</v>
      </c>
      <c r="AB71" s="13">
        <v>41.001095999999997</v>
      </c>
      <c r="AC71" s="13">
        <v>0</v>
      </c>
      <c r="AD71" s="13">
        <v>0</v>
      </c>
      <c r="AE71" s="13">
        <v>0.62514600000000209</v>
      </c>
      <c r="AF71" s="40">
        <v>41.626241999999998</v>
      </c>
      <c r="AG71" s="13">
        <f>('DRE NOVAS PARCERIAS CAIXA'!AG16*'DRE NOVAS PARCERIAS CAIXA'!AG$27)+('DRE NOVAS PARCERIAS CAIXA'!AG135*'DRE NOVAS PARCERIAS CAIXA'!AG$146)+('DRE NOVAS PARCERIAS CAIXA'!AG165*'DRE NOVAS PARCERIAS CAIXA'!AG$176)+('DRE NOVAS PARCERIAS CAIXA'!AG190*'DRE NOVAS PARCERIAS CAIXA'!AG$201)+('DRE NOVAS PARCERIAS CAIXA'!AG215*'DRE NOVAS PARCERIAS CAIXA'!AG$226)</f>
        <v>517.19999999999993</v>
      </c>
      <c r="AH71" s="13">
        <f>('DRE NOVAS PARCERIAS CAIXA'!AH16*'DRE NOVAS PARCERIAS CAIXA'!AH$27)+('DRE NOVAS PARCERIAS CAIXA'!AH135*'DRE NOVAS PARCERIAS CAIXA'!AH$146)+('DRE NOVAS PARCERIAS CAIXA'!AH165*'DRE NOVAS PARCERIAS CAIXA'!AH$176)+('DRE NOVAS PARCERIAS CAIXA'!AH190*'DRE NOVAS PARCERIAS CAIXA'!AH$201)+('DRE NOVAS PARCERIAS CAIXA'!AH215*'DRE NOVAS PARCERIAS CAIXA'!AH$226)</f>
        <v>718.8</v>
      </c>
      <c r="AI71" s="1">
        <f>('DRE NOVAS PARCERIAS CAIXA'!AI16*'DRE NOVAS PARCERIAS CAIXA'!AI$27)+('DRE NOVAS PARCERIAS CAIXA'!AI135*'DRE NOVAS PARCERIAS CAIXA'!AI$146)+('DRE NOVAS PARCERIAS CAIXA'!AI165*'DRE NOVAS PARCERIAS CAIXA'!AI$176)+('DRE NOVAS PARCERIAS CAIXA'!AI190*'DRE NOVAS PARCERIAS CAIXA'!AI$201)+('DRE NOVAS PARCERIAS CAIXA'!AI215*'DRE NOVAS PARCERIAS CAIXA'!AI$226)</f>
        <v>559.19999999999993</v>
      </c>
      <c r="AJ71" s="1">
        <f>('DRE NOVAS PARCERIAS CAIXA'!AJ16*'DRE NOVAS PARCERIAS CAIXA'!AJ$27)+('DRE NOVAS PARCERIAS CAIXA'!AJ135*'DRE NOVAS PARCERIAS CAIXA'!AJ$146)+('DRE NOVAS PARCERIAS CAIXA'!AJ165*'DRE NOVAS PARCERIAS CAIXA'!AJ$176)+('DRE NOVAS PARCERIAS CAIXA'!AJ190*'DRE NOVAS PARCERIAS CAIXA'!AJ$201)+('DRE NOVAS PARCERIAS CAIXA'!AJ215*'DRE NOVAS PARCERIAS CAIXA'!AJ$226)</f>
        <v>-1617.6</v>
      </c>
      <c r="AK71" s="40">
        <f t="shared" si="81"/>
        <v>177.59999999999991</v>
      </c>
      <c r="AL71" s="13">
        <f>('DRE NOVAS PARCERIAS CAIXA'!AL16*'DRE NOVAS PARCERIAS CAIXA'!AL$27)+('DRE NOVAS PARCERIAS CAIXA'!AL135*'DRE NOVAS PARCERIAS CAIXA'!AL$146)+('DRE NOVAS PARCERIAS CAIXA'!AL165*'DRE NOVAS PARCERIAS CAIXA'!AL$176)+('DRE NOVAS PARCERIAS CAIXA'!AL190*'DRE NOVAS PARCERIAS CAIXA'!AL$201)+('DRE NOVAS PARCERIAS CAIXA'!AL215*'DRE NOVAS PARCERIAS CAIXA'!AL$226)</f>
        <v>0.6</v>
      </c>
      <c r="AM71" s="13">
        <f>('DRE NOVAS PARCERIAS CAIXA'!AM16*'DRE NOVAS PARCERIAS CAIXA'!AM$27)+('DRE NOVAS PARCERIAS CAIXA'!AM135*'DRE NOVAS PARCERIAS CAIXA'!AM$146)+('DRE NOVAS PARCERIAS CAIXA'!AM165*'DRE NOVAS PARCERIAS CAIXA'!AM$176)+('DRE NOVAS PARCERIAS CAIXA'!AM190*'DRE NOVAS PARCERIAS CAIXA'!AM$201)+('DRE NOVAS PARCERIAS CAIXA'!AM215*'DRE NOVAS PARCERIAS CAIXA'!AM$226)</f>
        <v>1.7999999999999998</v>
      </c>
      <c r="AN71" s="13">
        <f>('DRE NOVAS PARCERIAS CAIXA'!AN16*'DRE NOVAS PARCERIAS CAIXA'!AN$27)+('DRE NOVAS PARCERIAS CAIXA'!AN135*'DRE NOVAS PARCERIAS CAIXA'!AN$146)+('DRE NOVAS PARCERIAS CAIXA'!AN165*'DRE NOVAS PARCERIAS CAIXA'!AN$176)+('DRE NOVAS PARCERIAS CAIXA'!AN190*'DRE NOVAS PARCERIAS CAIXA'!AN$201)+('DRE NOVAS PARCERIAS CAIXA'!AN215*'DRE NOVAS PARCERIAS CAIXA'!AN$226)</f>
        <v>0</v>
      </c>
      <c r="AO71" s="13">
        <f>('DRE NOVAS PARCERIAS CAIXA'!AO16*'DRE NOVAS PARCERIAS CAIXA'!AO$27)+('DRE NOVAS PARCERIAS CAIXA'!AO135*'DRE NOVAS PARCERIAS CAIXA'!AO$146)+('DRE NOVAS PARCERIAS CAIXA'!AO165*'DRE NOVAS PARCERIAS CAIXA'!AO$176)+('DRE NOVAS PARCERIAS CAIXA'!AO190*'DRE NOVAS PARCERIAS CAIXA'!AO$201)+('DRE NOVAS PARCERIAS CAIXA'!AO215*'DRE NOVAS PARCERIAS CAIXA'!AO$226)</f>
        <v>1461</v>
      </c>
      <c r="AP71" s="40">
        <f t="shared" si="82"/>
        <v>1463.4</v>
      </c>
      <c r="AQ71" s="13">
        <f>('DRE NOVAS PARCERIAS CAIXA'!AQ16*'DRE NOVAS PARCERIAS CAIXA'!AQ$27)+('DRE NOVAS PARCERIAS CAIXA'!AQ135*'DRE NOVAS PARCERIAS CAIXA'!AQ$146)+('DRE NOVAS PARCERIAS CAIXA'!AQ165*'DRE NOVAS PARCERIAS CAIXA'!AQ$176)+('DRE NOVAS PARCERIAS CAIXA'!AQ190*'DRE NOVAS PARCERIAS CAIXA'!AQ$201)+('DRE NOVAS PARCERIAS CAIXA'!AQ215*'DRE NOVAS PARCERIAS CAIXA'!AQ$226)</f>
        <v>-4.05</v>
      </c>
      <c r="AR71" s="13">
        <f>('DRE NOVAS PARCERIAS CAIXA'!AR16*'DRE NOVAS PARCERIAS CAIXA'!AR$27)+('DRE NOVAS PARCERIAS CAIXA'!AR135*'DRE NOVAS PARCERIAS CAIXA'!AR$146)+('DRE NOVAS PARCERIAS CAIXA'!AR165*'DRE NOVAS PARCERIAS CAIXA'!AR$176)+('DRE NOVAS PARCERIAS CAIXA'!AR190*'DRE NOVAS PARCERIAS CAIXA'!AR$201)+('DRE NOVAS PARCERIAS CAIXA'!AR215*'DRE NOVAS PARCERIAS CAIXA'!AR$226)</f>
        <v>-1413.3</v>
      </c>
      <c r="AS71" s="13">
        <f>('DRE NOVAS PARCERIAS CAIXA'!AS16*'DRE NOVAS PARCERIAS CAIXA'!AS$27)+('DRE NOVAS PARCERIAS CAIXA'!AS135*'DRE NOVAS PARCERIAS CAIXA'!AS$146)+('DRE NOVAS PARCERIAS CAIXA'!AS165*'DRE NOVAS PARCERIAS CAIXA'!AS$176)+('DRE NOVAS PARCERIAS CAIXA'!AS190*'DRE NOVAS PARCERIAS CAIXA'!AS$201)+('DRE NOVAS PARCERIAS CAIXA'!AS215*'DRE NOVAS PARCERIAS CAIXA'!AS$226)</f>
        <v>0</v>
      </c>
      <c r="AT71" s="13">
        <f>('DRE NOVAS PARCERIAS CAIXA'!AT16*'DRE NOVAS PARCERIAS CAIXA'!AT$27)+('DRE NOVAS PARCERIAS CAIXA'!AT135*'DRE NOVAS PARCERIAS CAIXA'!AT$146)+('DRE NOVAS PARCERIAS CAIXA'!AT165*'DRE NOVAS PARCERIAS CAIXA'!AT$176)+('DRE NOVAS PARCERIAS CAIXA'!AT190*'DRE NOVAS PARCERIAS CAIXA'!AT$201)+('DRE NOVAS PARCERIAS CAIXA'!AT215*'DRE NOVAS PARCERIAS CAIXA'!AT$226)</f>
        <v>0</v>
      </c>
      <c r="AU71" s="40">
        <f t="shared" si="83"/>
        <v>-1417.35</v>
      </c>
      <c r="AV71" s="13">
        <f>('DRE NOVAS PARCERIAS CAIXA'!AV16*'DRE NOVAS PARCERIAS CAIXA'!AV$27)+('DRE NOVAS PARCERIAS CAIXA'!AV135*'DRE NOVAS PARCERIAS CAIXA'!AV$146)+('DRE NOVAS PARCERIAS CAIXA'!AV165*'DRE NOVAS PARCERIAS CAIXA'!AV$176)+('DRE NOVAS PARCERIAS CAIXA'!AV190*'DRE NOVAS PARCERIAS CAIXA'!AV$201)+('DRE NOVAS PARCERIAS CAIXA'!AV215*'DRE NOVAS PARCERIAS CAIXA'!AV$226)</f>
        <v>-90.853845000000007</v>
      </c>
      <c r="AW71" s="13">
        <f>('DRE NOVAS PARCERIAS CAIXA'!AW16*'DRE NOVAS PARCERIAS CAIXA'!AW$27)+('DRE NOVAS PARCERIAS CAIXA'!AW135*'DRE NOVAS PARCERIAS CAIXA'!AW$146)+('DRE NOVAS PARCERIAS CAIXA'!AW165*'DRE NOVAS PARCERIAS CAIXA'!AW$176)+('DRE NOVAS PARCERIAS CAIXA'!AW190*'DRE NOVAS PARCERIAS CAIXA'!AW$201)+('DRE NOVAS PARCERIAS CAIXA'!AW215*'DRE NOVAS PARCERIAS CAIXA'!AW$226)</f>
        <v>6.15</v>
      </c>
      <c r="AX71" s="13">
        <f>('DRE NOVAS PARCERIAS CAIXA'!AX16*'DRE NOVAS PARCERIAS CAIXA'!AX$27)+('DRE NOVAS PARCERIAS CAIXA'!AX135*'DRE NOVAS PARCERIAS CAIXA'!AX$146)+('DRE NOVAS PARCERIAS CAIXA'!AX165*'DRE NOVAS PARCERIAS CAIXA'!AX$176)+('DRE NOVAS PARCERIAS CAIXA'!AX190*'DRE NOVAS PARCERIAS CAIXA'!AX$201)+('DRE NOVAS PARCERIAS CAIXA'!AX215*'DRE NOVAS PARCERIAS CAIXA'!AX$226)</f>
        <v>-35.699999999999996</v>
      </c>
      <c r="AY71" s="13">
        <f>('DRE NOVAS PARCERIAS CAIXA'!AY16*'DRE NOVAS PARCERIAS CAIXA'!AY$27)+('DRE NOVAS PARCERIAS CAIXA'!AY135*'DRE NOVAS PARCERIAS CAIXA'!AY$146)+('DRE NOVAS PARCERIAS CAIXA'!AY165*'DRE NOVAS PARCERIAS CAIXA'!AY$176)+('DRE NOVAS PARCERIAS CAIXA'!AY190*'DRE NOVAS PARCERIAS CAIXA'!AY$201)+('DRE NOVAS PARCERIAS CAIXA'!AY215*'DRE NOVAS PARCERIAS CAIXA'!AY$226)</f>
        <v>-423.59999999999997</v>
      </c>
      <c r="AZ71" s="40">
        <f t="shared" si="84"/>
        <v>-544.00384499999996</v>
      </c>
      <c r="BA71" s="13">
        <f>('DRE NOVAS PARCERIAS CAIXA'!BA16*'DRE NOVAS PARCERIAS CAIXA'!BA$27)+('DRE NOVAS PARCERIAS CAIXA'!BA135*'DRE NOVAS PARCERIAS CAIXA'!BA$146)+('DRE NOVAS PARCERIAS CAIXA'!BA165*'DRE NOVAS PARCERIAS CAIXA'!BA$176)+('DRE NOVAS PARCERIAS CAIXA'!BA190*'DRE NOVAS PARCERIAS CAIXA'!BA$201)+('DRE NOVAS PARCERIAS CAIXA'!BA215*'DRE NOVAS PARCERIAS CAIXA'!BA$226)</f>
        <v>-4.5</v>
      </c>
    </row>
    <row r="72" spans="1:53">
      <c r="A72" s="9"/>
      <c r="B72" s="9" t="s">
        <v>420</v>
      </c>
      <c r="C72" s="10"/>
      <c r="D72" s="10"/>
      <c r="E72" s="10"/>
      <c r="F72" s="10"/>
      <c r="G72" s="39"/>
      <c r="H72" s="10"/>
      <c r="I72" s="10"/>
      <c r="J72" s="10"/>
      <c r="K72" s="10"/>
      <c r="L72" s="39"/>
      <c r="M72" s="10"/>
      <c r="N72" s="10"/>
      <c r="O72" s="10"/>
      <c r="P72" s="10"/>
      <c r="Q72" s="39"/>
      <c r="R72" s="10"/>
      <c r="S72" s="10"/>
      <c r="T72" s="10"/>
      <c r="U72" s="10"/>
      <c r="V72" s="39"/>
      <c r="W72" s="10"/>
      <c r="X72" s="10"/>
      <c r="Y72" s="10"/>
      <c r="Z72" s="10">
        <v>806.11835399999995</v>
      </c>
      <c r="AA72" s="39">
        <v>806.11835399999995</v>
      </c>
      <c r="AB72" s="10">
        <v>302611.23723151116</v>
      </c>
      <c r="AC72" s="10">
        <v>309378.40211546212</v>
      </c>
      <c r="AD72" s="10">
        <v>363667.93815740227</v>
      </c>
      <c r="AE72" s="10">
        <v>396186.01878761133</v>
      </c>
      <c r="AF72" s="39">
        <v>1371843.5962919868</v>
      </c>
      <c r="AG72" s="10">
        <f>SUM(AG70:AG71)</f>
        <v>403802.57953064615</v>
      </c>
      <c r="AH72" s="10">
        <f>SUM(AH70:AH71)</f>
        <v>519762.8057737762</v>
      </c>
      <c r="AI72" s="76">
        <f>SUM(AI70:AI71)</f>
        <v>553870.94999999995</v>
      </c>
      <c r="AJ72" s="76">
        <f>SUM(AJ70:AJ71)</f>
        <v>646341.83971800958</v>
      </c>
      <c r="AK72" s="39">
        <f t="shared" si="81"/>
        <v>2123778.1750224316</v>
      </c>
      <c r="AL72" s="10">
        <f>SUM(AL70:AL71)</f>
        <v>730508.00929800444</v>
      </c>
      <c r="AM72" s="10">
        <f>SUM(AM70:AM71)</f>
        <v>778440.50783400075</v>
      </c>
      <c r="AN72" s="10">
        <f t="shared" ref="AN72:AO72" si="88">SUM(AN70:AN71)</f>
        <v>849790.6475834169</v>
      </c>
      <c r="AO72" s="10">
        <f t="shared" si="88"/>
        <v>811259.63413799508</v>
      </c>
      <c r="AP72" s="39">
        <f t="shared" si="82"/>
        <v>3169998.7988534174</v>
      </c>
      <c r="AQ72" s="10">
        <f>SUM(AQ70:AQ71)</f>
        <v>865494.59782800009</v>
      </c>
      <c r="AR72" s="10">
        <f>SUM(AR70:AR71)</f>
        <v>642577.84956600098</v>
      </c>
      <c r="AS72" s="10">
        <f t="shared" ref="AS72:AT72" si="89">SUM(AS70:AS71)</f>
        <v>922442.12769599864</v>
      </c>
      <c r="AT72" s="10">
        <f t="shared" si="89"/>
        <v>928452.72338999994</v>
      </c>
      <c r="AU72" s="39">
        <f t="shared" si="83"/>
        <v>3358967.2984799994</v>
      </c>
      <c r="AV72" s="10">
        <f t="shared" ref="AV72:AX72" si="90">SUM(AV70:AV71)</f>
        <v>992412.94052099925</v>
      </c>
      <c r="AW72" s="10">
        <f t="shared" si="90"/>
        <v>1022641.6207260006</v>
      </c>
      <c r="AX72" s="10">
        <f t="shared" si="90"/>
        <v>1124122.2972156582</v>
      </c>
      <c r="AY72" s="10">
        <f>SUM(AY70:AY71)</f>
        <v>1077384.3618885023</v>
      </c>
      <c r="AZ72" s="39">
        <f t="shared" si="84"/>
        <v>4216561.2203511605</v>
      </c>
      <c r="BA72" s="10">
        <f>SUM(BA70:BA71)</f>
        <v>1154173.4385659988</v>
      </c>
    </row>
    <row r="73" spans="1:53">
      <c r="A73" s="11"/>
      <c r="B73" s="11" t="s">
        <v>421</v>
      </c>
      <c r="C73" s="13"/>
      <c r="D73" s="13"/>
      <c r="E73" s="13"/>
      <c r="F73" s="13"/>
      <c r="G73" s="41"/>
      <c r="H73" s="13"/>
      <c r="I73" s="13"/>
      <c r="J73" s="13"/>
      <c r="K73" s="13"/>
      <c r="L73" s="41"/>
      <c r="M73" s="13"/>
      <c r="N73" s="13"/>
      <c r="O73" s="13"/>
      <c r="P73" s="13"/>
      <c r="Q73" s="41"/>
      <c r="R73" s="13"/>
      <c r="S73" s="13"/>
      <c r="T73" s="13"/>
      <c r="U73" s="13"/>
      <c r="V73" s="41"/>
      <c r="W73" s="13"/>
      <c r="X73" s="13"/>
      <c r="Y73" s="13"/>
      <c r="Z73" s="13">
        <v>-182.867086</v>
      </c>
      <c r="AA73" s="41">
        <v>-182.867086</v>
      </c>
      <c r="AB73" s="13">
        <v>-75655.170968999984</v>
      </c>
      <c r="AC73" s="13">
        <v>-77412.015289499992</v>
      </c>
      <c r="AD73" s="13">
        <v>-91080.514561500007</v>
      </c>
      <c r="AE73" s="13">
        <v>-96111.788068500071</v>
      </c>
      <c r="AF73" s="41">
        <v>-340259.48888850003</v>
      </c>
      <c r="AG73" s="13">
        <f>('DRE NOVAS PARCERIAS CAIXA'!AG18*'DRE NOVAS PARCERIAS CAIXA'!AG$27)+('DRE NOVAS PARCERIAS CAIXA'!AG137*'DRE NOVAS PARCERIAS CAIXA'!AG$146)+('DRE NOVAS PARCERIAS CAIXA'!AG167*'DRE NOVAS PARCERIAS CAIXA'!AG$176)+('DRE NOVAS PARCERIAS CAIXA'!AG192*'DRE NOVAS PARCERIAS CAIXA'!AG$201)+('DRE NOVAS PARCERIAS CAIXA'!AG217*'DRE NOVAS PARCERIAS CAIXA'!AG$226)</f>
        <v>-101006.14381849411</v>
      </c>
      <c r="AH73" s="13">
        <f>('DRE NOVAS PARCERIAS CAIXA'!AH18*'DRE NOVAS PARCERIAS CAIXA'!AH$27)+('DRE NOVAS PARCERIAS CAIXA'!AH137*'DRE NOVAS PARCERIAS CAIXA'!AH$146)+('DRE NOVAS PARCERIAS CAIXA'!AH167*'DRE NOVAS PARCERIAS CAIXA'!AH$176)+('DRE NOVAS PARCERIAS CAIXA'!AH192*'DRE NOVAS PARCERIAS CAIXA'!AH$201)+('DRE NOVAS PARCERIAS CAIXA'!AH217*'DRE NOVAS PARCERIAS CAIXA'!AH$226)</f>
        <v>-131451.67126141177</v>
      </c>
      <c r="AI73" s="1">
        <f>('DRE NOVAS PARCERIAS CAIXA'!AI18*'DRE NOVAS PARCERIAS CAIXA'!AI$27)+('DRE NOVAS PARCERIAS CAIXA'!AI137*'DRE NOVAS PARCERIAS CAIXA'!AI$146)+('DRE NOVAS PARCERIAS CAIXA'!AI167*'DRE NOVAS PARCERIAS CAIXA'!AI$176)+('DRE NOVAS PARCERIAS CAIXA'!AI192*'DRE NOVAS PARCERIAS CAIXA'!AI$201)+('DRE NOVAS PARCERIAS CAIXA'!AI217*'DRE NOVAS PARCERIAS CAIXA'!AI$226)</f>
        <v>-137489.34</v>
      </c>
      <c r="AJ73" s="1">
        <f>('DRE NOVAS PARCERIAS CAIXA'!AJ18*'DRE NOVAS PARCERIAS CAIXA'!AJ$27)+('DRE NOVAS PARCERIAS CAIXA'!AJ137*'DRE NOVAS PARCERIAS CAIXA'!AJ$146)+('DRE NOVAS PARCERIAS CAIXA'!AJ167*'DRE NOVAS PARCERIAS CAIXA'!AJ$176)+('DRE NOVAS PARCERIAS CAIXA'!AJ192*'DRE NOVAS PARCERIAS CAIXA'!AJ$201)+('DRE NOVAS PARCERIAS CAIXA'!AJ217*'DRE NOVAS PARCERIAS CAIXA'!AJ$226)</f>
        <v>-161696.96875500001</v>
      </c>
      <c r="AK73" s="41">
        <f t="shared" si="81"/>
        <v>-531644.12383490591</v>
      </c>
      <c r="AL73" s="13">
        <f>('DRE NOVAS PARCERIAS CAIXA'!AL18*'DRE NOVAS PARCERIAS CAIXA'!AL$27)+('DRE NOVAS PARCERIAS CAIXA'!AL137*'DRE NOVAS PARCERIAS CAIXA'!AL$146)+('DRE NOVAS PARCERIAS CAIXA'!AL167*'DRE NOVAS PARCERIAS CAIXA'!AL$176)+('DRE NOVAS PARCERIAS CAIXA'!AL192*'DRE NOVAS PARCERIAS CAIXA'!AL$201)+('DRE NOVAS PARCERIAS CAIXA'!AL217*'DRE NOVAS PARCERIAS CAIXA'!AL$226)</f>
        <v>-182967.76323529411</v>
      </c>
      <c r="AM73" s="13">
        <f>('DRE NOVAS PARCERIAS CAIXA'!AM18*'DRE NOVAS PARCERIAS CAIXA'!AM$27)+('DRE NOVAS PARCERIAS CAIXA'!AM137*'DRE NOVAS PARCERIAS CAIXA'!AM$146)+('DRE NOVAS PARCERIAS CAIXA'!AM167*'DRE NOVAS PARCERIAS CAIXA'!AM$176)+('DRE NOVAS PARCERIAS CAIXA'!AM192*'DRE NOVAS PARCERIAS CAIXA'!AM$201)+('DRE NOVAS PARCERIAS CAIXA'!AM217*'DRE NOVAS PARCERIAS CAIXA'!AM$226)</f>
        <v>-195336</v>
      </c>
      <c r="AN73" s="13">
        <f>('DRE NOVAS PARCERIAS CAIXA'!AN18*'DRE NOVAS PARCERIAS CAIXA'!AN$27)+('DRE NOVAS PARCERIAS CAIXA'!AN137*'DRE NOVAS PARCERIAS CAIXA'!AN$146)+('DRE NOVAS PARCERIAS CAIXA'!AN167*'DRE NOVAS PARCERIAS CAIXA'!AN$176)+('DRE NOVAS PARCERIAS CAIXA'!AN192*'DRE NOVAS PARCERIAS CAIXA'!AN$201)+('DRE NOVAS PARCERIAS CAIXA'!AN217*'DRE NOVAS PARCERIAS CAIXA'!AN$226)</f>
        <v>-212779.61069246079</v>
      </c>
      <c r="AO73" s="13">
        <f>('DRE NOVAS PARCERIAS CAIXA'!AO18*'DRE NOVAS PARCERIAS CAIXA'!AO$27)+('DRE NOVAS PARCERIAS CAIXA'!AO137*'DRE NOVAS PARCERIAS CAIXA'!AO$146)+('DRE NOVAS PARCERIAS CAIXA'!AO167*'DRE NOVAS PARCERIAS CAIXA'!AO$176)+('DRE NOVAS PARCERIAS CAIXA'!AO192*'DRE NOVAS PARCERIAS CAIXA'!AO$201)+('DRE NOVAS PARCERIAS CAIXA'!AO217*'DRE NOVAS PARCERIAS CAIXA'!AO$226)</f>
        <v>-201733.68970588234</v>
      </c>
      <c r="AP73" s="41">
        <f t="shared" si="82"/>
        <v>-792817.06363363727</v>
      </c>
      <c r="AQ73" s="13">
        <f>('DRE NOVAS PARCERIAS CAIXA'!AQ18*'DRE NOVAS PARCERIAS CAIXA'!AQ$27)+('DRE NOVAS PARCERIAS CAIXA'!AQ137*'DRE NOVAS PARCERIAS CAIXA'!AQ$146)+('DRE NOVAS PARCERIAS CAIXA'!AQ167*'DRE NOVAS PARCERIAS CAIXA'!AQ$176)+('DRE NOVAS PARCERIAS CAIXA'!AQ192*'DRE NOVAS PARCERIAS CAIXA'!AQ$201)+('DRE NOVAS PARCERIAS CAIXA'!AQ217*'DRE NOVAS PARCERIAS CAIXA'!AQ$226)</f>
        <v>-216400.98529411765</v>
      </c>
      <c r="AR73" s="13">
        <f>('DRE NOVAS PARCERIAS CAIXA'!AR18*'DRE NOVAS PARCERIAS CAIXA'!AR$27)+('DRE NOVAS PARCERIAS CAIXA'!AR137*'DRE NOVAS PARCERIAS CAIXA'!AR$146)+('DRE NOVAS PARCERIAS CAIXA'!AR167*'DRE NOVAS PARCERIAS CAIXA'!AR$176)+('DRE NOVAS PARCERIAS CAIXA'!AR192*'DRE NOVAS PARCERIAS CAIXA'!AR$201)+('DRE NOVAS PARCERIAS CAIXA'!AR217*'DRE NOVAS PARCERIAS CAIXA'!AR$226)</f>
        <v>-161241.63136764703</v>
      </c>
      <c r="AS73" s="13">
        <f>('DRE NOVAS PARCERIAS CAIXA'!AS18*'DRE NOVAS PARCERIAS CAIXA'!AS$27)+('DRE NOVAS PARCERIAS CAIXA'!AS137*'DRE NOVAS PARCERIAS CAIXA'!AS$146)+('DRE NOVAS PARCERIAS CAIXA'!AS167*'DRE NOVAS PARCERIAS CAIXA'!AS$176)+('DRE NOVAS PARCERIAS CAIXA'!AS192*'DRE NOVAS PARCERIAS CAIXA'!AS$201)+('DRE NOVAS PARCERIAS CAIXA'!AS217*'DRE NOVAS PARCERIAS CAIXA'!AS$226)</f>
        <v>-224172.06176470587</v>
      </c>
      <c r="AT73" s="13">
        <f>('DRE NOVAS PARCERIAS CAIXA'!AT18*'DRE NOVAS PARCERIAS CAIXA'!AT$27)+('DRE NOVAS PARCERIAS CAIXA'!AT137*'DRE NOVAS PARCERIAS CAIXA'!AT$146)+('DRE NOVAS PARCERIAS CAIXA'!AT167*'DRE NOVAS PARCERIAS CAIXA'!AT$176)+('DRE NOVAS PARCERIAS CAIXA'!AT192*'DRE NOVAS PARCERIAS CAIXA'!AT$201)+('DRE NOVAS PARCERIAS CAIXA'!AT217*'DRE NOVAS PARCERIAS CAIXA'!AT$226)</f>
        <v>-213960.05735294116</v>
      </c>
      <c r="AU73" s="41">
        <f t="shared" si="83"/>
        <v>-815774.73577941174</v>
      </c>
      <c r="AV73" s="13">
        <f>('DRE NOVAS PARCERIAS CAIXA'!AV18*'DRE NOVAS PARCERIAS CAIXA'!AV$27)+('DRE NOVAS PARCERIAS CAIXA'!AV137*'DRE NOVAS PARCERIAS CAIXA'!AV$146)+('DRE NOVAS PARCERIAS CAIXA'!AV167*'DRE NOVAS PARCERIAS CAIXA'!AV$176)+('DRE NOVAS PARCERIAS CAIXA'!AV192*'DRE NOVAS PARCERIAS CAIXA'!AV$201)+('DRE NOVAS PARCERIAS CAIXA'!AV217*'DRE NOVAS PARCERIAS CAIXA'!AV$226)</f>
        <v>-247710.26911764705</v>
      </c>
      <c r="AW73" s="13">
        <f>('DRE NOVAS PARCERIAS CAIXA'!AW18*'DRE NOVAS PARCERIAS CAIXA'!AW$27)+('DRE NOVAS PARCERIAS CAIXA'!AW137*'DRE NOVAS PARCERIAS CAIXA'!AW$146)+('DRE NOVAS PARCERIAS CAIXA'!AW167*'DRE NOVAS PARCERIAS CAIXA'!AW$176)+('DRE NOVAS PARCERIAS CAIXA'!AW192*'DRE NOVAS PARCERIAS CAIXA'!AW$201)+('DRE NOVAS PARCERIAS CAIXA'!AW217*'DRE NOVAS PARCERIAS CAIXA'!AW$226)</f>
        <v>-255036.61764705883</v>
      </c>
      <c r="AX73" s="13">
        <f>('DRE NOVAS PARCERIAS CAIXA'!AX18*'DRE NOVAS PARCERIAS CAIXA'!AX$27)+('DRE NOVAS PARCERIAS CAIXA'!AX137*'DRE NOVAS PARCERIAS CAIXA'!AX$146)+('DRE NOVAS PARCERIAS CAIXA'!AX167*'DRE NOVAS PARCERIAS CAIXA'!AX$176)+('DRE NOVAS PARCERIAS CAIXA'!AX192*'DRE NOVAS PARCERIAS CAIXA'!AX$201)+('DRE NOVAS PARCERIAS CAIXA'!AX217*'DRE NOVAS PARCERIAS CAIXA'!AX$226)</f>
        <v>-278199.2074187884</v>
      </c>
      <c r="AY73" s="13">
        <f>('DRE NOVAS PARCERIAS CAIXA'!AY18*'DRE NOVAS PARCERIAS CAIXA'!AY$27)+('DRE NOVAS PARCERIAS CAIXA'!AY137*'DRE NOVAS PARCERIAS CAIXA'!AY$146)+('DRE NOVAS PARCERIAS CAIXA'!AY167*'DRE NOVAS PARCERIAS CAIXA'!AY$176)+('DRE NOVAS PARCERIAS CAIXA'!AY192*'DRE NOVAS PARCERIAS CAIXA'!AY$201)+('DRE NOVAS PARCERIAS CAIXA'!AY217*'DRE NOVAS PARCERIAS CAIXA'!AY$226)</f>
        <v>-236517.375</v>
      </c>
      <c r="AZ73" s="41">
        <f t="shared" si="84"/>
        <v>-1017463.4691834943</v>
      </c>
      <c r="BA73" s="13">
        <f>('DRE NOVAS PARCERIAS CAIXA'!BA18*'DRE NOVAS PARCERIAS CAIXA'!BA$27)+('DRE NOVAS PARCERIAS CAIXA'!BA137*'DRE NOVAS PARCERIAS CAIXA'!BA$146)+('DRE NOVAS PARCERIAS CAIXA'!BA167*'DRE NOVAS PARCERIAS CAIXA'!BA$176)+('DRE NOVAS PARCERIAS CAIXA'!BA192*'DRE NOVAS PARCERIAS CAIXA'!BA$201)+('DRE NOVAS PARCERIAS CAIXA'!BA217*'DRE NOVAS PARCERIAS CAIXA'!BA$226)</f>
        <v>-286042.38970588235</v>
      </c>
    </row>
    <row r="74" spans="1:53">
      <c r="A74" s="11"/>
      <c r="B74" s="11" t="s">
        <v>422</v>
      </c>
      <c r="C74" s="13"/>
      <c r="D74" s="13"/>
      <c r="E74" s="13"/>
      <c r="F74" s="13"/>
      <c r="G74" s="41"/>
      <c r="H74" s="13"/>
      <c r="I74" s="13"/>
      <c r="J74" s="13"/>
      <c r="K74" s="13"/>
      <c r="L74" s="41"/>
      <c r="M74" s="13"/>
      <c r="N74" s="13"/>
      <c r="O74" s="13"/>
      <c r="P74" s="13"/>
      <c r="Q74" s="41"/>
      <c r="R74" s="13"/>
      <c r="S74" s="13"/>
      <c r="T74" s="13"/>
      <c r="U74" s="13"/>
      <c r="V74" s="41"/>
      <c r="W74" s="13"/>
      <c r="X74" s="13"/>
      <c r="Y74" s="13"/>
      <c r="Z74" s="13">
        <v>-125.32024799999999</v>
      </c>
      <c r="AA74" s="41">
        <v>-125.32024799999999</v>
      </c>
      <c r="AB74" s="13">
        <v>-45388.431541500002</v>
      </c>
      <c r="AC74" s="13">
        <v>-45087.138148500002</v>
      </c>
      <c r="AD74" s="13">
        <v>-72850.697124000042</v>
      </c>
      <c r="AE74" s="13">
        <v>-72330.060220499916</v>
      </c>
      <c r="AF74" s="41">
        <v>-235656.32703449996</v>
      </c>
      <c r="AG74" s="13">
        <f>('DRE NOVAS PARCERIAS CAIXA'!AG19*'DRE NOVAS PARCERIAS CAIXA'!AG$27)+('DRE NOVAS PARCERIAS CAIXA'!AG138*'DRE NOVAS PARCERIAS CAIXA'!AG$146)+('DRE NOVAS PARCERIAS CAIXA'!AG168*'DRE NOVAS PARCERIAS CAIXA'!AG$176)+('DRE NOVAS PARCERIAS CAIXA'!AG193*'DRE NOVAS PARCERIAS CAIXA'!AG$201)+('DRE NOVAS PARCERIAS CAIXA'!AG218*'DRE NOVAS PARCERIAS CAIXA'!AG$226)</f>
        <v>-61816.869758975416</v>
      </c>
      <c r="AH74" s="13">
        <f>('DRE NOVAS PARCERIAS CAIXA'!AH19*'DRE NOVAS PARCERIAS CAIXA'!AH$27)+('DRE NOVAS PARCERIAS CAIXA'!AH138*'DRE NOVAS PARCERIAS CAIXA'!AH$146)+('DRE NOVAS PARCERIAS CAIXA'!AH168*'DRE NOVAS PARCERIAS CAIXA'!AH$176)+('DRE NOVAS PARCERIAS CAIXA'!AH193*'DRE NOVAS PARCERIAS CAIXA'!AH$201)+('DRE NOVAS PARCERIAS CAIXA'!AH218*'DRE NOVAS PARCERIAS CAIXA'!AH$226)</f>
        <v>-77805.913940873346</v>
      </c>
      <c r="AI74" s="1">
        <f>('DRE NOVAS PARCERIAS CAIXA'!AI19*'DRE NOVAS PARCERIAS CAIXA'!AI$27)+('DRE NOVAS PARCERIAS CAIXA'!AI138*'DRE NOVAS PARCERIAS CAIXA'!AI$146)+('DRE NOVAS PARCERIAS CAIXA'!AI168*'DRE NOVAS PARCERIAS CAIXA'!AI$176)+('DRE NOVAS PARCERIAS CAIXA'!AI193*'DRE NOVAS PARCERIAS CAIXA'!AI$201)+('DRE NOVAS PARCERIAS CAIXA'!AI218*'DRE NOVAS PARCERIAS CAIXA'!AI$226)</f>
        <v>-86181.42</v>
      </c>
      <c r="AJ74" s="1">
        <f>('DRE NOVAS PARCERIAS CAIXA'!AJ19*'DRE NOVAS PARCERIAS CAIXA'!AJ$27)+('DRE NOVAS PARCERIAS CAIXA'!AJ138*'DRE NOVAS PARCERIAS CAIXA'!AJ$146)+('DRE NOVAS PARCERIAS CAIXA'!AJ168*'DRE NOVAS PARCERIAS CAIXA'!AJ$176)+('DRE NOVAS PARCERIAS CAIXA'!AJ193*'DRE NOVAS PARCERIAS CAIXA'!AJ$201)+('DRE NOVAS PARCERIAS CAIXA'!AJ218*'DRE NOVAS PARCERIAS CAIXA'!AJ$226)</f>
        <v>-100967.161995</v>
      </c>
      <c r="AK74" s="41">
        <f t="shared" si="81"/>
        <v>-326771.3656948487</v>
      </c>
      <c r="AL74" s="13">
        <f>('DRE NOVAS PARCERIAS CAIXA'!AL19*'DRE NOVAS PARCERIAS CAIXA'!AL$27)+('DRE NOVAS PARCERIAS CAIXA'!AL138*'DRE NOVAS PARCERIAS CAIXA'!AL$146)+('DRE NOVAS PARCERIAS CAIXA'!AL168*'DRE NOVAS PARCERIAS CAIXA'!AL$176)+('DRE NOVAS PARCERIAS CAIXA'!AL193*'DRE NOVAS PARCERIAS CAIXA'!AL$201)+('DRE NOVAS PARCERIAS CAIXA'!AL218*'DRE NOVAS PARCERIAS CAIXA'!AL$226)</f>
        <v>-107833.33676470589</v>
      </c>
      <c r="AM74" s="13">
        <f>('DRE NOVAS PARCERIAS CAIXA'!AM19*'DRE NOVAS PARCERIAS CAIXA'!AM$27)+('DRE NOVAS PARCERIAS CAIXA'!AM138*'DRE NOVAS PARCERIAS CAIXA'!AM$146)+('DRE NOVAS PARCERIAS CAIXA'!AM168*'DRE NOVAS PARCERIAS CAIXA'!AM$176)+('DRE NOVAS PARCERIAS CAIXA'!AM193*'DRE NOVAS PARCERIAS CAIXA'!AM$201)+('DRE NOVAS PARCERIAS CAIXA'!AM218*'DRE NOVAS PARCERIAS CAIXA'!AM$226)</f>
        <v>-115410.75</v>
      </c>
      <c r="AN74" s="13">
        <f>('DRE NOVAS PARCERIAS CAIXA'!AN19*'DRE NOVAS PARCERIAS CAIXA'!AN$27)+('DRE NOVAS PARCERIAS CAIXA'!AN138*'DRE NOVAS PARCERIAS CAIXA'!AN$146)+('DRE NOVAS PARCERIAS CAIXA'!AN168*'DRE NOVAS PARCERIAS CAIXA'!AN$176)+('DRE NOVAS PARCERIAS CAIXA'!AN193*'DRE NOVAS PARCERIAS CAIXA'!AN$201)+('DRE NOVAS PARCERIAS CAIXA'!AN218*'DRE NOVAS PARCERIAS CAIXA'!AN$226)</f>
        <v>-125233.29762732638</v>
      </c>
      <c r="AO74" s="13">
        <f>('DRE NOVAS PARCERIAS CAIXA'!AO19*'DRE NOVAS PARCERIAS CAIXA'!AO$27)+('DRE NOVAS PARCERIAS CAIXA'!AO138*'DRE NOVAS PARCERIAS CAIXA'!AO$146)+('DRE NOVAS PARCERIAS CAIXA'!AO168*'DRE NOVAS PARCERIAS CAIXA'!AO$176)+('DRE NOVAS PARCERIAS CAIXA'!AO193*'DRE NOVAS PARCERIAS CAIXA'!AO$201)+('DRE NOVAS PARCERIAS CAIXA'!AO218*'DRE NOVAS PARCERIAS CAIXA'!AO$226)</f>
        <v>-118864.76029411764</v>
      </c>
      <c r="AP74" s="41">
        <f t="shared" si="82"/>
        <v>-467342.1446861499</v>
      </c>
      <c r="AQ74" s="13">
        <f>('DRE NOVAS PARCERIAS CAIXA'!AQ19*'DRE NOVAS PARCERIAS CAIXA'!AQ$27)+('DRE NOVAS PARCERIAS CAIXA'!AQ138*'DRE NOVAS PARCERIAS CAIXA'!AQ$146)+('DRE NOVAS PARCERIAS CAIXA'!AQ168*'DRE NOVAS PARCERIAS CAIXA'!AQ$176)+('DRE NOVAS PARCERIAS CAIXA'!AQ193*'DRE NOVAS PARCERIAS CAIXA'!AQ$201)+('DRE NOVAS PARCERIAS CAIXA'!AQ218*'DRE NOVAS PARCERIAS CAIXA'!AQ$226)</f>
        <v>-125896.01470588235</v>
      </c>
      <c r="AR74" s="13">
        <f>('DRE NOVAS PARCERIAS CAIXA'!AR19*'DRE NOVAS PARCERIAS CAIXA'!AR$27)+('DRE NOVAS PARCERIAS CAIXA'!AR138*'DRE NOVAS PARCERIAS CAIXA'!AR$146)+('DRE NOVAS PARCERIAS CAIXA'!AR168*'DRE NOVAS PARCERIAS CAIXA'!AR$176)+('DRE NOVAS PARCERIAS CAIXA'!AR193*'DRE NOVAS PARCERIAS CAIXA'!AR$201)+('DRE NOVAS PARCERIAS CAIXA'!AR218*'DRE NOVAS PARCERIAS CAIXA'!AR$226)</f>
        <v>-92452.57063235293</v>
      </c>
      <c r="AS74" s="13">
        <f>('DRE NOVAS PARCERIAS CAIXA'!AS19*'DRE NOVAS PARCERIAS CAIXA'!AS$27)+('DRE NOVAS PARCERIAS CAIXA'!AS138*'DRE NOVAS PARCERIAS CAIXA'!AS$146)+('DRE NOVAS PARCERIAS CAIXA'!AS168*'DRE NOVAS PARCERIAS CAIXA'!AS$176)+('DRE NOVAS PARCERIAS CAIXA'!AS193*'DRE NOVAS PARCERIAS CAIXA'!AS$201)+('DRE NOVAS PARCERIAS CAIXA'!AS218*'DRE NOVAS PARCERIAS CAIXA'!AS$226)</f>
        <v>-135000.6882352941</v>
      </c>
      <c r="AT74" s="13">
        <f>('DRE NOVAS PARCERIAS CAIXA'!AT19*'DRE NOVAS PARCERIAS CAIXA'!AT$27)+('DRE NOVAS PARCERIAS CAIXA'!AT138*'DRE NOVAS PARCERIAS CAIXA'!AT$146)+('DRE NOVAS PARCERIAS CAIXA'!AT168*'DRE NOVAS PARCERIAS CAIXA'!AT$176)+('DRE NOVAS PARCERIAS CAIXA'!AT193*'DRE NOVAS PARCERIAS CAIXA'!AT$201)+('DRE NOVAS PARCERIAS CAIXA'!AT218*'DRE NOVAS PARCERIAS CAIXA'!AT$226)</f>
        <v>-137327.04264705881</v>
      </c>
      <c r="AU74" s="41">
        <f t="shared" si="83"/>
        <v>-490676.31622058817</v>
      </c>
      <c r="AV74" s="13">
        <f>('DRE NOVAS PARCERIAS CAIXA'!AV19*'DRE NOVAS PARCERIAS CAIXA'!AV$27)+('DRE NOVAS PARCERIAS CAIXA'!AV138*'DRE NOVAS PARCERIAS CAIXA'!AV$146)+('DRE NOVAS PARCERIAS CAIXA'!AV168*'DRE NOVAS PARCERIAS CAIXA'!AV$176)+('DRE NOVAS PARCERIAS CAIXA'!AV193*'DRE NOVAS PARCERIAS CAIXA'!AV$201)+('DRE NOVAS PARCERIAS CAIXA'!AV218*'DRE NOVAS PARCERIAS CAIXA'!AV$226)</f>
        <v>-144389.92138235294</v>
      </c>
      <c r="AW74" s="13">
        <f>('DRE NOVAS PARCERIAS CAIXA'!AW19*'DRE NOVAS PARCERIAS CAIXA'!AW$27)+('DRE NOVAS PARCERIAS CAIXA'!AW138*'DRE NOVAS PARCERIAS CAIXA'!AW$146)+('DRE NOVAS PARCERIAS CAIXA'!AW168*'DRE NOVAS PARCERIAS CAIXA'!AW$176)+('DRE NOVAS PARCERIAS CAIXA'!AW193*'DRE NOVAS PARCERIAS CAIXA'!AW$201)+('DRE NOVAS PARCERIAS CAIXA'!AW218*'DRE NOVAS PARCERIAS CAIXA'!AW$226)</f>
        <v>-146060.28710294116</v>
      </c>
      <c r="AX74" s="13">
        <f>('DRE NOVAS PARCERIAS CAIXA'!AX19*'DRE NOVAS PARCERIAS CAIXA'!AX$27)+('DRE NOVAS PARCERIAS CAIXA'!AX138*'DRE NOVAS PARCERIAS CAIXA'!AX$146)+('DRE NOVAS PARCERIAS CAIXA'!AX168*'DRE NOVAS PARCERIAS CAIXA'!AX$176)+('DRE NOVAS PARCERIAS CAIXA'!AX193*'DRE NOVAS PARCERIAS CAIXA'!AX$201)+('DRE NOVAS PARCERIAS CAIXA'!AX218*'DRE NOVAS PARCERIAS CAIXA'!AX$226)</f>
        <v>-162198.20983985648</v>
      </c>
      <c r="AY74" s="13">
        <f>('DRE NOVAS PARCERIAS CAIXA'!AY19*'DRE NOVAS PARCERIAS CAIXA'!AY$27)+('DRE NOVAS PARCERIAS CAIXA'!AY138*'DRE NOVAS PARCERIAS CAIXA'!AY$146)+('DRE NOVAS PARCERIAS CAIXA'!AY168*'DRE NOVAS PARCERIAS CAIXA'!AY$176)+('DRE NOVAS PARCERIAS CAIXA'!AY193*'DRE NOVAS PARCERIAS CAIXA'!AY$201)+('DRE NOVAS PARCERIAS CAIXA'!AY218*'DRE NOVAS PARCERIAS CAIXA'!AY$226)</f>
        <v>-160246.42499999999</v>
      </c>
      <c r="AZ74" s="41">
        <f t="shared" si="84"/>
        <v>-612894.84332515066</v>
      </c>
      <c r="BA74" s="13">
        <f>('DRE NOVAS PARCERIAS CAIXA'!BA19*'DRE NOVAS PARCERIAS CAIXA'!BA$27)+('DRE NOVAS PARCERIAS CAIXA'!BA138*'DRE NOVAS PARCERIAS CAIXA'!BA$146)+('DRE NOVAS PARCERIAS CAIXA'!BA168*'DRE NOVAS PARCERIAS CAIXA'!BA$176)+('DRE NOVAS PARCERIAS CAIXA'!BA193*'DRE NOVAS PARCERIAS CAIXA'!BA$201)+('DRE NOVAS PARCERIAS CAIXA'!BA218*'DRE NOVAS PARCERIAS CAIXA'!BA$226)</f>
        <v>-168831.56029411766</v>
      </c>
    </row>
    <row r="75" spans="1:53">
      <c r="A75" s="11"/>
      <c r="B75" s="11" t="s">
        <v>423</v>
      </c>
      <c r="C75" s="13"/>
      <c r="D75" s="13"/>
      <c r="E75" s="13"/>
      <c r="F75" s="13"/>
      <c r="G75" s="41"/>
      <c r="H75" s="13"/>
      <c r="I75" s="13"/>
      <c r="J75" s="13"/>
      <c r="K75" s="13"/>
      <c r="L75" s="41"/>
      <c r="M75" s="13"/>
      <c r="N75" s="13"/>
      <c r="O75" s="13"/>
      <c r="P75" s="13"/>
      <c r="Q75" s="41"/>
      <c r="R75" s="13"/>
      <c r="S75" s="13"/>
      <c r="T75" s="13"/>
      <c r="U75" s="13"/>
      <c r="V75" s="41"/>
      <c r="W75" s="13"/>
      <c r="X75" s="13"/>
      <c r="Y75" s="13"/>
      <c r="Z75" s="13">
        <v>0</v>
      </c>
      <c r="AA75" s="41">
        <v>0</v>
      </c>
      <c r="AB75" s="13">
        <v>-537.48446249999995</v>
      </c>
      <c r="AC75" s="13">
        <v>-779.58168000000001</v>
      </c>
      <c r="AD75" s="13">
        <v>509.51353499999982</v>
      </c>
      <c r="AE75" s="13">
        <v>323.80260750000002</v>
      </c>
      <c r="AF75" s="41">
        <v>-483.75</v>
      </c>
      <c r="AG75" s="13">
        <f>('DRE NOVAS PARCERIAS CAIXA'!AG20*'DRE NOVAS PARCERIAS CAIXA'!AG$27)+('DRE NOVAS PARCERIAS CAIXA'!AG139*'DRE NOVAS PARCERIAS CAIXA'!AG$146)+('DRE NOVAS PARCERIAS CAIXA'!AG169*'DRE NOVAS PARCERIAS CAIXA'!AG$176)+('DRE NOVAS PARCERIAS CAIXA'!AG194*'DRE NOVAS PARCERIAS CAIXA'!AG$201)+('DRE NOVAS PARCERIAS CAIXA'!AG219*'DRE NOVAS PARCERIAS CAIXA'!AG$226)</f>
        <v>0</v>
      </c>
      <c r="AH75" s="13">
        <f>('DRE NOVAS PARCERIAS CAIXA'!AH20*'DRE NOVAS PARCERIAS CAIXA'!AH$27)+('DRE NOVAS PARCERIAS CAIXA'!AH139*'DRE NOVAS PARCERIAS CAIXA'!AH$146)+('DRE NOVAS PARCERIAS CAIXA'!AH169*'DRE NOVAS PARCERIAS CAIXA'!AH$176)+('DRE NOVAS PARCERIAS CAIXA'!AH194*'DRE NOVAS PARCERIAS CAIXA'!AH$201)+('DRE NOVAS PARCERIAS CAIXA'!AH219*'DRE NOVAS PARCERIAS CAIXA'!AH$226)</f>
        <v>0</v>
      </c>
      <c r="AI75" s="1">
        <f>('DRE NOVAS PARCERIAS CAIXA'!AI20*'DRE NOVAS PARCERIAS CAIXA'!AI$27)+('DRE NOVAS PARCERIAS CAIXA'!AI139*'DRE NOVAS PARCERIAS CAIXA'!AI$146)+('DRE NOVAS PARCERIAS CAIXA'!AI169*'DRE NOVAS PARCERIAS CAIXA'!AI$176)+('DRE NOVAS PARCERIAS CAIXA'!AI194*'DRE NOVAS PARCERIAS CAIXA'!AI$201)+('DRE NOVAS PARCERIAS CAIXA'!AI219*'DRE NOVAS PARCERIAS CAIXA'!AI$226)</f>
        <v>0</v>
      </c>
      <c r="AJ75" s="1">
        <f>('DRE NOVAS PARCERIAS CAIXA'!AJ20*'DRE NOVAS PARCERIAS CAIXA'!AJ$27)+('DRE NOVAS PARCERIAS CAIXA'!AJ139*'DRE NOVAS PARCERIAS CAIXA'!AJ$146)+('DRE NOVAS PARCERIAS CAIXA'!AJ169*'DRE NOVAS PARCERIAS CAIXA'!AJ$176)+('DRE NOVAS PARCERIAS CAIXA'!AJ194*'DRE NOVAS PARCERIAS CAIXA'!AJ$201)+('DRE NOVAS PARCERIAS CAIXA'!AJ219*'DRE NOVAS PARCERIAS CAIXA'!AJ$226)</f>
        <v>0</v>
      </c>
      <c r="AK75" s="41">
        <f t="shared" si="81"/>
        <v>0</v>
      </c>
      <c r="AL75" s="13">
        <f>('DRE NOVAS PARCERIAS CAIXA'!AL20*'DRE NOVAS PARCERIAS CAIXA'!AL$27)+('DRE NOVAS PARCERIAS CAIXA'!AL139*'DRE NOVAS PARCERIAS CAIXA'!AL$146)+('DRE NOVAS PARCERIAS CAIXA'!AL169*'DRE NOVAS PARCERIAS CAIXA'!AL$176)+('DRE NOVAS PARCERIAS CAIXA'!AL194*'DRE NOVAS PARCERIAS CAIXA'!AL$201)+('DRE NOVAS PARCERIAS CAIXA'!AL219*'DRE NOVAS PARCERIAS CAIXA'!AL$226)</f>
        <v>0.75</v>
      </c>
      <c r="AM75" s="13">
        <f>('DRE NOVAS PARCERIAS CAIXA'!AM20*'DRE NOVAS PARCERIAS CAIXA'!AM$27)+('DRE NOVAS PARCERIAS CAIXA'!AM139*'DRE NOVAS PARCERIAS CAIXA'!AM$146)+('DRE NOVAS PARCERIAS CAIXA'!AM169*'DRE NOVAS PARCERIAS CAIXA'!AM$176)+('DRE NOVAS PARCERIAS CAIXA'!AM194*'DRE NOVAS PARCERIAS CAIXA'!AM$201)+('DRE NOVAS PARCERIAS CAIXA'!AM219*'DRE NOVAS PARCERIAS CAIXA'!AM$226)</f>
        <v>1.5</v>
      </c>
      <c r="AN75" s="13">
        <f>('DRE NOVAS PARCERIAS CAIXA'!AN20*'DRE NOVAS PARCERIAS CAIXA'!AN$27)+('DRE NOVAS PARCERIAS CAIXA'!AN139*'DRE NOVAS PARCERIAS CAIXA'!AN$146)+('DRE NOVAS PARCERIAS CAIXA'!AN169*'DRE NOVAS PARCERIAS CAIXA'!AN$176)+('DRE NOVAS PARCERIAS CAIXA'!AN194*'DRE NOVAS PARCERIAS CAIXA'!AN$201)+('DRE NOVAS PARCERIAS CAIXA'!AN219*'DRE NOVAS PARCERIAS CAIXA'!AN$226)</f>
        <v>1.5</v>
      </c>
      <c r="AO75" s="13">
        <f>('DRE NOVAS PARCERIAS CAIXA'!AO20*'DRE NOVAS PARCERIAS CAIXA'!AO$27)+('DRE NOVAS PARCERIAS CAIXA'!AO139*'DRE NOVAS PARCERIAS CAIXA'!AO$146)+('DRE NOVAS PARCERIAS CAIXA'!AO169*'DRE NOVAS PARCERIAS CAIXA'!AO$176)+('DRE NOVAS PARCERIAS CAIXA'!AO194*'DRE NOVAS PARCERIAS CAIXA'!AO$201)+('DRE NOVAS PARCERIAS CAIXA'!AO219*'DRE NOVAS PARCERIAS CAIXA'!AO$226)</f>
        <v>0</v>
      </c>
      <c r="AP75" s="41">
        <f t="shared" si="82"/>
        <v>3.75</v>
      </c>
      <c r="AQ75" s="13">
        <f>('DRE NOVAS PARCERIAS CAIXA'!AQ20*'DRE NOVAS PARCERIAS CAIXA'!AQ$27)+('DRE NOVAS PARCERIAS CAIXA'!AQ139*'DRE NOVAS PARCERIAS CAIXA'!AQ$146)+('DRE NOVAS PARCERIAS CAIXA'!AQ169*'DRE NOVAS PARCERIAS CAIXA'!AQ$176)+('DRE NOVAS PARCERIAS CAIXA'!AQ194*'DRE NOVAS PARCERIAS CAIXA'!AQ$201)+('DRE NOVAS PARCERIAS CAIXA'!AQ219*'DRE NOVAS PARCERIAS CAIXA'!AQ$226)</f>
        <v>0</v>
      </c>
      <c r="AR75" s="13">
        <f>('DRE NOVAS PARCERIAS CAIXA'!AR20*'DRE NOVAS PARCERIAS CAIXA'!AR$27)+('DRE NOVAS PARCERIAS CAIXA'!AR139*'DRE NOVAS PARCERIAS CAIXA'!AR$146)+('DRE NOVAS PARCERIAS CAIXA'!AR169*'DRE NOVAS PARCERIAS CAIXA'!AR$176)+('DRE NOVAS PARCERIAS CAIXA'!AR194*'DRE NOVAS PARCERIAS CAIXA'!AR$201)+('DRE NOVAS PARCERIAS CAIXA'!AR219*'DRE NOVAS PARCERIAS CAIXA'!AR$226)</f>
        <v>0</v>
      </c>
      <c r="AS75" s="13">
        <f>('DRE NOVAS PARCERIAS CAIXA'!AS20*'DRE NOVAS PARCERIAS CAIXA'!AS$27)+('DRE NOVAS PARCERIAS CAIXA'!AS139*'DRE NOVAS PARCERIAS CAIXA'!AS$146)+('DRE NOVAS PARCERIAS CAIXA'!AS169*'DRE NOVAS PARCERIAS CAIXA'!AS$176)+('DRE NOVAS PARCERIAS CAIXA'!AS194*'DRE NOVAS PARCERIAS CAIXA'!AS$201)+('DRE NOVAS PARCERIAS CAIXA'!AS219*'DRE NOVAS PARCERIAS CAIXA'!AS$226)</f>
        <v>0</v>
      </c>
      <c r="AT75" s="13">
        <f>('DRE NOVAS PARCERIAS CAIXA'!AT20*'DRE NOVAS PARCERIAS CAIXA'!AT$27)+('DRE NOVAS PARCERIAS CAIXA'!AT139*'DRE NOVAS PARCERIAS CAIXA'!AT$146)+('DRE NOVAS PARCERIAS CAIXA'!AT169*'DRE NOVAS PARCERIAS CAIXA'!AT$176)+('DRE NOVAS PARCERIAS CAIXA'!AT194*'DRE NOVAS PARCERIAS CAIXA'!AT$201)+('DRE NOVAS PARCERIAS CAIXA'!AT219*'DRE NOVAS PARCERIAS CAIXA'!AT$226)</f>
        <v>0</v>
      </c>
      <c r="AU75" s="41">
        <f t="shared" si="83"/>
        <v>0</v>
      </c>
      <c r="AV75" s="13">
        <f>('DRE NOVAS PARCERIAS CAIXA'!AV20*'DRE NOVAS PARCERIAS CAIXA'!AV$27)+('DRE NOVAS PARCERIAS CAIXA'!AV139*'DRE NOVAS PARCERIAS CAIXA'!AV$146)+('DRE NOVAS PARCERIAS CAIXA'!AV169*'DRE NOVAS PARCERIAS CAIXA'!AV$176)+('DRE NOVAS PARCERIAS CAIXA'!AV194*'DRE NOVAS PARCERIAS CAIXA'!AV$201)+('DRE NOVAS PARCERIAS CAIXA'!AV219*'DRE NOVAS PARCERIAS CAIXA'!AV$226)</f>
        <v>0</v>
      </c>
      <c r="AW75" s="13">
        <f>('DRE NOVAS PARCERIAS CAIXA'!AW20*'DRE NOVAS PARCERIAS CAIXA'!AW$27)+('DRE NOVAS PARCERIAS CAIXA'!AW139*'DRE NOVAS PARCERIAS CAIXA'!AW$146)+('DRE NOVAS PARCERIAS CAIXA'!AW169*'DRE NOVAS PARCERIAS CAIXA'!AW$176)+('DRE NOVAS PARCERIAS CAIXA'!AW194*'DRE NOVAS PARCERIAS CAIXA'!AW$201)+('DRE NOVAS PARCERIAS CAIXA'!AW219*'DRE NOVAS PARCERIAS CAIXA'!AW$226)</f>
        <v>0</v>
      </c>
      <c r="AX75" s="13">
        <f>('DRE NOVAS PARCERIAS CAIXA'!AX20*'DRE NOVAS PARCERIAS CAIXA'!AX$27)+('DRE NOVAS PARCERIAS CAIXA'!AX139*'DRE NOVAS PARCERIAS CAIXA'!AX$146)+('DRE NOVAS PARCERIAS CAIXA'!AX169*'DRE NOVAS PARCERIAS CAIXA'!AX$176)+('DRE NOVAS PARCERIAS CAIXA'!AX194*'DRE NOVAS PARCERIAS CAIXA'!AX$201)+('DRE NOVAS PARCERIAS CAIXA'!AX219*'DRE NOVAS PARCERIAS CAIXA'!AX$226)</f>
        <v>0</v>
      </c>
      <c r="AY75" s="13">
        <f>('DRE NOVAS PARCERIAS CAIXA'!AY20*'DRE NOVAS PARCERIAS CAIXA'!AY$27)+('DRE NOVAS PARCERIAS CAIXA'!AY139*'DRE NOVAS PARCERIAS CAIXA'!AY$146)+('DRE NOVAS PARCERIAS CAIXA'!AY169*'DRE NOVAS PARCERIAS CAIXA'!AY$176)+('DRE NOVAS PARCERIAS CAIXA'!AY194*'DRE NOVAS PARCERIAS CAIXA'!AY$201)+('DRE NOVAS PARCERIAS CAIXA'!AY219*'DRE NOVAS PARCERIAS CAIXA'!AY$226)</f>
        <v>0</v>
      </c>
      <c r="AZ75" s="41">
        <f t="shared" si="84"/>
        <v>0</v>
      </c>
      <c r="BA75" s="13">
        <f>('DRE NOVAS PARCERIAS CAIXA'!BA20*'DRE NOVAS PARCERIAS CAIXA'!BA$27)+('DRE NOVAS PARCERIAS CAIXA'!BA139*'DRE NOVAS PARCERIAS CAIXA'!BA$146)+('DRE NOVAS PARCERIAS CAIXA'!BA169*'DRE NOVAS PARCERIAS CAIXA'!BA$176)+('DRE NOVAS PARCERIAS CAIXA'!BA194*'DRE NOVAS PARCERIAS CAIXA'!BA$201)+('DRE NOVAS PARCERIAS CAIXA'!BA219*'DRE NOVAS PARCERIAS CAIXA'!BA$226)</f>
        <v>0</v>
      </c>
    </row>
    <row r="76" spans="1:53">
      <c r="A76" s="11"/>
      <c r="B76" s="11" t="s">
        <v>424</v>
      </c>
      <c r="C76" s="13"/>
      <c r="D76" s="13"/>
      <c r="E76" s="13"/>
      <c r="F76" s="13"/>
      <c r="G76" s="41"/>
      <c r="H76" s="13"/>
      <c r="I76" s="13"/>
      <c r="J76" s="13"/>
      <c r="K76" s="13"/>
      <c r="L76" s="41"/>
      <c r="M76" s="13"/>
      <c r="N76" s="13"/>
      <c r="O76" s="13"/>
      <c r="P76" s="13"/>
      <c r="Q76" s="41"/>
      <c r="R76" s="13"/>
      <c r="S76" s="13"/>
      <c r="T76" s="13"/>
      <c r="U76" s="13"/>
      <c r="V76" s="41"/>
      <c r="W76" s="13"/>
      <c r="X76" s="13"/>
      <c r="Y76" s="13"/>
      <c r="Z76" s="13">
        <v>0</v>
      </c>
      <c r="AA76" s="41">
        <v>0</v>
      </c>
      <c r="AB76" s="13">
        <v>0</v>
      </c>
      <c r="AC76" s="13">
        <v>0</v>
      </c>
      <c r="AD76" s="13">
        <v>0</v>
      </c>
      <c r="AE76" s="13">
        <v>0</v>
      </c>
      <c r="AF76" s="41">
        <v>0</v>
      </c>
      <c r="AG76" s="13">
        <f>('DRE NOVAS PARCERIAS CAIXA'!AG21*'DRE NOVAS PARCERIAS CAIXA'!AG$27)+('DRE NOVAS PARCERIAS CAIXA'!AG140*'DRE NOVAS PARCERIAS CAIXA'!AG$146)+('DRE NOVAS PARCERIAS CAIXA'!AG170*'DRE NOVAS PARCERIAS CAIXA'!AG$176)+('DRE NOVAS PARCERIAS CAIXA'!AG195*'DRE NOVAS PARCERIAS CAIXA'!AG$201)+('DRE NOVAS PARCERIAS CAIXA'!AG220*'DRE NOVAS PARCERIAS CAIXA'!AG$226)</f>
        <v>0.74997199559397298</v>
      </c>
      <c r="AH76" s="13">
        <f>('DRE NOVAS PARCERIAS CAIXA'!AH21*'DRE NOVAS PARCERIAS CAIXA'!AH$27)+('DRE NOVAS PARCERIAS CAIXA'!AH140*'DRE NOVAS PARCERIAS CAIXA'!AH$146)+('DRE NOVAS PARCERIAS CAIXA'!AH170*'DRE NOVAS PARCERIAS CAIXA'!AH$176)+('DRE NOVAS PARCERIAS CAIXA'!AH195*'DRE NOVAS PARCERIAS CAIXA'!AH$201)+('DRE NOVAS PARCERIAS CAIXA'!AH220*'DRE NOVAS PARCERIAS CAIXA'!AH$226)</f>
        <v>0.75</v>
      </c>
      <c r="AI76" s="1">
        <f>('DRE NOVAS PARCERIAS CAIXA'!AI21*'DRE NOVAS PARCERIAS CAIXA'!AI$27)+('DRE NOVAS PARCERIAS CAIXA'!AI140*'DRE NOVAS PARCERIAS CAIXA'!AI$146)+('DRE NOVAS PARCERIAS CAIXA'!AI170*'DRE NOVAS PARCERIAS CAIXA'!AI$176)+('DRE NOVAS PARCERIAS CAIXA'!AI195*'DRE NOVAS PARCERIAS CAIXA'!AI$201)+('DRE NOVAS PARCERIAS CAIXA'!AI220*'DRE NOVAS PARCERIAS CAIXA'!AI$226)</f>
        <v>0.75</v>
      </c>
      <c r="AJ76" s="1">
        <f>('DRE NOVAS PARCERIAS CAIXA'!AJ21*'DRE NOVAS PARCERIAS CAIXA'!AJ$27)+('DRE NOVAS PARCERIAS CAIXA'!AJ140*'DRE NOVAS PARCERIAS CAIXA'!AJ$146)+('DRE NOVAS PARCERIAS CAIXA'!AJ170*'DRE NOVAS PARCERIAS CAIXA'!AJ$176)+('DRE NOVAS PARCERIAS CAIXA'!AJ195*'DRE NOVAS PARCERIAS CAIXA'!AJ$201)+('DRE NOVAS PARCERIAS CAIXA'!AJ220*'DRE NOVAS PARCERIAS CAIXA'!AJ$226)</f>
        <v>0</v>
      </c>
      <c r="AK76" s="41">
        <f t="shared" si="81"/>
        <v>2.249971995593973</v>
      </c>
      <c r="AL76" s="1">
        <f>('DRE NOVAS PARCERIAS CAIXA'!AL21*'DRE NOVAS PARCERIAS CAIXA'!AL$27)+('DRE NOVAS PARCERIAS CAIXA'!AL140*'DRE NOVAS PARCERIAS CAIXA'!AL$146)+('DRE NOVAS PARCERIAS CAIXA'!AL170*'DRE NOVAS PARCERIAS CAIXA'!AL$176)+('DRE NOVAS PARCERIAS CAIXA'!AL195*'DRE NOVAS PARCERIAS CAIXA'!AL$201)+('DRE NOVAS PARCERIAS CAIXA'!AL220*'DRE NOVAS PARCERIAS CAIXA'!AL$226)</f>
        <v>0</v>
      </c>
      <c r="AM76" s="1">
        <f>('DRE NOVAS PARCERIAS CAIXA'!AM21*'DRE NOVAS PARCERIAS CAIXA'!AM$27)+('DRE NOVAS PARCERIAS CAIXA'!AM140*'DRE NOVAS PARCERIAS CAIXA'!AM$146)+('DRE NOVAS PARCERIAS CAIXA'!AM170*'DRE NOVAS PARCERIAS CAIXA'!AM$176)+('DRE NOVAS PARCERIAS CAIXA'!AM195*'DRE NOVAS PARCERIAS CAIXA'!AM$201)+('DRE NOVAS PARCERIAS CAIXA'!AM220*'DRE NOVAS PARCERIAS CAIXA'!AM$226)</f>
        <v>0</v>
      </c>
      <c r="AN76" s="1">
        <f>('DRE NOVAS PARCERIAS CAIXA'!AN21*'DRE NOVAS PARCERIAS CAIXA'!AN$27)+('DRE NOVAS PARCERIAS CAIXA'!AN140*'DRE NOVAS PARCERIAS CAIXA'!AN$146)+('DRE NOVAS PARCERIAS CAIXA'!AN170*'DRE NOVAS PARCERIAS CAIXA'!AN$176)+('DRE NOVAS PARCERIAS CAIXA'!AN195*'DRE NOVAS PARCERIAS CAIXA'!AN$201)+('DRE NOVAS PARCERIAS CAIXA'!AN220*'DRE NOVAS PARCERIAS CAIXA'!AN$226)</f>
        <v>0</v>
      </c>
      <c r="AO76" s="1">
        <f>('DRE NOVAS PARCERIAS CAIXA'!AO21*'DRE NOVAS PARCERIAS CAIXA'!AO$27)+('DRE NOVAS PARCERIAS CAIXA'!AO140*'DRE NOVAS PARCERIAS CAIXA'!AO$146)+('DRE NOVAS PARCERIAS CAIXA'!AO170*'DRE NOVAS PARCERIAS CAIXA'!AO$176)+('DRE NOVAS PARCERIAS CAIXA'!AO195*'DRE NOVAS PARCERIAS CAIXA'!AO$201)+('DRE NOVAS PARCERIAS CAIXA'!AO220*'DRE NOVAS PARCERIAS CAIXA'!AO$226)</f>
        <v>0</v>
      </c>
      <c r="AP76" s="41">
        <f t="shared" si="82"/>
        <v>0</v>
      </c>
      <c r="AQ76" s="1">
        <f>('DRE NOVAS PARCERIAS CAIXA'!AQ21*'DRE NOVAS PARCERIAS CAIXA'!AQ$27)+('DRE NOVAS PARCERIAS CAIXA'!AQ140*'DRE NOVAS PARCERIAS CAIXA'!AQ$146)+('DRE NOVAS PARCERIAS CAIXA'!AQ170*'DRE NOVAS PARCERIAS CAIXA'!AQ$176)+('DRE NOVAS PARCERIAS CAIXA'!AQ195*'DRE NOVAS PARCERIAS CAIXA'!AQ$201)+('DRE NOVAS PARCERIAS CAIXA'!AQ220*'DRE NOVAS PARCERIAS CAIXA'!AQ$226)</f>
        <v>0</v>
      </c>
      <c r="AR76" s="1">
        <f>('DRE NOVAS PARCERIAS CAIXA'!AR21*'DRE NOVAS PARCERIAS CAIXA'!AR$27)+('DRE NOVAS PARCERIAS CAIXA'!AR140*'DRE NOVAS PARCERIAS CAIXA'!AR$146)+('DRE NOVAS PARCERIAS CAIXA'!AR170*'DRE NOVAS PARCERIAS CAIXA'!AR$176)+('DRE NOVAS PARCERIAS CAIXA'!AR195*'DRE NOVAS PARCERIAS CAIXA'!AR$201)+('DRE NOVAS PARCERIAS CAIXA'!AR220*'DRE NOVAS PARCERIAS CAIXA'!AR$226)</f>
        <v>0</v>
      </c>
      <c r="AS76" s="1">
        <f>('DRE NOVAS PARCERIAS CAIXA'!AS21*'DRE NOVAS PARCERIAS CAIXA'!AS$27)+('DRE NOVAS PARCERIAS CAIXA'!AS140*'DRE NOVAS PARCERIAS CAIXA'!AS$146)+('DRE NOVAS PARCERIAS CAIXA'!AS170*'DRE NOVAS PARCERIAS CAIXA'!AS$176)+('DRE NOVAS PARCERIAS CAIXA'!AS195*'DRE NOVAS PARCERIAS CAIXA'!AS$201)+('DRE NOVAS PARCERIAS CAIXA'!AS220*'DRE NOVAS PARCERIAS CAIXA'!AS$226)</f>
        <v>0</v>
      </c>
      <c r="AT76" s="1">
        <f>('DRE NOVAS PARCERIAS CAIXA'!AT21*'DRE NOVAS PARCERIAS CAIXA'!AT$27)+('DRE NOVAS PARCERIAS CAIXA'!AT140*'DRE NOVAS PARCERIAS CAIXA'!AT$146)+('DRE NOVAS PARCERIAS CAIXA'!AT170*'DRE NOVAS PARCERIAS CAIXA'!AT$176)+('DRE NOVAS PARCERIAS CAIXA'!AT195*'DRE NOVAS PARCERIAS CAIXA'!AT$201)+('DRE NOVAS PARCERIAS CAIXA'!AT220*'DRE NOVAS PARCERIAS CAIXA'!AT$226)</f>
        <v>0</v>
      </c>
      <c r="AU76" s="41">
        <f t="shared" si="83"/>
        <v>0</v>
      </c>
      <c r="AV76" s="1">
        <f>('DRE NOVAS PARCERIAS CAIXA'!AV21*'DRE NOVAS PARCERIAS CAIXA'!AV$27)+('DRE NOVAS PARCERIAS CAIXA'!AV140*'DRE NOVAS PARCERIAS CAIXA'!AV$146)+('DRE NOVAS PARCERIAS CAIXA'!AV170*'DRE NOVAS PARCERIAS CAIXA'!AV$176)+('DRE NOVAS PARCERIAS CAIXA'!AV195*'DRE NOVAS PARCERIAS CAIXA'!AV$201)+('DRE NOVAS PARCERIAS CAIXA'!AV220*'DRE NOVAS PARCERIAS CAIXA'!AV$226)</f>
        <v>0</v>
      </c>
      <c r="AW76" s="1">
        <f>('DRE NOVAS PARCERIAS CAIXA'!AW21*'DRE NOVAS PARCERIAS CAIXA'!AW$27)+('DRE NOVAS PARCERIAS CAIXA'!AW140*'DRE NOVAS PARCERIAS CAIXA'!AW$146)+('DRE NOVAS PARCERIAS CAIXA'!AW170*'DRE NOVAS PARCERIAS CAIXA'!AW$176)+('DRE NOVAS PARCERIAS CAIXA'!AW195*'DRE NOVAS PARCERIAS CAIXA'!AW$201)+('DRE NOVAS PARCERIAS CAIXA'!AW220*'DRE NOVAS PARCERIAS CAIXA'!AW$226)</f>
        <v>0</v>
      </c>
      <c r="AX76" s="1">
        <f>('DRE NOVAS PARCERIAS CAIXA'!AX21*'DRE NOVAS PARCERIAS CAIXA'!AX$27)+('DRE NOVAS PARCERIAS CAIXA'!AX140*'DRE NOVAS PARCERIAS CAIXA'!AX$146)+('DRE NOVAS PARCERIAS CAIXA'!AX170*'DRE NOVAS PARCERIAS CAIXA'!AX$176)+('DRE NOVAS PARCERIAS CAIXA'!AX195*'DRE NOVAS PARCERIAS CAIXA'!AX$201)+('DRE NOVAS PARCERIAS CAIXA'!AX220*'DRE NOVAS PARCERIAS CAIXA'!AX$226)</f>
        <v>0</v>
      </c>
      <c r="AY76" s="1">
        <f>('DRE NOVAS PARCERIAS CAIXA'!AY21*'DRE NOVAS PARCERIAS CAIXA'!AY$27)+('DRE NOVAS PARCERIAS CAIXA'!AY140*'DRE NOVAS PARCERIAS CAIXA'!AY$146)+('DRE NOVAS PARCERIAS CAIXA'!AY170*'DRE NOVAS PARCERIAS CAIXA'!AY$176)+('DRE NOVAS PARCERIAS CAIXA'!AY195*'DRE NOVAS PARCERIAS CAIXA'!AY$201)+('DRE NOVAS PARCERIAS CAIXA'!AY220*'DRE NOVAS PARCERIAS CAIXA'!AY$226)</f>
        <v>0</v>
      </c>
      <c r="AZ76" s="41">
        <f t="shared" si="84"/>
        <v>0</v>
      </c>
      <c r="BA76" s="1">
        <f>('DRE NOVAS PARCERIAS CAIXA'!BA21*'DRE NOVAS PARCERIAS CAIXA'!BA$27)+('DRE NOVAS PARCERIAS CAIXA'!BA140*'DRE NOVAS PARCERIAS CAIXA'!BA$146)+('DRE NOVAS PARCERIAS CAIXA'!BA170*'DRE NOVAS PARCERIAS CAIXA'!BA$176)+('DRE NOVAS PARCERIAS CAIXA'!BA195*'DRE NOVAS PARCERIAS CAIXA'!BA$201)+('DRE NOVAS PARCERIAS CAIXA'!BA220*'DRE NOVAS PARCERIAS CAIXA'!BA$226)</f>
        <v>0</v>
      </c>
    </row>
    <row r="77" spans="1:53">
      <c r="A77" s="15"/>
      <c r="B77" s="15" t="s">
        <v>435</v>
      </c>
      <c r="C77" s="16"/>
      <c r="D77" s="16"/>
      <c r="E77" s="16"/>
      <c r="F77" s="16"/>
      <c r="G77" s="45"/>
      <c r="H77" s="16"/>
      <c r="I77" s="16"/>
      <c r="J77" s="16"/>
      <c r="K77" s="16"/>
      <c r="L77" s="45"/>
      <c r="M77" s="16"/>
      <c r="N77" s="16"/>
      <c r="O77" s="16"/>
      <c r="P77" s="16"/>
      <c r="Q77" s="45"/>
      <c r="R77" s="16"/>
      <c r="S77" s="16"/>
      <c r="T77" s="16"/>
      <c r="U77" s="16"/>
      <c r="V77" s="45"/>
      <c r="W77" s="16"/>
      <c r="X77" s="16"/>
      <c r="Y77" s="16"/>
      <c r="Z77" s="16">
        <v>497.93101999999999</v>
      </c>
      <c r="AA77" s="45">
        <v>497.93101999999999</v>
      </c>
      <c r="AB77" s="16">
        <v>181030.15025851119</v>
      </c>
      <c r="AC77" s="16">
        <v>186099.6669974621</v>
      </c>
      <c r="AD77" s="16">
        <v>200246.24000690223</v>
      </c>
      <c r="AE77" s="16">
        <v>228067.97310611134</v>
      </c>
      <c r="AF77" s="45">
        <v>795444.03036898677</v>
      </c>
      <c r="AG77" s="16">
        <f>SUM(AG72:AG76)</f>
        <v>240980.31592517224</v>
      </c>
      <c r="AH77" s="16">
        <f>SUM(AH72:AH76)</f>
        <v>310505.97057149105</v>
      </c>
      <c r="AI77" s="16">
        <f>SUM(AI72:AI76)</f>
        <v>330200.94</v>
      </c>
      <c r="AJ77" s="16">
        <f>SUM(AJ72:AJ76)</f>
        <v>383677.70896800957</v>
      </c>
      <c r="AK77" s="45">
        <f t="shared" si="81"/>
        <v>1265364.9354646727</v>
      </c>
      <c r="AL77" s="16">
        <f>SUM(AL72:AL76)</f>
        <v>439707.65929800441</v>
      </c>
      <c r="AM77" s="16">
        <f>SUM(AM72:AM76)</f>
        <v>467695.25783400075</v>
      </c>
      <c r="AN77" s="16">
        <f>SUM(AN72:AN76)</f>
        <v>511779.23926362972</v>
      </c>
      <c r="AO77" s="16">
        <f t="shared" ref="AO77" si="91">SUM(AO72:AO76)</f>
        <v>490661.18413799512</v>
      </c>
      <c r="AP77" s="45">
        <f t="shared" si="82"/>
        <v>1909843.34053363</v>
      </c>
      <c r="AQ77" s="16">
        <f>SUM(AQ72:AQ76)</f>
        <v>523197.59782800014</v>
      </c>
      <c r="AR77" s="16">
        <f>SUM(AR72:AR76)</f>
        <v>388883.64756600105</v>
      </c>
      <c r="AS77" s="16">
        <f>SUM(AS72:AS76)</f>
        <v>563269.37769599864</v>
      </c>
      <c r="AT77" s="16">
        <f t="shared" ref="AT77:AV77" si="92">SUM(AT72:AT76)</f>
        <v>577165.62338999996</v>
      </c>
      <c r="AU77" s="45">
        <f t="shared" si="83"/>
        <v>2052516.2464799997</v>
      </c>
      <c r="AV77" s="16">
        <f t="shared" si="92"/>
        <v>600312.75002099923</v>
      </c>
      <c r="AW77" s="16">
        <f t="shared" ref="AW77:AX77" si="93">SUM(AW72:AW76)</f>
        <v>621544.71597600065</v>
      </c>
      <c r="AX77" s="16">
        <f t="shared" si="93"/>
        <v>683724.8799570133</v>
      </c>
      <c r="AY77" s="16">
        <f>SUM(AY72:AY76)</f>
        <v>680620.56188850221</v>
      </c>
      <c r="AZ77" s="45">
        <f t="shared" si="84"/>
        <v>2586202.907842515</v>
      </c>
      <c r="BA77" s="16">
        <f>SUM(BA72:BA76)</f>
        <v>699299.48856599873</v>
      </c>
    </row>
    <row r="78" spans="1:53">
      <c r="A78" s="11"/>
      <c r="B78" s="11" t="s">
        <v>436</v>
      </c>
      <c r="C78" s="13">
        <v>0</v>
      </c>
      <c r="D78" s="13">
        <v>0</v>
      </c>
      <c r="E78" s="13">
        <v>0</v>
      </c>
      <c r="F78" s="13">
        <v>0</v>
      </c>
      <c r="G78" s="41">
        <v>0</v>
      </c>
      <c r="H78" s="13">
        <v>0</v>
      </c>
      <c r="I78" s="13">
        <v>0</v>
      </c>
      <c r="J78" s="13">
        <v>0</v>
      </c>
      <c r="K78" s="13">
        <v>0</v>
      </c>
      <c r="L78" s="41">
        <v>0</v>
      </c>
      <c r="M78" s="13">
        <v>0</v>
      </c>
      <c r="N78" s="13">
        <v>0</v>
      </c>
      <c r="O78" s="13">
        <v>0</v>
      </c>
      <c r="P78" s="13">
        <v>0</v>
      </c>
      <c r="Q78" s="41">
        <v>0</v>
      </c>
      <c r="R78" s="13">
        <v>0</v>
      </c>
      <c r="S78" s="13">
        <v>0</v>
      </c>
      <c r="T78" s="13">
        <v>0</v>
      </c>
      <c r="U78" s="13">
        <v>0</v>
      </c>
      <c r="V78" s="41">
        <v>0</v>
      </c>
      <c r="W78" s="13">
        <v>0</v>
      </c>
      <c r="X78" s="13">
        <v>0</v>
      </c>
      <c r="Y78" s="13">
        <v>0</v>
      </c>
      <c r="Z78" s="13">
        <v>0</v>
      </c>
      <c r="AA78" s="41">
        <v>0</v>
      </c>
      <c r="AB78" s="13">
        <v>0</v>
      </c>
      <c r="AC78" s="13">
        <v>0</v>
      </c>
      <c r="AD78" s="13">
        <v>0</v>
      </c>
      <c r="AE78" s="13">
        <v>3699</v>
      </c>
      <c r="AF78" s="41">
        <v>3699</v>
      </c>
      <c r="AG78" s="13">
        <f>('DRE NOVAS PARCERIAS CAIXA'!AG24*'DRE NOVAS PARCERIAS CAIXA'!AG$27)+('DRE NOVAS PARCERIAS CAIXA'!AG143*'DRE NOVAS PARCERIAS CAIXA'!AG$146)+('DRE NOVAS PARCERIAS CAIXA'!AG173*'DRE NOVAS PARCERIAS CAIXA'!AG$176)+('DRE NOVAS PARCERIAS CAIXA'!AG198*'DRE NOVAS PARCERIAS CAIXA'!AG$201)+('DRE NOVAS PARCERIAS CAIXA'!AG223*'DRE NOVAS PARCERIAS CAIXA'!AG$226)</f>
        <v>0</v>
      </c>
      <c r="AH78" s="1">
        <f>'DRE NOVAS PARCERIAS CAIXA'!AH200*'DRE NOVAS PARCERIAS CAIXA'!AH201</f>
        <v>-12518.25</v>
      </c>
      <c r="AI78" s="13">
        <f>'DRE NOVAS PARCERIAS CAIXA'!AI200*'DRE NOVAS PARCERIAS CAIXA'!AI201</f>
        <v>-2933.25</v>
      </c>
      <c r="AJ78" s="13">
        <f>'DRE NOVAS PARCERIAS CAIXA'!AJ200*'DRE NOVAS PARCERIAS CAIXA'!AJ201</f>
        <v>0</v>
      </c>
      <c r="AK78" s="41">
        <f t="shared" si="81"/>
        <v>-15451.5</v>
      </c>
      <c r="AL78" s="13">
        <f>'DRE NOVAS PARCERIAS CAIXA'!AL200*'DRE NOVAS PARCERIAS CAIXA'!AL201</f>
        <v>0</v>
      </c>
      <c r="AM78" s="1">
        <f>'DRE NOVAS PARCERIAS CAIXA'!AM200*'DRE NOVAS PARCERIAS CAIXA'!AM201</f>
        <v>0</v>
      </c>
      <c r="AN78" s="1">
        <f>'DRE NOVAS PARCERIAS CAIXA'!AN200*'DRE NOVAS PARCERIAS CAIXA'!AN201</f>
        <v>0</v>
      </c>
      <c r="AO78" s="1">
        <f>'DRE NOVAS PARCERIAS CAIXA'!AO200*'DRE NOVAS PARCERIAS CAIXA'!AO201</f>
        <v>0</v>
      </c>
      <c r="AP78" s="41">
        <f t="shared" si="82"/>
        <v>0</v>
      </c>
      <c r="AQ78" s="13">
        <f>'DRE NOVAS PARCERIAS CAIXA'!AQ200*'DRE NOVAS PARCERIAS CAIXA'!AQ201</f>
        <v>0</v>
      </c>
      <c r="AR78" s="1">
        <f>'DRE NOVAS PARCERIAS CAIXA'!AR200*'DRE NOVAS PARCERIAS CAIXA'!AR201</f>
        <v>0</v>
      </c>
      <c r="AS78" s="1">
        <f>'DRE NOVAS PARCERIAS CAIXA'!AS200*'DRE NOVAS PARCERIAS CAIXA'!AS201</f>
        <v>0</v>
      </c>
      <c r="AT78" s="1">
        <f>'DRE NOVAS PARCERIAS CAIXA'!AT200*'DRE NOVAS PARCERIAS CAIXA'!AT201</f>
        <v>0</v>
      </c>
      <c r="AU78" s="41">
        <f t="shared" si="83"/>
        <v>0</v>
      </c>
      <c r="AV78" s="1">
        <f>'DRE NOVAS PARCERIAS CAIXA'!AV200*'DRE NOVAS PARCERIAS CAIXA'!AV201</f>
        <v>0</v>
      </c>
      <c r="AW78" s="1">
        <f>'DRE NOVAS PARCERIAS CAIXA'!AW200*'DRE NOVAS PARCERIAS CAIXA'!AW201</f>
        <v>0</v>
      </c>
      <c r="AX78" s="1">
        <f>'DRE NOVAS PARCERIAS CAIXA'!AX200*'DRE NOVAS PARCERIAS CAIXA'!AX201</f>
        <v>0</v>
      </c>
      <c r="AY78" s="1">
        <f>'DRE NOVAS PARCERIAS CAIXA'!AY200*'DRE NOVAS PARCERIAS CAIXA'!AY201</f>
        <v>0</v>
      </c>
      <c r="AZ78" s="41">
        <f t="shared" si="84"/>
        <v>0</v>
      </c>
      <c r="BA78" s="1">
        <f>'DRE NOVAS PARCERIAS CAIXA'!BA200*'DRE NOVAS PARCERIAS CAIXA'!BA201</f>
        <v>0</v>
      </c>
    </row>
    <row r="79" spans="1:53" ht="15.75" thickBot="1">
      <c r="A79" s="15"/>
      <c r="B79" s="15" t="s">
        <v>428</v>
      </c>
      <c r="C79" s="33">
        <v>0</v>
      </c>
      <c r="D79" s="33">
        <v>0</v>
      </c>
      <c r="E79" s="33">
        <v>0</v>
      </c>
      <c r="F79" s="33">
        <v>0</v>
      </c>
      <c r="G79" s="37">
        <v>0</v>
      </c>
      <c r="H79" s="33">
        <v>0</v>
      </c>
      <c r="I79" s="33">
        <v>0</v>
      </c>
      <c r="J79" s="33">
        <v>0</v>
      </c>
      <c r="K79" s="33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7">
        <v>0</v>
      </c>
      <c r="R79" s="33">
        <v>0</v>
      </c>
      <c r="S79" s="33">
        <v>0</v>
      </c>
      <c r="T79" s="33">
        <v>0</v>
      </c>
      <c r="U79" s="33">
        <v>0</v>
      </c>
      <c r="V79" s="37">
        <v>0</v>
      </c>
      <c r="W79" s="33">
        <v>0</v>
      </c>
      <c r="X79" s="33">
        <v>0</v>
      </c>
      <c r="Y79" s="33">
        <v>0</v>
      </c>
      <c r="Z79" s="33">
        <v>497.93101999999999</v>
      </c>
      <c r="AA79" s="37">
        <v>497.93101999999999</v>
      </c>
      <c r="AB79" s="33">
        <v>181030.15025851119</v>
      </c>
      <c r="AC79" s="33">
        <v>186099.6669974621</v>
      </c>
      <c r="AD79" s="33">
        <v>200246.24000690223</v>
      </c>
      <c r="AE79" s="33">
        <v>231766.97310611134</v>
      </c>
      <c r="AF79" s="37">
        <v>799143.03036898677</v>
      </c>
      <c r="AG79" s="33">
        <f>SUM(AG77:AG78)</f>
        <v>240980.31592517224</v>
      </c>
      <c r="AH79" s="33">
        <f>SUM(AH77:AH78)</f>
        <v>297987.72057149105</v>
      </c>
      <c r="AI79" s="33">
        <f>SUM(AI77:AI78)</f>
        <v>327267.69</v>
      </c>
      <c r="AJ79" s="33">
        <f>SUM(AJ77:AJ78)</f>
        <v>383677.70896800957</v>
      </c>
      <c r="AK79" s="37">
        <f t="shared" si="81"/>
        <v>1249913.4354646727</v>
      </c>
      <c r="AL79" s="33">
        <f>SUM(AL77:AL78)</f>
        <v>439707.65929800441</v>
      </c>
      <c r="AM79" s="33">
        <f>SUM(AM77:AM78)</f>
        <v>467695.25783400075</v>
      </c>
      <c r="AN79" s="33">
        <f t="shared" ref="AN79:AO79" si="94">SUM(AN77:AN78)</f>
        <v>511779.23926362972</v>
      </c>
      <c r="AO79" s="33">
        <f t="shared" si="94"/>
        <v>490661.18413799512</v>
      </c>
      <c r="AP79" s="37">
        <f t="shared" si="82"/>
        <v>1909843.34053363</v>
      </c>
      <c r="AQ79" s="33">
        <f>SUM(AQ77:AQ78)</f>
        <v>523197.59782800014</v>
      </c>
      <c r="AR79" s="33">
        <f>SUM(AR77:AR78)</f>
        <v>388883.64756600105</v>
      </c>
      <c r="AS79" s="33">
        <f t="shared" ref="AS79:AT79" si="95">SUM(AS77:AS78)</f>
        <v>563269.37769599864</v>
      </c>
      <c r="AT79" s="33">
        <f t="shared" si="95"/>
        <v>577165.62338999996</v>
      </c>
      <c r="AU79" s="37">
        <f t="shared" si="83"/>
        <v>2052516.2464799997</v>
      </c>
      <c r="AV79" s="33">
        <f t="shared" ref="AV79:AX79" si="96">SUM(AV77:AV78)</f>
        <v>600312.75002099923</v>
      </c>
      <c r="AW79" s="33">
        <f t="shared" si="96"/>
        <v>621544.71597600065</v>
      </c>
      <c r="AX79" s="33">
        <f t="shared" si="96"/>
        <v>683724.8799570133</v>
      </c>
      <c r="AY79" s="33">
        <f>SUM(AY77:AY78)</f>
        <v>680620.56188850221</v>
      </c>
      <c r="AZ79" s="37">
        <f t="shared" si="84"/>
        <v>2586202.907842515</v>
      </c>
      <c r="BA79" s="33">
        <f>SUM(BA77:BA78)</f>
        <v>699299.48856599873</v>
      </c>
    </row>
    <row r="80" spans="1:53">
      <c r="AE80" s="8"/>
      <c r="AH80" s="65"/>
      <c r="AI80" s="65"/>
      <c r="AJ80" s="8"/>
      <c r="AM80" s="65"/>
      <c r="AN80" s="65"/>
      <c r="AO80" s="8"/>
      <c r="AR80" s="65"/>
      <c r="AS80" s="65"/>
      <c r="AT80" s="8"/>
      <c r="AV80" s="8"/>
      <c r="AW80" s="8"/>
      <c r="AX80" s="8"/>
      <c r="AY80" s="8"/>
    </row>
    <row r="81" spans="1:53" s="103" customFormat="1" ht="23.25">
      <c r="A81" s="74"/>
      <c r="B81" s="74" t="s">
        <v>437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</row>
    <row r="82" spans="1:53" ht="15.75" thickBot="1"/>
    <row r="83" spans="1:53" s="30" customFormat="1" ht="24.4" customHeight="1">
      <c r="A83" s="625"/>
      <c r="B83" s="625" t="s">
        <v>438</v>
      </c>
      <c r="C83" s="626" t="s">
        <v>224</v>
      </c>
      <c r="D83" s="626" t="s">
        <v>225</v>
      </c>
      <c r="E83" s="626" t="s">
        <v>226</v>
      </c>
      <c r="F83" s="626" t="s">
        <v>227</v>
      </c>
      <c r="G83" s="652">
        <v>2016</v>
      </c>
      <c r="H83" s="626" t="s">
        <v>228</v>
      </c>
      <c r="I83" s="626" t="s">
        <v>229</v>
      </c>
      <c r="J83" s="626" t="s">
        <v>230</v>
      </c>
      <c r="K83" s="626" t="s">
        <v>231</v>
      </c>
      <c r="L83" s="652">
        <v>2017</v>
      </c>
      <c r="M83" s="626" t="s">
        <v>232</v>
      </c>
      <c r="N83" s="626" t="s">
        <v>233</v>
      </c>
      <c r="O83" s="626" t="s">
        <v>234</v>
      </c>
      <c r="P83" s="626" t="s">
        <v>235</v>
      </c>
      <c r="Q83" s="652">
        <v>2018</v>
      </c>
      <c r="R83" s="626" t="s">
        <v>236</v>
      </c>
      <c r="S83" s="626" t="s">
        <v>237</v>
      </c>
      <c r="T83" s="626" t="s">
        <v>238</v>
      </c>
      <c r="U83" s="626" t="s">
        <v>239</v>
      </c>
      <c r="V83" s="652">
        <v>2019</v>
      </c>
      <c r="W83" s="626" t="s">
        <v>240</v>
      </c>
      <c r="X83" s="626" t="s">
        <v>241</v>
      </c>
      <c r="Y83" s="626" t="s">
        <v>242</v>
      </c>
      <c r="Z83" s="626" t="s">
        <v>243</v>
      </c>
      <c r="AA83" s="652">
        <v>2020</v>
      </c>
      <c r="AB83" s="626" t="s">
        <v>244</v>
      </c>
      <c r="AC83" s="626" t="s">
        <v>245</v>
      </c>
      <c r="AD83" s="626" t="s">
        <v>246</v>
      </c>
      <c r="AE83" s="626" t="s">
        <v>247</v>
      </c>
      <c r="AF83" s="652">
        <v>2021</v>
      </c>
      <c r="AG83" s="626" t="s">
        <v>248</v>
      </c>
      <c r="AH83" s="626" t="s">
        <v>249</v>
      </c>
      <c r="AI83" s="626" t="s">
        <v>250</v>
      </c>
      <c r="AJ83" s="626" t="s">
        <v>215</v>
      </c>
      <c r="AK83" s="652">
        <v>2022</v>
      </c>
      <c r="AL83" s="626" t="s">
        <v>252</v>
      </c>
      <c r="AM83" s="626" t="s">
        <v>253</v>
      </c>
      <c r="AN83" s="626" t="s">
        <v>254</v>
      </c>
      <c r="AO83" s="626" t="s">
        <v>219</v>
      </c>
      <c r="AP83" s="652">
        <v>2023</v>
      </c>
      <c r="AQ83" s="626" t="s">
        <v>223</v>
      </c>
      <c r="AR83" s="626" t="s">
        <v>256</v>
      </c>
      <c r="AS83" s="626" t="s">
        <v>357</v>
      </c>
      <c r="AT83" s="626" t="s">
        <v>358</v>
      </c>
      <c r="AU83" s="652">
        <v>2024</v>
      </c>
      <c r="AV83" s="626" t="s">
        <v>359</v>
      </c>
      <c r="AW83" s="626" t="s">
        <v>1115</v>
      </c>
      <c r="AX83" s="626" t="s">
        <v>1116</v>
      </c>
      <c r="AY83" s="626" t="s">
        <v>1117</v>
      </c>
      <c r="AZ83" s="653" t="s">
        <v>1118</v>
      </c>
      <c r="BA83" s="645" t="s">
        <v>1124</v>
      </c>
    </row>
    <row r="84" spans="1:53">
      <c r="A84" s="9"/>
      <c r="B84" s="9" t="s">
        <v>412</v>
      </c>
      <c r="C84" s="10">
        <v>21118.200319999993</v>
      </c>
      <c r="D84" s="10">
        <v>21325.365949999981</v>
      </c>
      <c r="E84" s="10">
        <v>16255.015490000005</v>
      </c>
      <c r="F84" s="10">
        <v>8733.5595899999716</v>
      </c>
      <c r="G84" s="39">
        <f>SUM(C84:F84)</f>
        <v>67432.141349999947</v>
      </c>
      <c r="H84" s="10">
        <v>15636.273580900004</v>
      </c>
      <c r="I84" s="10">
        <v>18810.477210000012</v>
      </c>
      <c r="J84" s="10">
        <v>18560.378564000002</v>
      </c>
      <c r="K84" s="10">
        <v>20621.990912599998</v>
      </c>
      <c r="L84" s="39">
        <f>SUM(H84:K84)</f>
        <v>73629.12026750001</v>
      </c>
      <c r="M84" s="10">
        <v>36370.571680099994</v>
      </c>
      <c r="N84" s="10">
        <v>14893.878853700004</v>
      </c>
      <c r="O84" s="10">
        <v>25222.51782329999</v>
      </c>
      <c r="P84" s="10">
        <v>20005.070103200022</v>
      </c>
      <c r="Q84" s="39">
        <f>SUM(M84:P84)</f>
        <v>96492.038460300013</v>
      </c>
      <c r="R84" s="10">
        <v>22119.832379400017</v>
      </c>
      <c r="S84" s="10">
        <v>33899.169675700003</v>
      </c>
      <c r="T84" s="10">
        <v>32395.548364900013</v>
      </c>
      <c r="U84" s="10">
        <v>40120.518669699944</v>
      </c>
      <c r="V84" s="39">
        <f>SUM(R84:U84)</f>
        <v>128535.06908969997</v>
      </c>
      <c r="W84" s="10">
        <v>36715.672070000008</v>
      </c>
      <c r="X84" s="10">
        <v>31578.120653099992</v>
      </c>
      <c r="Y84" s="10">
        <v>29324.892799999998</v>
      </c>
      <c r="Z84" s="10">
        <v>40470.659670000008</v>
      </c>
      <c r="AA84" s="39">
        <f>SUM(W84:Z84)</f>
        <v>138089.34519309999</v>
      </c>
      <c r="AB84" s="10">
        <v>36204.599130000002</v>
      </c>
      <c r="AC84" s="10">
        <v>27825.812769999982</v>
      </c>
      <c r="AD84" s="10">
        <v>27181.986780899992</v>
      </c>
      <c r="AE84" s="10">
        <v>39979.1</v>
      </c>
      <c r="AF84" s="39">
        <f>SUM(AB84:AE84)</f>
        <v>131191.49868089997</v>
      </c>
      <c r="AG84" s="10">
        <f>('DRE PARCERIAS BANCO PAN'!AG16*'DRE PARCERIAS BANCO PAN'!AG$30)+('DRE PARCERIAS BANCO PAN'!AG33*'DRE PARCERIAS BANCO PAN'!AG$47)</f>
        <v>39844.026839999999</v>
      </c>
      <c r="AH84" s="10">
        <f>('DRE PARCERIAS BANCO PAN'!AH16*'DRE PARCERIAS BANCO PAN'!AH$30)+('DRE PARCERIAS BANCO PAN'!AH33*'DRE PARCERIAS BANCO PAN'!AH$47)</f>
        <v>42488.502869999997</v>
      </c>
      <c r="AI84" s="76">
        <f>('DRE PARCERIAS BANCO PAN'!AI16*'DRE PARCERIAS BANCO PAN'!AI$30)+('DRE PARCERIAS BANCO PAN'!AI33*'DRE PARCERIAS BANCO PAN'!AI$47)</f>
        <v>60999.345089999995</v>
      </c>
      <c r="AJ84" s="76">
        <f>('DRE PARCERIAS BANCO PAN'!AJ16*'DRE PARCERIAS BANCO PAN'!AJ$30)+('DRE PARCERIAS BANCO PAN'!AJ33*'DRE PARCERIAS BANCO PAN'!AJ$47)</f>
        <v>74783.253779999999</v>
      </c>
      <c r="AK84" s="39">
        <f>SUM(AG84:AJ84)</f>
        <v>218115.12857999999</v>
      </c>
      <c r="AL84" s="10">
        <f>('DRE PARCERIAS BANCO PAN'!AL16*'DRE PARCERIAS BANCO PAN'!AL$30)+('DRE PARCERIAS BANCO PAN'!AL33*'DRE PARCERIAS BANCO PAN'!AL$47)</f>
        <v>80899.798949999997</v>
      </c>
      <c r="AM84" s="10">
        <f>('DRE PARCERIAS BANCO PAN'!AM16*'DRE PARCERIAS BANCO PAN'!AM$30)+('DRE PARCERIAS BANCO PAN'!AM33*'DRE PARCERIAS BANCO PAN'!AM$47)</f>
        <v>75305.583119999996</v>
      </c>
      <c r="AN84" s="448">
        <f>('DRE PARCERIAS BANCO PAN'!AN16*'DRE PARCERIAS BANCO PAN'!AN$30)+('DRE PARCERIAS BANCO PAN'!AN33*'DRE PARCERIAS BANCO PAN'!AN$47)</f>
        <v>77630.58567</v>
      </c>
      <c r="AO84" s="10">
        <f>('DRE PARCERIAS BANCO PAN'!AO16*'DRE PARCERIAS BANCO PAN'!AO$30)+('DRE PARCERIAS BANCO PAN'!AO33*'DRE PARCERIAS BANCO PAN'!AO$47)</f>
        <v>81657.661612929995</v>
      </c>
      <c r="AP84" s="39">
        <f>SUM(AL84:AO84)</f>
        <v>315493.62935293</v>
      </c>
      <c r="AQ84" s="10">
        <f>('DRE PARCERIAS BANCO PAN'!AQ16*'DRE PARCERIAS BANCO PAN'!AQ$30)+('DRE PARCERIAS BANCO PAN'!AQ33*'DRE PARCERIAS BANCO PAN'!AQ$47)</f>
        <v>103196.35290899999</v>
      </c>
      <c r="AR84" s="10">
        <f>('DRE PARCERIAS BANCO PAN'!AR16*'DRE PARCERIAS BANCO PAN'!AR$30)+('DRE PARCERIAS BANCO PAN'!AR33*'DRE PARCERIAS BANCO PAN'!AR$47)</f>
        <v>88197.654151139985</v>
      </c>
      <c r="AS84" s="443">
        <f>('DRE PARCERIAS BANCO PAN'!AS16*'DRE PARCERIAS BANCO PAN'!AS$30)+('DRE PARCERIAS BANCO PAN'!AS33*'DRE PARCERIAS BANCO PAN'!AS$47)</f>
        <v>106782.11295872999</v>
      </c>
      <c r="AT84" s="10">
        <f>('DRE PARCERIAS BANCO PAN'!AT16*'DRE PARCERIAS BANCO PAN'!AT$30)+('DRE PARCERIAS BANCO PAN'!AT33*'DRE PARCERIAS BANCO PAN'!AT$47)</f>
        <v>98493.876718930012</v>
      </c>
      <c r="AU84" s="39">
        <f>SUM(AQ84:AT84)</f>
        <v>396669.99673780001</v>
      </c>
      <c r="AV84" s="10">
        <f>('DRE PARCERIAS BANCO PAN'!AV16*'DRE PARCERIAS BANCO PAN'!AV$30)+('DRE PARCERIAS BANCO PAN'!AV33*'DRE PARCERIAS BANCO PAN'!AV$47)</f>
        <v>101958.08456999999</v>
      </c>
      <c r="AW84" s="10">
        <f>('DRE PARCERIAS BANCO PAN'!AW16*'DRE PARCERIAS BANCO PAN'!AW$30)+('DRE PARCERIAS BANCO PAN'!AW33*'DRE PARCERIAS BANCO PAN'!AW$47)</f>
        <v>95012.323770000003</v>
      </c>
      <c r="AX84" s="10">
        <f>('DRE PARCERIAS BANCO PAN'!AX16*'DRE PARCERIAS BANCO PAN'!AX$30)+('DRE PARCERIAS BANCO PAN'!AX33*'DRE PARCERIAS BANCO PAN'!AX$47)</f>
        <v>108981.73058999999</v>
      </c>
      <c r="AY84" s="10">
        <f>('DRE PARCERIAS BANCO PAN'!AY16*'DRE PARCERIAS BANCO PAN'!AY$30)+('DRE PARCERIAS BANCO PAN'!AY33*'DRE PARCERIAS BANCO PAN'!AY$47)</f>
        <v>83669.781309999991</v>
      </c>
      <c r="AZ84" s="39">
        <f>SUM(AV84:AY84)</f>
        <v>389621.92024000001</v>
      </c>
      <c r="BA84" s="10">
        <f>('DRE PARCERIAS BANCO PAN'!BA16*'DRE PARCERIAS BANCO PAN'!BA$30)+('DRE PARCERIAS BANCO PAN'!BA33*'DRE PARCERIAS BANCO PAN'!BA$47)</f>
        <v>132103.28070152999</v>
      </c>
    </row>
    <row r="85" spans="1:53">
      <c r="A85" s="11"/>
      <c r="B85" s="11" t="s">
        <v>413</v>
      </c>
      <c r="C85" s="12">
        <f>('DRE PARCERIAS BANCO PAN'!C17*'DRE PARCERIAS BANCO PAN'!C$30)+('DRE PARCERIAS BANCO PAN'!C34*'DRE PARCERIAS BANCO PAN'!C$47)</f>
        <v>-8210.93</v>
      </c>
      <c r="D85" s="12">
        <f>('DRE PARCERIAS BANCO PAN'!D17*'DRE PARCERIAS BANCO PAN'!D$30)+('DRE PARCERIAS BANCO PAN'!D34*'DRE PARCERIAS BANCO PAN'!D$47)</f>
        <v>-8401.5399999999991</v>
      </c>
      <c r="E85" s="12">
        <f>('DRE PARCERIAS BANCO PAN'!E17*'DRE PARCERIAS BANCO PAN'!E$30)+('DRE PARCERIAS BANCO PAN'!E34*'DRE PARCERIAS BANCO PAN'!E$47)</f>
        <v>-8702.89</v>
      </c>
      <c r="F85" s="12">
        <f>('DRE PARCERIAS BANCO PAN'!F17*'DRE PARCERIAS BANCO PAN'!F$30)+('DRE PARCERIAS BANCO PAN'!F34*'DRE PARCERIAS BANCO PAN'!F$47)</f>
        <v>-24697.96</v>
      </c>
      <c r="G85" s="40">
        <f t="shared" ref="G85:G97" si="97">SUM(C85:F85)</f>
        <v>-50013.32</v>
      </c>
      <c r="H85" s="12">
        <f>('DRE PARCERIAS BANCO PAN'!H17*'DRE PARCERIAS BANCO PAN'!H$30)+('DRE PARCERIAS BANCO PAN'!H34*'DRE PARCERIAS BANCO PAN'!H$47)</f>
        <v>-9853.5947691999991</v>
      </c>
      <c r="I85" s="12">
        <f>('DRE PARCERIAS BANCO PAN'!I17*'DRE PARCERIAS BANCO PAN'!I$30)+('DRE PARCERIAS BANCO PAN'!I34*'DRE PARCERIAS BANCO PAN'!I$47)</f>
        <v>-10053.593301500001</v>
      </c>
      <c r="J85" s="12">
        <f>('DRE PARCERIAS BANCO PAN'!J17*'DRE PARCERIAS BANCO PAN'!J$30)+('DRE PARCERIAS BANCO PAN'!J34*'DRE PARCERIAS BANCO PAN'!J$47)</f>
        <v>-11923.499936599999</v>
      </c>
      <c r="K85" s="12">
        <f>('DRE PARCERIAS BANCO PAN'!K17*'DRE PARCERIAS BANCO PAN'!K$30)+('DRE PARCERIAS BANCO PAN'!K34*'DRE PARCERIAS BANCO PAN'!K$47)</f>
        <v>-14916.619248999999</v>
      </c>
      <c r="L85" s="40">
        <f t="shared" ref="L85:L97" si="98">SUM(H85:K85)</f>
        <v>-46747.307256300002</v>
      </c>
      <c r="M85" s="12">
        <f>('DRE PARCERIAS BANCO PAN'!M17*'DRE PARCERIAS BANCO PAN'!M$30)+('DRE PARCERIAS BANCO PAN'!M34*'DRE PARCERIAS BANCO PAN'!M$47)</f>
        <v>-10828.9022401</v>
      </c>
      <c r="N85" s="12">
        <f>('DRE PARCERIAS BANCO PAN'!N17*'DRE PARCERIAS BANCO PAN'!N$30)+('DRE PARCERIAS BANCO PAN'!N34*'DRE PARCERIAS BANCO PAN'!N$47)</f>
        <v>-11241.011928299999</v>
      </c>
      <c r="O85" s="12">
        <f>('DRE PARCERIAS BANCO PAN'!O17*'DRE PARCERIAS BANCO PAN'!O$30)+('DRE PARCERIAS BANCO PAN'!O34*'DRE PARCERIAS BANCO PAN'!O$47)</f>
        <v>-12021.7908202</v>
      </c>
      <c r="P85" s="12">
        <f>('DRE PARCERIAS BANCO PAN'!P17*'DRE PARCERIAS BANCO PAN'!P$30)+('DRE PARCERIAS BANCO PAN'!P34*'DRE PARCERIAS BANCO PAN'!P$47)</f>
        <v>-13804.7879732</v>
      </c>
      <c r="Q85" s="40">
        <f t="shared" ref="Q85:Q97" si="99">SUM(M85:P85)</f>
        <v>-47896.492961800002</v>
      </c>
      <c r="R85" s="12">
        <f>('DRE PARCERIAS BANCO PAN'!R17*'DRE PARCERIAS BANCO PAN'!R$30)+('DRE PARCERIAS BANCO PAN'!R34*'DRE PARCERIAS BANCO PAN'!R$47)</f>
        <v>-9552.3431514000004</v>
      </c>
      <c r="S85" s="12">
        <f>('DRE PARCERIAS BANCO PAN'!S17*'DRE PARCERIAS BANCO PAN'!S$30)+('DRE PARCERIAS BANCO PAN'!S34*'DRE PARCERIAS BANCO PAN'!S$47)</f>
        <v>-11312.969702300001</v>
      </c>
      <c r="T85" s="12">
        <f>('DRE PARCERIAS BANCO PAN'!T17*'DRE PARCERIAS BANCO PAN'!T$30)+('DRE PARCERIAS BANCO PAN'!T34*'DRE PARCERIAS BANCO PAN'!T$47)</f>
        <v>-13939.3871463</v>
      </c>
      <c r="U85" s="12">
        <f>('DRE PARCERIAS BANCO PAN'!U17*'DRE PARCERIAS BANCO PAN'!U$30)+('DRE PARCERIAS BANCO PAN'!U34*'DRE PARCERIAS BANCO PAN'!U$47)</f>
        <v>-10956.005873399999</v>
      </c>
      <c r="V85" s="40">
        <f t="shared" ref="V85:V97" si="100">SUM(R85:U85)</f>
        <v>-45760.705873399995</v>
      </c>
      <c r="W85" s="12">
        <f>('DRE PARCERIAS BANCO PAN'!W17*'DRE PARCERIAS BANCO PAN'!W$30)+('DRE PARCERIAS BANCO PAN'!W34*'DRE PARCERIAS BANCO PAN'!W$47)</f>
        <v>-12188.26</v>
      </c>
      <c r="X85" s="12">
        <f>('DRE PARCERIAS BANCO PAN'!X17*'DRE PARCERIAS BANCO PAN'!X$30)+('DRE PARCERIAS BANCO PAN'!X34*'DRE PARCERIAS BANCO PAN'!X$47)</f>
        <v>-11379.855505899999</v>
      </c>
      <c r="Y85" s="12">
        <f>('DRE PARCERIAS BANCO PAN'!Y17*'DRE PARCERIAS BANCO PAN'!Y$30)+('DRE PARCERIAS BANCO PAN'!Y34*'DRE PARCERIAS BANCO PAN'!Y$47)</f>
        <v>-11623.78</v>
      </c>
      <c r="Z85" s="12">
        <f>('DRE PARCERIAS BANCO PAN'!Z17*'DRE PARCERIAS BANCO PAN'!Z$30)+('DRE PARCERIAS BANCO PAN'!Z34*'DRE PARCERIAS BANCO PAN'!Z$47)</f>
        <v>-15109.64</v>
      </c>
      <c r="AA85" s="40">
        <f t="shared" ref="AA85:AA97" si="101">SUM(W85:Z85)</f>
        <v>-50301.535505899999</v>
      </c>
      <c r="AB85" s="12">
        <f>('DRE PARCERIAS BANCO PAN'!AB17*'DRE PARCERIAS BANCO PAN'!AB$30)+('DRE PARCERIAS BANCO PAN'!AB34*'DRE PARCERIAS BANCO PAN'!AB$47)</f>
        <v>-11358.199999999999</v>
      </c>
      <c r="AC85" s="12">
        <f>('DRE PARCERIAS BANCO PAN'!AC17*'DRE PARCERIAS BANCO PAN'!AC$30)+('DRE PARCERIAS BANCO PAN'!AC34*'DRE PARCERIAS BANCO PAN'!AC$47)</f>
        <v>-8883.7000000000007</v>
      </c>
      <c r="AD85" s="12">
        <f>('DRE PARCERIAS BANCO PAN'!AD17*'DRE PARCERIAS BANCO PAN'!AD$30)+('DRE PARCERIAS BANCO PAN'!AD34*'DRE PARCERIAS BANCO PAN'!AD$47)</f>
        <v>-14181.1457718</v>
      </c>
      <c r="AE85" s="12">
        <f>('DRE PARCERIAS BANCO PAN'!AE17*'DRE PARCERIAS BANCO PAN'!AE$30)+('DRE PARCERIAS BANCO PAN'!AE34*'DRE PARCERIAS BANCO PAN'!AE$47)</f>
        <v>-16491.439999999999</v>
      </c>
      <c r="AF85" s="40">
        <f t="shared" ref="AF85:AF97" si="102">SUM(AB85:AE85)</f>
        <v>-50914.485771799998</v>
      </c>
      <c r="AG85" s="12">
        <f>('DRE PARCERIAS BANCO PAN'!AG17*'DRE PARCERIAS BANCO PAN'!AG$30)+('DRE PARCERIAS BANCO PAN'!AG34*'DRE PARCERIAS BANCO PAN'!AG$47)</f>
        <v>-15222.029339999999</v>
      </c>
      <c r="AH85" s="12">
        <f>('DRE PARCERIAS BANCO PAN'!AH17*'DRE PARCERIAS BANCO PAN'!AH$30)+('DRE PARCERIAS BANCO PAN'!AH34*'DRE PARCERIAS BANCO PAN'!AH$47)</f>
        <v>-15803.15748</v>
      </c>
      <c r="AI85" s="1">
        <f>('DRE PARCERIAS BANCO PAN'!AI17*'DRE PARCERIAS BANCO PAN'!AI$30)+('DRE PARCERIAS BANCO PAN'!AI34*'DRE PARCERIAS BANCO PAN'!AI$47)</f>
        <v>-16903.675019999999</v>
      </c>
      <c r="AJ85" s="1">
        <f>('DRE PARCERIAS BANCO PAN'!AJ17*'DRE PARCERIAS BANCO PAN'!AJ$30)+('DRE PARCERIAS BANCO PAN'!AJ34*'DRE PARCERIAS BANCO PAN'!AJ$47)</f>
        <v>-18966.04293</v>
      </c>
      <c r="AK85" s="40">
        <f t="shared" ref="AK85:AK97" si="103">SUM(AG85:AJ85)</f>
        <v>-66894.904769999994</v>
      </c>
      <c r="AL85" s="12">
        <f>('DRE PARCERIAS BANCO PAN'!AL17*'DRE PARCERIAS BANCO PAN'!AL$30)+('DRE PARCERIAS BANCO PAN'!AL34*'DRE PARCERIAS BANCO PAN'!AL$47)</f>
        <v>-18675.478859999999</v>
      </c>
      <c r="AM85" s="12">
        <f>('DRE PARCERIAS BANCO PAN'!AM17*'DRE PARCERIAS BANCO PAN'!AM$30)+('DRE PARCERIAS BANCO PAN'!AM34*'DRE PARCERIAS BANCO PAN'!AM$47)</f>
        <v>-20074.890299999999</v>
      </c>
      <c r="AN85" s="12">
        <f>('DRE PARCERIAS BANCO PAN'!AN17*'DRE PARCERIAS BANCO PAN'!AN$30)+('DRE PARCERIAS BANCO PAN'!AN34*'DRE PARCERIAS BANCO PAN'!AN$47)</f>
        <v>-19538.35125</v>
      </c>
      <c r="AO85" s="12">
        <f>('DRE PARCERIAS BANCO PAN'!AO17*'DRE PARCERIAS BANCO PAN'!AO$30)+('DRE PARCERIAS BANCO PAN'!AO34*'DRE PARCERIAS BANCO PAN'!AO$47)</f>
        <v>-23212.884467420001</v>
      </c>
      <c r="AP85" s="40">
        <f t="shared" ref="AP85:AP97" si="104">SUM(AL85:AO85)</f>
        <v>-81501.604877420003</v>
      </c>
      <c r="AQ85" s="12">
        <f>('DRE PARCERIAS BANCO PAN'!AQ17*'DRE PARCERIAS BANCO PAN'!AQ$30)+('DRE PARCERIAS BANCO PAN'!AQ34*'DRE PARCERIAS BANCO PAN'!AQ$47)</f>
        <v>-20037.179689619999</v>
      </c>
      <c r="AR85" s="12">
        <f>('DRE PARCERIAS BANCO PAN'!AR17*'DRE PARCERIAS BANCO PAN'!AR$30)+('DRE PARCERIAS BANCO PAN'!AR34*'DRE PARCERIAS BANCO PAN'!AR$47)</f>
        <v>-18842.04410064</v>
      </c>
      <c r="AS85" s="12">
        <f>('DRE PARCERIAS BANCO PAN'!AS17*'DRE PARCERIAS BANCO PAN'!AS$30)+('DRE PARCERIAS BANCO PAN'!AS34*'DRE PARCERIAS BANCO PAN'!AS$47)</f>
        <v>-20411.748625199998</v>
      </c>
      <c r="AT85" s="12">
        <f>('DRE PARCERIAS BANCO PAN'!AT17*'DRE PARCERIAS BANCO PAN'!AT$30)+('DRE PARCERIAS BANCO PAN'!AT34*'DRE PARCERIAS BANCO PAN'!AT$47)</f>
        <v>-26717.122302449996</v>
      </c>
      <c r="AU85" s="40">
        <f t="shared" ref="AU85:AU97" si="105">SUM(AQ85:AT85)</f>
        <v>-86008.094717909989</v>
      </c>
      <c r="AV85" s="12">
        <f>('DRE PARCERIAS BANCO PAN'!AV17*'DRE PARCERIAS BANCO PAN'!AV$30)+('DRE PARCERIAS BANCO PAN'!AV34*'DRE PARCERIAS BANCO PAN'!AV$47)</f>
        <v>-18855.963104269998</v>
      </c>
      <c r="AW85" s="12">
        <f>('DRE PARCERIAS BANCO PAN'!AW17*'DRE PARCERIAS BANCO PAN'!AW$30)+('DRE PARCERIAS BANCO PAN'!AW34*'DRE PARCERIAS BANCO PAN'!AW$47)</f>
        <v>-18111.28300182</v>
      </c>
      <c r="AX85" s="12">
        <f>('DRE PARCERIAS BANCO PAN'!AX17*'DRE PARCERIAS BANCO PAN'!AX$30)+('DRE PARCERIAS BANCO PAN'!AX34*'DRE PARCERIAS BANCO PAN'!AX$47)</f>
        <v>-18746.027317849999</v>
      </c>
      <c r="AY85" s="12">
        <f>('DRE PARCERIAS BANCO PAN'!AY17*'DRE PARCERIAS BANCO PAN'!AY$30)+('DRE PARCERIAS BANCO PAN'!AY34*'DRE PARCERIAS BANCO PAN'!AY$47)</f>
        <v>-26809.232322659998</v>
      </c>
      <c r="AZ85" s="40">
        <f t="shared" ref="AZ85:AZ97" si="106">SUM(AV85:AY85)</f>
        <v>-82522.505746599985</v>
      </c>
      <c r="BA85" s="12">
        <f>('DRE PARCERIAS BANCO PAN'!BA17*'DRE PARCERIAS BANCO PAN'!BA$30)+('DRE PARCERIAS BANCO PAN'!BA34*'DRE PARCERIAS BANCO PAN'!BA$47)</f>
        <v>-18439.909375159998</v>
      </c>
    </row>
    <row r="86" spans="1:53">
      <c r="A86" s="11"/>
      <c r="B86" s="11" t="s">
        <v>414</v>
      </c>
      <c r="C86" s="13">
        <v>-2862.58</v>
      </c>
      <c r="D86" s="13">
        <v>-2936.57</v>
      </c>
      <c r="E86" s="13">
        <v>-2726.85</v>
      </c>
      <c r="F86" s="13">
        <v>-3091.41</v>
      </c>
      <c r="G86" s="41">
        <f t="shared" si="97"/>
        <v>-11617.41</v>
      </c>
      <c r="H86" s="13">
        <v>-2405.8653080000004</v>
      </c>
      <c r="I86" s="13">
        <v>-2379.0428256</v>
      </c>
      <c r="J86" s="13">
        <v>-2570.0581094999998</v>
      </c>
      <c r="K86" s="13">
        <v>-2118.0039741000001</v>
      </c>
      <c r="L86" s="41">
        <f t="shared" si="98"/>
        <v>-9472.9702171999998</v>
      </c>
      <c r="M86" s="13">
        <v>-286.0830259</v>
      </c>
      <c r="N86" s="13">
        <v>-2439.6957997999998</v>
      </c>
      <c r="O86" s="13">
        <v>-2665.3390847999999</v>
      </c>
      <c r="P86" s="13">
        <v>-2486.6217768000001</v>
      </c>
      <c r="Q86" s="41">
        <f t="shared" si="99"/>
        <v>-7877.7396872999998</v>
      </c>
      <c r="R86" s="13">
        <v>-2360.8899572999999</v>
      </c>
      <c r="S86" s="13">
        <v>-2940.3405990000001</v>
      </c>
      <c r="T86" s="13">
        <v>-3269.3594436999997</v>
      </c>
      <c r="U86" s="13">
        <v>-3095.9436759999999</v>
      </c>
      <c r="V86" s="41">
        <f t="shared" si="100"/>
        <v>-11666.533675999999</v>
      </c>
      <c r="W86" s="13">
        <v>-2969.89</v>
      </c>
      <c r="X86" s="13">
        <v>-2684.9034667000001</v>
      </c>
      <c r="Y86" s="13">
        <v>-3118.85</v>
      </c>
      <c r="Z86" s="13">
        <v>-2907.17</v>
      </c>
      <c r="AA86" s="41">
        <f t="shared" si="101"/>
        <v>-11680.813466699999</v>
      </c>
      <c r="AB86" s="13">
        <v>-2663.64</v>
      </c>
      <c r="AC86" s="13">
        <v>-3545.64</v>
      </c>
      <c r="AD86" s="13">
        <v>-3756.6374741</v>
      </c>
      <c r="AE86" s="13">
        <v>-2978.71</v>
      </c>
      <c r="AF86" s="41">
        <f t="shared" si="102"/>
        <v>-12944.627474099998</v>
      </c>
      <c r="AG86" s="13">
        <f>('DRE PARCERIAS BANCO PAN'!AG18*'DRE PARCERIAS BANCO PAN'!AG$30)+('DRE PARCERIAS BANCO PAN'!AG35*'DRE PARCERIAS BANCO PAN'!AG$47)</f>
        <v>-5224.2733799999996</v>
      </c>
      <c r="AH86" s="13">
        <f>('DRE PARCERIAS BANCO PAN'!AH18*'DRE PARCERIAS BANCO PAN'!AH$30)+('DRE PARCERIAS BANCO PAN'!AH35*'DRE PARCERIAS BANCO PAN'!AH$47)</f>
        <v>-5001.8179200000004</v>
      </c>
      <c r="AI86" s="1">
        <f>('DRE PARCERIAS BANCO PAN'!AI18*'DRE PARCERIAS BANCO PAN'!AI$30)+('DRE PARCERIAS BANCO PAN'!AI35*'DRE PARCERIAS BANCO PAN'!AI$47)</f>
        <v>-5959.2583799999993</v>
      </c>
      <c r="AJ86" s="1">
        <f>('DRE PARCERIAS BANCO PAN'!AJ18*'DRE PARCERIAS BANCO PAN'!AJ$30)+('DRE PARCERIAS BANCO PAN'!AJ35*'DRE PARCERIAS BANCO PAN'!AJ$47)</f>
        <v>-6037.1667900000002</v>
      </c>
      <c r="AK86" s="41">
        <f t="shared" si="103"/>
        <v>-22222.516469999999</v>
      </c>
      <c r="AL86" s="13">
        <f>('DRE PARCERIAS BANCO PAN'!AL18*'DRE PARCERIAS BANCO PAN'!AL$30)+('DRE PARCERIAS BANCO PAN'!AL35*'DRE PARCERIAS BANCO PAN'!AL$47)</f>
        <v>-6564.8860199999999</v>
      </c>
      <c r="AM86" s="13">
        <f>('DRE PARCERIAS BANCO PAN'!AM18*'DRE PARCERIAS BANCO PAN'!AM$30)+('DRE PARCERIAS BANCO PAN'!AM35*'DRE PARCERIAS BANCO PAN'!AM$47)</f>
        <v>-7076.4355799999994</v>
      </c>
      <c r="AN86" s="13">
        <f>('DRE PARCERIAS BANCO PAN'!AN18*'DRE PARCERIAS BANCO PAN'!AN$30)+('DRE PARCERIAS BANCO PAN'!AN35*'DRE PARCERIAS BANCO PAN'!AN$47)</f>
        <v>-7127.3945399999993</v>
      </c>
      <c r="AO86" s="13">
        <f>('DRE PARCERIAS BANCO PAN'!AO18*'DRE PARCERIAS BANCO PAN'!AO$30)+('DRE PARCERIAS BANCO PAN'!AO35*'DRE PARCERIAS BANCO PAN'!AO$47)</f>
        <v>-6718.2217334300003</v>
      </c>
      <c r="AP86" s="41">
        <f t="shared" si="104"/>
        <v>-27486.937873429997</v>
      </c>
      <c r="AQ86" s="13">
        <f>('DRE PARCERIAS BANCO PAN'!AQ18*'DRE PARCERIAS BANCO PAN'!AQ$30)+('DRE PARCERIAS BANCO PAN'!AQ35*'DRE PARCERIAS BANCO PAN'!AQ$47)</f>
        <v>-8127.9149207999999</v>
      </c>
      <c r="AR86" s="13">
        <f>('DRE PARCERIAS BANCO PAN'!AR18*'DRE PARCERIAS BANCO PAN'!AR$30)+('DRE PARCERIAS BANCO PAN'!AR35*'DRE PARCERIAS BANCO PAN'!AR$47)</f>
        <v>-7414.6124682899999</v>
      </c>
      <c r="AS86" s="13">
        <f>('DRE PARCERIAS BANCO PAN'!AS18*'DRE PARCERIAS BANCO PAN'!AS$30)+('DRE PARCERIAS BANCO PAN'!AS35*'DRE PARCERIAS BANCO PAN'!AS$47)</f>
        <v>-8515.0775793600005</v>
      </c>
      <c r="AT86" s="13">
        <f>('DRE PARCERIAS BANCO PAN'!AT18*'DRE PARCERIAS BANCO PAN'!AT$30)+('DRE PARCERIAS BANCO PAN'!AT35*'DRE PARCERIAS BANCO PAN'!AT$47)</f>
        <v>-9168.4568986299982</v>
      </c>
      <c r="AU86" s="41">
        <f t="shared" si="105"/>
        <v>-33226.061867079996</v>
      </c>
      <c r="AV86" s="13">
        <f>('DRE PARCERIAS BANCO PAN'!AV18*'DRE PARCERIAS BANCO PAN'!AV$30)+('DRE PARCERIAS BANCO PAN'!AV35*'DRE PARCERIAS BANCO PAN'!AV$47)</f>
        <v>-9299.4693449100014</v>
      </c>
      <c r="AW86" s="13">
        <f>('DRE PARCERIAS BANCO PAN'!AW18*'DRE PARCERIAS BANCO PAN'!AW$30)+('DRE PARCERIAS BANCO PAN'!AW35*'DRE PARCERIAS BANCO PAN'!AW$47)</f>
        <v>-9599.7795661299988</v>
      </c>
      <c r="AX86" s="13">
        <f>('DRE PARCERIAS BANCO PAN'!AX18*'DRE PARCERIAS BANCO PAN'!AX$30)+('DRE PARCERIAS BANCO PAN'!AX35*'DRE PARCERIAS BANCO PAN'!AX$47)</f>
        <v>-9549.9230536100004</v>
      </c>
      <c r="AY86" s="13">
        <f>('DRE PARCERIAS BANCO PAN'!AY18*'DRE PARCERIAS BANCO PAN'!AY$30)+('DRE PARCERIAS BANCO PAN'!AY35*'DRE PARCERIAS BANCO PAN'!AY$47)</f>
        <v>-10166.65672721</v>
      </c>
      <c r="AZ86" s="41">
        <f t="shared" si="106"/>
        <v>-38615.828691859999</v>
      </c>
      <c r="BA86" s="13">
        <f>('DRE PARCERIAS BANCO PAN'!BA18*'DRE PARCERIAS BANCO PAN'!BA$30)+('DRE PARCERIAS BANCO PAN'!BA35*'DRE PARCERIAS BANCO PAN'!BA$47)</f>
        <v>-11312.642669739998</v>
      </c>
    </row>
    <row r="87" spans="1:53">
      <c r="A87" s="11"/>
      <c r="B87" s="11" t="s">
        <v>415</v>
      </c>
      <c r="C87" s="13">
        <v>8819.51</v>
      </c>
      <c r="D87" s="13">
        <v>7615.58</v>
      </c>
      <c r="E87" s="13">
        <v>8194.27</v>
      </c>
      <c r="F87" s="13">
        <v>3967.53</v>
      </c>
      <c r="G87" s="41">
        <f t="shared" si="97"/>
        <v>28596.89</v>
      </c>
      <c r="H87" s="13">
        <v>8797.8993437999998</v>
      </c>
      <c r="I87" s="13">
        <v>8826.6812725</v>
      </c>
      <c r="J87" s="13">
        <v>8625.2231673999995</v>
      </c>
      <c r="K87" s="13">
        <v>6918.7797189000003</v>
      </c>
      <c r="L87" s="41">
        <f t="shared" si="98"/>
        <v>33168.583502599999</v>
      </c>
      <c r="M87" s="13">
        <v>7870.5927677999998</v>
      </c>
      <c r="N87" s="13">
        <v>3641.4662668999999</v>
      </c>
      <c r="O87" s="13">
        <v>4871.7988584999994</v>
      </c>
      <c r="P87" s="13">
        <v>6947.3736835999998</v>
      </c>
      <c r="Q87" s="41">
        <f t="shared" si="99"/>
        <v>23331.231576799997</v>
      </c>
      <c r="R87" s="13">
        <v>6349.7995148</v>
      </c>
      <c r="S87" s="13">
        <v>6263.4025726999998</v>
      </c>
      <c r="T87" s="13">
        <v>6041.0979125000003</v>
      </c>
      <c r="U87" s="13">
        <v>4925.6401564999996</v>
      </c>
      <c r="V87" s="41">
        <f t="shared" si="100"/>
        <v>23579.940156500001</v>
      </c>
      <c r="W87" s="13">
        <v>-4711.84</v>
      </c>
      <c r="X87" s="13">
        <v>4221.6100233999996</v>
      </c>
      <c r="Y87" s="13">
        <v>3286.43</v>
      </c>
      <c r="Z87" s="13">
        <v>7065.7999999999993</v>
      </c>
      <c r="AA87" s="41">
        <f t="shared" si="101"/>
        <v>9862.0000233999981</v>
      </c>
      <c r="AB87" s="13">
        <v>3075.24</v>
      </c>
      <c r="AC87" s="13">
        <v>5429.6900000000005</v>
      </c>
      <c r="AD87" s="13">
        <v>2342.3232987000001</v>
      </c>
      <c r="AE87" s="13">
        <v>6395.97</v>
      </c>
      <c r="AF87" s="41">
        <f t="shared" si="102"/>
        <v>17243.223298700002</v>
      </c>
      <c r="AG87" s="13">
        <f>('DRE PARCERIAS BANCO PAN'!AG19*'DRE PARCERIAS BANCO PAN'!AG$30)+('DRE PARCERIAS BANCO PAN'!AG36*'DRE PARCERIAS BANCO PAN'!AG$47)</f>
        <v>12823.52829</v>
      </c>
      <c r="AH87" s="13">
        <f>('DRE PARCERIAS BANCO PAN'!AH19*'DRE PARCERIAS BANCO PAN'!AH$30)+('DRE PARCERIAS BANCO PAN'!AH36*'DRE PARCERIAS BANCO PAN'!AH$47)</f>
        <v>13106.252519999998</v>
      </c>
      <c r="AI87" s="1">
        <f>('DRE PARCERIAS BANCO PAN'!AI19*'DRE PARCERIAS BANCO PAN'!AI$30)+('DRE PARCERIAS BANCO PAN'!AI36*'DRE PARCERIAS BANCO PAN'!AI$47)</f>
        <v>17722.44831</v>
      </c>
      <c r="AJ87" s="1">
        <f>('DRE PARCERIAS BANCO PAN'!AJ19*'DRE PARCERIAS BANCO PAN'!AJ$30)+('DRE PARCERIAS BANCO PAN'!AJ36*'DRE PARCERIAS BANCO PAN'!AJ$47)</f>
        <v>20397.30372</v>
      </c>
      <c r="AK87" s="41">
        <f t="shared" si="103"/>
        <v>64049.53284</v>
      </c>
      <c r="AL87" s="13">
        <f>('DRE PARCERIAS BANCO PAN'!AL19*'DRE PARCERIAS BANCO PAN'!AL$30)+('DRE PARCERIAS BANCO PAN'!AL36*'DRE PARCERIAS BANCO PAN'!AL$47)</f>
        <v>19632.919319999997</v>
      </c>
      <c r="AM87" s="13">
        <f>('DRE PARCERIAS BANCO PAN'!AM19*'DRE PARCERIAS BANCO PAN'!AM$30)+('DRE PARCERIAS BANCO PAN'!AM36*'DRE PARCERIAS BANCO PAN'!AM$47)</f>
        <v>21437.062499999996</v>
      </c>
      <c r="AN87" s="13">
        <f>('DRE PARCERIAS BANCO PAN'!AN19*'DRE PARCERIAS BANCO PAN'!AN$30)+('DRE PARCERIAS BANCO PAN'!AN36*'DRE PARCERIAS BANCO PAN'!AN$47)</f>
        <v>26348.23227</v>
      </c>
      <c r="AO87" s="13">
        <f>('DRE PARCERIAS BANCO PAN'!AO19*'DRE PARCERIAS BANCO PAN'!AO$30)+('DRE PARCERIAS BANCO PAN'!AO36*'DRE PARCERIAS BANCO PAN'!AO$47)</f>
        <v>23935.498179909999</v>
      </c>
      <c r="AP87" s="41">
        <f t="shared" si="104"/>
        <v>91353.71226991</v>
      </c>
      <c r="AQ87" s="13">
        <f>('DRE PARCERIAS BANCO PAN'!AQ19*'DRE PARCERIAS BANCO PAN'!AQ$30)+('DRE PARCERIAS BANCO PAN'!AQ36*'DRE PARCERIAS BANCO PAN'!AQ$47)</f>
        <v>22477.5317655</v>
      </c>
      <c r="AR87" s="13">
        <f>('DRE PARCERIAS BANCO PAN'!AR19*'DRE PARCERIAS BANCO PAN'!AR$30)+('DRE PARCERIAS BANCO PAN'!AR36*'DRE PARCERIAS BANCO PAN'!AR$47)</f>
        <v>24094.278269999999</v>
      </c>
      <c r="AS87" s="13">
        <f>('DRE PARCERIAS BANCO PAN'!AS19*'DRE PARCERIAS BANCO PAN'!AS$30)+('DRE PARCERIAS BANCO PAN'!AS36*'DRE PARCERIAS BANCO PAN'!AS$47)</f>
        <v>25195.556764469999</v>
      </c>
      <c r="AT87" s="13">
        <f>('DRE PARCERIAS BANCO PAN'!AT19*'DRE PARCERIAS BANCO PAN'!AT$30)+('DRE PARCERIAS BANCO PAN'!AT36*'DRE PARCERIAS BANCO PAN'!AT$47)</f>
        <v>26848.663157610001</v>
      </c>
      <c r="AU87" s="41">
        <f t="shared" si="105"/>
        <v>98616.029957580002</v>
      </c>
      <c r="AV87" s="13">
        <f>('DRE PARCERIAS BANCO PAN'!AV19*'DRE PARCERIAS BANCO PAN'!AV$30)+('DRE PARCERIAS BANCO PAN'!AV36*'DRE PARCERIAS BANCO PAN'!AV$47)</f>
        <v>26496.244579999999</v>
      </c>
      <c r="AW87" s="13">
        <f>('DRE PARCERIAS BANCO PAN'!AW19*'DRE PARCERIAS BANCO PAN'!AW$30)+('DRE PARCERIAS BANCO PAN'!AW36*'DRE PARCERIAS BANCO PAN'!AW$47)</f>
        <v>29616.572269999997</v>
      </c>
      <c r="AX87" s="13">
        <f>('DRE PARCERIAS BANCO PAN'!AX19*'DRE PARCERIAS BANCO PAN'!AX$30)+('DRE PARCERIAS BANCO PAN'!AX36*'DRE PARCERIAS BANCO PAN'!AX$47)</f>
        <v>35504.408090000004</v>
      </c>
      <c r="AY87" s="13">
        <f>('DRE PARCERIAS BANCO PAN'!AY19*'DRE PARCERIAS BANCO PAN'!AY$30)+('DRE PARCERIAS BANCO PAN'!AY36*'DRE PARCERIAS BANCO PAN'!AY$47)</f>
        <v>31497.673459999998</v>
      </c>
      <c r="AZ87" s="41">
        <f t="shared" si="106"/>
        <v>123114.89840000001</v>
      </c>
      <c r="BA87" s="13">
        <f>('DRE PARCERIAS BANCO PAN'!BA19*'DRE PARCERIAS BANCO PAN'!BA$30)+('DRE PARCERIAS BANCO PAN'!BA36*'DRE PARCERIAS BANCO PAN'!BA$47)</f>
        <v>32070.853392360001</v>
      </c>
    </row>
    <row r="88" spans="1:53">
      <c r="A88" s="11"/>
      <c r="B88" s="11" t="s">
        <v>416</v>
      </c>
      <c r="C88" s="12">
        <v>41.65</v>
      </c>
      <c r="D88" s="12">
        <v>36.75</v>
      </c>
      <c r="E88" s="12">
        <v>-88.69</v>
      </c>
      <c r="F88" s="12">
        <v>30.38</v>
      </c>
      <c r="G88" s="40">
        <f t="shared" si="97"/>
        <v>20.090000000000007</v>
      </c>
      <c r="H88" s="12">
        <v>30.38</v>
      </c>
      <c r="I88" s="12">
        <v>32.83</v>
      </c>
      <c r="J88" s="12">
        <v>30.38</v>
      </c>
      <c r="K88" s="12">
        <v>15.68</v>
      </c>
      <c r="L88" s="40">
        <f t="shared" si="98"/>
        <v>109.26999999999998</v>
      </c>
      <c r="M88" s="12">
        <v>-12.74</v>
      </c>
      <c r="N88" s="12">
        <v>-13.23</v>
      </c>
      <c r="O88" s="12">
        <v>-12.74</v>
      </c>
      <c r="P88" s="12">
        <v>-12.74</v>
      </c>
      <c r="Q88" s="40">
        <f t="shared" si="99"/>
        <v>-51.45</v>
      </c>
      <c r="R88" s="12">
        <v>-2.4500000000000002</v>
      </c>
      <c r="S88" s="12">
        <v>0</v>
      </c>
      <c r="T88" s="12">
        <v>-0.49</v>
      </c>
      <c r="U88" s="12">
        <v>0</v>
      </c>
      <c r="V88" s="40">
        <f t="shared" si="100"/>
        <v>-2.9400000000000004</v>
      </c>
      <c r="W88" s="12">
        <v>0</v>
      </c>
      <c r="X88" s="12">
        <v>0</v>
      </c>
      <c r="Y88" s="12">
        <v>0</v>
      </c>
      <c r="Z88" s="12">
        <v>0</v>
      </c>
      <c r="AA88" s="40">
        <f t="shared" si="101"/>
        <v>0</v>
      </c>
      <c r="AB88" s="12">
        <v>-0.49</v>
      </c>
      <c r="AC88" s="12">
        <v>0.49</v>
      </c>
      <c r="AD88" s="12">
        <v>0</v>
      </c>
      <c r="AE88" s="12">
        <v>0</v>
      </c>
      <c r="AF88" s="40">
        <f t="shared" si="102"/>
        <v>0</v>
      </c>
      <c r="AG88" s="12">
        <f>('DRE PARCERIAS BANCO PAN'!AG20*'DRE PARCERIAS BANCO PAN'!AG$30)+('DRE PARCERIAS BANCO PAN'!AG37*'DRE PARCERIAS BANCO PAN'!AG$47)</f>
        <v>0</v>
      </c>
      <c r="AH88" s="12">
        <f>('DRE PARCERIAS BANCO PAN'!AH20*'DRE PARCERIAS BANCO PAN'!AH$30)+('DRE PARCERIAS BANCO PAN'!AH37*'DRE PARCERIAS BANCO PAN'!AH$47)</f>
        <v>0</v>
      </c>
      <c r="AI88" s="1">
        <f>('DRE PARCERIAS BANCO PAN'!AI20*'DRE PARCERIAS BANCO PAN'!AI$30)+('DRE PARCERIAS BANCO PAN'!AI37*'DRE PARCERIAS BANCO PAN'!AI$47)</f>
        <v>0</v>
      </c>
      <c r="AJ88" s="1">
        <f>('DRE PARCERIAS BANCO PAN'!AJ20*'DRE PARCERIAS BANCO PAN'!AJ$30)+('DRE PARCERIAS BANCO PAN'!AJ37*'DRE PARCERIAS BANCO PAN'!AJ$47)</f>
        <v>0</v>
      </c>
      <c r="AK88" s="40">
        <f t="shared" si="103"/>
        <v>0</v>
      </c>
      <c r="AL88" s="12">
        <f>('DRE PARCERIAS BANCO PAN'!AL20*'DRE PARCERIAS BANCO PAN'!AL$30)+('DRE PARCERIAS BANCO PAN'!AL37*'DRE PARCERIAS BANCO PAN'!AL$47)</f>
        <v>0</v>
      </c>
      <c r="AM88" s="12">
        <f>('DRE PARCERIAS BANCO PAN'!AM20*'DRE PARCERIAS BANCO PAN'!AM$30)+('DRE PARCERIAS BANCO PAN'!AM37*'DRE PARCERIAS BANCO PAN'!AM$47)</f>
        <v>0</v>
      </c>
      <c r="AN88" s="12">
        <f>('DRE PARCERIAS BANCO PAN'!AN20*'DRE PARCERIAS BANCO PAN'!AN$30)+('DRE PARCERIAS BANCO PAN'!AN37*'DRE PARCERIAS BANCO PAN'!AN$47)</f>
        <v>0</v>
      </c>
      <c r="AO88" s="12">
        <f>('DRE PARCERIAS BANCO PAN'!AO20*'DRE PARCERIAS BANCO PAN'!AO$30)+('DRE PARCERIAS BANCO PAN'!AO37*'DRE PARCERIAS BANCO PAN'!AO$47)</f>
        <v>0</v>
      </c>
      <c r="AP88" s="40">
        <f t="shared" si="104"/>
        <v>0</v>
      </c>
      <c r="AQ88" s="12">
        <f>('DRE PARCERIAS BANCO PAN'!AQ20*'DRE PARCERIAS BANCO PAN'!AQ$30)+('DRE PARCERIAS BANCO PAN'!AQ37*'DRE PARCERIAS BANCO PAN'!AQ$47)</f>
        <v>0</v>
      </c>
      <c r="AR88" s="12">
        <f>('DRE PARCERIAS BANCO PAN'!AR20*'DRE PARCERIAS BANCO PAN'!AR$30)+('DRE PARCERIAS BANCO PAN'!AR37*'DRE PARCERIAS BANCO PAN'!AR$47)</f>
        <v>0</v>
      </c>
      <c r="AS88" s="12">
        <f>('DRE PARCERIAS BANCO PAN'!AS20*'DRE PARCERIAS BANCO PAN'!AS$30)+('DRE PARCERIAS BANCO PAN'!AS37*'DRE PARCERIAS BANCO PAN'!AS$47)</f>
        <v>0</v>
      </c>
      <c r="AT88" s="12">
        <f>('DRE PARCERIAS BANCO PAN'!AT20*'DRE PARCERIAS BANCO PAN'!AT$30)+('DRE PARCERIAS BANCO PAN'!AT37*'DRE PARCERIAS BANCO PAN'!AT$47)</f>
        <v>0</v>
      </c>
      <c r="AU88" s="40">
        <f t="shared" si="105"/>
        <v>0</v>
      </c>
      <c r="AV88" s="12">
        <f>('DRE PARCERIAS BANCO PAN'!AV20*'DRE PARCERIAS BANCO PAN'!AV$30)+('DRE PARCERIAS BANCO PAN'!AV37*'DRE PARCERIAS BANCO PAN'!AV$47)</f>
        <v>0</v>
      </c>
      <c r="AW88" s="12">
        <f>('DRE PARCERIAS BANCO PAN'!AW20*'DRE PARCERIAS BANCO PAN'!AW$30)+('DRE PARCERIAS BANCO PAN'!AW37*'DRE PARCERIAS BANCO PAN'!AW$47)</f>
        <v>0</v>
      </c>
      <c r="AX88" s="12">
        <f>('DRE PARCERIAS BANCO PAN'!AX20*'DRE PARCERIAS BANCO PAN'!AX$30)+('DRE PARCERIAS BANCO PAN'!AX37*'DRE PARCERIAS BANCO PAN'!AX$47)</f>
        <v>0</v>
      </c>
      <c r="AY88" s="12">
        <f>('DRE PARCERIAS BANCO PAN'!AY20*'DRE PARCERIAS BANCO PAN'!AY$30)+('DRE PARCERIAS BANCO PAN'!AY37*'DRE PARCERIAS BANCO PAN'!AY$47)</f>
        <v>0</v>
      </c>
      <c r="AZ88" s="40">
        <f t="shared" si="106"/>
        <v>0</v>
      </c>
      <c r="BA88" s="12">
        <f>('DRE PARCERIAS BANCO PAN'!BA20*'DRE PARCERIAS BANCO PAN'!BA$30)+('DRE PARCERIAS BANCO PAN'!BA37*'DRE PARCERIAS BANCO PAN'!BA$47)</f>
        <v>0</v>
      </c>
    </row>
    <row r="89" spans="1:53">
      <c r="A89" s="11"/>
      <c r="B89" s="11" t="s">
        <v>417</v>
      </c>
      <c r="C89" s="13">
        <v>-186.69</v>
      </c>
      <c r="D89" s="13">
        <v>184.73</v>
      </c>
      <c r="E89" s="13">
        <v>-0.49</v>
      </c>
      <c r="F89" s="13">
        <v>-58.8</v>
      </c>
      <c r="G89" s="41">
        <f t="shared" si="97"/>
        <v>-61.250000000000007</v>
      </c>
      <c r="H89" s="13">
        <v>-102.7123055</v>
      </c>
      <c r="I89" s="13">
        <v>0</v>
      </c>
      <c r="J89" s="13">
        <v>-136.51401469999996</v>
      </c>
      <c r="K89" s="13">
        <v>0</v>
      </c>
      <c r="L89" s="41">
        <f t="shared" si="98"/>
        <v>-239.22632019999998</v>
      </c>
      <c r="M89" s="13">
        <v>0</v>
      </c>
      <c r="N89" s="13">
        <v>2.8860999999999999</v>
      </c>
      <c r="O89" s="13">
        <v>0</v>
      </c>
      <c r="P89" s="13">
        <v>0</v>
      </c>
      <c r="Q89" s="41">
        <f t="shared" si="99"/>
        <v>2.8860999999999999</v>
      </c>
      <c r="R89" s="13">
        <v>0</v>
      </c>
      <c r="S89" s="13">
        <v>0</v>
      </c>
      <c r="T89" s="13">
        <v>0</v>
      </c>
      <c r="U89" s="13">
        <v>0</v>
      </c>
      <c r="V89" s="41">
        <f t="shared" si="100"/>
        <v>0</v>
      </c>
      <c r="W89" s="13">
        <v>0</v>
      </c>
      <c r="X89" s="13">
        <v>0</v>
      </c>
      <c r="Y89" s="13">
        <v>0</v>
      </c>
      <c r="Z89" s="13">
        <v>0</v>
      </c>
      <c r="AA89" s="41">
        <f t="shared" si="101"/>
        <v>0</v>
      </c>
      <c r="AB89" s="13">
        <v>0</v>
      </c>
      <c r="AC89" s="13">
        <v>0</v>
      </c>
      <c r="AD89" s="13">
        <v>-0.98</v>
      </c>
      <c r="AE89" s="13">
        <v>-212.17</v>
      </c>
      <c r="AF89" s="41">
        <f t="shared" si="102"/>
        <v>-213.14999999999998</v>
      </c>
      <c r="AG89" s="13">
        <f>('DRE PARCERIAS BANCO PAN'!AG21*'DRE PARCERIAS BANCO PAN'!AG$30)+('DRE PARCERIAS BANCO PAN'!AG38*'DRE PARCERIAS BANCO PAN'!AG$47)</f>
        <v>-22.539539999999999</v>
      </c>
      <c r="AH89" s="13">
        <f>('DRE PARCERIAS BANCO PAN'!AH21*'DRE PARCERIAS BANCO PAN'!AH$30)+('DRE PARCERIAS BANCO PAN'!AH38*'DRE PARCERIAS BANCO PAN'!AH$47)</f>
        <v>-0.48998999999999998</v>
      </c>
      <c r="AI89" s="1">
        <f>('DRE PARCERIAS BANCO PAN'!AI21*'DRE PARCERIAS BANCO PAN'!AI$30)+('DRE PARCERIAS BANCO PAN'!AI38*'DRE PARCERIAS BANCO PAN'!AI$47)</f>
        <v>0</v>
      </c>
      <c r="AJ89" s="1">
        <f>('DRE PARCERIAS BANCO PAN'!AJ21*'DRE PARCERIAS BANCO PAN'!AJ$30)+('DRE PARCERIAS BANCO PAN'!AJ38*'DRE PARCERIAS BANCO PAN'!AJ$47)</f>
        <v>71.048549999999992</v>
      </c>
      <c r="AK89" s="41">
        <f t="shared" si="103"/>
        <v>48.019019999999998</v>
      </c>
      <c r="AL89" s="13">
        <f>('DRE PARCERIAS BANCO PAN'!AL21*'DRE PARCERIAS BANCO PAN'!AL$30)+('DRE PARCERIAS BANCO PAN'!AL38*'DRE PARCERIAS BANCO PAN'!AL$47)</f>
        <v>29.3994</v>
      </c>
      <c r="AM89" s="13">
        <f>('DRE PARCERIAS BANCO PAN'!AM21*'DRE PARCERIAS BANCO PAN'!AM$30)+('DRE PARCERIAS BANCO PAN'!AM38*'DRE PARCERIAS BANCO PAN'!AM$47)</f>
        <v>-4.8998999999999997</v>
      </c>
      <c r="AN89" s="13">
        <f>('DRE PARCERIAS BANCO PAN'!AN21*'DRE PARCERIAS BANCO PAN'!AN$30)+('DRE PARCERIAS BANCO PAN'!AN38*'DRE PARCERIAS BANCO PAN'!AN$47)</f>
        <v>0</v>
      </c>
      <c r="AO89" s="13">
        <f>('DRE PARCERIAS BANCO PAN'!AO21*'DRE PARCERIAS BANCO PAN'!AO$30)+('DRE PARCERIAS BANCO PAN'!AO38*'DRE PARCERIAS BANCO PAN'!AO$47)</f>
        <v>15.489073889999995</v>
      </c>
      <c r="AP89" s="41">
        <f t="shared" si="104"/>
        <v>39.988573889999998</v>
      </c>
      <c r="AQ89" s="13">
        <f>('DRE PARCERIAS BANCO PAN'!AQ21*'DRE PARCERIAS BANCO PAN'!AQ$30)+('DRE PARCERIAS BANCO PAN'!AQ38*'DRE PARCERIAS BANCO PAN'!AQ$47)</f>
        <v>0</v>
      </c>
      <c r="AR89" s="13">
        <f>('DRE PARCERIAS BANCO PAN'!AR21*'DRE PARCERIAS BANCO PAN'!AR$30)+('DRE PARCERIAS BANCO PAN'!AR38*'DRE PARCERIAS BANCO PAN'!AR$47)</f>
        <v>0</v>
      </c>
      <c r="AS89" s="13">
        <f>('DRE PARCERIAS BANCO PAN'!AS21*'DRE PARCERIAS BANCO PAN'!AS$30)+('DRE PARCERIAS BANCO PAN'!AS38*'DRE PARCERIAS BANCO PAN'!AS$47)</f>
        <v>0</v>
      </c>
      <c r="AT89" s="13">
        <f>('DRE PARCERIAS BANCO PAN'!AT21*'DRE PARCERIAS BANCO PAN'!AT$30)+('DRE PARCERIAS BANCO PAN'!AT38*'DRE PARCERIAS BANCO PAN'!AT$47)</f>
        <v>0</v>
      </c>
      <c r="AU89" s="41">
        <f t="shared" si="105"/>
        <v>0</v>
      </c>
      <c r="AV89" s="13">
        <f>('DRE PARCERIAS BANCO PAN'!AV21*'DRE PARCERIAS BANCO PAN'!AV$30)+('DRE PARCERIAS BANCO PAN'!AV38*'DRE PARCERIAS BANCO PAN'!AV$47)</f>
        <v>0</v>
      </c>
      <c r="AW89" s="13">
        <f>('DRE PARCERIAS BANCO PAN'!AW21*'DRE PARCERIAS BANCO PAN'!AW$30)+('DRE PARCERIAS BANCO PAN'!AW38*'DRE PARCERIAS BANCO PAN'!AW$47)</f>
        <v>0</v>
      </c>
      <c r="AX89" s="13">
        <f>('DRE PARCERIAS BANCO PAN'!AX21*'DRE PARCERIAS BANCO PAN'!AX$30)+('DRE PARCERIAS BANCO PAN'!AX38*'DRE PARCERIAS BANCO PAN'!AX$47)</f>
        <v>0</v>
      </c>
      <c r="AY89" s="13">
        <f>('DRE PARCERIAS BANCO PAN'!AY21*'DRE PARCERIAS BANCO PAN'!AY$30)+('DRE PARCERIAS BANCO PAN'!AY38*'DRE PARCERIAS BANCO PAN'!AY$47)</f>
        <v>0</v>
      </c>
      <c r="AZ89" s="41">
        <f t="shared" si="106"/>
        <v>0</v>
      </c>
      <c r="BA89" s="13">
        <f>('DRE PARCERIAS BANCO PAN'!BA21*'DRE PARCERIAS BANCO PAN'!BA$30)+('DRE PARCERIAS BANCO PAN'!BA38*'DRE PARCERIAS BANCO PAN'!BA$47)</f>
        <v>0</v>
      </c>
    </row>
    <row r="90" spans="1:53">
      <c r="A90" s="9"/>
      <c r="B90" s="9" t="s">
        <v>418</v>
      </c>
      <c r="C90" s="10">
        <f t="shared" ref="C90:F90" si="107">SUM(C84:C89)</f>
        <v>18719.160319999995</v>
      </c>
      <c r="D90" s="10">
        <f t="shared" si="107"/>
        <v>17824.315949999982</v>
      </c>
      <c r="E90" s="10">
        <f t="shared" si="107"/>
        <v>12930.365490000006</v>
      </c>
      <c r="F90" s="10">
        <f t="shared" si="107"/>
        <v>-15116.700410000027</v>
      </c>
      <c r="G90" s="39">
        <f t="shared" si="97"/>
        <v>34357.141349999954</v>
      </c>
      <c r="H90" s="10">
        <f t="shared" ref="H90:K90" si="108">SUM(H84:H89)</f>
        <v>12102.380542000004</v>
      </c>
      <c r="I90" s="10">
        <f t="shared" si="108"/>
        <v>15237.352355400011</v>
      </c>
      <c r="J90" s="10">
        <f t="shared" si="108"/>
        <v>12585.909670600002</v>
      </c>
      <c r="K90" s="10">
        <f t="shared" si="108"/>
        <v>10521.8274084</v>
      </c>
      <c r="L90" s="39">
        <f t="shared" si="98"/>
        <v>50447.469976400018</v>
      </c>
      <c r="M90" s="10">
        <f t="shared" ref="M90:P90" si="109">SUM(M84:M89)</f>
        <v>33113.439181899994</v>
      </c>
      <c r="N90" s="10">
        <f t="shared" si="109"/>
        <v>4844.2934925000054</v>
      </c>
      <c r="O90" s="10">
        <f t="shared" si="109"/>
        <v>15394.44677679999</v>
      </c>
      <c r="P90" s="10">
        <f t="shared" si="109"/>
        <v>10648.294036800022</v>
      </c>
      <c r="Q90" s="39">
        <f t="shared" si="99"/>
        <v>64000.473488000011</v>
      </c>
      <c r="R90" s="10">
        <f t="shared" ref="R90:U90" si="110">SUM(R84:R89)</f>
        <v>16553.948785500015</v>
      </c>
      <c r="S90" s="10">
        <f t="shared" si="110"/>
        <v>25909.261947100003</v>
      </c>
      <c r="T90" s="10">
        <f t="shared" si="110"/>
        <v>21227.409687400013</v>
      </c>
      <c r="U90" s="10">
        <f t="shared" si="110"/>
        <v>30994.209276799949</v>
      </c>
      <c r="V90" s="39">
        <f t="shared" si="100"/>
        <v>94684.829696799978</v>
      </c>
      <c r="W90" s="10">
        <f t="shared" ref="W90:Z90" si="111">SUM(W84:W89)</f>
        <v>16845.682070000006</v>
      </c>
      <c r="X90" s="10">
        <f t="shared" si="111"/>
        <v>21734.971703899992</v>
      </c>
      <c r="Y90" s="10">
        <f t="shared" si="111"/>
        <v>17868.692799999993</v>
      </c>
      <c r="Z90" s="10">
        <f t="shared" si="111"/>
        <v>29519.64967000001</v>
      </c>
      <c r="AA90" s="39">
        <f t="shared" si="101"/>
        <v>85968.996243900008</v>
      </c>
      <c r="AB90" s="10">
        <f t="shared" ref="AB90:AE90" si="112">SUM(AB84:AB89)</f>
        <v>25257.509130000002</v>
      </c>
      <c r="AC90" s="10">
        <f t="shared" si="112"/>
        <v>20826.652769999982</v>
      </c>
      <c r="AD90" s="10">
        <f t="shared" si="112"/>
        <v>11585.546833699991</v>
      </c>
      <c r="AE90" s="10">
        <f t="shared" si="112"/>
        <v>26692.750000000004</v>
      </c>
      <c r="AF90" s="39">
        <f t="shared" si="102"/>
        <v>84362.458733699983</v>
      </c>
      <c r="AG90" s="10">
        <f>SUM(AG84:AG89)</f>
        <v>32198.712869999999</v>
      </c>
      <c r="AH90" s="10">
        <f>SUM(AH84:AH89)</f>
        <v>34789.289999999994</v>
      </c>
      <c r="AI90" s="76">
        <f>SUM(AI84:AI89)</f>
        <v>55858.859999999993</v>
      </c>
      <c r="AJ90" s="76">
        <f>SUM(AJ84:AJ89)</f>
        <v>70248.396330000003</v>
      </c>
      <c r="AK90" s="39">
        <f t="shared" si="103"/>
        <v>193095.25919999997</v>
      </c>
      <c r="AL90" s="10">
        <f>SUM(AL84:AL89)</f>
        <v>75321.752789999984</v>
      </c>
      <c r="AM90" s="10">
        <f>SUM(AM84:AM89)</f>
        <v>69586.419839999988</v>
      </c>
      <c r="AN90" s="10">
        <f t="shared" ref="AN90:AO90" si="113">SUM(AN84:AN89)</f>
        <v>77313.072149999993</v>
      </c>
      <c r="AO90" s="10">
        <f t="shared" si="113"/>
        <v>75677.542665879999</v>
      </c>
      <c r="AP90" s="39">
        <f t="shared" si="104"/>
        <v>297898.78744588001</v>
      </c>
      <c r="AQ90" s="10">
        <f>SUM(AQ84:AQ89)</f>
        <v>97508.790064079993</v>
      </c>
      <c r="AR90" s="10">
        <f>SUM(AR84:AR89)</f>
        <v>86035.27585220999</v>
      </c>
      <c r="AS90" s="10">
        <f t="shared" ref="AS90:AT90" si="114">SUM(AS84:AS89)</f>
        <v>103050.84351864</v>
      </c>
      <c r="AT90" s="10">
        <f t="shared" si="114"/>
        <v>89456.960675460025</v>
      </c>
      <c r="AU90" s="39">
        <f t="shared" si="105"/>
        <v>376051.87011039001</v>
      </c>
      <c r="AV90" s="10">
        <f t="shared" ref="AV90" si="115">SUM(AV84:AV89)</f>
        <v>100298.89670081998</v>
      </c>
      <c r="AW90" s="10">
        <f t="shared" ref="AW90:AX90" si="116">SUM(AW84:AW89)</f>
        <v>96917.833472049999</v>
      </c>
      <c r="AX90" s="10">
        <f t="shared" si="116"/>
        <v>116190.18830854</v>
      </c>
      <c r="AY90" s="10">
        <f>SUM(AY84:AY89)</f>
        <v>78191.565720129991</v>
      </c>
      <c r="AZ90" s="39">
        <f t="shared" si="106"/>
        <v>391598.48420154001</v>
      </c>
      <c r="BA90" s="10">
        <f>SUM(BA84:BA89)</f>
        <v>134421.58204898998</v>
      </c>
    </row>
    <row r="91" spans="1:53">
      <c r="A91" s="11"/>
      <c r="B91" s="11" t="s">
        <v>419</v>
      </c>
      <c r="C91" s="13">
        <v>0</v>
      </c>
      <c r="D91" s="13">
        <v>0</v>
      </c>
      <c r="E91" s="13">
        <v>0</v>
      </c>
      <c r="F91" s="13">
        <v>-1340.3310114999999</v>
      </c>
      <c r="G91" s="40">
        <f t="shared" si="97"/>
        <v>-1340.3310114999999</v>
      </c>
      <c r="H91" s="13">
        <v>233.24</v>
      </c>
      <c r="I91" s="13">
        <v>234.71</v>
      </c>
      <c r="J91" s="13">
        <v>1523.8999999999999</v>
      </c>
      <c r="K91" s="13">
        <v>-938.35</v>
      </c>
      <c r="L91" s="40">
        <f t="shared" si="98"/>
        <v>1053.5</v>
      </c>
      <c r="M91" s="13">
        <v>234.71</v>
      </c>
      <c r="N91" s="13">
        <v>-357.21</v>
      </c>
      <c r="O91" s="13">
        <v>234.71</v>
      </c>
      <c r="P91" s="13">
        <v>235.2</v>
      </c>
      <c r="Q91" s="40">
        <f t="shared" si="99"/>
        <v>347.41</v>
      </c>
      <c r="R91" s="13">
        <v>1182.3699999999999</v>
      </c>
      <c r="S91" s="13">
        <v>-2147.67</v>
      </c>
      <c r="T91" s="13">
        <v>942.76</v>
      </c>
      <c r="U91" s="13">
        <v>1436.19</v>
      </c>
      <c r="V91" s="40">
        <f t="shared" si="100"/>
        <v>1413.6499999999999</v>
      </c>
      <c r="W91" s="13">
        <v>0</v>
      </c>
      <c r="X91" s="13">
        <v>12.25</v>
      </c>
      <c r="Y91" s="13">
        <v>663.94999999999993</v>
      </c>
      <c r="Z91" s="13">
        <v>4.9000000000000004</v>
      </c>
      <c r="AA91" s="40">
        <f t="shared" si="101"/>
        <v>681.09999999999991</v>
      </c>
      <c r="AB91" s="13">
        <v>1404.83</v>
      </c>
      <c r="AC91" s="13">
        <v>364.07</v>
      </c>
      <c r="AD91" s="13">
        <v>393.96</v>
      </c>
      <c r="AE91" s="13">
        <v>-142.59</v>
      </c>
      <c r="AF91" s="40">
        <f t="shared" si="102"/>
        <v>2020.2699999999998</v>
      </c>
      <c r="AG91" s="13">
        <f>('DRE PARCERIAS BANCO PAN'!AG23*'DRE PARCERIAS BANCO PAN'!AG$30)+('DRE PARCERIAS BANCO PAN'!AG40*'DRE PARCERIAS BANCO PAN'!AG$47)</f>
        <v>0</v>
      </c>
      <c r="AH91" s="13">
        <f>('DRE PARCERIAS BANCO PAN'!AH23*'DRE PARCERIAS BANCO PAN'!AH$30)+('DRE PARCERIAS BANCO PAN'!AH40*'DRE PARCERIAS BANCO PAN'!AH$47)</f>
        <v>0</v>
      </c>
      <c r="AI91" s="1">
        <f>('DRE PARCERIAS BANCO PAN'!AI23*'DRE PARCERIAS BANCO PAN'!AI$30)+('DRE PARCERIAS BANCO PAN'!AI40*'DRE PARCERIAS BANCO PAN'!AI$47)</f>
        <v>0</v>
      </c>
      <c r="AJ91" s="1">
        <f>('DRE PARCERIAS BANCO PAN'!AJ23*'DRE PARCERIAS BANCO PAN'!AJ$30)+('DRE PARCERIAS BANCO PAN'!AJ40*'DRE PARCERIAS BANCO PAN'!AJ$47)</f>
        <v>-979.98</v>
      </c>
      <c r="AK91" s="40">
        <f t="shared" si="103"/>
        <v>-979.98</v>
      </c>
      <c r="AL91" s="13">
        <f>('DRE PARCERIAS BANCO PAN'!AL23*'DRE PARCERIAS BANCO PAN'!AL$30)+('DRE PARCERIAS BANCO PAN'!AL40*'DRE PARCERIAS BANCO PAN'!AL$47)</f>
        <v>0</v>
      </c>
      <c r="AM91" s="13">
        <f>('DRE PARCERIAS BANCO PAN'!AM23*'DRE PARCERIAS BANCO PAN'!AM$30)+('DRE PARCERIAS BANCO PAN'!AM40*'DRE PARCERIAS BANCO PAN'!AM$47)</f>
        <v>0</v>
      </c>
      <c r="AN91" s="13">
        <f>('DRE PARCERIAS BANCO PAN'!AN23*'DRE PARCERIAS BANCO PAN'!AN$30)+('DRE PARCERIAS BANCO PAN'!AN40*'DRE PARCERIAS BANCO PAN'!AN$47)</f>
        <v>30.86937</v>
      </c>
      <c r="AO91" s="13">
        <f>('DRE PARCERIAS BANCO PAN'!AO23*'DRE PARCERIAS BANCO PAN'!AO$30)+('DRE PARCERIAS BANCO PAN'!AO40*'DRE PARCERIAS BANCO PAN'!AO$47)</f>
        <v>24.99</v>
      </c>
      <c r="AP91" s="40">
        <f t="shared" si="104"/>
        <v>55.859369999999998</v>
      </c>
      <c r="AQ91" s="13">
        <f>('DRE PARCERIAS BANCO PAN'!AQ23*'DRE PARCERIAS BANCO PAN'!AQ$30)+('DRE PARCERIAS BANCO PAN'!AQ40*'DRE PARCERIAS BANCO PAN'!AQ$47)</f>
        <v>0</v>
      </c>
      <c r="AR91" s="13">
        <f>('DRE PARCERIAS BANCO PAN'!AR23*'DRE PARCERIAS BANCO PAN'!AR$30)+('DRE PARCERIAS BANCO PAN'!AR40*'DRE PARCERIAS BANCO PAN'!AR$47)</f>
        <v>30.86937</v>
      </c>
      <c r="AS91" s="13">
        <f>('DRE PARCERIAS BANCO PAN'!AS23*'DRE PARCERIAS BANCO PAN'!AS$30)+('DRE PARCERIAS BANCO PAN'!AS40*'DRE PARCERIAS BANCO PAN'!AS$47)</f>
        <v>0</v>
      </c>
      <c r="AT91" s="13">
        <f>('DRE PARCERIAS BANCO PAN'!AT23*'DRE PARCERIAS BANCO PAN'!AT$30)+('DRE PARCERIAS BANCO PAN'!AT40*'DRE PARCERIAS BANCO PAN'!AT$47)</f>
        <v>20.09</v>
      </c>
      <c r="AU91" s="40">
        <f t="shared" si="105"/>
        <v>50.95937</v>
      </c>
      <c r="AV91" s="13">
        <f>('DRE PARCERIAS BANCO PAN'!AV23*'DRE PARCERIAS BANCO PAN'!AV$30)+('DRE PARCERIAS BANCO PAN'!AV40*'DRE PARCERIAS BANCO PAN'!AV$47)</f>
        <v>0</v>
      </c>
      <c r="AW91" s="13">
        <f>('DRE PARCERIAS BANCO PAN'!AW23*'DRE PARCERIAS BANCO PAN'!AW$30)+('DRE PARCERIAS BANCO PAN'!AW40*'DRE PARCERIAS BANCO PAN'!AW$47)</f>
        <v>-11.27</v>
      </c>
      <c r="AX91" s="13">
        <f>('DRE PARCERIAS BANCO PAN'!AX23*'DRE PARCERIAS BANCO PAN'!AX$30)+('DRE PARCERIAS BANCO PAN'!AX40*'DRE PARCERIAS BANCO PAN'!AX$47)</f>
        <v>0</v>
      </c>
      <c r="AY91" s="13">
        <f>('DRE PARCERIAS BANCO PAN'!AY23*'DRE PARCERIAS BANCO PAN'!AY$30)+('DRE PARCERIAS BANCO PAN'!AY40*'DRE PARCERIAS BANCO PAN'!AY$47)</f>
        <v>-206.29</v>
      </c>
      <c r="AZ91" s="40">
        <f t="shared" si="106"/>
        <v>-217.56</v>
      </c>
      <c r="BA91" s="13">
        <f>('DRE PARCERIAS BANCO PAN'!BA23*'DRE PARCERIAS BANCO PAN'!BA$30)+('DRE PARCERIAS BANCO PAN'!BA40*'DRE PARCERIAS BANCO PAN'!BA$47)</f>
        <v>35.28</v>
      </c>
    </row>
    <row r="92" spans="1:53">
      <c r="A92" s="9"/>
      <c r="B92" s="9" t="s">
        <v>420</v>
      </c>
      <c r="C92" s="10">
        <f t="shared" ref="C92:F92" si="117">SUM(C90:C91)</f>
        <v>18719.160319999995</v>
      </c>
      <c r="D92" s="10">
        <f t="shared" si="117"/>
        <v>17824.315949999982</v>
      </c>
      <c r="E92" s="10">
        <f t="shared" si="117"/>
        <v>12930.365490000006</v>
      </c>
      <c r="F92" s="10">
        <f t="shared" si="117"/>
        <v>-16457.031421500025</v>
      </c>
      <c r="G92" s="39">
        <f t="shared" si="97"/>
        <v>33016.810338499956</v>
      </c>
      <c r="H92" s="10">
        <f t="shared" ref="H92:K92" si="118">SUM(H90:H91)</f>
        <v>12335.620542000004</v>
      </c>
      <c r="I92" s="10">
        <f t="shared" si="118"/>
        <v>15472.06235540001</v>
      </c>
      <c r="J92" s="10">
        <f t="shared" si="118"/>
        <v>14109.809670600001</v>
      </c>
      <c r="K92" s="10">
        <f t="shared" si="118"/>
        <v>9583.4774084000001</v>
      </c>
      <c r="L92" s="39">
        <f t="shared" si="98"/>
        <v>51500.969976400018</v>
      </c>
      <c r="M92" s="10">
        <f t="shared" ref="M92:P92" si="119">SUM(M90:M91)</f>
        <v>33348.149181899993</v>
      </c>
      <c r="N92" s="10">
        <f t="shared" si="119"/>
        <v>4487.0834925000054</v>
      </c>
      <c r="O92" s="10">
        <f t="shared" si="119"/>
        <v>15629.15677679999</v>
      </c>
      <c r="P92" s="10">
        <f t="shared" si="119"/>
        <v>10883.494036800023</v>
      </c>
      <c r="Q92" s="39">
        <f t="shared" si="99"/>
        <v>64347.883488000014</v>
      </c>
      <c r="R92" s="10">
        <f t="shared" ref="R92:U92" si="120">SUM(R90:R91)</f>
        <v>17736.318785500014</v>
      </c>
      <c r="S92" s="10">
        <f t="shared" si="120"/>
        <v>23761.591947100002</v>
      </c>
      <c r="T92" s="10">
        <f t="shared" si="120"/>
        <v>22170.169687400012</v>
      </c>
      <c r="U92" s="10">
        <f t="shared" si="120"/>
        <v>32430.399276799948</v>
      </c>
      <c r="V92" s="39">
        <f t="shared" si="100"/>
        <v>96098.479696799972</v>
      </c>
      <c r="W92" s="10">
        <f t="shared" ref="W92:Z92" si="121">SUM(W90:W91)</f>
        <v>16845.682070000006</v>
      </c>
      <c r="X92" s="10">
        <f t="shared" si="121"/>
        <v>21747.221703899992</v>
      </c>
      <c r="Y92" s="10">
        <f t="shared" si="121"/>
        <v>18532.642799999994</v>
      </c>
      <c r="Z92" s="10">
        <f t="shared" si="121"/>
        <v>29524.549670000011</v>
      </c>
      <c r="AA92" s="39">
        <f t="shared" si="101"/>
        <v>86650.0962439</v>
      </c>
      <c r="AB92" s="10">
        <f t="shared" ref="AB92:AE92" si="122">SUM(AB90:AB91)</f>
        <v>26662.33913</v>
      </c>
      <c r="AC92" s="10">
        <f t="shared" si="122"/>
        <v>21190.722769999982</v>
      </c>
      <c r="AD92" s="10">
        <f t="shared" si="122"/>
        <v>11979.50683369999</v>
      </c>
      <c r="AE92" s="10">
        <f t="shared" si="122"/>
        <v>26550.160000000003</v>
      </c>
      <c r="AF92" s="39">
        <f t="shared" si="102"/>
        <v>86382.728733699973</v>
      </c>
      <c r="AG92" s="10">
        <f>SUM(AG90:AG91)</f>
        <v>32198.712869999999</v>
      </c>
      <c r="AH92" s="10">
        <f>SUM(AH90:AH91)</f>
        <v>34789.289999999994</v>
      </c>
      <c r="AI92" s="76">
        <f>SUM(AI90:AI91)</f>
        <v>55858.859999999993</v>
      </c>
      <c r="AJ92" s="76">
        <f>SUM(AJ90:AJ91)</f>
        <v>69268.416330000007</v>
      </c>
      <c r="AK92" s="39">
        <f t="shared" si="103"/>
        <v>192115.27919999999</v>
      </c>
      <c r="AL92" s="10">
        <f>SUM(AL90:AL91)</f>
        <v>75321.752789999984</v>
      </c>
      <c r="AM92" s="10">
        <f>SUM(AM90:AM91)</f>
        <v>69586.419839999988</v>
      </c>
      <c r="AN92" s="10">
        <f t="shared" ref="AN92:AO92" si="123">SUM(AN90:AN91)</f>
        <v>77343.941519999993</v>
      </c>
      <c r="AO92" s="10">
        <f t="shared" si="123"/>
        <v>75702.532665880004</v>
      </c>
      <c r="AP92" s="39">
        <f t="shared" si="104"/>
        <v>297954.64681587997</v>
      </c>
      <c r="AQ92" s="10">
        <f>SUM(AQ90:AQ91)</f>
        <v>97508.790064079993</v>
      </c>
      <c r="AR92" s="10">
        <f>SUM(AR90:AR91)</f>
        <v>86066.145222209991</v>
      </c>
      <c r="AS92" s="10">
        <f t="shared" ref="AS92:AT92" si="124">SUM(AS90:AS91)</f>
        <v>103050.84351864</v>
      </c>
      <c r="AT92" s="10">
        <f t="shared" si="124"/>
        <v>89477.050675460021</v>
      </c>
      <c r="AU92" s="39">
        <f t="shared" si="105"/>
        <v>376102.82948039001</v>
      </c>
      <c r="AV92" s="10">
        <f t="shared" ref="AV92" si="125">SUM(AV90:AV91)</f>
        <v>100298.89670081998</v>
      </c>
      <c r="AW92" s="10">
        <f t="shared" ref="AW92:AX92" si="126">SUM(AW90:AW91)</f>
        <v>96906.563472049995</v>
      </c>
      <c r="AX92" s="10">
        <f t="shared" si="126"/>
        <v>116190.18830854</v>
      </c>
      <c r="AY92" s="10">
        <f>SUM(AY90:AY91)</f>
        <v>77985.275720129997</v>
      </c>
      <c r="AZ92" s="39">
        <f t="shared" si="106"/>
        <v>391380.92420154001</v>
      </c>
      <c r="BA92" s="10">
        <f>SUM(BA90:BA91)</f>
        <v>134456.86204898998</v>
      </c>
    </row>
    <row r="93" spans="1:53">
      <c r="A93" s="11"/>
      <c r="B93" s="11" t="s">
        <v>421</v>
      </c>
      <c r="C93" s="13">
        <v>-2866.5</v>
      </c>
      <c r="D93" s="13">
        <v>-2323.0899999999997</v>
      </c>
      <c r="E93" s="13">
        <v>-1687.07</v>
      </c>
      <c r="F93" s="13">
        <v>2968.91</v>
      </c>
      <c r="G93" s="41">
        <f t="shared" si="97"/>
        <v>-3907.75</v>
      </c>
      <c r="H93" s="13">
        <v>-2346.0045462000003</v>
      </c>
      <c r="I93" s="13">
        <v>-1608.0954848000001</v>
      </c>
      <c r="J93" s="13">
        <v>-1945.8392744</v>
      </c>
      <c r="K93" s="13">
        <v>5843.9526648999999</v>
      </c>
      <c r="L93" s="41">
        <f t="shared" si="98"/>
        <v>-55.986640500000249</v>
      </c>
      <c r="M93" s="13">
        <v>-5035.9906603999998</v>
      </c>
      <c r="N93" s="13">
        <v>-2469.1511747</v>
      </c>
      <c r="O93" s="13">
        <v>-2694.6444461999999</v>
      </c>
      <c r="P93" s="13">
        <v>5465.1648240000004</v>
      </c>
      <c r="Q93" s="41">
        <f t="shared" si="99"/>
        <v>-4734.6214572999988</v>
      </c>
      <c r="R93" s="13">
        <v>-3472.8408421000004</v>
      </c>
      <c r="S93" s="13">
        <v>-3911.6119546</v>
      </c>
      <c r="T93" s="13">
        <v>-2652.7072032999999</v>
      </c>
      <c r="U93" s="13">
        <v>280.06527710000046</v>
      </c>
      <c r="V93" s="41">
        <f t="shared" si="100"/>
        <v>-9757.0947228999994</v>
      </c>
      <c r="W93" s="13">
        <v>-3405.9900000000002</v>
      </c>
      <c r="X93" s="13">
        <v>-4959.577679</v>
      </c>
      <c r="Y93" s="13">
        <v>-3874.92</v>
      </c>
      <c r="Z93" s="13">
        <v>-3145.8</v>
      </c>
      <c r="AA93" s="41">
        <f t="shared" si="101"/>
        <v>-15386.287679000001</v>
      </c>
      <c r="AB93" s="13">
        <v>-4513.3900000000003</v>
      </c>
      <c r="AC93" s="13">
        <v>-3948.91</v>
      </c>
      <c r="AD93" s="13">
        <v>-2082.1613560999999</v>
      </c>
      <c r="AE93" s="13">
        <v>-2657.76</v>
      </c>
      <c r="AF93" s="41">
        <f t="shared" si="102"/>
        <v>-13202.221356099999</v>
      </c>
      <c r="AG93" s="13">
        <f>('DRE PARCERIAS BANCO PAN'!AG25*'DRE PARCERIAS BANCO PAN'!AG$30)+('DRE PARCERIAS BANCO PAN'!AG42*'DRE PARCERIAS BANCO PAN'!AG$47)</f>
        <v>-7367.4896399999998</v>
      </c>
      <c r="AH93" s="13">
        <f>('DRE PARCERIAS BANCO PAN'!AH25*'DRE PARCERIAS BANCO PAN'!AH$30)+('DRE PARCERIAS BANCO PAN'!AH42*'DRE PARCERIAS BANCO PAN'!AH$47)</f>
        <v>-8082.3850499999999</v>
      </c>
      <c r="AI93" s="1">
        <f>('DRE PARCERIAS BANCO PAN'!AI25*'DRE PARCERIAS BANCO PAN'!AI$30)+('DRE PARCERIAS BANCO PAN'!AI42*'DRE PARCERIAS BANCO PAN'!AI$47)</f>
        <v>-13262.06934</v>
      </c>
      <c r="AJ93" s="1">
        <f>('DRE PARCERIAS BANCO PAN'!AJ25*'DRE PARCERIAS BANCO PAN'!AJ$30)+('DRE PARCERIAS BANCO PAN'!AJ42*'DRE PARCERIAS BANCO PAN'!AJ$47)</f>
        <v>-9640.063259999999</v>
      </c>
      <c r="AK93" s="41">
        <f t="shared" si="103"/>
        <v>-38352.007289999994</v>
      </c>
      <c r="AL93" s="13">
        <f>('DRE PARCERIAS BANCO PAN'!AL25*'DRE PARCERIAS BANCO PAN'!AL$30)+('DRE PARCERIAS BANCO PAN'!AL42*'DRE PARCERIAS BANCO PAN'!AL$47)</f>
        <v>-16533.73257</v>
      </c>
      <c r="AM93" s="13">
        <f>('DRE PARCERIAS BANCO PAN'!AM25*'DRE PARCERIAS BANCO PAN'!AM$30)+('DRE PARCERIAS BANCO PAN'!AM42*'DRE PARCERIAS BANCO PAN'!AM$47)</f>
        <v>-14905.005809999999</v>
      </c>
      <c r="AN93" s="13">
        <f>('DRE PARCERIAS BANCO PAN'!AN25*'DRE PARCERIAS BANCO PAN'!AN$30)+('DRE PARCERIAS BANCO PAN'!AN42*'DRE PARCERIAS BANCO PAN'!AN$47)</f>
        <v>-16930.134480000001</v>
      </c>
      <c r="AO93" s="13">
        <f>('DRE PARCERIAS BANCO PAN'!AO25*'DRE PARCERIAS BANCO PAN'!AO$30)+('DRE PARCERIAS BANCO PAN'!AO42*'DRE PARCERIAS BANCO PAN'!AO$47)</f>
        <v>-12942.38623919</v>
      </c>
      <c r="AP93" s="41">
        <f t="shared" si="104"/>
        <v>-61311.259099190007</v>
      </c>
      <c r="AQ93" s="13">
        <f>('DRE PARCERIAS BANCO PAN'!AQ25*'DRE PARCERIAS BANCO PAN'!AQ$30)+('DRE PARCERIAS BANCO PAN'!AQ42*'DRE PARCERIAS BANCO PAN'!AQ$47)</f>
        <v>-21464.533299359999</v>
      </c>
      <c r="AR93" s="13">
        <f>('DRE PARCERIAS BANCO PAN'!AR25*'DRE PARCERIAS BANCO PAN'!AR$30)+('DRE PARCERIAS BANCO PAN'!AR42*'DRE PARCERIAS BANCO PAN'!AR$47)</f>
        <v>-19632.502338509999</v>
      </c>
      <c r="AS93" s="13">
        <f>('DRE PARCERIAS BANCO PAN'!AS25*'DRE PARCERIAS BANCO PAN'!AS$30)+('DRE PARCERIAS BANCO PAN'!AS42*'DRE PARCERIAS BANCO PAN'!AS$47)</f>
        <v>-23577.709742429997</v>
      </c>
      <c r="AT93" s="13">
        <f>('DRE PARCERIAS BANCO PAN'!AT25*'DRE PARCERIAS BANCO PAN'!AT$30)+('DRE PARCERIAS BANCO PAN'!AT42*'DRE PARCERIAS BANCO PAN'!AT$47)</f>
        <v>-16342.025848979998</v>
      </c>
      <c r="AU93" s="41">
        <f t="shared" si="105"/>
        <v>-81016.771229279999</v>
      </c>
      <c r="AV93" s="13">
        <f>('DRE PARCERIAS BANCO PAN'!AV25*'DRE PARCERIAS BANCO PAN'!AV$30)+('DRE PARCERIAS BANCO PAN'!AV42*'DRE PARCERIAS BANCO PAN'!AV$47)</f>
        <v>-22822.052613390002</v>
      </c>
      <c r="AW93" s="13">
        <f>('DRE PARCERIAS BANCO PAN'!AW25*'DRE PARCERIAS BANCO PAN'!AW$30)+('DRE PARCERIAS BANCO PAN'!AW42*'DRE PARCERIAS BANCO PAN'!AW$47)</f>
        <v>-21633.809583390001</v>
      </c>
      <c r="AX93" s="13">
        <f>('DRE PARCERIAS BANCO PAN'!AX25*'DRE PARCERIAS BANCO PAN'!AX$30)+('DRE PARCERIAS BANCO PAN'!AX42*'DRE PARCERIAS BANCO PAN'!AX$47)</f>
        <v>-26339.737894009999</v>
      </c>
      <c r="AY93" s="13">
        <f>('DRE PARCERIAS BANCO PAN'!AY25*'DRE PARCERIAS BANCO PAN'!AY$30)+('DRE PARCERIAS BANCO PAN'!AY42*'DRE PARCERIAS BANCO PAN'!AY$47)</f>
        <v>-11260.274438359998</v>
      </c>
      <c r="AZ93" s="41">
        <f t="shared" si="106"/>
        <v>-82055.874529149994</v>
      </c>
      <c r="BA93" s="13">
        <f>('DRE PARCERIAS BANCO PAN'!BA25*'DRE PARCERIAS BANCO PAN'!BA$30)+('DRE PARCERIAS BANCO PAN'!BA42*'DRE PARCERIAS BANCO PAN'!BA$47)</f>
        <v>-29969.606545019997</v>
      </c>
    </row>
    <row r="94" spans="1:53">
      <c r="A94" s="11"/>
      <c r="B94" s="11" t="s">
        <v>422</v>
      </c>
      <c r="C94" s="13">
        <v>-1306.83</v>
      </c>
      <c r="D94" s="13">
        <v>-1672.3700000000001</v>
      </c>
      <c r="E94" s="13">
        <v>-855.54</v>
      </c>
      <c r="F94" s="13">
        <v>3323.18</v>
      </c>
      <c r="G94" s="41">
        <f t="shared" si="97"/>
        <v>-511.55999999999995</v>
      </c>
      <c r="H94" s="13">
        <v>-1463.9081681</v>
      </c>
      <c r="I94" s="13">
        <v>-798.13858249999998</v>
      </c>
      <c r="J94" s="13">
        <v>-1042.6390961000002</v>
      </c>
      <c r="K94" s="13">
        <v>5127.2429536999998</v>
      </c>
      <c r="L94" s="41">
        <f t="shared" si="98"/>
        <v>1822.5571069999996</v>
      </c>
      <c r="M94" s="13">
        <v>-3411.9951557999998</v>
      </c>
      <c r="N94" s="13">
        <v>-789.96151150000003</v>
      </c>
      <c r="O94" s="13">
        <v>-1290.8847972999999</v>
      </c>
      <c r="P94" s="13">
        <v>3716.4065385999997</v>
      </c>
      <c r="Q94" s="41">
        <f t="shared" si="99"/>
        <v>-1776.4349260000004</v>
      </c>
      <c r="R94" s="13">
        <v>-1376.3487009999999</v>
      </c>
      <c r="S94" s="13">
        <v>-3048.5239014999997</v>
      </c>
      <c r="T94" s="13">
        <v>-1408.0873975</v>
      </c>
      <c r="U94" s="13">
        <v>454.66230250000001</v>
      </c>
      <c r="V94" s="41">
        <f t="shared" si="100"/>
        <v>-5378.2976974999992</v>
      </c>
      <c r="W94" s="13">
        <v>-1944.32</v>
      </c>
      <c r="X94" s="13">
        <v>-2926.3051664</v>
      </c>
      <c r="Y94" s="13">
        <v>-2217.25</v>
      </c>
      <c r="Z94" s="13">
        <v>-1590.54</v>
      </c>
      <c r="AA94" s="41">
        <f t="shared" si="101"/>
        <v>-8678.4151664000001</v>
      </c>
      <c r="AB94" s="13">
        <v>-3986.1499999999996</v>
      </c>
      <c r="AC94" s="13">
        <v>-2569.56</v>
      </c>
      <c r="AD94" s="13">
        <v>-2055.6982397000002</v>
      </c>
      <c r="AE94" s="13">
        <v>-1000.09</v>
      </c>
      <c r="AF94" s="41">
        <f t="shared" si="102"/>
        <v>-9611.4982396999985</v>
      </c>
      <c r="AG94" s="13">
        <f>('DRE PARCERIAS BANCO PAN'!AG26*'DRE PARCERIAS BANCO PAN'!AG$30)+('DRE PARCERIAS BANCO PAN'!AG43*'DRE PARCERIAS BANCO PAN'!AG$47)</f>
        <v>-4279.0826699999998</v>
      </c>
      <c r="AH94" s="13">
        <f>('DRE PARCERIAS BANCO PAN'!AH26*'DRE PARCERIAS BANCO PAN'!AH$30)+('DRE PARCERIAS BANCO PAN'!AH43*'DRE PARCERIAS BANCO PAN'!AH$47)</f>
        <v>-4695.5741699999999</v>
      </c>
      <c r="AI94" s="1">
        <f>('DRE PARCERIAS BANCO PAN'!AI26*'DRE PARCERIAS BANCO PAN'!AI$30)+('DRE PARCERIAS BANCO PAN'!AI43*'DRE PARCERIAS BANCO PAN'!AI$47)</f>
        <v>-8120.1142799999998</v>
      </c>
      <c r="AJ94" s="1">
        <f>('DRE PARCERIAS BANCO PAN'!AJ26*'DRE PARCERIAS BANCO PAN'!AJ$30)+('DRE PARCERIAS BANCO PAN'!AJ43*'DRE PARCERIAS BANCO PAN'!AJ$47)</f>
        <v>-6446.3084399999998</v>
      </c>
      <c r="AK94" s="41">
        <f t="shared" si="103"/>
        <v>-23541.079559999998</v>
      </c>
      <c r="AL94" s="13">
        <f>('DRE PARCERIAS BANCO PAN'!AL26*'DRE PARCERIAS BANCO PAN'!AL$30)+('DRE PARCERIAS BANCO PAN'!AL43*'DRE PARCERIAS BANCO PAN'!AL$47)</f>
        <v>-9711.6018000000004</v>
      </c>
      <c r="AM94" s="13">
        <f>('DRE PARCERIAS BANCO PAN'!AM26*'DRE PARCERIAS BANCO PAN'!AM$30)+('DRE PARCERIAS BANCO PAN'!AM43*'DRE PARCERIAS BANCO PAN'!AM$47)</f>
        <v>-8784.5407200000009</v>
      </c>
      <c r="AN94" s="13">
        <f>('DRE PARCERIAS BANCO PAN'!AN26*'DRE PARCERIAS BANCO PAN'!AN$30)+('DRE PARCERIAS BANCO PAN'!AN43*'DRE PARCERIAS BANCO PAN'!AN$47)</f>
        <v>-9958.5567599999995</v>
      </c>
      <c r="AO94" s="13">
        <f>('DRE PARCERIAS BANCO PAN'!AO26*'DRE PARCERIAS BANCO PAN'!AO$30)+('DRE PARCERIAS BANCO PAN'!AO43*'DRE PARCERIAS BANCO PAN'!AO$47)</f>
        <v>-9065.0263192899984</v>
      </c>
      <c r="AP94" s="41">
        <f t="shared" si="104"/>
        <v>-37519.725599290003</v>
      </c>
      <c r="AQ94" s="13">
        <f>('DRE PARCERIAS BANCO PAN'!AQ26*'DRE PARCERIAS BANCO PAN'!AQ$30)+('DRE PARCERIAS BANCO PAN'!AQ43*'DRE PARCERIAS BANCO PAN'!AQ$47)</f>
        <v>-12625.32880497</v>
      </c>
      <c r="AR94" s="13">
        <f>('DRE PARCERIAS BANCO PAN'!AR26*'DRE PARCERIAS BANCO PAN'!AR$30)+('DRE PARCERIAS BANCO PAN'!AR43*'DRE PARCERIAS BANCO PAN'!AR$47)</f>
        <v>-11668.812466109999</v>
      </c>
      <c r="AS94" s="13">
        <f>('DRE PARCERIAS BANCO PAN'!AS26*'DRE PARCERIAS BANCO PAN'!AS$30)+('DRE PARCERIAS BANCO PAN'!AS43*'DRE PARCERIAS BANCO PAN'!AS$47)</f>
        <v>-14015.434844879999</v>
      </c>
      <c r="AT94" s="13">
        <f>('DRE PARCERIAS BANCO PAN'!AT26*'DRE PARCERIAS BANCO PAN'!AT$30)+('DRE PARCERIAS BANCO PAN'!AT43*'DRE PARCERIAS BANCO PAN'!AT$47)</f>
        <v>-11817.163673289999</v>
      </c>
      <c r="AU94" s="41">
        <f t="shared" si="105"/>
        <v>-50126.739789250001</v>
      </c>
      <c r="AV94" s="13">
        <f>('DRE PARCERIAS BANCO PAN'!AV26*'DRE PARCERIAS BANCO PAN'!AV$30)+('DRE PARCERIAS BANCO PAN'!AV43*'DRE PARCERIAS BANCO PAN'!AV$47)</f>
        <v>-13469.487162349998</v>
      </c>
      <c r="AW94" s="13">
        <f>('DRE PARCERIAS BANCO PAN'!AW26*'DRE PARCERIAS BANCO PAN'!AW$30)+('DRE PARCERIAS BANCO PAN'!AW43*'DRE PARCERIAS BANCO PAN'!AW$47)</f>
        <v>-12839.44611038</v>
      </c>
      <c r="AX94" s="13">
        <f>('DRE PARCERIAS BANCO PAN'!AX26*'DRE PARCERIAS BANCO PAN'!AX$30)+('DRE PARCERIAS BANCO PAN'!AX43*'DRE PARCERIAS BANCO PAN'!AX$47)</f>
        <v>-15644.87899664</v>
      </c>
      <c r="AY94" s="13">
        <f>('DRE PARCERIAS BANCO PAN'!AY26*'DRE PARCERIAS BANCO PAN'!AY$30)+('DRE PARCERIAS BANCO PAN'!AY43*'DRE PARCERIAS BANCO PAN'!AY$47)</f>
        <v>-10073.427199810001</v>
      </c>
      <c r="AZ94" s="41">
        <f t="shared" si="106"/>
        <v>-52027.23946918</v>
      </c>
      <c r="BA94" s="13">
        <f>('DRE PARCERIAS BANCO PAN'!BA26*'DRE PARCERIAS BANCO PAN'!BA$30)+('DRE PARCERIAS BANCO PAN'!BA43*'DRE PARCERIAS BANCO PAN'!BA$47)</f>
        <v>-17820.14018355</v>
      </c>
    </row>
    <row r="95" spans="1:53">
      <c r="A95" s="11"/>
      <c r="B95" s="11" t="s">
        <v>423</v>
      </c>
      <c r="C95" s="13">
        <f>('DRE PARCERIAS BANCO PAN'!C27*'DRE PARCERIAS BANCO PAN'!C$30)+('DRE PARCERIAS BANCO PAN'!C44*'DRE PARCERIAS BANCO PAN'!C$47)</f>
        <v>-53.9</v>
      </c>
      <c r="D95" s="13">
        <f>('DRE PARCERIAS BANCO PAN'!D27*'DRE PARCERIAS BANCO PAN'!D$30)+('DRE PARCERIAS BANCO PAN'!D44*'DRE PARCERIAS BANCO PAN'!D$47)</f>
        <v>0</v>
      </c>
      <c r="E95" s="13">
        <f>('DRE PARCERIAS BANCO PAN'!E27*'DRE PARCERIAS BANCO PAN'!E$30)+('DRE PARCERIAS BANCO PAN'!E44*'DRE PARCERIAS BANCO PAN'!E$47)</f>
        <v>0</v>
      </c>
      <c r="F95" s="13">
        <f>('DRE PARCERIAS BANCO PAN'!F27*'DRE PARCERIAS BANCO PAN'!F$30)+('DRE PARCERIAS BANCO PAN'!F44*'DRE PARCERIAS BANCO PAN'!F$47)</f>
        <v>0</v>
      </c>
      <c r="G95" s="41">
        <f t="shared" si="97"/>
        <v>-53.9</v>
      </c>
      <c r="H95" s="13">
        <f>('DRE PARCERIAS BANCO PAN'!H27*'DRE PARCERIAS BANCO PAN'!H$30)+('DRE PARCERIAS BANCO PAN'!H44*'DRE PARCERIAS BANCO PAN'!H$47)</f>
        <v>0</v>
      </c>
      <c r="I95" s="13">
        <f>('DRE PARCERIAS BANCO PAN'!I27*'DRE PARCERIAS BANCO PAN'!I$30)+('DRE PARCERIAS BANCO PAN'!I44*'DRE PARCERIAS BANCO PAN'!I$47)</f>
        <v>0</v>
      </c>
      <c r="J95" s="13">
        <f>('DRE PARCERIAS BANCO PAN'!J27*'DRE PARCERIAS BANCO PAN'!J$30)+('DRE PARCERIAS BANCO PAN'!J44*'DRE PARCERIAS BANCO PAN'!J$47)</f>
        <v>0</v>
      </c>
      <c r="K95" s="13">
        <f>('DRE PARCERIAS BANCO PAN'!K27*'DRE PARCERIAS BANCO PAN'!K$30)+('DRE PARCERIAS BANCO PAN'!K44*'DRE PARCERIAS BANCO PAN'!K$47)</f>
        <v>0</v>
      </c>
      <c r="L95" s="41">
        <f t="shared" si="98"/>
        <v>0</v>
      </c>
      <c r="M95" s="13">
        <v>-2205</v>
      </c>
      <c r="N95" s="13">
        <v>-2205</v>
      </c>
      <c r="O95" s="13">
        <v>-2205</v>
      </c>
      <c r="P95" s="13">
        <v>-2205</v>
      </c>
      <c r="Q95" s="41">
        <f t="shared" si="99"/>
        <v>-8820</v>
      </c>
      <c r="R95" s="13">
        <f>('DRE PARCERIAS BANCO PAN'!R27*'DRE PARCERIAS BANCO PAN'!R$30)+('DRE PARCERIAS BANCO PAN'!R44*'DRE PARCERIAS BANCO PAN'!R$47)</f>
        <v>0</v>
      </c>
      <c r="S95" s="13">
        <f>('DRE PARCERIAS BANCO PAN'!S27*'DRE PARCERIAS BANCO PAN'!S$30)+('DRE PARCERIAS BANCO PAN'!S44*'DRE PARCERIAS BANCO PAN'!S$47)</f>
        <v>0</v>
      </c>
      <c r="T95" s="13">
        <f>('DRE PARCERIAS BANCO PAN'!T27*'DRE PARCERIAS BANCO PAN'!T$30)+('DRE PARCERIAS BANCO PAN'!T44*'DRE PARCERIAS BANCO PAN'!T$47)</f>
        <v>0</v>
      </c>
      <c r="U95" s="13">
        <f>('DRE PARCERIAS BANCO PAN'!U27*'DRE PARCERIAS BANCO PAN'!U$30)+('DRE PARCERIAS BANCO PAN'!U44*'DRE PARCERIAS BANCO PAN'!U$47)</f>
        <v>0</v>
      </c>
      <c r="V95" s="41">
        <f t="shared" si="100"/>
        <v>0</v>
      </c>
      <c r="W95" s="13">
        <f>('DRE PARCERIAS BANCO PAN'!W27*'DRE PARCERIAS BANCO PAN'!W$30)+('DRE PARCERIAS BANCO PAN'!W44*'DRE PARCERIAS BANCO PAN'!W$47)</f>
        <v>0</v>
      </c>
      <c r="X95" s="13">
        <f>('DRE PARCERIAS BANCO PAN'!X27*'DRE PARCERIAS BANCO PAN'!X$30)+('DRE PARCERIAS BANCO PAN'!X44*'DRE PARCERIAS BANCO PAN'!X$47)</f>
        <v>0</v>
      </c>
      <c r="Y95" s="13">
        <f>('DRE PARCERIAS BANCO PAN'!Y27*'DRE PARCERIAS BANCO PAN'!Y$30)+('DRE PARCERIAS BANCO PAN'!Y44*'DRE PARCERIAS BANCO PAN'!Y$47)</f>
        <v>0</v>
      </c>
      <c r="Z95" s="13">
        <f>('DRE PARCERIAS BANCO PAN'!Z27*'DRE PARCERIAS BANCO PAN'!Z$30)+('DRE PARCERIAS BANCO PAN'!Z44*'DRE PARCERIAS BANCO PAN'!Z$47)</f>
        <v>0</v>
      </c>
      <c r="AA95" s="41">
        <f t="shared" si="101"/>
        <v>0</v>
      </c>
      <c r="AB95" s="13">
        <f>('DRE PARCERIAS BANCO PAN'!AB27*'DRE PARCERIAS BANCO PAN'!AB$30)+('DRE PARCERIAS BANCO PAN'!AB44*'DRE PARCERIAS BANCO PAN'!AB$47)</f>
        <v>0</v>
      </c>
      <c r="AC95" s="13">
        <f>('DRE PARCERIAS BANCO PAN'!AC27*'DRE PARCERIAS BANCO PAN'!AC$30)+('DRE PARCERIAS BANCO PAN'!AC44*'DRE PARCERIAS BANCO PAN'!AC$47)</f>
        <v>0</v>
      </c>
      <c r="AD95" s="13">
        <f>('DRE PARCERIAS BANCO PAN'!AD27*'DRE PARCERIAS BANCO PAN'!AD$30)+('DRE PARCERIAS BANCO PAN'!AD44*'DRE PARCERIAS BANCO PAN'!AD$47)</f>
        <v>0</v>
      </c>
      <c r="AE95" s="13">
        <f>('DRE PARCERIAS BANCO PAN'!AE27*'DRE PARCERIAS BANCO PAN'!AE$30)+('DRE PARCERIAS BANCO PAN'!AE44*'DRE PARCERIAS BANCO PAN'!AE$47)</f>
        <v>0</v>
      </c>
      <c r="AF95" s="41">
        <f t="shared" si="102"/>
        <v>0</v>
      </c>
      <c r="AG95" s="13">
        <f>('DRE PARCERIAS BANCO PAN'!AG27*'DRE PARCERIAS BANCO PAN'!AG$30)+('DRE PARCERIAS BANCO PAN'!AG44*'DRE PARCERIAS BANCO PAN'!AG$47)</f>
        <v>0</v>
      </c>
      <c r="AH95" s="13">
        <f>('DRE PARCERIAS BANCO PAN'!AH27*'DRE PARCERIAS BANCO PAN'!AH$30)+('DRE PARCERIAS BANCO PAN'!AH44*'DRE PARCERIAS BANCO PAN'!AH$47)</f>
        <v>0</v>
      </c>
      <c r="AI95" s="1">
        <f>('DRE PARCERIAS BANCO PAN'!AI27*'DRE PARCERIAS BANCO PAN'!AI$30)+('DRE PARCERIAS BANCO PAN'!AI44*'DRE PARCERIAS BANCO PAN'!AI$47)</f>
        <v>0</v>
      </c>
      <c r="AJ95" s="1">
        <f>('DRE PARCERIAS BANCO PAN'!AJ27*'DRE PARCERIAS BANCO PAN'!AJ$30)+('DRE PARCERIAS BANCO PAN'!AJ44*'DRE PARCERIAS BANCO PAN'!AJ$47)</f>
        <v>0</v>
      </c>
      <c r="AK95" s="41">
        <f t="shared" si="103"/>
        <v>0</v>
      </c>
      <c r="AL95" s="13">
        <f>('DRE PARCERIAS BANCO PAN'!AL27*'DRE PARCERIAS BANCO PAN'!AL$30)+('DRE PARCERIAS BANCO PAN'!AL44*'DRE PARCERIAS BANCO PAN'!AL$47)</f>
        <v>0</v>
      </c>
      <c r="AM95" s="13">
        <f>('DRE PARCERIAS BANCO PAN'!AM27*'DRE PARCERIAS BANCO PAN'!AM$30)+('DRE PARCERIAS BANCO PAN'!AM44*'DRE PARCERIAS BANCO PAN'!AM$47)</f>
        <v>0</v>
      </c>
      <c r="AN95" s="13">
        <f>('DRE PARCERIAS BANCO PAN'!AN27*'DRE PARCERIAS BANCO PAN'!AN$30)+('DRE PARCERIAS BANCO PAN'!AN44*'DRE PARCERIAS BANCO PAN'!AN$47)</f>
        <v>0</v>
      </c>
      <c r="AO95" s="13">
        <f>('DRE PARCERIAS BANCO PAN'!AO27*'DRE PARCERIAS BANCO PAN'!AO$30)+('DRE PARCERIAS BANCO PAN'!AO44*'DRE PARCERIAS BANCO PAN'!AO$47)</f>
        <v>0</v>
      </c>
      <c r="AP95" s="41">
        <f t="shared" si="104"/>
        <v>0</v>
      </c>
      <c r="AQ95" s="13">
        <f>('DRE PARCERIAS BANCO PAN'!AQ27*'DRE PARCERIAS BANCO PAN'!AQ$30)+('DRE PARCERIAS BANCO PAN'!AQ44*'DRE PARCERIAS BANCO PAN'!AQ$47)</f>
        <v>0</v>
      </c>
      <c r="AR95" s="13">
        <f>('DRE PARCERIAS BANCO PAN'!AR27*'DRE PARCERIAS BANCO PAN'!AR$30)+('DRE PARCERIAS BANCO PAN'!AR44*'DRE PARCERIAS BANCO PAN'!AR$47)</f>
        <v>0</v>
      </c>
      <c r="AS95" s="13">
        <f>('DRE PARCERIAS BANCO PAN'!AS27*'DRE PARCERIAS BANCO PAN'!AS$30)+('DRE PARCERIAS BANCO PAN'!AS44*'DRE PARCERIAS BANCO PAN'!AS$47)</f>
        <v>0</v>
      </c>
      <c r="AT95" s="13">
        <f>('DRE PARCERIAS BANCO PAN'!AT27*'DRE PARCERIAS BANCO PAN'!AT$30)+('DRE PARCERIAS BANCO PAN'!AT44*'DRE PARCERIAS BANCO PAN'!AT$47)</f>
        <v>0</v>
      </c>
      <c r="AU95" s="41">
        <f t="shared" si="105"/>
        <v>0</v>
      </c>
      <c r="AV95" s="13">
        <f>('DRE PARCERIAS BANCO PAN'!AV27*'DRE PARCERIAS BANCO PAN'!AV$30)+('DRE PARCERIAS BANCO PAN'!AV44*'DRE PARCERIAS BANCO PAN'!AV$47)</f>
        <v>0</v>
      </c>
      <c r="AW95" s="13">
        <f>('DRE PARCERIAS BANCO PAN'!AW27*'DRE PARCERIAS BANCO PAN'!AW$30)+('DRE PARCERIAS BANCO PAN'!AW44*'DRE PARCERIAS BANCO PAN'!AW$47)</f>
        <v>0</v>
      </c>
      <c r="AX95" s="13">
        <f>('DRE PARCERIAS BANCO PAN'!AX27*'DRE PARCERIAS BANCO PAN'!AX$30)+('DRE PARCERIAS BANCO PAN'!AX44*'DRE PARCERIAS BANCO PAN'!AX$47)</f>
        <v>0</v>
      </c>
      <c r="AY95" s="13">
        <f>('DRE PARCERIAS BANCO PAN'!AY27*'DRE PARCERIAS BANCO PAN'!AY$30)+('DRE PARCERIAS BANCO PAN'!AY44*'DRE PARCERIAS BANCO PAN'!AY$47)</f>
        <v>0</v>
      </c>
      <c r="AZ95" s="41">
        <f t="shared" si="106"/>
        <v>0</v>
      </c>
      <c r="BA95" s="13">
        <f>('DRE PARCERIAS BANCO PAN'!BA27*'DRE PARCERIAS BANCO PAN'!BA$30)+('DRE PARCERIAS BANCO PAN'!BA44*'DRE PARCERIAS BANCO PAN'!BA$47)</f>
        <v>0</v>
      </c>
    </row>
    <row r="96" spans="1:53">
      <c r="A96" s="11"/>
      <c r="B96" s="11" t="s">
        <v>424</v>
      </c>
      <c r="C96" s="13">
        <v>-2352</v>
      </c>
      <c r="D96" s="13">
        <v>-2205</v>
      </c>
      <c r="E96" s="13">
        <v>-1071.6299999999999</v>
      </c>
      <c r="F96" s="13">
        <v>5628.63</v>
      </c>
      <c r="G96" s="41">
        <f t="shared" si="97"/>
        <v>0</v>
      </c>
      <c r="H96" s="13">
        <v>0</v>
      </c>
      <c r="I96" s="13">
        <v>0</v>
      </c>
      <c r="J96" s="13">
        <v>0</v>
      </c>
      <c r="K96" s="13">
        <v>0</v>
      </c>
      <c r="L96" s="41">
        <f t="shared" si="98"/>
        <v>0</v>
      </c>
      <c r="M96" s="13">
        <v>0</v>
      </c>
      <c r="N96" s="13">
        <v>0</v>
      </c>
      <c r="O96" s="13">
        <v>0</v>
      </c>
      <c r="P96" s="13">
        <v>0</v>
      </c>
      <c r="Q96" s="41">
        <f t="shared" si="99"/>
        <v>0</v>
      </c>
      <c r="R96" s="13">
        <v>0</v>
      </c>
      <c r="S96" s="13">
        <v>0</v>
      </c>
      <c r="T96" s="13">
        <v>0</v>
      </c>
      <c r="U96" s="13">
        <v>0</v>
      </c>
      <c r="V96" s="41">
        <f t="shared" si="100"/>
        <v>0</v>
      </c>
      <c r="W96" s="13">
        <v>0</v>
      </c>
      <c r="X96" s="13">
        <v>0</v>
      </c>
      <c r="Y96" s="13">
        <v>0</v>
      </c>
      <c r="Z96" s="13">
        <v>0</v>
      </c>
      <c r="AA96" s="41">
        <f t="shared" si="101"/>
        <v>0</v>
      </c>
      <c r="AB96" s="13">
        <v>0</v>
      </c>
      <c r="AC96" s="13">
        <v>0</v>
      </c>
      <c r="AD96" s="13">
        <v>0</v>
      </c>
      <c r="AE96" s="13">
        <v>0</v>
      </c>
      <c r="AF96" s="41">
        <f t="shared" si="102"/>
        <v>0</v>
      </c>
      <c r="AG96" s="13">
        <f>('DRE PARCERIAS BANCO PAN'!AG28*'DRE PARCERIAS BANCO PAN'!AG$30)+('DRE PARCERIAS BANCO PAN'!AG45*'DRE PARCERIAS BANCO PAN'!AG$47)</f>
        <v>0</v>
      </c>
      <c r="AH96" s="13">
        <f>('DRE PARCERIAS BANCO PAN'!AH28*'DRE PARCERIAS BANCO PAN'!AH$30)+('DRE PARCERIAS BANCO PAN'!AH45*'DRE PARCERIAS BANCO PAN'!AH$47)</f>
        <v>0</v>
      </c>
      <c r="AI96" s="1">
        <f>('DRE PARCERIAS BANCO PAN'!AI28*'DRE PARCERIAS BANCO PAN'!AI$30)+('DRE PARCERIAS BANCO PAN'!AI45*'DRE PARCERIAS BANCO PAN'!AI$47)</f>
        <v>0</v>
      </c>
      <c r="AJ96" s="1">
        <f>('DRE PARCERIAS BANCO PAN'!AJ28*'DRE PARCERIAS BANCO PAN'!AJ$30)+('DRE PARCERIAS BANCO PAN'!AJ45*'DRE PARCERIAS BANCO PAN'!AJ$47)</f>
        <v>0</v>
      </c>
      <c r="AK96" s="41">
        <f t="shared" si="103"/>
        <v>0</v>
      </c>
      <c r="AL96" s="13">
        <f>('DRE PARCERIAS BANCO PAN'!AL28*'DRE PARCERIAS BANCO PAN'!AL$30)+('DRE PARCERIAS BANCO PAN'!AL45*'DRE PARCERIAS BANCO PAN'!AL$47)</f>
        <v>0</v>
      </c>
      <c r="AM96" s="13">
        <f>('DRE PARCERIAS BANCO PAN'!AM28*'DRE PARCERIAS BANCO PAN'!AM$30)+('DRE PARCERIAS BANCO PAN'!AM45*'DRE PARCERIAS BANCO PAN'!AM$47)</f>
        <v>0</v>
      </c>
      <c r="AN96" s="13">
        <f>('DRE PARCERIAS BANCO PAN'!AN28*'DRE PARCERIAS BANCO PAN'!AN$30)+('DRE PARCERIAS BANCO PAN'!AN45*'DRE PARCERIAS BANCO PAN'!AN$47)</f>
        <v>0</v>
      </c>
      <c r="AO96" s="13">
        <f>('DRE PARCERIAS BANCO PAN'!AO28*'DRE PARCERIAS BANCO PAN'!AO$30)+('DRE PARCERIAS BANCO PAN'!AO45*'DRE PARCERIAS BANCO PAN'!AO$47)</f>
        <v>0</v>
      </c>
      <c r="AP96" s="41">
        <f t="shared" si="104"/>
        <v>0</v>
      </c>
      <c r="AQ96" s="13">
        <f>('DRE PARCERIAS BANCO PAN'!AQ28*'DRE PARCERIAS BANCO PAN'!AQ$30)+('DRE PARCERIAS BANCO PAN'!AQ45*'DRE PARCERIAS BANCO PAN'!AQ$47)</f>
        <v>0</v>
      </c>
      <c r="AR96" s="13">
        <f>('DRE PARCERIAS BANCO PAN'!AR28*'DRE PARCERIAS BANCO PAN'!AR$30)+('DRE PARCERIAS BANCO PAN'!AR45*'DRE PARCERIAS BANCO PAN'!AR$47)</f>
        <v>0</v>
      </c>
      <c r="AS96" s="13">
        <f>('DRE PARCERIAS BANCO PAN'!AS28*'DRE PARCERIAS BANCO PAN'!AS$30)+('DRE PARCERIAS BANCO PAN'!AS45*'DRE PARCERIAS BANCO PAN'!AS$47)</f>
        <v>0</v>
      </c>
      <c r="AT96" s="13">
        <f>('DRE PARCERIAS BANCO PAN'!AT28*'DRE PARCERIAS BANCO PAN'!AT$30)+('DRE PARCERIAS BANCO PAN'!AT45*'DRE PARCERIAS BANCO PAN'!AT$47)</f>
        <v>0</v>
      </c>
      <c r="AU96" s="41">
        <f t="shared" si="105"/>
        <v>0</v>
      </c>
      <c r="AV96" s="13">
        <f>('DRE PARCERIAS BANCO PAN'!AV28*'DRE PARCERIAS BANCO PAN'!AV$30)+('DRE PARCERIAS BANCO PAN'!AV45*'DRE PARCERIAS BANCO PAN'!AV$47)</f>
        <v>0</v>
      </c>
      <c r="AW96" s="13">
        <f>('DRE PARCERIAS BANCO PAN'!AW28*'DRE PARCERIAS BANCO PAN'!AW$30)+('DRE PARCERIAS BANCO PAN'!AW45*'DRE PARCERIAS BANCO PAN'!AW$47)</f>
        <v>0</v>
      </c>
      <c r="AX96" s="13">
        <f>('DRE PARCERIAS BANCO PAN'!AX28*'DRE PARCERIAS BANCO PAN'!AX$30)+('DRE PARCERIAS BANCO PAN'!AX45*'DRE PARCERIAS BANCO PAN'!AX$47)</f>
        <v>0</v>
      </c>
      <c r="AY96" s="13">
        <f>('DRE PARCERIAS BANCO PAN'!AY28*'DRE PARCERIAS BANCO PAN'!AY$30)+('DRE PARCERIAS BANCO PAN'!AY45*'DRE PARCERIAS BANCO PAN'!AY$47)</f>
        <v>0</v>
      </c>
      <c r="AZ96" s="41">
        <f t="shared" si="106"/>
        <v>0</v>
      </c>
      <c r="BA96" s="13">
        <f>('DRE PARCERIAS BANCO PAN'!BA28*'DRE PARCERIAS BANCO PAN'!BA$30)+('DRE PARCERIAS BANCO PAN'!BA45*'DRE PARCERIAS BANCO PAN'!BA$47)</f>
        <v>0</v>
      </c>
    </row>
    <row r="97" spans="1:53" ht="24" customHeight="1" thickBot="1">
      <c r="A97" s="15"/>
      <c r="B97" s="15" t="s">
        <v>435</v>
      </c>
      <c r="C97" s="33">
        <f t="shared" ref="C97:F97" si="127">SUM(C92:C96)</f>
        <v>12139.930319999996</v>
      </c>
      <c r="D97" s="33">
        <f t="shared" si="127"/>
        <v>11623.855949999981</v>
      </c>
      <c r="E97" s="33">
        <f t="shared" si="127"/>
        <v>9316.1254900000076</v>
      </c>
      <c r="F97" s="33">
        <f t="shared" si="127"/>
        <v>-4536.3114215000251</v>
      </c>
      <c r="G97" s="37">
        <f t="shared" si="97"/>
        <v>28543.600338499957</v>
      </c>
      <c r="H97" s="33">
        <f t="shared" ref="H97:K97" si="128">SUM(H92:H96)</f>
        <v>8525.7078277000037</v>
      </c>
      <c r="I97" s="33">
        <f t="shared" si="128"/>
        <v>13065.82828810001</v>
      </c>
      <c r="J97" s="33">
        <f t="shared" si="128"/>
        <v>11121.331300100002</v>
      </c>
      <c r="K97" s="33">
        <f t="shared" si="128"/>
        <v>20554.673027000001</v>
      </c>
      <c r="L97" s="37">
        <f t="shared" si="98"/>
        <v>53267.540442900019</v>
      </c>
      <c r="M97" s="33">
        <f t="shared" ref="M97:P97" si="129">SUM(M92:M96)</f>
        <v>22695.163365699995</v>
      </c>
      <c r="N97" s="33">
        <f t="shared" si="129"/>
        <v>-977.02919369999472</v>
      </c>
      <c r="O97" s="33">
        <f t="shared" si="129"/>
        <v>9438.6275332999903</v>
      </c>
      <c r="P97" s="33">
        <f t="shared" si="129"/>
        <v>17860.065399400024</v>
      </c>
      <c r="Q97" s="37">
        <f t="shared" si="99"/>
        <v>49016.827104700016</v>
      </c>
      <c r="R97" s="33">
        <f t="shared" ref="R97:U97" si="130">SUM(R92:R96)</f>
        <v>12887.129242400013</v>
      </c>
      <c r="S97" s="33">
        <f t="shared" si="130"/>
        <v>16801.456091</v>
      </c>
      <c r="T97" s="33">
        <f t="shared" si="130"/>
        <v>18109.375086600012</v>
      </c>
      <c r="U97" s="33">
        <f t="shared" si="130"/>
        <v>33165.126856399947</v>
      </c>
      <c r="V97" s="37">
        <f t="shared" si="100"/>
        <v>80963.08727639998</v>
      </c>
      <c r="W97" s="33">
        <f t="shared" ref="W97:Z97" si="131">SUM(W92:W96)</f>
        <v>11495.372070000007</v>
      </c>
      <c r="X97" s="33">
        <f t="shared" si="131"/>
        <v>13861.338858499994</v>
      </c>
      <c r="Y97" s="33">
        <f t="shared" si="131"/>
        <v>12440.472799999994</v>
      </c>
      <c r="Z97" s="33">
        <f t="shared" si="131"/>
        <v>24788.209670000011</v>
      </c>
      <c r="AA97" s="37">
        <f t="shared" si="101"/>
        <v>62585.393398500004</v>
      </c>
      <c r="AB97" s="33">
        <f t="shared" ref="AB97:AE97" si="132">SUM(AB92:AB96)</f>
        <v>18162.799129999999</v>
      </c>
      <c r="AC97" s="33">
        <f t="shared" si="132"/>
        <v>14672.252769999983</v>
      </c>
      <c r="AD97" s="33">
        <f t="shared" si="132"/>
        <v>7841.6472378999906</v>
      </c>
      <c r="AE97" s="33">
        <f t="shared" si="132"/>
        <v>22892.31</v>
      </c>
      <c r="AF97" s="37">
        <f t="shared" si="102"/>
        <v>63569.009137899979</v>
      </c>
      <c r="AG97" s="33">
        <f>SUM(AG92:AG96)</f>
        <v>20552.14056</v>
      </c>
      <c r="AH97" s="33">
        <f>SUM(AH92:AH96)</f>
        <v>22011.330779999993</v>
      </c>
      <c r="AI97" s="33">
        <f>SUM(AI92:AI96)</f>
        <v>34476.67637999999</v>
      </c>
      <c r="AJ97" s="33">
        <f>SUM(AJ92:AJ96)</f>
        <v>53182.044630000011</v>
      </c>
      <c r="AK97" s="37">
        <f t="shared" si="103"/>
        <v>130222.19235</v>
      </c>
      <c r="AL97" s="33">
        <f>SUM(AL92:AL96)</f>
        <v>49076.418419999987</v>
      </c>
      <c r="AM97" s="33">
        <f>SUM(AM92:AM96)</f>
        <v>45896.873309999981</v>
      </c>
      <c r="AN97" s="33">
        <f t="shared" ref="AN97:AO97" si="133">SUM(AN92:AN96)</f>
        <v>50455.250279999993</v>
      </c>
      <c r="AO97" s="33">
        <f t="shared" si="133"/>
        <v>53695.120107399998</v>
      </c>
      <c r="AP97" s="37">
        <f t="shared" si="104"/>
        <v>199123.66211739997</v>
      </c>
      <c r="AQ97" s="33">
        <f>SUM(AQ92:AQ96)</f>
        <v>63418.927959749992</v>
      </c>
      <c r="AR97" s="33">
        <f>SUM(AR92:AR96)</f>
        <v>54764.830417589998</v>
      </c>
      <c r="AS97" s="33">
        <f t="shared" ref="AS97:AT97" si="134">SUM(AS92:AS96)</f>
        <v>65457.69893133</v>
      </c>
      <c r="AT97" s="33">
        <f t="shared" si="134"/>
        <v>61317.861153190017</v>
      </c>
      <c r="AU97" s="37">
        <f t="shared" si="105"/>
        <v>244959.31846186001</v>
      </c>
      <c r="AV97" s="33">
        <f t="shared" ref="AV97" si="135">SUM(AV92:AV96)</f>
        <v>64007.356925079985</v>
      </c>
      <c r="AW97" s="33">
        <f t="shared" ref="AW97:AX97" si="136">SUM(AW92:AW96)</f>
        <v>62433.307778279996</v>
      </c>
      <c r="AX97" s="33">
        <f t="shared" si="136"/>
        <v>74205.571417889994</v>
      </c>
      <c r="AY97" s="33">
        <f>SUM(AY92:AY96)</f>
        <v>56651.574081960003</v>
      </c>
      <c r="AZ97" s="37">
        <f t="shared" si="106"/>
        <v>257297.81020320999</v>
      </c>
      <c r="BA97" s="33">
        <f>SUM(BA92:BA96)</f>
        <v>86667.11532041998</v>
      </c>
    </row>
    <row r="98" spans="1:53" ht="21" customHeight="1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65"/>
      <c r="AI98" s="65"/>
      <c r="AJ98" s="8"/>
      <c r="AK98" s="8"/>
      <c r="AL98" s="8"/>
      <c r="AM98" s="65"/>
      <c r="AN98" s="65"/>
      <c r="AO98" s="8"/>
      <c r="AP98" s="8"/>
      <c r="AQ98" s="8"/>
      <c r="AR98" s="65"/>
      <c r="AS98" s="65"/>
      <c r="AT98" s="8"/>
      <c r="AU98" s="8"/>
      <c r="AV98" s="8"/>
      <c r="AW98" s="8"/>
      <c r="AX98" s="8"/>
      <c r="AY98" s="8"/>
      <c r="AZ98" s="8"/>
      <c r="BA98" s="8"/>
    </row>
    <row r="99" spans="1:53" s="103" customFormat="1" ht="23.25">
      <c r="A99" s="74"/>
      <c r="B99" s="74" t="s">
        <v>439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</row>
    <row r="100" spans="1:53" ht="15.75" thickBot="1"/>
    <row r="101" spans="1:53" s="30" customFormat="1" ht="24.4" customHeight="1">
      <c r="A101" s="625"/>
      <c r="B101" s="625" t="s">
        <v>440</v>
      </c>
      <c r="C101" s="626" t="s">
        <v>224</v>
      </c>
      <c r="D101" s="626" t="s">
        <v>225</v>
      </c>
      <c r="E101" s="626" t="s">
        <v>226</v>
      </c>
      <c r="F101" s="626" t="s">
        <v>227</v>
      </c>
      <c r="G101" s="652">
        <v>2016</v>
      </c>
      <c r="H101" s="626" t="s">
        <v>228</v>
      </c>
      <c r="I101" s="626" t="s">
        <v>229</v>
      </c>
      <c r="J101" s="626" t="s">
        <v>230</v>
      </c>
      <c r="K101" s="626" t="s">
        <v>231</v>
      </c>
      <c r="L101" s="652">
        <v>2017</v>
      </c>
      <c r="M101" s="626" t="s">
        <v>232</v>
      </c>
      <c r="N101" s="626" t="s">
        <v>233</v>
      </c>
      <c r="O101" s="626" t="s">
        <v>234</v>
      </c>
      <c r="P101" s="626" t="s">
        <v>235</v>
      </c>
      <c r="Q101" s="652">
        <v>2018</v>
      </c>
      <c r="R101" s="626" t="s">
        <v>236</v>
      </c>
      <c r="S101" s="626" t="s">
        <v>237</v>
      </c>
      <c r="T101" s="626" t="s">
        <v>238</v>
      </c>
      <c r="U101" s="626" t="s">
        <v>239</v>
      </c>
      <c r="V101" s="652">
        <v>2019</v>
      </c>
      <c r="W101" s="626" t="s">
        <v>240</v>
      </c>
      <c r="X101" s="626" t="s">
        <v>241</v>
      </c>
      <c r="Y101" s="626" t="s">
        <v>242</v>
      </c>
      <c r="Z101" s="626" t="s">
        <v>243</v>
      </c>
      <c r="AA101" s="652">
        <v>2020</v>
      </c>
      <c r="AB101" s="626" t="s">
        <v>244</v>
      </c>
      <c r="AC101" s="626" t="s">
        <v>245</v>
      </c>
      <c r="AD101" s="626" t="s">
        <v>246</v>
      </c>
      <c r="AE101" s="626" t="s">
        <v>247</v>
      </c>
      <c r="AF101" s="652">
        <v>2021</v>
      </c>
      <c r="AG101" s="626" t="s">
        <v>248</v>
      </c>
      <c r="AH101" s="626" t="s">
        <v>249</v>
      </c>
      <c r="AI101" s="626" t="s">
        <v>250</v>
      </c>
      <c r="AJ101" s="626" t="s">
        <v>215</v>
      </c>
      <c r="AK101" s="652">
        <v>2022</v>
      </c>
      <c r="AL101" s="626" t="s">
        <v>252</v>
      </c>
      <c r="AM101" s="626" t="s">
        <v>253</v>
      </c>
      <c r="AN101" s="626" t="s">
        <v>254</v>
      </c>
      <c r="AO101" s="626" t="s">
        <v>219</v>
      </c>
      <c r="AP101" s="652">
        <v>2023</v>
      </c>
      <c r="AQ101" s="626" t="s">
        <v>223</v>
      </c>
      <c r="AR101" s="626" t="s">
        <v>256</v>
      </c>
      <c r="AS101" s="626" t="s">
        <v>357</v>
      </c>
      <c r="AT101" s="626" t="s">
        <v>358</v>
      </c>
      <c r="AU101" s="652">
        <v>2024</v>
      </c>
      <c r="AV101" s="626" t="s">
        <v>359</v>
      </c>
      <c r="AW101" s="626" t="s">
        <v>1115</v>
      </c>
      <c r="AX101" s="626" t="s">
        <v>1116</v>
      </c>
      <c r="AY101" s="626" t="s">
        <v>1117</v>
      </c>
      <c r="AZ101" s="653" t="s">
        <v>1118</v>
      </c>
      <c r="BA101" s="645" t="s">
        <v>1124</v>
      </c>
    </row>
    <row r="102" spans="1:53">
      <c r="A102" s="9"/>
      <c r="B102" s="9" t="s">
        <v>412</v>
      </c>
      <c r="C102" s="10">
        <v>88568.368490000008</v>
      </c>
      <c r="D102" s="10">
        <v>69381.565180000034</v>
      </c>
      <c r="E102" s="10">
        <v>80497.868669999923</v>
      </c>
      <c r="F102" s="10">
        <v>89637.386329999979</v>
      </c>
      <c r="G102" s="39">
        <v>328085.18866999994</v>
      </c>
      <c r="H102" s="10">
        <v>137613.35517000002</v>
      </c>
      <c r="I102" s="10">
        <v>126909.01842000002</v>
      </c>
      <c r="J102" s="10">
        <v>132954.16104999997</v>
      </c>
      <c r="K102" s="10">
        <v>109007.80657999999</v>
      </c>
      <c r="L102" s="39">
        <v>506484.34121999994</v>
      </c>
      <c r="M102" s="10">
        <v>202770.36212999999</v>
      </c>
      <c r="N102" s="10">
        <v>155934.55770999996</v>
      </c>
      <c r="O102" s="10">
        <v>152860.31464999999</v>
      </c>
      <c r="P102" s="10">
        <v>154846.99670000011</v>
      </c>
      <c r="Q102" s="39">
        <v>666412.23119000008</v>
      </c>
      <c r="R102" s="10">
        <v>181908.14043</v>
      </c>
      <c r="S102" s="10">
        <v>184415.36861</v>
      </c>
      <c r="T102" s="10">
        <v>192286.61207999988</v>
      </c>
      <c r="U102" s="10">
        <v>87722.07242000007</v>
      </c>
      <c r="V102" s="39">
        <v>646332.19354000001</v>
      </c>
      <c r="W102" s="10">
        <v>173066.69044000001</v>
      </c>
      <c r="X102" s="10">
        <v>157080.37400000001</v>
      </c>
      <c r="Y102" s="10">
        <v>326701.03800000006</v>
      </c>
      <c r="Z102" s="10">
        <v>237841.76972999991</v>
      </c>
      <c r="AA102" s="39">
        <v>894689.87216999999</v>
      </c>
      <c r="AB102" s="10">
        <v>193160</v>
      </c>
      <c r="AC102" s="10">
        <v>192605.00899</v>
      </c>
      <c r="AD102" s="10">
        <v>329648.82882</v>
      </c>
      <c r="AE102" s="10">
        <v>333020.27799999999</v>
      </c>
      <c r="AF102" s="39">
        <v>1048434.1158099999</v>
      </c>
      <c r="AG102" s="10">
        <f>'DRE NEGÓCIOS DE DISTRIBUIÇÃO'!AG6+'DRE NEGÓCIOS DE DISTRIBUIÇÃO'!AG25</f>
        <v>280291</v>
      </c>
      <c r="AH102" s="10">
        <f>'DRE NEGÓCIOS DE DISTRIBUIÇÃO'!AH6+'DRE NEGÓCIOS DE DISTRIBUIÇÃO'!AH25</f>
        <v>340626</v>
      </c>
      <c r="AI102" s="76">
        <f>'DRE NEGÓCIOS DE DISTRIBUIÇÃO'!AI6+'DRE NEGÓCIOS DE DISTRIBUIÇÃO'!AI25</f>
        <v>436880</v>
      </c>
      <c r="AJ102" s="76">
        <f>'DRE NEGÓCIOS DE DISTRIBUIÇÃO'!AJ6+'DRE NEGÓCIOS DE DISTRIBUIÇÃO'!AJ25</f>
        <v>324450</v>
      </c>
      <c r="AK102" s="39">
        <f>SUM(AG102:AJ102)</f>
        <v>1382247</v>
      </c>
      <c r="AL102" s="10">
        <f>'DRE NEGÓCIOS DE DISTRIBUIÇÃO'!AL6+'DRE NEGÓCIOS DE DISTRIBUIÇÃO'!AL25</f>
        <v>385672</v>
      </c>
      <c r="AM102" s="10">
        <f>'DRE NEGÓCIOS DE DISTRIBUIÇÃO'!AM6+'DRE NEGÓCIOS DE DISTRIBUIÇÃO'!AM25</f>
        <v>390807</v>
      </c>
      <c r="AN102" s="443">
        <f>'DRE NEGÓCIOS DE DISTRIBUIÇÃO'!AN6+'DRE NEGÓCIOS DE DISTRIBUIÇÃO'!AN25</f>
        <v>406659</v>
      </c>
      <c r="AO102" s="10">
        <f>'DRE NEGÓCIOS DE DISTRIBUIÇÃO'!AO6+'DRE NEGÓCIOS DE DISTRIBUIÇÃO'!AO25</f>
        <v>425623</v>
      </c>
      <c r="AP102" s="39">
        <f>SUM(AL102:AO102)</f>
        <v>1608761</v>
      </c>
      <c r="AQ102" s="10">
        <f>'DRE NEGÓCIOS DE DISTRIBUIÇÃO'!AQ6+'DRE NEGÓCIOS DE DISTRIBUIÇÃO'!AQ25</f>
        <v>444428.51786000002</v>
      </c>
      <c r="AR102" s="10">
        <f>'DRE NEGÓCIOS DE DISTRIBUIÇÃO'!AR6+'DRE NEGÓCIOS DE DISTRIBUIÇÃO'!AR25</f>
        <v>442166</v>
      </c>
      <c r="AS102" s="10">
        <f>'DRE NEGÓCIOS DE DISTRIBUIÇÃO'!AS6+'DRE NEGÓCIOS DE DISTRIBUIÇÃO'!AS25</f>
        <v>452755</v>
      </c>
      <c r="AT102" s="10">
        <f>'DRE NEGÓCIOS DE DISTRIBUIÇÃO'!AT6+'DRE NEGÓCIOS DE DISTRIBUIÇÃO'!AT25</f>
        <v>530220</v>
      </c>
      <c r="AU102" s="39">
        <f>SUM(AQ102:AT102)</f>
        <v>1869569.51786</v>
      </c>
      <c r="AV102" s="10">
        <f>'DRE NEGÓCIOS DE DISTRIBUIÇÃO'!AV6+'DRE NEGÓCIOS DE DISTRIBUIÇÃO'!AV25</f>
        <v>460451.42543000006</v>
      </c>
      <c r="AW102" s="10">
        <f>'DRE NEGÓCIOS DE DISTRIBUIÇÃO'!AW6+'DRE NEGÓCIOS DE DISTRIBUIÇÃO'!AW25</f>
        <v>437957.48154000001</v>
      </c>
      <c r="AX102" s="10">
        <f>'DRE NEGÓCIOS DE DISTRIBUIÇÃO'!AX6+'DRE NEGÓCIOS DE DISTRIBUIÇÃO'!AX25</f>
        <v>480363.06883000006</v>
      </c>
      <c r="AY102" s="10">
        <f>'DRE NEGÓCIOS DE DISTRIBUIÇÃO'!AY6+'DRE NEGÓCIOS DE DISTRIBUIÇÃO'!AY25</f>
        <v>460074.50529</v>
      </c>
      <c r="AZ102" s="39">
        <f>SUM(AV102:AY102)</f>
        <v>1838846.4810900001</v>
      </c>
      <c r="BA102" s="10">
        <f>'DRE NEGÓCIOS DE DISTRIBUIÇÃO'!BA6+'DRE NEGÓCIOS DE DISTRIBUIÇÃO'!BA25</f>
        <v>466577.46025</v>
      </c>
    </row>
    <row r="103" spans="1:53">
      <c r="A103" s="11"/>
      <c r="B103" s="11" t="s">
        <v>413</v>
      </c>
      <c r="C103" s="12">
        <v>0</v>
      </c>
      <c r="D103" s="12">
        <v>0</v>
      </c>
      <c r="E103" s="12">
        <v>0</v>
      </c>
      <c r="F103" s="12">
        <v>0</v>
      </c>
      <c r="G103" s="40">
        <v>0</v>
      </c>
      <c r="H103" s="12">
        <v>0</v>
      </c>
      <c r="I103" s="12">
        <v>0</v>
      </c>
      <c r="J103" s="12">
        <v>0</v>
      </c>
      <c r="K103" s="12">
        <v>0</v>
      </c>
      <c r="L103" s="40">
        <v>0</v>
      </c>
      <c r="M103" s="12">
        <v>0</v>
      </c>
      <c r="N103" s="12">
        <v>0</v>
      </c>
      <c r="O103" s="12">
        <v>0</v>
      </c>
      <c r="P103" s="12">
        <v>0</v>
      </c>
      <c r="Q103" s="40">
        <v>0</v>
      </c>
      <c r="R103" s="12">
        <v>0</v>
      </c>
      <c r="S103" s="12">
        <v>0</v>
      </c>
      <c r="T103" s="12">
        <v>0</v>
      </c>
      <c r="U103" s="12">
        <v>0</v>
      </c>
      <c r="V103" s="40">
        <v>0</v>
      </c>
      <c r="W103" s="12">
        <v>0</v>
      </c>
      <c r="X103" s="12">
        <v>0</v>
      </c>
      <c r="Y103" s="12">
        <v>0</v>
      </c>
      <c r="Z103" s="12">
        <v>0</v>
      </c>
      <c r="AA103" s="40">
        <v>0</v>
      </c>
      <c r="AB103" s="12">
        <v>-441</v>
      </c>
      <c r="AC103" s="12">
        <v>-727</v>
      </c>
      <c r="AD103" s="12">
        <v>-1188.864</v>
      </c>
      <c r="AE103" s="12">
        <v>-6433.1360000000004</v>
      </c>
      <c r="AF103" s="40">
        <v>-8790</v>
      </c>
      <c r="AG103" s="12">
        <f>'DRE NEGÓCIOS DE DISTRIBUIÇÃO'!AG7+'DRE NEGÓCIOS DE DISTRIBUIÇÃO'!AG26</f>
        <v>-3225</v>
      </c>
      <c r="AH103" s="12">
        <f>'DRE NEGÓCIOS DE DISTRIBUIÇÃO'!AH7+'DRE NEGÓCIOS DE DISTRIBUIÇÃO'!AH26</f>
        <v>-3180</v>
      </c>
      <c r="AI103" s="1">
        <f>'DRE NEGÓCIOS DE DISTRIBUIÇÃO'!AI7+'DRE NEGÓCIOS DE DISTRIBUIÇÃO'!AI26</f>
        <v>-4650</v>
      </c>
      <c r="AJ103" s="1">
        <f>'DRE NEGÓCIOS DE DISTRIBUIÇÃO'!AJ7+'DRE NEGÓCIOS DE DISTRIBUIÇÃO'!AJ26</f>
        <v>-7399</v>
      </c>
      <c r="AK103" s="40">
        <f t="shared" ref="AK103:AK115" si="137">SUM(AG103:AJ103)</f>
        <v>-18454</v>
      </c>
      <c r="AL103" s="12">
        <f>'DRE NEGÓCIOS DE DISTRIBUIÇÃO'!AL7+'DRE NEGÓCIOS DE DISTRIBUIÇÃO'!AL26</f>
        <v>-5375</v>
      </c>
      <c r="AM103" s="12">
        <f>'DRE NEGÓCIOS DE DISTRIBUIÇÃO'!AM7+'DRE NEGÓCIOS DE DISTRIBUIÇÃO'!AM26</f>
        <v>-5550</v>
      </c>
      <c r="AN103" s="12">
        <f>'DRE NEGÓCIOS DE DISTRIBUIÇÃO'!AN7+'DRE NEGÓCIOS DE DISTRIBUIÇÃO'!AN26</f>
        <v>-5033</v>
      </c>
      <c r="AO103" s="12">
        <f>'DRE NEGÓCIOS DE DISTRIBUIÇÃO'!AO7+'DRE NEGÓCIOS DE DISTRIBUIÇÃO'!AO26</f>
        <v>-1723</v>
      </c>
      <c r="AP103" s="40">
        <f t="shared" ref="AP103:AP115" si="138">SUM(AL103:AO103)</f>
        <v>-17681</v>
      </c>
      <c r="AQ103" s="12">
        <f>'DRE NEGÓCIOS DE DISTRIBUIÇÃO'!AQ7+'DRE NEGÓCIOS DE DISTRIBUIÇÃO'!AQ26</f>
        <v>-7231</v>
      </c>
      <c r="AR103" s="12">
        <f>'DRE NEGÓCIOS DE DISTRIBUIÇÃO'!AR7+'DRE NEGÓCIOS DE DISTRIBUIÇÃO'!AR26</f>
        <v>-6518</v>
      </c>
      <c r="AS103" s="12">
        <f>'DRE NEGÓCIOS DE DISTRIBUIÇÃO'!AS7+'DRE NEGÓCIOS DE DISTRIBUIÇÃO'!AS26</f>
        <v>-5980</v>
      </c>
      <c r="AT103" s="12">
        <f>'DRE NEGÓCIOS DE DISTRIBUIÇÃO'!AT7+'DRE NEGÓCIOS DE DISTRIBUIÇÃO'!AT26</f>
        <v>-5905</v>
      </c>
      <c r="AU103" s="40">
        <f t="shared" ref="AU103:AU115" si="139">SUM(AQ103:AT103)</f>
        <v>-25634</v>
      </c>
      <c r="AV103" s="12">
        <f>'DRE NEGÓCIOS DE DISTRIBUIÇÃO'!AV7+'DRE NEGÓCIOS DE DISTRIBUIÇÃO'!AV26</f>
        <v>-8022.4818700000005</v>
      </c>
      <c r="AW103" s="12">
        <f>'DRE NEGÓCIOS DE DISTRIBUIÇÃO'!AW7+'DRE NEGÓCIOS DE DISTRIBUIÇÃO'!AW26</f>
        <v>-6565.0119799999993</v>
      </c>
      <c r="AX103" s="12">
        <f>'DRE NEGÓCIOS DE DISTRIBUIÇÃO'!AX7+'DRE NEGÓCIOS DE DISTRIBUIÇÃO'!AX26</f>
        <v>-6289</v>
      </c>
      <c r="AY103" s="12">
        <f>'DRE NEGÓCIOS DE DISTRIBUIÇÃO'!AY7+'DRE NEGÓCIOS DE DISTRIBUIÇÃO'!AY26</f>
        <v>-11178</v>
      </c>
      <c r="AZ103" s="40">
        <f t="shared" ref="AZ103:AZ115" si="140">SUM(AV103:AY103)</f>
        <v>-32054.493849999999</v>
      </c>
      <c r="BA103" s="12">
        <f>'DRE NEGÓCIOS DE DISTRIBUIÇÃO'!BA7+'DRE NEGÓCIOS DE DISTRIBUIÇÃO'!BA26</f>
        <v>-7946.1375599999974</v>
      </c>
    </row>
    <row r="104" spans="1:53">
      <c r="A104" s="11"/>
      <c r="B104" s="11" t="s">
        <v>414</v>
      </c>
      <c r="C104" s="13">
        <v>-10236</v>
      </c>
      <c r="D104" s="13">
        <v>-9201</v>
      </c>
      <c r="E104" s="13">
        <v>-11298</v>
      </c>
      <c r="F104" s="13">
        <v>-11358</v>
      </c>
      <c r="G104" s="41">
        <v>-42093</v>
      </c>
      <c r="H104" s="13">
        <v>-14341.066120000001</v>
      </c>
      <c r="I104" s="13">
        <v>-13100.862879999999</v>
      </c>
      <c r="J104" s="13">
        <v>-13727.869769999994</v>
      </c>
      <c r="K104" s="13">
        <v>-11542.481050000006</v>
      </c>
      <c r="L104" s="41">
        <v>-52712.279819999996</v>
      </c>
      <c r="M104" s="13">
        <v>-19953.096559999998</v>
      </c>
      <c r="N104" s="13">
        <v>-15502.619029999994</v>
      </c>
      <c r="O104" s="13">
        <v>-14914.997260000004</v>
      </c>
      <c r="P104" s="13">
        <v>-17269.655770000012</v>
      </c>
      <c r="Q104" s="41">
        <v>-67640.368620000008</v>
      </c>
      <c r="R104" s="13">
        <v>-17532</v>
      </c>
      <c r="S104" s="13">
        <v>-18115</v>
      </c>
      <c r="T104" s="13">
        <v>-19342</v>
      </c>
      <c r="U104" s="13">
        <v>-12115.037850000008</v>
      </c>
      <c r="V104" s="41">
        <v>-67104.037850000008</v>
      </c>
      <c r="W104" s="13">
        <v>-13301</v>
      </c>
      <c r="X104" s="13">
        <v>-15986</v>
      </c>
      <c r="Y104" s="13">
        <v>-31220</v>
      </c>
      <c r="Z104" s="13">
        <v>-22830</v>
      </c>
      <c r="AA104" s="41">
        <v>-83337</v>
      </c>
      <c r="AB104" s="13">
        <v>-20790</v>
      </c>
      <c r="AC104" s="13">
        <v>-24321.721720000001</v>
      </c>
      <c r="AD104" s="13">
        <v>-40614.164420000001</v>
      </c>
      <c r="AE104" s="13">
        <v>-41718.817999999999</v>
      </c>
      <c r="AF104" s="41">
        <v>-127444.70414</v>
      </c>
      <c r="AG104" s="13">
        <f>'DRE NEGÓCIOS DE DISTRIBUIÇÃO'!AG8+'DRE NEGÓCIOS DE DISTRIBUIÇÃO'!AG27</f>
        <v>-39427</v>
      </c>
      <c r="AH104" s="13">
        <f>'DRE NEGÓCIOS DE DISTRIBUIÇÃO'!AH8+'DRE NEGÓCIOS DE DISTRIBUIÇÃO'!AH27</f>
        <v>-49532</v>
      </c>
      <c r="AI104" s="1">
        <f>'DRE NEGÓCIOS DE DISTRIBUIÇÃO'!AI8+'DRE NEGÓCIOS DE DISTRIBUIÇÃO'!AI27</f>
        <v>-64386</v>
      </c>
      <c r="AJ104" s="1">
        <f>'DRE NEGÓCIOS DE DISTRIBUIÇÃO'!AJ8+'DRE NEGÓCIOS DE DISTRIBUIÇÃO'!AJ27</f>
        <v>-51499</v>
      </c>
      <c r="AK104" s="41">
        <f t="shared" si="137"/>
        <v>-204844</v>
      </c>
      <c r="AL104" s="13">
        <f>'DRE NEGÓCIOS DE DISTRIBUIÇÃO'!AL8+'DRE NEGÓCIOS DE DISTRIBUIÇÃO'!AL27</f>
        <v>-57665</v>
      </c>
      <c r="AM104" s="13">
        <f>'DRE NEGÓCIOS DE DISTRIBUIÇÃO'!AM8+'DRE NEGÓCIOS DE DISTRIBUIÇÃO'!AM27</f>
        <v>-59149</v>
      </c>
      <c r="AN104" s="13">
        <f>'DRE NEGÓCIOS DE DISTRIBUIÇÃO'!AN8+'DRE NEGÓCIOS DE DISTRIBUIÇÃO'!AN27</f>
        <v>-62880</v>
      </c>
      <c r="AO104" s="13">
        <f>'DRE NEGÓCIOS DE DISTRIBUIÇÃO'!AO8+'DRE NEGÓCIOS DE DISTRIBUIÇÃO'!AO27</f>
        <v>-65026</v>
      </c>
      <c r="AP104" s="41">
        <f t="shared" si="138"/>
        <v>-244720</v>
      </c>
      <c r="AQ104" s="13">
        <f>'DRE NEGÓCIOS DE DISTRIBUIÇÃO'!AQ8+'DRE NEGÓCIOS DE DISTRIBUIÇÃO'!AQ27</f>
        <v>-65977.099229999993</v>
      </c>
      <c r="AR104" s="13">
        <f>'DRE NEGÓCIOS DE DISTRIBUIÇÃO'!AR8+'DRE NEGÓCIOS DE DISTRIBUIÇÃO'!AR27</f>
        <v>-66381</v>
      </c>
      <c r="AS104" s="13">
        <f>'DRE NEGÓCIOS DE DISTRIBUIÇÃO'!AS8+'DRE NEGÓCIOS DE DISTRIBUIÇÃO'!AS27</f>
        <v>-69992.122901900002</v>
      </c>
      <c r="AT104" s="13">
        <f>'DRE NEGÓCIOS DE DISTRIBUIÇÃO'!AT8+'DRE NEGÓCIOS DE DISTRIBUIÇÃO'!AT27</f>
        <v>-80853</v>
      </c>
      <c r="AU104" s="41">
        <f t="shared" si="139"/>
        <v>-283203.22213190002</v>
      </c>
      <c r="AV104" s="13">
        <f>'DRE NEGÓCIOS DE DISTRIBUIÇÃO'!AV8+'DRE NEGÓCIOS DE DISTRIBUIÇÃO'!AV27</f>
        <v>-76593.76311</v>
      </c>
      <c r="AW104" s="13">
        <f>'DRE NEGÓCIOS DE DISTRIBUIÇÃO'!AW8+'DRE NEGÓCIOS DE DISTRIBUIÇÃO'!AW27</f>
        <v>-72819.684959999955</v>
      </c>
      <c r="AX104" s="13">
        <f>'DRE NEGÓCIOS DE DISTRIBUIÇÃO'!AX8+'DRE NEGÓCIOS DE DISTRIBUIÇÃO'!AX27</f>
        <v>-79176.200529999987</v>
      </c>
      <c r="AY104" s="13">
        <f>'DRE NEGÓCIOS DE DISTRIBUIÇÃO'!AY8+'DRE NEGÓCIOS DE DISTRIBUIÇÃO'!AY27</f>
        <v>-78012.238620000018</v>
      </c>
      <c r="AZ104" s="41">
        <f t="shared" si="140"/>
        <v>-306601.88721999998</v>
      </c>
      <c r="BA104" s="13">
        <f>'DRE NEGÓCIOS DE DISTRIBUIÇÃO'!BA8+'DRE NEGÓCIOS DE DISTRIBUIÇÃO'!BA27</f>
        <v>-77451.044609999939</v>
      </c>
    </row>
    <row r="105" spans="1:53">
      <c r="A105" s="11"/>
      <c r="B105" s="11" t="s">
        <v>415</v>
      </c>
      <c r="C105" s="13">
        <v>0</v>
      </c>
      <c r="D105" s="13">
        <v>0</v>
      </c>
      <c r="E105" s="13">
        <v>0</v>
      </c>
      <c r="F105" s="13">
        <v>0</v>
      </c>
      <c r="G105" s="41">
        <v>0</v>
      </c>
      <c r="H105" s="13">
        <v>0</v>
      </c>
      <c r="I105" s="13">
        <v>0</v>
      </c>
      <c r="J105" s="13">
        <v>0</v>
      </c>
      <c r="K105" s="13">
        <v>0</v>
      </c>
      <c r="L105" s="41">
        <v>0</v>
      </c>
      <c r="M105" s="13">
        <v>0</v>
      </c>
      <c r="N105" s="13">
        <v>0</v>
      </c>
      <c r="O105" s="13">
        <v>0</v>
      </c>
      <c r="P105" s="13">
        <v>0</v>
      </c>
      <c r="Q105" s="41">
        <v>0</v>
      </c>
      <c r="R105" s="13">
        <v>0</v>
      </c>
      <c r="S105" s="13">
        <v>0</v>
      </c>
      <c r="T105" s="13">
        <v>0</v>
      </c>
      <c r="U105" s="13">
        <v>0</v>
      </c>
      <c r="V105" s="41">
        <v>0</v>
      </c>
      <c r="W105" s="13">
        <v>0</v>
      </c>
      <c r="X105" s="13">
        <v>0</v>
      </c>
      <c r="Y105" s="13">
        <v>0</v>
      </c>
      <c r="Z105" s="13">
        <v>58</v>
      </c>
      <c r="AA105" s="41">
        <v>58</v>
      </c>
      <c r="AB105" s="13">
        <v>60</v>
      </c>
      <c r="AC105" s="13">
        <v>580</v>
      </c>
      <c r="AD105" s="13">
        <v>2217.4409999999998</v>
      </c>
      <c r="AE105" s="13">
        <v>1946.5590000000002</v>
      </c>
      <c r="AF105" s="41">
        <v>4804</v>
      </c>
      <c r="AG105" s="13">
        <f>'DRE NEGÓCIOS DE DISTRIBUIÇÃO'!AG9+'DRE NEGÓCIOS DE DISTRIBUIÇÃO'!AG28</f>
        <v>7502</v>
      </c>
      <c r="AH105" s="13">
        <f>'DRE NEGÓCIOS DE DISTRIBUIÇÃO'!AH9+'DRE NEGÓCIOS DE DISTRIBUIÇÃO'!AH28</f>
        <v>9081</v>
      </c>
      <c r="AI105" s="1">
        <f>'DRE NEGÓCIOS DE DISTRIBUIÇÃO'!AI9+'DRE NEGÓCIOS DE DISTRIBUIÇÃO'!AI28</f>
        <v>17603</v>
      </c>
      <c r="AJ105" s="1">
        <f>'DRE NEGÓCIOS DE DISTRIBUIÇÃO'!AJ9+'DRE NEGÓCIOS DE DISTRIBUIÇÃO'!AJ28</f>
        <v>12691</v>
      </c>
      <c r="AK105" s="41">
        <f t="shared" si="137"/>
        <v>46877</v>
      </c>
      <c r="AL105" s="13">
        <f>'DRE NEGÓCIOS DE DISTRIBUIÇÃO'!AL9+'DRE NEGÓCIOS DE DISTRIBUIÇÃO'!AL28</f>
        <v>11947</v>
      </c>
      <c r="AM105" s="13">
        <f>'DRE NEGÓCIOS DE DISTRIBUIÇÃO'!AM9+'DRE NEGÓCIOS DE DISTRIBUIÇÃO'!AM28</f>
        <v>14264</v>
      </c>
      <c r="AN105" s="13">
        <f>'DRE NEGÓCIOS DE DISTRIBUIÇÃO'!AN9+'DRE NEGÓCIOS DE DISTRIBUIÇÃO'!AN28</f>
        <v>18653</v>
      </c>
      <c r="AO105" s="13">
        <f>'DRE NEGÓCIOS DE DISTRIBUIÇÃO'!AO9+'DRE NEGÓCIOS DE DISTRIBUIÇÃO'!AO28</f>
        <v>15055</v>
      </c>
      <c r="AP105" s="41">
        <f t="shared" si="138"/>
        <v>59919</v>
      </c>
      <c r="AQ105" s="13">
        <f>'DRE NEGÓCIOS DE DISTRIBUIÇÃO'!AQ9+'DRE NEGÓCIOS DE DISTRIBUIÇÃO'!AQ28</f>
        <v>15695</v>
      </c>
      <c r="AR105" s="13">
        <f>'DRE NEGÓCIOS DE DISTRIBUIÇÃO'!AR9+'DRE NEGÓCIOS DE DISTRIBUIÇÃO'!AR28</f>
        <v>14709</v>
      </c>
      <c r="AS105" s="13">
        <f>'DRE NEGÓCIOS DE DISTRIBUIÇÃO'!AS9+'DRE NEGÓCIOS DE DISTRIBUIÇÃO'!AS28</f>
        <v>10848</v>
      </c>
      <c r="AT105" s="13">
        <f>'DRE NEGÓCIOS DE DISTRIBUIÇÃO'!AT9+'DRE NEGÓCIOS DE DISTRIBUIÇÃO'!AT28</f>
        <v>11551</v>
      </c>
      <c r="AU105" s="41">
        <f t="shared" si="139"/>
        <v>52803</v>
      </c>
      <c r="AV105" s="13">
        <f>'DRE NEGÓCIOS DE DISTRIBUIÇÃO'!AV9+'DRE NEGÓCIOS DE DISTRIBUIÇÃO'!AV28</f>
        <v>14363.373460000001</v>
      </c>
      <c r="AW105" s="13">
        <f>'DRE NEGÓCIOS DE DISTRIBUIÇÃO'!AW9+'DRE NEGÓCIOS DE DISTRIBUIÇÃO'!AW28</f>
        <v>18635</v>
      </c>
      <c r="AX105" s="13">
        <f>'DRE NEGÓCIOS DE DISTRIBUIÇÃO'!AX9+'DRE NEGÓCIOS DE DISTRIBUIÇÃO'!AX28</f>
        <v>20565.275220000003</v>
      </c>
      <c r="AY105" s="13">
        <f>'DRE NEGÓCIOS DE DISTRIBUIÇÃO'!AY9+'DRE NEGÓCIOS DE DISTRIBUIÇÃO'!AY28</f>
        <v>19445.034600000003</v>
      </c>
      <c r="AZ105" s="41">
        <f t="shared" si="140"/>
        <v>73008.683280000012</v>
      </c>
      <c r="BA105" s="13">
        <f>'DRE NEGÓCIOS DE DISTRIBUIÇÃO'!BA9+'DRE NEGÓCIOS DE DISTRIBUIÇÃO'!BA28</f>
        <v>15562.010460000005</v>
      </c>
    </row>
    <row r="106" spans="1:53">
      <c r="A106" s="11"/>
      <c r="B106" s="11" t="s">
        <v>416</v>
      </c>
      <c r="C106" s="12">
        <v>0</v>
      </c>
      <c r="D106" s="12">
        <v>0</v>
      </c>
      <c r="E106" s="12">
        <v>0</v>
      </c>
      <c r="F106" s="12">
        <v>0</v>
      </c>
      <c r="G106" s="40">
        <v>0</v>
      </c>
      <c r="H106" s="12">
        <v>0</v>
      </c>
      <c r="I106" s="12">
        <v>0</v>
      </c>
      <c r="J106" s="12">
        <v>0</v>
      </c>
      <c r="K106" s="12">
        <v>0</v>
      </c>
      <c r="L106" s="40">
        <v>0</v>
      </c>
      <c r="M106" s="12">
        <v>0</v>
      </c>
      <c r="N106" s="12">
        <v>0</v>
      </c>
      <c r="O106" s="12">
        <v>0</v>
      </c>
      <c r="P106" s="12">
        <v>0</v>
      </c>
      <c r="Q106" s="40">
        <v>0</v>
      </c>
      <c r="R106" s="12">
        <v>0</v>
      </c>
      <c r="S106" s="12">
        <v>0</v>
      </c>
      <c r="T106" s="12">
        <v>0</v>
      </c>
      <c r="U106" s="12">
        <v>0</v>
      </c>
      <c r="V106" s="40">
        <v>0</v>
      </c>
      <c r="W106" s="12">
        <v>0</v>
      </c>
      <c r="X106" s="12">
        <v>0</v>
      </c>
      <c r="Y106" s="12">
        <v>0</v>
      </c>
      <c r="Z106" s="12">
        <v>0</v>
      </c>
      <c r="AA106" s="40">
        <v>0</v>
      </c>
      <c r="AB106" s="12">
        <v>0</v>
      </c>
      <c r="AC106" s="12">
        <v>0</v>
      </c>
      <c r="AD106" s="12">
        <v>0</v>
      </c>
      <c r="AE106" s="12">
        <v>0</v>
      </c>
      <c r="AF106" s="40">
        <v>0</v>
      </c>
      <c r="AG106" s="12">
        <f>'DRE NEGÓCIOS DE DISTRIBUIÇÃO'!AG10+'DRE NEGÓCIOS DE DISTRIBUIÇÃO'!AG29</f>
        <v>0</v>
      </c>
      <c r="AH106" s="12">
        <f>'DRE NEGÓCIOS DE DISTRIBUIÇÃO'!AH10+'DRE NEGÓCIOS DE DISTRIBUIÇÃO'!AH29</f>
        <v>0</v>
      </c>
      <c r="AI106" s="1">
        <f>'DRE NEGÓCIOS DE DISTRIBUIÇÃO'!AI10+'DRE NEGÓCIOS DE DISTRIBUIÇÃO'!AI29</f>
        <v>0</v>
      </c>
      <c r="AJ106" s="1">
        <f>'DRE NEGÓCIOS DE DISTRIBUIÇÃO'!AJ10+'DRE NEGÓCIOS DE DISTRIBUIÇÃO'!AJ29</f>
        <v>0</v>
      </c>
      <c r="AK106" s="40">
        <f t="shared" si="137"/>
        <v>0</v>
      </c>
      <c r="AL106" s="12">
        <f>'DRE NEGÓCIOS DE DISTRIBUIÇÃO'!AL10+'DRE NEGÓCIOS DE DISTRIBUIÇÃO'!AL29</f>
        <v>0</v>
      </c>
      <c r="AM106" s="12">
        <f>'DRE NEGÓCIOS DE DISTRIBUIÇÃO'!AM10+'DRE NEGÓCIOS DE DISTRIBUIÇÃO'!AM29</f>
        <v>0</v>
      </c>
      <c r="AN106" s="12">
        <f>'DRE NEGÓCIOS DE DISTRIBUIÇÃO'!AN10+'DRE NEGÓCIOS DE DISTRIBUIÇÃO'!AN29</f>
        <v>0</v>
      </c>
      <c r="AO106" s="12">
        <f>'DRE NEGÓCIOS DE DISTRIBUIÇÃO'!AO10+'DRE NEGÓCIOS DE DISTRIBUIÇÃO'!AO29</f>
        <v>0</v>
      </c>
      <c r="AP106" s="40">
        <f t="shared" si="138"/>
        <v>0</v>
      </c>
      <c r="AQ106" s="12">
        <f>'DRE NEGÓCIOS DE DISTRIBUIÇÃO'!AQ10+'DRE NEGÓCIOS DE DISTRIBUIÇÃO'!AQ29</f>
        <v>0</v>
      </c>
      <c r="AR106" s="12">
        <f>'DRE NEGÓCIOS DE DISTRIBUIÇÃO'!AR10+'DRE NEGÓCIOS DE DISTRIBUIÇÃO'!AR29</f>
        <v>0</v>
      </c>
      <c r="AS106" s="12">
        <f>'DRE NEGÓCIOS DE DISTRIBUIÇÃO'!AS10+'DRE NEGÓCIOS DE DISTRIBUIÇÃO'!AS29</f>
        <v>0</v>
      </c>
      <c r="AT106" s="12">
        <f>'DRE NEGÓCIOS DE DISTRIBUIÇÃO'!AT10+'DRE NEGÓCIOS DE DISTRIBUIÇÃO'!AT29</f>
        <v>0</v>
      </c>
      <c r="AU106" s="40">
        <f t="shared" si="139"/>
        <v>0</v>
      </c>
      <c r="AV106" s="12">
        <f>'DRE NEGÓCIOS DE DISTRIBUIÇÃO'!AV10+'DRE NEGÓCIOS DE DISTRIBUIÇÃO'!AV29</f>
        <v>0</v>
      </c>
      <c r="AW106" s="12">
        <f>'DRE NEGÓCIOS DE DISTRIBUIÇÃO'!AW10+'DRE NEGÓCIOS DE DISTRIBUIÇÃO'!AW29</f>
        <v>0</v>
      </c>
      <c r="AX106" s="12">
        <f>'DRE NEGÓCIOS DE DISTRIBUIÇÃO'!AX10+'DRE NEGÓCIOS DE DISTRIBUIÇÃO'!AX29</f>
        <v>0</v>
      </c>
      <c r="AY106" s="12">
        <f>'DRE NEGÓCIOS DE DISTRIBUIÇÃO'!AY10+'DRE NEGÓCIOS DE DISTRIBUIÇÃO'!AY29</f>
        <v>0</v>
      </c>
      <c r="AZ106" s="40">
        <f t="shared" si="140"/>
        <v>0</v>
      </c>
      <c r="BA106" s="12">
        <f>'DRE NEGÓCIOS DE DISTRIBUIÇÃO'!BA10+'DRE NEGÓCIOS DE DISTRIBUIÇÃO'!BA29</f>
        <v>0</v>
      </c>
    </row>
    <row r="107" spans="1:53">
      <c r="A107" s="11"/>
      <c r="B107" s="11" t="s">
        <v>417</v>
      </c>
      <c r="C107" s="13">
        <v>0</v>
      </c>
      <c r="D107" s="13">
        <v>-1249</v>
      </c>
      <c r="E107" s="13">
        <v>-65.646679999999932</v>
      </c>
      <c r="F107" s="13">
        <v>-1.3533200000000676</v>
      </c>
      <c r="G107" s="41">
        <v>-1316</v>
      </c>
      <c r="H107" s="13">
        <v>0</v>
      </c>
      <c r="I107" s="13">
        <v>0</v>
      </c>
      <c r="J107" s="13">
        <v>0</v>
      </c>
      <c r="K107" s="13">
        <v>0</v>
      </c>
      <c r="L107" s="41">
        <v>0</v>
      </c>
      <c r="M107" s="13">
        <v>0</v>
      </c>
      <c r="N107" s="13">
        <v>0</v>
      </c>
      <c r="O107" s="13">
        <v>0</v>
      </c>
      <c r="P107" s="13">
        <v>30261.016889999995</v>
      </c>
      <c r="Q107" s="41">
        <v>30261.016889999995</v>
      </c>
      <c r="R107" s="13">
        <v>0</v>
      </c>
      <c r="S107" s="13">
        <v>0</v>
      </c>
      <c r="T107" s="13">
        <v>0</v>
      </c>
      <c r="U107" s="13">
        <v>-22.79496</v>
      </c>
      <c r="V107" s="41">
        <v>-22.79496</v>
      </c>
      <c r="W107" s="13">
        <v>0</v>
      </c>
      <c r="X107" s="13">
        <v>-10</v>
      </c>
      <c r="Y107" s="13">
        <v>-29</v>
      </c>
      <c r="Z107" s="13">
        <v>2</v>
      </c>
      <c r="AA107" s="41">
        <v>-37</v>
      </c>
      <c r="AB107" s="13">
        <v>0</v>
      </c>
      <c r="AC107" s="13">
        <v>0</v>
      </c>
      <c r="AD107" s="13">
        <v>0</v>
      </c>
      <c r="AE107" s="13">
        <v>0</v>
      </c>
      <c r="AF107" s="41">
        <v>0</v>
      </c>
      <c r="AG107" s="13">
        <f>'DRE NEGÓCIOS DE DISTRIBUIÇÃO'!AG11+'DRE NEGÓCIOS DE DISTRIBUIÇÃO'!AG30</f>
        <v>11445</v>
      </c>
      <c r="AH107" s="13">
        <f>'DRE NEGÓCIOS DE DISTRIBUIÇÃO'!AH11+'DRE NEGÓCIOS DE DISTRIBUIÇÃO'!AH30</f>
        <v>0</v>
      </c>
      <c r="AI107" s="1">
        <f>'DRE NEGÓCIOS DE DISTRIBUIÇÃO'!AI11+'DRE NEGÓCIOS DE DISTRIBUIÇÃO'!AI30</f>
        <v>0</v>
      </c>
      <c r="AJ107" s="1">
        <f>'DRE NEGÓCIOS DE DISTRIBUIÇÃO'!AJ11+'DRE NEGÓCIOS DE DISTRIBUIÇÃO'!AJ30</f>
        <v>0</v>
      </c>
      <c r="AK107" s="41">
        <f t="shared" si="137"/>
        <v>11445</v>
      </c>
      <c r="AL107" s="13">
        <f>'DRE NEGÓCIOS DE DISTRIBUIÇÃO'!AL11+'DRE NEGÓCIOS DE DISTRIBUIÇÃO'!AL30</f>
        <v>0</v>
      </c>
      <c r="AM107" s="13">
        <f>'DRE NEGÓCIOS DE DISTRIBUIÇÃO'!AM11+'DRE NEGÓCIOS DE DISTRIBUIÇÃO'!AM30</f>
        <v>0</v>
      </c>
      <c r="AN107" s="13">
        <f>'DRE NEGÓCIOS DE DISTRIBUIÇÃO'!AN11+'DRE NEGÓCIOS DE DISTRIBUIÇÃO'!AN30</f>
        <v>0</v>
      </c>
      <c r="AO107" s="13">
        <f>'DRE NEGÓCIOS DE DISTRIBUIÇÃO'!AO11+'DRE NEGÓCIOS DE DISTRIBUIÇÃO'!AO30</f>
        <v>0</v>
      </c>
      <c r="AP107" s="41">
        <f t="shared" si="138"/>
        <v>0</v>
      </c>
      <c r="AQ107" s="13">
        <f>'DRE NEGÓCIOS DE DISTRIBUIÇÃO'!AQ11+'DRE NEGÓCIOS DE DISTRIBUIÇÃO'!AQ30</f>
        <v>0</v>
      </c>
      <c r="AR107" s="13">
        <f>'DRE NEGÓCIOS DE DISTRIBUIÇÃO'!AR11+'DRE NEGÓCIOS DE DISTRIBUIÇÃO'!AR30</f>
        <v>2398</v>
      </c>
      <c r="AS107" s="13">
        <f>'DRE NEGÓCIOS DE DISTRIBUIÇÃO'!AS11+'DRE NEGÓCIOS DE DISTRIBUIÇÃO'!AS30</f>
        <v>1</v>
      </c>
      <c r="AT107" s="13">
        <f>'DRE NEGÓCIOS DE DISTRIBUIÇÃO'!AT11+'DRE NEGÓCIOS DE DISTRIBUIÇÃO'!AT30</f>
        <v>0</v>
      </c>
      <c r="AU107" s="41">
        <f t="shared" si="139"/>
        <v>2399</v>
      </c>
      <c r="AV107" s="13">
        <f>'DRE NEGÓCIOS DE DISTRIBUIÇÃO'!AV11+'DRE NEGÓCIOS DE DISTRIBUIÇÃO'!AV30</f>
        <v>-178.09609</v>
      </c>
      <c r="AW107" s="13">
        <f>'DRE NEGÓCIOS DE DISTRIBUIÇÃO'!AW11+'DRE NEGÓCIOS DE DISTRIBUIÇÃO'!AW30</f>
        <v>-885.76410999999996</v>
      </c>
      <c r="AX107" s="13">
        <f>'DRE NEGÓCIOS DE DISTRIBUIÇÃO'!AX11+'DRE NEGÓCIOS DE DISTRIBUIÇÃO'!AX30</f>
        <v>-4387.1374299999998</v>
      </c>
      <c r="AY107" s="13">
        <f>'DRE NEGÓCIOS DE DISTRIBUIÇÃO'!AY11+'DRE NEGÓCIOS DE DISTRIBUIÇÃO'!AY30</f>
        <v>-5825</v>
      </c>
      <c r="AZ107" s="41">
        <f t="shared" si="140"/>
        <v>-11275.99763</v>
      </c>
      <c r="BA107" s="13">
        <f>'DRE NEGÓCIOS DE DISTRIBUIÇÃO'!BA11+'DRE NEGÓCIOS DE DISTRIBUIÇÃO'!BA30</f>
        <v>-725</v>
      </c>
    </row>
    <row r="108" spans="1:53">
      <c r="A108" s="9"/>
      <c r="B108" s="9" t="s">
        <v>418</v>
      </c>
      <c r="C108" s="10">
        <v>78332.368490000008</v>
      </c>
      <c r="D108" s="10">
        <v>58931.565180000034</v>
      </c>
      <c r="E108" s="10">
        <v>69134.221989999918</v>
      </c>
      <c r="F108" s="10">
        <v>78278.033009999985</v>
      </c>
      <c r="G108" s="39">
        <v>284676.18866999994</v>
      </c>
      <c r="H108" s="10">
        <v>123272.28905000002</v>
      </c>
      <c r="I108" s="10">
        <v>113808.15554000002</v>
      </c>
      <c r="J108" s="10">
        <v>119226.29127999998</v>
      </c>
      <c r="K108" s="10">
        <v>97465.325529999987</v>
      </c>
      <c r="L108" s="39">
        <v>453772.06139999995</v>
      </c>
      <c r="M108" s="10">
        <v>182817.26556999999</v>
      </c>
      <c r="N108" s="10">
        <v>140431.93867999996</v>
      </c>
      <c r="O108" s="10">
        <v>137945.31738999998</v>
      </c>
      <c r="P108" s="10">
        <v>167838.35782000009</v>
      </c>
      <c r="Q108" s="39">
        <v>629032.87945999997</v>
      </c>
      <c r="R108" s="10">
        <v>164376.14043</v>
      </c>
      <c r="S108" s="10">
        <v>166300.36861</v>
      </c>
      <c r="T108" s="10">
        <v>172944.61207999988</v>
      </c>
      <c r="U108" s="10">
        <v>75584.239610000062</v>
      </c>
      <c r="V108" s="39">
        <v>579205.36072999996</v>
      </c>
      <c r="W108" s="10">
        <v>159765.69044000001</v>
      </c>
      <c r="X108" s="10">
        <v>141084.37400000001</v>
      </c>
      <c r="Y108" s="10">
        <v>295452.03800000006</v>
      </c>
      <c r="Z108" s="10">
        <v>215071.76972999991</v>
      </c>
      <c r="AA108" s="39">
        <v>811373.87216999999</v>
      </c>
      <c r="AB108" s="10">
        <v>171989</v>
      </c>
      <c r="AC108" s="10">
        <v>168136.28727</v>
      </c>
      <c r="AD108" s="10">
        <v>290063.2414</v>
      </c>
      <c r="AE108" s="10">
        <v>286814.88300000003</v>
      </c>
      <c r="AF108" s="39">
        <v>917003.41166999994</v>
      </c>
      <c r="AG108" s="10">
        <f t="shared" ref="AG108:AH108" si="141">SUM(AG102:AG107)</f>
        <v>256586</v>
      </c>
      <c r="AH108" s="10">
        <f t="shared" si="141"/>
        <v>296995</v>
      </c>
      <c r="AI108" s="76">
        <f>SUM(AI102:AI107)</f>
        <v>385447</v>
      </c>
      <c r="AJ108" s="76">
        <f>SUM(AJ102:AJ107)</f>
        <v>278243</v>
      </c>
      <c r="AK108" s="39">
        <f t="shared" si="137"/>
        <v>1217271</v>
      </c>
      <c r="AL108" s="10">
        <f>SUM(AL102:AL107)</f>
        <v>334579</v>
      </c>
      <c r="AM108" s="10">
        <f>SUM(AM102:AM107)</f>
        <v>340372</v>
      </c>
      <c r="AN108" s="10">
        <f t="shared" ref="AN108:AO108" si="142">SUM(AN102:AN107)</f>
        <v>357399</v>
      </c>
      <c r="AO108" s="10">
        <f t="shared" si="142"/>
        <v>373929</v>
      </c>
      <c r="AP108" s="39">
        <f t="shared" si="138"/>
        <v>1406279</v>
      </c>
      <c r="AQ108" s="10">
        <f>SUM(AQ102:AQ107)</f>
        <v>386915.41863000003</v>
      </c>
      <c r="AR108" s="10">
        <f>SUM(AR102:AR107)</f>
        <v>386374</v>
      </c>
      <c r="AS108" s="10">
        <f t="shared" ref="AS108:AT108" si="143">SUM(AS102:AS107)</f>
        <v>387631.87709810003</v>
      </c>
      <c r="AT108" s="10">
        <f t="shared" si="143"/>
        <v>455013</v>
      </c>
      <c r="AU108" s="39">
        <f t="shared" si="139"/>
        <v>1615934.2957281</v>
      </c>
      <c r="AV108" s="10">
        <f t="shared" ref="AV108" si="144">SUM(AV102:AV107)</f>
        <v>390020.45782000001</v>
      </c>
      <c r="AW108" s="10">
        <f t="shared" ref="AW108:AX108" si="145">SUM(AW102:AW107)</f>
        <v>376322.02049000002</v>
      </c>
      <c r="AX108" s="10">
        <f t="shared" si="145"/>
        <v>411076.0060900001</v>
      </c>
      <c r="AY108" s="10">
        <f>SUM(AY102:AY107)</f>
        <v>384504.30127</v>
      </c>
      <c r="AZ108" s="39">
        <f t="shared" si="140"/>
        <v>1561922.7856700001</v>
      </c>
      <c r="BA108" s="10">
        <f>SUM(BA102:BA107)</f>
        <v>396017.2885400001</v>
      </c>
    </row>
    <row r="109" spans="1:53">
      <c r="A109" s="11"/>
      <c r="B109" s="11" t="s">
        <v>419</v>
      </c>
      <c r="C109" s="13">
        <v>0</v>
      </c>
      <c r="D109" s="13">
        <v>0</v>
      </c>
      <c r="E109" s="13">
        <v>0</v>
      </c>
      <c r="F109" s="13">
        <v>0</v>
      </c>
      <c r="G109" s="40">
        <v>0</v>
      </c>
      <c r="H109" s="13">
        <v>0</v>
      </c>
      <c r="I109" s="13">
        <v>0</v>
      </c>
      <c r="J109" s="13">
        <v>0</v>
      </c>
      <c r="K109" s="13">
        <v>0</v>
      </c>
      <c r="L109" s="40">
        <v>0</v>
      </c>
      <c r="M109" s="13">
        <v>0</v>
      </c>
      <c r="N109" s="13">
        <v>0</v>
      </c>
      <c r="O109" s="13">
        <v>0</v>
      </c>
      <c r="P109" s="13">
        <v>0</v>
      </c>
      <c r="Q109" s="40">
        <v>0</v>
      </c>
      <c r="R109" s="13">
        <v>0</v>
      </c>
      <c r="S109" s="13">
        <v>0</v>
      </c>
      <c r="T109" s="13">
        <v>0</v>
      </c>
      <c r="U109" s="13">
        <v>0</v>
      </c>
      <c r="V109" s="40">
        <v>0</v>
      </c>
      <c r="W109" s="13">
        <v>0</v>
      </c>
      <c r="X109" s="13">
        <v>0</v>
      </c>
      <c r="Y109" s="13">
        <v>0</v>
      </c>
      <c r="Z109" s="13">
        <v>0</v>
      </c>
      <c r="AA109" s="40">
        <v>0</v>
      </c>
      <c r="AB109" s="13">
        <v>0</v>
      </c>
      <c r="AC109" s="13">
        <v>0</v>
      </c>
      <c r="AD109" s="13">
        <v>0</v>
      </c>
      <c r="AE109" s="13">
        <v>0</v>
      </c>
      <c r="AF109" s="40">
        <v>0</v>
      </c>
      <c r="AG109" s="13">
        <f>'DRE NEGÓCIOS DE DISTRIBUIÇÃO'!AG13+'DRE NEGÓCIOS DE DISTRIBUIÇÃO'!AG32</f>
        <v>0</v>
      </c>
      <c r="AH109" s="13">
        <f>'DRE NEGÓCIOS DE DISTRIBUIÇÃO'!AH13+'DRE NEGÓCIOS DE DISTRIBUIÇÃO'!AH32</f>
        <v>0</v>
      </c>
      <c r="AI109" s="1">
        <f>'DRE NEGÓCIOS DE DISTRIBUIÇÃO'!AI13+'DRE NEGÓCIOS DE DISTRIBUIÇÃO'!AI32</f>
        <v>0</v>
      </c>
      <c r="AJ109" s="1">
        <f>'DRE NEGÓCIOS DE DISTRIBUIÇÃO'!AJ13+'DRE NEGÓCIOS DE DISTRIBUIÇÃO'!AJ32</f>
        <v>0</v>
      </c>
      <c r="AK109" s="40">
        <f t="shared" si="137"/>
        <v>0</v>
      </c>
      <c r="AL109" s="13">
        <f>'DRE NEGÓCIOS DE DISTRIBUIÇÃO'!AL13+'DRE NEGÓCIOS DE DISTRIBUIÇÃO'!AL32</f>
        <v>0</v>
      </c>
      <c r="AM109" s="13">
        <f>'DRE NEGÓCIOS DE DISTRIBUIÇÃO'!AM13+'DRE NEGÓCIOS DE DISTRIBUIÇÃO'!AM32</f>
        <v>0</v>
      </c>
      <c r="AN109" s="13">
        <f>'DRE NEGÓCIOS DE DISTRIBUIÇÃO'!AN13+'DRE NEGÓCIOS DE DISTRIBUIÇÃO'!AN32</f>
        <v>0</v>
      </c>
      <c r="AO109" s="13">
        <f>'DRE NEGÓCIOS DE DISTRIBUIÇÃO'!AO13+'DRE NEGÓCIOS DE DISTRIBUIÇÃO'!AO32</f>
        <v>0</v>
      </c>
      <c r="AP109" s="40">
        <f t="shared" si="138"/>
        <v>0</v>
      </c>
      <c r="AQ109" s="13">
        <f>'DRE NEGÓCIOS DE DISTRIBUIÇÃO'!AQ13+'DRE NEGÓCIOS DE DISTRIBUIÇÃO'!AQ32</f>
        <v>0</v>
      </c>
      <c r="AR109" s="13">
        <f>'DRE NEGÓCIOS DE DISTRIBUIÇÃO'!AR13+'DRE NEGÓCIOS DE DISTRIBUIÇÃO'!AR32</f>
        <v>0</v>
      </c>
      <c r="AS109" s="13">
        <f>'DRE NEGÓCIOS DE DISTRIBUIÇÃO'!AS13+'DRE NEGÓCIOS DE DISTRIBUIÇÃO'!AS32</f>
        <v>0</v>
      </c>
      <c r="AT109" s="13">
        <f>'DRE NEGÓCIOS DE DISTRIBUIÇÃO'!AT13+'DRE NEGÓCIOS DE DISTRIBUIÇÃO'!AT32</f>
        <v>0</v>
      </c>
      <c r="AU109" s="40">
        <f t="shared" si="139"/>
        <v>0</v>
      </c>
      <c r="AV109" s="13">
        <f>'DRE NEGÓCIOS DE DISTRIBUIÇÃO'!AV13+'DRE NEGÓCIOS DE DISTRIBUIÇÃO'!AV32</f>
        <v>0</v>
      </c>
      <c r="AW109" s="13">
        <f>'DRE NEGÓCIOS DE DISTRIBUIÇÃO'!AW13+'DRE NEGÓCIOS DE DISTRIBUIÇÃO'!AW32</f>
        <v>0</v>
      </c>
      <c r="AX109" s="13">
        <f>'DRE NEGÓCIOS DE DISTRIBUIÇÃO'!AX13+'DRE NEGÓCIOS DE DISTRIBUIÇÃO'!AX32</f>
        <v>0</v>
      </c>
      <c r="AY109" s="13">
        <f>'DRE NEGÓCIOS DE DISTRIBUIÇÃO'!AY13+'DRE NEGÓCIOS DE DISTRIBUIÇÃO'!AY32</f>
        <v>0</v>
      </c>
      <c r="AZ109" s="40">
        <f t="shared" si="140"/>
        <v>0</v>
      </c>
      <c r="BA109" s="13">
        <f>'DRE NEGÓCIOS DE DISTRIBUIÇÃO'!BA13+'DRE NEGÓCIOS DE DISTRIBUIÇÃO'!BA32</f>
        <v>0</v>
      </c>
    </row>
    <row r="110" spans="1:53">
      <c r="A110" s="9"/>
      <c r="B110" s="9" t="s">
        <v>420</v>
      </c>
      <c r="C110" s="10">
        <v>78332.368490000008</v>
      </c>
      <c r="D110" s="10">
        <v>58931.565180000034</v>
      </c>
      <c r="E110" s="10">
        <v>69134.221989999918</v>
      </c>
      <c r="F110" s="10">
        <v>78278.033009999985</v>
      </c>
      <c r="G110" s="39">
        <v>284676.18866999994</v>
      </c>
      <c r="H110" s="10">
        <v>123272.28905000002</v>
      </c>
      <c r="I110" s="10">
        <v>113808.15554000002</v>
      </c>
      <c r="J110" s="10">
        <v>119226.29127999998</v>
      </c>
      <c r="K110" s="10">
        <v>97465.325529999987</v>
      </c>
      <c r="L110" s="39">
        <v>453772.06139999995</v>
      </c>
      <c r="M110" s="10">
        <v>182817.26556999999</v>
      </c>
      <c r="N110" s="10">
        <v>140431.93867999996</v>
      </c>
      <c r="O110" s="10">
        <v>137945.31738999998</v>
      </c>
      <c r="P110" s="10">
        <v>167838.35782000009</v>
      </c>
      <c r="Q110" s="39">
        <v>629032.87945999997</v>
      </c>
      <c r="R110" s="10">
        <v>164376.14043</v>
      </c>
      <c r="S110" s="10">
        <v>166300.36861</v>
      </c>
      <c r="T110" s="10">
        <v>172944.61207999988</v>
      </c>
      <c r="U110" s="10">
        <v>75584.239610000062</v>
      </c>
      <c r="V110" s="39">
        <v>579205.36072999996</v>
      </c>
      <c r="W110" s="10">
        <v>159765.69044000001</v>
      </c>
      <c r="X110" s="10">
        <v>141084.37400000001</v>
      </c>
      <c r="Y110" s="10">
        <v>295452.03800000006</v>
      </c>
      <c r="Z110" s="10">
        <v>215071.76972999991</v>
      </c>
      <c r="AA110" s="39">
        <v>811373.87216999999</v>
      </c>
      <c r="AB110" s="10">
        <v>171989</v>
      </c>
      <c r="AC110" s="10">
        <v>168136.28727</v>
      </c>
      <c r="AD110" s="10">
        <v>290063.2414</v>
      </c>
      <c r="AE110" s="10">
        <v>286814.88300000003</v>
      </c>
      <c r="AF110" s="39">
        <v>917003.41166999994</v>
      </c>
      <c r="AG110" s="10">
        <f t="shared" ref="AG110:AH110" si="146">SUM(AG108:AG109)</f>
        <v>256586</v>
      </c>
      <c r="AH110" s="10">
        <f t="shared" si="146"/>
        <v>296995</v>
      </c>
      <c r="AI110" s="76">
        <f>SUM(AI108:AI109)</f>
        <v>385447</v>
      </c>
      <c r="AJ110" s="76">
        <f>SUM(AJ108:AJ109)</f>
        <v>278243</v>
      </c>
      <c r="AK110" s="39">
        <f t="shared" si="137"/>
        <v>1217271</v>
      </c>
      <c r="AL110" s="10">
        <f>SUM(AL108:AL109)</f>
        <v>334579</v>
      </c>
      <c r="AM110" s="10">
        <f>SUM(AM108:AM109)</f>
        <v>340372</v>
      </c>
      <c r="AN110" s="10">
        <f t="shared" ref="AN110:AO110" si="147">SUM(AN108:AN109)</f>
        <v>357399</v>
      </c>
      <c r="AO110" s="10">
        <f t="shared" si="147"/>
        <v>373929</v>
      </c>
      <c r="AP110" s="39">
        <f t="shared" si="138"/>
        <v>1406279</v>
      </c>
      <c r="AQ110" s="10">
        <f>SUM(AQ108:AQ109)</f>
        <v>386915.41863000003</v>
      </c>
      <c r="AR110" s="10">
        <f>SUM(AR108:AR109)</f>
        <v>386374</v>
      </c>
      <c r="AS110" s="10">
        <f t="shared" ref="AS110:AT110" si="148">SUM(AS108:AS109)</f>
        <v>387631.87709810003</v>
      </c>
      <c r="AT110" s="10">
        <f t="shared" si="148"/>
        <v>455013</v>
      </c>
      <c r="AU110" s="39">
        <f t="shared" si="139"/>
        <v>1615934.2957281</v>
      </c>
      <c r="AV110" s="10">
        <f t="shared" ref="AV110" si="149">SUM(AV108:AV109)</f>
        <v>390020.45782000001</v>
      </c>
      <c r="AW110" s="10">
        <f t="shared" ref="AW110:AX110" si="150">SUM(AW108:AW109)</f>
        <v>376322.02049000002</v>
      </c>
      <c r="AX110" s="10">
        <f t="shared" si="150"/>
        <v>411076.0060900001</v>
      </c>
      <c r="AY110" s="10">
        <f>SUM(AY108:AY109)</f>
        <v>384504.30127</v>
      </c>
      <c r="AZ110" s="39">
        <f t="shared" si="140"/>
        <v>1561922.7856700001</v>
      </c>
      <c r="BA110" s="10">
        <f>SUM(BA108:BA109)</f>
        <v>396017.2885400001</v>
      </c>
    </row>
    <row r="111" spans="1:53">
      <c r="A111" s="11"/>
      <c r="B111" s="11" t="s">
        <v>421</v>
      </c>
      <c r="C111" s="13">
        <v>-23852.205882352941</v>
      </c>
      <c r="D111" s="13">
        <v>-21175.735294117647</v>
      </c>
      <c r="E111" s="13">
        <v>-26880.147058823528</v>
      </c>
      <c r="F111" s="13">
        <v>-26585.294117647056</v>
      </c>
      <c r="G111" s="41">
        <v>-98493.382352941175</v>
      </c>
      <c r="H111" s="13">
        <v>-34557.160036764697</v>
      </c>
      <c r="I111" s="13">
        <v>-31231.472698529407</v>
      </c>
      <c r="J111" s="13">
        <v>-32240.507139705889</v>
      </c>
      <c r="K111" s="13">
        <v>-25413.051470588234</v>
      </c>
      <c r="L111" s="41">
        <v>-123442.19134558823</v>
      </c>
      <c r="M111" s="13">
        <v>-47797.288397058823</v>
      </c>
      <c r="N111" s="13">
        <v>-35639.368838235299</v>
      </c>
      <c r="O111" s="13">
        <v>-32882.092433823505</v>
      </c>
      <c r="P111" s="13">
        <v>-39134.429985294119</v>
      </c>
      <c r="Q111" s="41">
        <v>-155453.17965441174</v>
      </c>
      <c r="R111" s="13">
        <v>-40734.558823529405</v>
      </c>
      <c r="S111" s="13">
        <v>-43129.411764705881</v>
      </c>
      <c r="T111" s="13">
        <v>-44890.441176470587</v>
      </c>
      <c r="U111" s="13">
        <v>-18946.829235294117</v>
      </c>
      <c r="V111" s="41">
        <v>-147701.24099999998</v>
      </c>
      <c r="W111" s="13">
        <v>-37848.529411764706</v>
      </c>
      <c r="X111" s="13">
        <v>-34605.882352941175</v>
      </c>
      <c r="Y111" s="13">
        <v>-73865.441176470587</v>
      </c>
      <c r="Z111" s="13">
        <v>-53229.852941176468</v>
      </c>
      <c r="AA111" s="41">
        <v>-199549.70588235292</v>
      </c>
      <c r="AB111" s="13">
        <v>-39630.269669999994</v>
      </c>
      <c r="AC111" s="13">
        <v>-38383.578730000008</v>
      </c>
      <c r="AD111" s="13">
        <v>-70767.213609999992</v>
      </c>
      <c r="AE111" s="13">
        <v>-68855.782429999992</v>
      </c>
      <c r="AF111" s="41">
        <v>-217636.84443999999</v>
      </c>
      <c r="AG111" s="13">
        <f>'DRE NEGÓCIOS DE DISTRIBUIÇÃO'!AG15+'DRE NEGÓCIOS DE DISTRIBUIÇÃO'!AG34</f>
        <v>-62549</v>
      </c>
      <c r="AH111" s="13">
        <f>'DRE NEGÓCIOS DE DISTRIBUIÇÃO'!AH15+'DRE NEGÓCIOS DE DISTRIBUIÇÃO'!AH34</f>
        <v>-71563</v>
      </c>
      <c r="AI111" s="1">
        <f>'DRE NEGÓCIOS DE DISTRIBUIÇÃO'!AI15+'DRE NEGÓCIOS DE DISTRIBUIÇÃO'!AI34</f>
        <v>-93671</v>
      </c>
      <c r="AJ111" s="1">
        <f>'DRE NEGÓCIOS DE DISTRIBUIÇÃO'!AJ15+'DRE NEGÓCIOS DE DISTRIBUIÇÃO'!AJ34</f>
        <v>-69992</v>
      </c>
      <c r="AK111" s="41">
        <f t="shared" si="137"/>
        <v>-297775</v>
      </c>
      <c r="AL111" s="13">
        <f>'DRE NEGÓCIOS DE DISTRIBUIÇÃO'!AL15+'DRE NEGÓCIOS DE DISTRIBUIÇÃO'!AL34</f>
        <v>-78667</v>
      </c>
      <c r="AM111" s="13">
        <f>'DRE NEGÓCIOS DE DISTRIBUIÇÃO'!AM15+'DRE NEGÓCIOS DE DISTRIBUIÇÃO'!AM34</f>
        <v>-82745</v>
      </c>
      <c r="AN111" s="13">
        <f>'DRE NEGÓCIOS DE DISTRIBUIÇÃO'!AN15+'DRE NEGÓCIOS DE DISTRIBUIÇÃO'!AN34</f>
        <v>-86676</v>
      </c>
      <c r="AO111" s="13">
        <f>'DRE NEGÓCIOS DE DISTRIBUIÇÃO'!AO15+'DRE NEGÓCIOS DE DISTRIBUIÇÃO'!AO34</f>
        <v>-92477</v>
      </c>
      <c r="AP111" s="41">
        <f t="shared" si="138"/>
        <v>-340565</v>
      </c>
      <c r="AQ111" s="13">
        <f>'DRE NEGÓCIOS DE DISTRIBUIÇÃO'!AQ15+'DRE NEGÓCIOS DE DISTRIBUIÇÃO'!AQ34</f>
        <v>-84042.049319999991</v>
      </c>
      <c r="AR111" s="13">
        <f>'DRE NEGÓCIOS DE DISTRIBUIÇÃO'!AR15+'DRE NEGÓCIOS DE DISTRIBUIÇÃO'!AR34</f>
        <v>-90256</v>
      </c>
      <c r="AS111" s="13">
        <f>'DRE NEGÓCIOS DE DISTRIBUIÇÃO'!AS15+'DRE NEGÓCIOS DE DISTRIBUIÇÃO'!AS34</f>
        <v>-95338.619134524997</v>
      </c>
      <c r="AT111" s="13">
        <f>'DRE NEGÓCIOS DE DISTRIBUIÇÃO'!AT15+'DRE NEGÓCIOS DE DISTRIBUIÇÃO'!AT34</f>
        <v>-113967</v>
      </c>
      <c r="AU111" s="41">
        <f t="shared" si="139"/>
        <v>-383603.668454525</v>
      </c>
      <c r="AV111" s="13">
        <f>'DRE NEGÓCIOS DE DISTRIBUIÇÃO'!AV15+'DRE NEGÓCIOS DE DISTRIBUIÇÃO'!AV34</f>
        <v>-94498.292959999992</v>
      </c>
      <c r="AW111" s="13">
        <f>'DRE NEGÓCIOS DE DISTRIBUIÇÃO'!AW15+'DRE NEGÓCIOS DE DISTRIBUIÇÃO'!AW34</f>
        <v>-93810.797359999982</v>
      </c>
      <c r="AX111" s="13">
        <f>'DRE NEGÓCIOS DE DISTRIBUIÇÃO'!AX15+'DRE NEGÓCIOS DE DISTRIBUIÇÃO'!AX34</f>
        <v>-103422.24106000001</v>
      </c>
      <c r="AY111" s="13">
        <f>'DRE NEGÓCIOS DE DISTRIBUIÇÃO'!AY15+'DRE NEGÓCIOS DE DISTRIBUIÇÃO'!AY34</f>
        <v>-97483.368099999905</v>
      </c>
      <c r="AZ111" s="41">
        <f t="shared" si="140"/>
        <v>-389214.69947999989</v>
      </c>
      <c r="BA111" s="13">
        <f>'DRE NEGÓCIOS DE DISTRIBUIÇÃO'!BA15+'DRE NEGÓCIOS DE DISTRIBUIÇÃO'!BA34</f>
        <v>-93549.088810000016</v>
      </c>
    </row>
    <row r="112" spans="1:53">
      <c r="A112" s="11"/>
      <c r="B112" s="11" t="s">
        <v>422</v>
      </c>
      <c r="C112" s="13">
        <v>-8586.7941176470576</v>
      </c>
      <c r="D112" s="13">
        <v>-7623.2647058823513</v>
      </c>
      <c r="E112" s="13">
        <v>-9676.8529411764684</v>
      </c>
      <c r="F112" s="13">
        <v>-9570.7058823529387</v>
      </c>
      <c r="G112" s="41">
        <v>-35457.617647058818</v>
      </c>
      <c r="H112" s="13">
        <v>-12440.577613235291</v>
      </c>
      <c r="I112" s="13">
        <v>-11243.330171470587</v>
      </c>
      <c r="J112" s="13">
        <v>-11606.58257029412</v>
      </c>
      <c r="K112" s="13">
        <v>-9148.6985294117621</v>
      </c>
      <c r="L112" s="41">
        <v>-44439.188884411764</v>
      </c>
      <c r="M112" s="13">
        <v>-17207.023822941173</v>
      </c>
      <c r="N112" s="13">
        <v>-12830.172781764706</v>
      </c>
      <c r="O112" s="13">
        <v>-11837.553276176463</v>
      </c>
      <c r="P112" s="13">
        <v>-14088.39479470588</v>
      </c>
      <c r="Q112" s="41">
        <v>-55963.144675588221</v>
      </c>
      <c r="R112" s="13">
        <v>-14664.441176470586</v>
      </c>
      <c r="S112" s="13">
        <v>-15526.588235294115</v>
      </c>
      <c r="T112" s="13">
        <v>-16160.558823529409</v>
      </c>
      <c r="U112" s="13">
        <v>-6820.8585247058809</v>
      </c>
      <c r="V112" s="41">
        <v>-53172.446759999992</v>
      </c>
      <c r="W112" s="13">
        <v>-13625.470588235292</v>
      </c>
      <c r="X112" s="13">
        <v>-12458.117647058822</v>
      </c>
      <c r="Y112" s="13">
        <v>-26591.558823529405</v>
      </c>
      <c r="Z112" s="13">
        <v>-19164.147058823524</v>
      </c>
      <c r="AA112" s="41">
        <v>-71839.294117647049</v>
      </c>
      <c r="AB112" s="13">
        <v>-14271.217079999999</v>
      </c>
      <c r="AC112" s="13">
        <v>-13747.82213</v>
      </c>
      <c r="AD112" s="13">
        <v>-25545.934840000002</v>
      </c>
      <c r="AE112" s="13">
        <v>-24657.53384</v>
      </c>
      <c r="AF112" s="41">
        <v>-78222.507890000008</v>
      </c>
      <c r="AG112" s="13">
        <f>'DRE NEGÓCIOS DE DISTRIBUIÇÃO'!AG16+'DRE NEGÓCIOS DE DISTRIBUIÇÃO'!AG35</f>
        <v>-22492</v>
      </c>
      <c r="AH112" s="13">
        <f>'DRE NEGÓCIOS DE DISTRIBUIÇÃO'!AH16+'DRE NEGÓCIOS DE DISTRIBUIÇÃO'!AH35</f>
        <v>-25767</v>
      </c>
      <c r="AI112" s="1">
        <f>'DRE NEGÓCIOS DE DISTRIBUIÇÃO'!AI16+'DRE NEGÓCIOS DE DISTRIBUIÇÃO'!AI35</f>
        <v>-33723</v>
      </c>
      <c r="AJ112" s="1">
        <f>'DRE NEGÓCIOS DE DISTRIBUIÇÃO'!AJ16+'DRE NEGÓCIOS DE DISTRIBUIÇÃO'!AJ35</f>
        <v>-24843</v>
      </c>
      <c r="AK112" s="41">
        <f t="shared" si="137"/>
        <v>-106825</v>
      </c>
      <c r="AL112" s="13">
        <f>'DRE NEGÓCIOS DE DISTRIBUIÇÃO'!AL16+'DRE NEGÓCIOS DE DISTRIBUIÇÃO'!AL35</f>
        <v>-28337</v>
      </c>
      <c r="AM112" s="13">
        <f>'DRE NEGÓCIOS DE DISTRIBUIÇÃO'!AM16+'DRE NEGÓCIOS DE DISTRIBUIÇÃO'!AM35</f>
        <v>-29781</v>
      </c>
      <c r="AN112" s="13">
        <f>'DRE NEGÓCIOS DE DISTRIBUIÇÃO'!AN16+'DRE NEGÓCIOS DE DISTRIBUIÇÃO'!AN35</f>
        <v>-30985</v>
      </c>
      <c r="AO112" s="13">
        <f>'DRE NEGÓCIOS DE DISTRIBUIÇÃO'!AO16+'DRE NEGÓCIOS DE DISTRIBUIÇÃO'!AO35</f>
        <v>-33297</v>
      </c>
      <c r="AP112" s="41">
        <f t="shared" si="138"/>
        <v>-122400</v>
      </c>
      <c r="AQ112" s="13">
        <f>'DRE NEGÓCIOS DE DISTRIBUIÇÃO'!AQ16+'DRE NEGÓCIOS DE DISTRIBUIÇÃO'!AQ35</f>
        <v>-29959.966070000002</v>
      </c>
      <c r="AR112" s="13">
        <f>'DRE NEGÓCIOS DE DISTRIBUIÇÃO'!AR16+'DRE NEGÓCIOS DE DISTRIBUIÇÃO'!AR35</f>
        <v>-32494</v>
      </c>
      <c r="AS112" s="13">
        <f>'DRE NEGÓCIOS DE DISTRIBUIÇÃO'!AS16+'DRE NEGÓCIOS DE DISTRIBUIÇÃO'!AS35</f>
        <v>-34325.142888429</v>
      </c>
      <c r="AT112" s="13">
        <f>'DRE NEGÓCIOS DE DISTRIBUIÇÃO'!AT16+'DRE NEGÓCIOS DE DISTRIBUIÇÃO'!AT35</f>
        <v>-40784</v>
      </c>
      <c r="AU112" s="41">
        <f t="shared" si="139"/>
        <v>-137563.10895842902</v>
      </c>
      <c r="AV112" s="13">
        <f>'DRE NEGÓCIOS DE DISTRIBUIÇÃO'!AV16+'DRE NEGÓCIOS DE DISTRIBUIÇÃO'!AV35</f>
        <v>-34023.705470000001</v>
      </c>
      <c r="AW112" s="13">
        <f>'DRE NEGÓCIOS DE DISTRIBUIÇÃO'!AW16+'DRE NEGÓCIOS DE DISTRIBUIÇÃO'!AW35</f>
        <v>-33776.207040000001</v>
      </c>
      <c r="AX112" s="13">
        <f>'DRE NEGÓCIOS DE DISTRIBUIÇÃO'!AX16+'DRE NEGÓCIOS DE DISTRIBUIÇÃO'!AX35</f>
        <v>-37236.326789999992</v>
      </c>
      <c r="AY112" s="13">
        <f>'DRE NEGÓCIOS DE DISTRIBUIÇÃO'!AY16+'DRE NEGÓCIOS DE DISTRIBUIÇÃO'!AY35</f>
        <v>-34748.696389999997</v>
      </c>
      <c r="AZ112" s="41">
        <f t="shared" si="140"/>
        <v>-139784.93568999998</v>
      </c>
      <c r="BA112" s="13">
        <f>'DRE NEGÓCIOS DE DISTRIBUIÇÃO'!BA16+'DRE NEGÓCIOS DE DISTRIBUIÇÃO'!BA35</f>
        <v>-33681.991979999999</v>
      </c>
    </row>
    <row r="113" spans="1:53">
      <c r="A113" s="11"/>
      <c r="B113" s="11" t="s">
        <v>423</v>
      </c>
      <c r="C113" s="13">
        <v>0</v>
      </c>
      <c r="D113" s="13">
        <v>0</v>
      </c>
      <c r="E113" s="13">
        <v>0</v>
      </c>
      <c r="F113" s="13">
        <v>0</v>
      </c>
      <c r="G113" s="41">
        <v>0</v>
      </c>
      <c r="H113" s="13">
        <v>0</v>
      </c>
      <c r="I113" s="13">
        <v>0</v>
      </c>
      <c r="J113" s="13">
        <v>0</v>
      </c>
      <c r="K113" s="13">
        <v>0</v>
      </c>
      <c r="L113" s="41">
        <v>0</v>
      </c>
      <c r="M113" s="13">
        <v>0</v>
      </c>
      <c r="N113" s="13">
        <v>0</v>
      </c>
      <c r="O113" s="13">
        <v>0</v>
      </c>
      <c r="P113" s="13">
        <v>0</v>
      </c>
      <c r="Q113" s="41">
        <v>0</v>
      </c>
      <c r="R113" s="13">
        <v>0</v>
      </c>
      <c r="S113" s="13">
        <v>0</v>
      </c>
      <c r="T113" s="13">
        <v>0</v>
      </c>
      <c r="U113" s="13">
        <v>0</v>
      </c>
      <c r="V113" s="41">
        <v>0</v>
      </c>
      <c r="W113" s="13">
        <v>0</v>
      </c>
      <c r="X113" s="13">
        <v>0</v>
      </c>
      <c r="Y113" s="13">
        <v>0</v>
      </c>
      <c r="Z113" s="13">
        <v>0</v>
      </c>
      <c r="AA113" s="41">
        <v>0</v>
      </c>
      <c r="AB113" s="13">
        <v>0</v>
      </c>
      <c r="AC113" s="13">
        <v>0</v>
      </c>
      <c r="AD113" s="13">
        <v>0</v>
      </c>
      <c r="AE113" s="13">
        <v>0</v>
      </c>
      <c r="AF113" s="41">
        <v>0</v>
      </c>
      <c r="AG113" s="13">
        <f>'DRE NEGÓCIOS DE DISTRIBUIÇÃO'!AG17+'DRE NEGÓCIOS DE DISTRIBUIÇÃO'!AG36</f>
        <v>0</v>
      </c>
      <c r="AH113" s="13">
        <f>'DRE NEGÓCIOS DE DISTRIBUIÇÃO'!AH17+'DRE NEGÓCIOS DE DISTRIBUIÇÃO'!AH36</f>
        <v>0</v>
      </c>
      <c r="AI113" s="1">
        <f>'DRE NEGÓCIOS DE DISTRIBUIÇÃO'!AI17+'DRE NEGÓCIOS DE DISTRIBUIÇÃO'!AI36</f>
        <v>0</v>
      </c>
      <c r="AJ113" s="1">
        <f>'DRE NEGÓCIOS DE DISTRIBUIÇÃO'!AJ17+'DRE NEGÓCIOS DE DISTRIBUIÇÃO'!AJ36</f>
        <v>0</v>
      </c>
      <c r="AK113" s="41">
        <f t="shared" si="137"/>
        <v>0</v>
      </c>
      <c r="AL113" s="13">
        <f>'DRE NEGÓCIOS DE DISTRIBUIÇÃO'!AL17+'DRE NEGÓCIOS DE DISTRIBUIÇÃO'!AL36</f>
        <v>0</v>
      </c>
      <c r="AM113" s="13">
        <f>'DRE NEGÓCIOS DE DISTRIBUIÇÃO'!AM17+'DRE NEGÓCIOS DE DISTRIBUIÇÃO'!AM36</f>
        <v>0</v>
      </c>
      <c r="AN113" s="13">
        <f>'DRE NEGÓCIOS DE DISTRIBUIÇÃO'!AN17+'DRE NEGÓCIOS DE DISTRIBUIÇÃO'!AN36</f>
        <v>0</v>
      </c>
      <c r="AO113" s="13">
        <f>'DRE NEGÓCIOS DE DISTRIBUIÇÃO'!AO17+'DRE NEGÓCIOS DE DISTRIBUIÇÃO'!AO36</f>
        <v>0</v>
      </c>
      <c r="AP113" s="41">
        <f t="shared" si="138"/>
        <v>0</v>
      </c>
      <c r="AQ113" s="13">
        <f>'DRE NEGÓCIOS DE DISTRIBUIÇÃO'!AQ17+'DRE NEGÓCIOS DE DISTRIBUIÇÃO'!AQ36</f>
        <v>0</v>
      </c>
      <c r="AR113" s="13">
        <f>'DRE NEGÓCIOS DE DISTRIBUIÇÃO'!AR17+'DRE NEGÓCIOS DE DISTRIBUIÇÃO'!AR36</f>
        <v>0</v>
      </c>
      <c r="AS113" s="13">
        <f>'DRE NEGÓCIOS DE DISTRIBUIÇÃO'!AS17+'DRE NEGÓCIOS DE DISTRIBUIÇÃO'!AS36</f>
        <v>-76</v>
      </c>
      <c r="AT113" s="13">
        <f>'DRE NEGÓCIOS DE DISTRIBUIÇÃO'!AT17+'DRE NEGÓCIOS DE DISTRIBUIÇÃO'!AT36</f>
        <v>-47</v>
      </c>
      <c r="AU113" s="41">
        <f t="shared" si="139"/>
        <v>-123</v>
      </c>
      <c r="AV113" s="13">
        <f>'DRE NEGÓCIOS DE DISTRIBUIÇÃO'!AV17+'DRE NEGÓCIOS DE DISTRIBUIÇÃO'!AV36</f>
        <v>40</v>
      </c>
      <c r="AW113" s="13">
        <f>'DRE NEGÓCIOS DE DISTRIBUIÇÃO'!AW17+'DRE NEGÓCIOS DE DISTRIBUIÇÃO'!AW36</f>
        <v>2.3664899999999909</v>
      </c>
      <c r="AX113" s="13">
        <f>'DRE NEGÓCIOS DE DISTRIBUIÇÃO'!AX17+'DRE NEGÓCIOS DE DISTRIBUIÇÃO'!AX36</f>
        <v>-5</v>
      </c>
      <c r="AY113" s="13">
        <f>'DRE NEGÓCIOS DE DISTRIBUIÇÃO'!AY17+'DRE NEGÓCIOS DE DISTRIBUIÇÃO'!AY36</f>
        <v>-102</v>
      </c>
      <c r="AZ113" s="41">
        <f t="shared" si="140"/>
        <v>-64.633510000000001</v>
      </c>
      <c r="BA113" s="13">
        <f>'DRE NEGÓCIOS DE DISTRIBUIÇÃO'!BA17+'DRE NEGÓCIOS DE DISTRIBUIÇÃO'!BA36</f>
        <v>53</v>
      </c>
    </row>
    <row r="114" spans="1:53">
      <c r="A114" s="11"/>
      <c r="B114" s="11" t="s">
        <v>424</v>
      </c>
      <c r="C114" s="13">
        <v>0</v>
      </c>
      <c r="D114" s="13">
        <v>0</v>
      </c>
      <c r="E114" s="13">
        <v>0</v>
      </c>
      <c r="F114" s="13">
        <v>0</v>
      </c>
      <c r="G114" s="41">
        <v>0</v>
      </c>
      <c r="H114" s="13">
        <v>0</v>
      </c>
      <c r="I114" s="13">
        <v>0</v>
      </c>
      <c r="J114" s="13">
        <v>0</v>
      </c>
      <c r="K114" s="13">
        <v>0</v>
      </c>
      <c r="L114" s="41">
        <v>0</v>
      </c>
      <c r="M114" s="13">
        <v>0</v>
      </c>
      <c r="N114" s="13">
        <v>0</v>
      </c>
      <c r="O114" s="13">
        <v>0</v>
      </c>
      <c r="P114" s="13">
        <v>0</v>
      </c>
      <c r="Q114" s="41">
        <v>0</v>
      </c>
      <c r="R114" s="13">
        <v>0</v>
      </c>
      <c r="S114" s="13">
        <v>0</v>
      </c>
      <c r="T114" s="13">
        <v>0</v>
      </c>
      <c r="U114" s="13">
        <v>0</v>
      </c>
      <c r="V114" s="41">
        <v>0</v>
      </c>
      <c r="W114" s="13">
        <v>0</v>
      </c>
      <c r="X114" s="13">
        <v>0</v>
      </c>
      <c r="Y114" s="13">
        <v>0</v>
      </c>
      <c r="Z114" s="13">
        <v>0</v>
      </c>
      <c r="AA114" s="41">
        <v>0</v>
      </c>
      <c r="AB114" s="13">
        <v>0</v>
      </c>
      <c r="AC114" s="13">
        <v>0</v>
      </c>
      <c r="AD114" s="13">
        <v>0</v>
      </c>
      <c r="AE114" s="13">
        <v>0</v>
      </c>
      <c r="AF114" s="41">
        <v>0</v>
      </c>
      <c r="AG114" s="13">
        <f>'DRE NEGÓCIOS DE DISTRIBUIÇÃO'!AG18+'DRE NEGÓCIOS DE DISTRIBUIÇÃO'!AG36</f>
        <v>0</v>
      </c>
      <c r="AH114" s="13">
        <f>'DRE NEGÓCIOS DE DISTRIBUIÇÃO'!AH18+'DRE NEGÓCIOS DE DISTRIBUIÇÃO'!AH36</f>
        <v>0</v>
      </c>
      <c r="AI114" s="110">
        <f>'DRE NEGÓCIOS DE DISTRIBUIÇÃO'!AI18+'DRE NEGÓCIOS DE DISTRIBUIÇÃO'!AI36</f>
        <v>0</v>
      </c>
      <c r="AJ114" s="110">
        <f>'DRE NEGÓCIOS DE DISTRIBUIÇÃO'!AJ18+'DRE NEGÓCIOS DE DISTRIBUIÇÃO'!AJ36</f>
        <v>0</v>
      </c>
      <c r="AK114" s="41">
        <f t="shared" si="137"/>
        <v>0</v>
      </c>
      <c r="AL114" s="13">
        <f>'DRE NEGÓCIOS DE DISTRIBUIÇÃO'!AL18+'DRE NEGÓCIOS DE DISTRIBUIÇÃO'!AL36</f>
        <v>0</v>
      </c>
      <c r="AM114" s="13">
        <f>'DRE NEGÓCIOS DE DISTRIBUIÇÃO'!AM18+'DRE NEGÓCIOS DE DISTRIBUIÇÃO'!AM36</f>
        <v>0</v>
      </c>
      <c r="AN114" s="13">
        <f>'DRE NEGÓCIOS DE DISTRIBUIÇÃO'!AN18+'DRE NEGÓCIOS DE DISTRIBUIÇÃO'!AN36</f>
        <v>0</v>
      </c>
      <c r="AO114" s="13">
        <f>'DRE NEGÓCIOS DE DISTRIBUIÇÃO'!AO18+'DRE NEGÓCIOS DE DISTRIBUIÇÃO'!AO36</f>
        <v>0</v>
      </c>
      <c r="AP114" s="41">
        <f t="shared" si="138"/>
        <v>0</v>
      </c>
      <c r="AQ114" s="13">
        <f>'DRE NEGÓCIOS DE DISTRIBUIÇÃO'!AQ18+'DRE NEGÓCIOS DE DISTRIBUIÇÃO'!AQ36</f>
        <v>0</v>
      </c>
      <c r="AR114" s="13">
        <f>'DRE NEGÓCIOS DE DISTRIBUIÇÃO'!AR18+'DRE NEGÓCIOS DE DISTRIBUIÇÃO'!AR37</f>
        <v>0</v>
      </c>
      <c r="AS114" s="13">
        <f>'DRE NEGÓCIOS DE DISTRIBUIÇÃO'!AS18+'DRE NEGÓCIOS DE DISTRIBUIÇÃO'!AS37</f>
        <v>0</v>
      </c>
      <c r="AT114" s="13">
        <f>'DRE NEGÓCIOS DE DISTRIBUIÇÃO'!AT18+'DRE NEGÓCIOS DE DISTRIBUIÇÃO'!AT37</f>
        <v>0</v>
      </c>
      <c r="AU114" s="41">
        <f t="shared" si="139"/>
        <v>0</v>
      </c>
      <c r="AV114" s="13">
        <f>'DRE NEGÓCIOS DE DISTRIBUIÇÃO'!AV18+'DRE NEGÓCIOS DE DISTRIBUIÇÃO'!AV37</f>
        <v>0</v>
      </c>
      <c r="AW114" s="13">
        <f>'DRE NEGÓCIOS DE DISTRIBUIÇÃO'!AW18+'DRE NEGÓCIOS DE DISTRIBUIÇÃO'!AW37</f>
        <v>0</v>
      </c>
      <c r="AX114" s="13">
        <f>'DRE NEGÓCIOS DE DISTRIBUIÇÃO'!AX18+'DRE NEGÓCIOS DE DISTRIBUIÇÃO'!AX37</f>
        <v>0</v>
      </c>
      <c r="AY114" s="13">
        <f>'DRE NEGÓCIOS DE DISTRIBUIÇÃO'!AY18+'DRE NEGÓCIOS DE DISTRIBUIÇÃO'!AY37</f>
        <v>0</v>
      </c>
      <c r="AZ114" s="41">
        <f t="shared" si="140"/>
        <v>0</v>
      </c>
      <c r="BA114" s="13">
        <f>'DRE NEGÓCIOS DE DISTRIBUIÇÃO'!BA18+'DRE NEGÓCIOS DE DISTRIBUIÇÃO'!BA37</f>
        <v>0</v>
      </c>
    </row>
    <row r="115" spans="1:53" ht="15.75" thickBot="1">
      <c r="A115" s="15"/>
      <c r="B115" s="15" t="s">
        <v>435</v>
      </c>
      <c r="C115" s="33">
        <v>45893.368490000015</v>
      </c>
      <c r="D115" s="33">
        <v>30132.565180000034</v>
      </c>
      <c r="E115" s="33">
        <v>32577.221989999925</v>
      </c>
      <c r="F115" s="33">
        <v>42122.033009999992</v>
      </c>
      <c r="G115" s="37">
        <v>150725.18866999997</v>
      </c>
      <c r="H115" s="33">
        <v>76274.55140000004</v>
      </c>
      <c r="I115" s="33">
        <v>71333.352670000022</v>
      </c>
      <c r="J115" s="33">
        <v>75379.201569999961</v>
      </c>
      <c r="K115" s="33">
        <v>62903.575529999987</v>
      </c>
      <c r="L115" s="37">
        <v>285890.68117</v>
      </c>
      <c r="M115" s="33">
        <v>117812.95335</v>
      </c>
      <c r="N115" s="33">
        <v>91962.397059999959</v>
      </c>
      <c r="O115" s="33">
        <v>93225.671680000014</v>
      </c>
      <c r="P115" s="33">
        <v>114615.5330400001</v>
      </c>
      <c r="Q115" s="37">
        <v>417616.55513000011</v>
      </c>
      <c r="R115" s="33">
        <v>108977.14043000001</v>
      </c>
      <c r="S115" s="33">
        <v>107644.36861000002</v>
      </c>
      <c r="T115" s="33">
        <v>111893.61207999988</v>
      </c>
      <c r="U115" s="33">
        <v>49816.551850000062</v>
      </c>
      <c r="V115" s="37">
        <v>378331.67296999996</v>
      </c>
      <c r="W115" s="33">
        <v>108291.69044000002</v>
      </c>
      <c r="X115" s="33">
        <v>94020.374000000011</v>
      </c>
      <c r="Y115" s="33">
        <v>194995.03800000006</v>
      </c>
      <c r="Z115" s="33">
        <v>142677.76972999991</v>
      </c>
      <c r="AA115" s="37">
        <v>539984.87216999999</v>
      </c>
      <c r="AB115" s="33">
        <v>118087.51324999999</v>
      </c>
      <c r="AC115" s="33">
        <v>116004.88640999999</v>
      </c>
      <c r="AD115" s="33">
        <v>193750.09295000002</v>
      </c>
      <c r="AE115" s="33">
        <v>193301.56673000005</v>
      </c>
      <c r="AF115" s="37">
        <v>621144.05934000004</v>
      </c>
      <c r="AG115" s="33">
        <f>SUM(AG110:AG114)</f>
        <v>171545</v>
      </c>
      <c r="AH115" s="33">
        <f>SUM(AH110:AH114)</f>
        <v>199665</v>
      </c>
      <c r="AI115" s="33">
        <f>SUM(AI110:AI114)</f>
        <v>258053</v>
      </c>
      <c r="AJ115" s="33">
        <f>SUM(AJ110:AJ114)</f>
        <v>183408</v>
      </c>
      <c r="AK115" s="37">
        <f t="shared" si="137"/>
        <v>812671</v>
      </c>
      <c r="AL115" s="33">
        <f>SUM(AL110:AL114)</f>
        <v>227575</v>
      </c>
      <c r="AM115" s="33">
        <f>SUM(AM110:AM114)</f>
        <v>227846</v>
      </c>
      <c r="AN115" s="33">
        <f t="shared" ref="AN115:AO115" si="151">SUM(AN110:AN114)</f>
        <v>239738</v>
      </c>
      <c r="AO115" s="33">
        <f t="shared" si="151"/>
        <v>248155</v>
      </c>
      <c r="AP115" s="37">
        <f t="shared" si="138"/>
        <v>943314</v>
      </c>
      <c r="AQ115" s="33">
        <f>SUM(AQ110:AQ114)</f>
        <v>272913.40324000001</v>
      </c>
      <c r="AR115" s="33">
        <f>SUM(AR110:AR114)</f>
        <v>263624</v>
      </c>
      <c r="AS115" s="33">
        <f t="shared" ref="AS115:AT115" si="152">SUM(AS110:AS114)</f>
        <v>257892.11507514602</v>
      </c>
      <c r="AT115" s="33">
        <f t="shared" si="152"/>
        <v>300215</v>
      </c>
      <c r="AU115" s="37">
        <f t="shared" si="139"/>
        <v>1094644.518315146</v>
      </c>
      <c r="AV115" s="33">
        <f t="shared" ref="AV115" si="153">SUM(AV110:AV114)</f>
        <v>261538.45939000003</v>
      </c>
      <c r="AW115" s="33">
        <f t="shared" ref="AW115:AX115" si="154">SUM(AW110:AW114)</f>
        <v>248737.38258000003</v>
      </c>
      <c r="AX115" s="33">
        <f t="shared" si="154"/>
        <v>270412.43824000005</v>
      </c>
      <c r="AY115" s="33">
        <f>SUM(AY110:AY114)</f>
        <v>252170.23678000009</v>
      </c>
      <c r="AZ115" s="37">
        <f t="shared" si="140"/>
        <v>1032858.5169900001</v>
      </c>
      <c r="BA115" s="33">
        <f>SUM(BA110:BA114)</f>
        <v>268839.20775000012</v>
      </c>
    </row>
    <row r="116" spans="1:53">
      <c r="AB116" s="8"/>
      <c r="AC116" s="8"/>
      <c r="AD116" s="8"/>
      <c r="AE116" s="8"/>
      <c r="AJ116" s="8"/>
      <c r="AO116" s="8"/>
      <c r="AT116" s="8"/>
      <c r="AV116" s="8"/>
      <c r="AW116" s="8"/>
      <c r="AX116" s="8"/>
      <c r="AY116" s="8"/>
    </row>
    <row r="117" spans="1:53" s="103" customFormat="1" ht="23.25">
      <c r="A117" s="74"/>
      <c r="B117" s="74" t="s">
        <v>441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</row>
    <row r="118" spans="1:53" ht="15.75" thickBot="1"/>
    <row r="119" spans="1:53" s="30" customFormat="1" ht="24.4" customHeight="1">
      <c r="A119" s="625"/>
      <c r="B119" s="625" t="s">
        <v>442</v>
      </c>
      <c r="C119" s="626" t="s">
        <v>224</v>
      </c>
      <c r="D119" s="626" t="s">
        <v>225</v>
      </c>
      <c r="E119" s="626" t="s">
        <v>226</v>
      </c>
      <c r="F119" s="626" t="s">
        <v>227</v>
      </c>
      <c r="G119" s="652">
        <v>2016</v>
      </c>
      <c r="H119" s="626" t="s">
        <v>228</v>
      </c>
      <c r="I119" s="626" t="s">
        <v>229</v>
      </c>
      <c r="J119" s="626" t="s">
        <v>230</v>
      </c>
      <c r="K119" s="626" t="s">
        <v>231</v>
      </c>
      <c r="L119" s="652">
        <v>2017</v>
      </c>
      <c r="M119" s="626" t="s">
        <v>232</v>
      </c>
      <c r="N119" s="626" t="s">
        <v>233</v>
      </c>
      <c r="O119" s="626" t="s">
        <v>234</v>
      </c>
      <c r="P119" s="626" t="s">
        <v>235</v>
      </c>
      <c r="Q119" s="652">
        <v>2018</v>
      </c>
      <c r="R119" s="626" t="s">
        <v>236</v>
      </c>
      <c r="S119" s="626" t="s">
        <v>237</v>
      </c>
      <c r="T119" s="626" t="s">
        <v>238</v>
      </c>
      <c r="U119" s="626" t="s">
        <v>239</v>
      </c>
      <c r="V119" s="652">
        <v>2019</v>
      </c>
      <c r="W119" s="626" t="s">
        <v>240</v>
      </c>
      <c r="X119" s="626" t="s">
        <v>241</v>
      </c>
      <c r="Y119" s="626" t="s">
        <v>242</v>
      </c>
      <c r="Z119" s="626" t="s">
        <v>243</v>
      </c>
      <c r="AA119" s="652">
        <v>2020</v>
      </c>
      <c r="AB119" s="626" t="s">
        <v>244</v>
      </c>
      <c r="AC119" s="626" t="s">
        <v>245</v>
      </c>
      <c r="AD119" s="626" t="s">
        <v>246</v>
      </c>
      <c r="AE119" s="626" t="s">
        <v>247</v>
      </c>
      <c r="AF119" s="652">
        <v>2021</v>
      </c>
      <c r="AG119" s="626" t="s">
        <v>248</v>
      </c>
      <c r="AH119" s="626" t="s">
        <v>249</v>
      </c>
      <c r="AI119" s="626" t="s">
        <v>250</v>
      </c>
      <c r="AJ119" s="626" t="s">
        <v>215</v>
      </c>
      <c r="AK119" s="652">
        <v>2022</v>
      </c>
      <c r="AL119" s="626" t="s">
        <v>252</v>
      </c>
      <c r="AM119" s="626" t="s">
        <v>253</v>
      </c>
      <c r="AN119" s="626" t="s">
        <v>254</v>
      </c>
      <c r="AO119" s="626" t="s">
        <v>219</v>
      </c>
      <c r="AP119" s="652">
        <v>2023</v>
      </c>
      <c r="AQ119" s="626" t="s">
        <v>223</v>
      </c>
      <c r="AR119" s="626" t="s">
        <v>256</v>
      </c>
      <c r="AS119" s="626" t="s">
        <v>357</v>
      </c>
      <c r="AT119" s="626" t="s">
        <v>358</v>
      </c>
      <c r="AU119" s="652">
        <v>2024</v>
      </c>
      <c r="AV119" s="626" t="s">
        <v>359</v>
      </c>
      <c r="AW119" s="626" t="s">
        <v>1115</v>
      </c>
      <c r="AX119" s="626" t="s">
        <v>1116</v>
      </c>
      <c r="AY119" s="626" t="s">
        <v>1117</v>
      </c>
      <c r="AZ119" s="653" t="s">
        <v>1118</v>
      </c>
      <c r="BA119" s="645" t="s">
        <v>1124</v>
      </c>
    </row>
    <row r="120" spans="1:53">
      <c r="A120" s="9"/>
      <c r="B120" s="9" t="s">
        <v>412</v>
      </c>
      <c r="C120" s="10">
        <v>0</v>
      </c>
      <c r="D120" s="10">
        <v>0</v>
      </c>
      <c r="E120" s="10">
        <v>0</v>
      </c>
      <c r="F120" s="10">
        <v>0</v>
      </c>
      <c r="G120" s="39">
        <v>0</v>
      </c>
      <c r="H120" s="10">
        <v>0</v>
      </c>
      <c r="I120" s="10">
        <v>0</v>
      </c>
      <c r="J120" s="10">
        <v>0</v>
      </c>
      <c r="K120" s="10">
        <v>0</v>
      </c>
      <c r="L120" s="39">
        <v>0</v>
      </c>
      <c r="M120" s="10">
        <v>0</v>
      </c>
      <c r="N120" s="10">
        <v>0</v>
      </c>
      <c r="O120" s="10">
        <v>0</v>
      </c>
      <c r="P120" s="10">
        <v>0</v>
      </c>
      <c r="Q120" s="39">
        <v>0</v>
      </c>
      <c r="R120" s="10">
        <v>0</v>
      </c>
      <c r="S120" s="10">
        <v>0</v>
      </c>
      <c r="T120" s="10">
        <v>0</v>
      </c>
      <c r="U120" s="10">
        <v>0</v>
      </c>
      <c r="V120" s="39">
        <v>0</v>
      </c>
      <c r="W120" s="10">
        <v>0</v>
      </c>
      <c r="X120" s="10">
        <v>0</v>
      </c>
      <c r="Y120" s="10">
        <v>0</v>
      </c>
      <c r="Z120" s="10">
        <v>0</v>
      </c>
      <c r="AA120" s="39">
        <v>0</v>
      </c>
      <c r="AB120" s="10">
        <v>0</v>
      </c>
      <c r="AC120" s="10">
        <v>0</v>
      </c>
      <c r="AD120" s="10">
        <v>0</v>
      </c>
      <c r="AE120" s="10">
        <v>0</v>
      </c>
      <c r="AF120" s="39">
        <v>0</v>
      </c>
      <c r="AG120" s="10">
        <f>'DRE HOLDING SEGURIDADE'!AG6+'DRE HOLDING SEGURIDADE'!AG23</f>
        <v>0</v>
      </c>
      <c r="AH120" s="10">
        <f>'DRE HOLDING SEGURIDADE'!AH6+'DRE HOLDING SEGURIDADE'!AH23</f>
        <v>0</v>
      </c>
      <c r="AI120" s="76">
        <f>'DRE HOLDING SEGURIDADE'!AI6+'DRE HOLDING SEGURIDADE'!AI23</f>
        <v>0</v>
      </c>
      <c r="AJ120" s="76">
        <f>'DRE HOLDING SEGURIDADE'!AJ6+'DRE HOLDING SEGURIDADE'!AJ23</f>
        <v>0</v>
      </c>
      <c r="AK120" s="39">
        <f>SUM(AG120:AJ120)</f>
        <v>0</v>
      </c>
      <c r="AL120" s="10">
        <f>'DRE HOLDING SEGURIDADE'!AL6+'DRE HOLDING SEGURIDADE'!AL23</f>
        <v>0</v>
      </c>
      <c r="AM120" s="10">
        <f>'DRE HOLDING SEGURIDADE'!AM6+'DRE HOLDING SEGURIDADE'!AM23</f>
        <v>0</v>
      </c>
      <c r="AN120" s="10">
        <f>'DRE HOLDING SEGURIDADE'!AN6+'DRE HOLDING SEGURIDADE'!AN23</f>
        <v>0</v>
      </c>
      <c r="AO120" s="10">
        <f>'DRE HOLDING SEGURIDADE'!AO6+'DRE HOLDING SEGURIDADE'!AO23</f>
        <v>0</v>
      </c>
      <c r="AP120" s="39">
        <f>SUM(AL120:AO120)</f>
        <v>0</v>
      </c>
      <c r="AQ120" s="10">
        <f>'DRE HOLDING SEGURIDADE'!AQ6+'DRE HOLDING SEGURIDADE'!AQ23</f>
        <v>0</v>
      </c>
      <c r="AR120" s="10">
        <f>'DRE HOLDING SEGURIDADE'!AR6+'DRE HOLDING SEGURIDADE'!AR23</f>
        <v>0</v>
      </c>
      <c r="AS120" s="10">
        <f>'DRE HOLDING SEGURIDADE'!AS6+'DRE HOLDING SEGURIDADE'!AS23</f>
        <v>0</v>
      </c>
      <c r="AT120" s="10">
        <f>'DRE HOLDING SEGURIDADE'!AT6+'DRE HOLDING SEGURIDADE'!AT23</f>
        <v>0</v>
      </c>
      <c r="AU120" s="39">
        <f>SUM(AQ120:AT120)</f>
        <v>0</v>
      </c>
      <c r="AV120" s="10">
        <f>'DRE HOLDING SEGURIDADE'!AV6+'DRE HOLDING SEGURIDADE'!AV23</f>
        <v>0</v>
      </c>
      <c r="AW120" s="10">
        <f>'DRE HOLDING SEGURIDADE'!AW6+'DRE HOLDING SEGURIDADE'!AW23</f>
        <v>0</v>
      </c>
      <c r="AX120" s="10">
        <f>'DRE HOLDING SEGURIDADE'!AX6+'DRE HOLDING SEGURIDADE'!AX23</f>
        <v>0</v>
      </c>
      <c r="AY120" s="10">
        <f>'DRE HOLDING SEGURIDADE'!AY6+'DRE HOLDING SEGURIDADE'!AY23</f>
        <v>0</v>
      </c>
      <c r="AZ120" s="39">
        <f>SUM(AV120:AY120)</f>
        <v>0</v>
      </c>
      <c r="BA120" s="10">
        <f>'DRE HOLDING SEGURIDADE'!BA6+'DRE HOLDING SEGURIDADE'!BA23</f>
        <v>0</v>
      </c>
    </row>
    <row r="121" spans="1:53">
      <c r="A121" s="11"/>
      <c r="B121" s="11" t="s">
        <v>413</v>
      </c>
      <c r="C121" s="12">
        <v>-2216.6877699999995</v>
      </c>
      <c r="D121" s="12">
        <v>-4126.8672299999998</v>
      </c>
      <c r="E121" s="12">
        <v>-6310.178469999998</v>
      </c>
      <c r="F121" s="12">
        <v>-9359.9636399999981</v>
      </c>
      <c r="G121" s="40">
        <v>-22013.697109999994</v>
      </c>
      <c r="H121" s="12">
        <v>-6669.2848099999983</v>
      </c>
      <c r="I121" s="12">
        <v>-7482.5691600000036</v>
      </c>
      <c r="J121" s="12">
        <v>-8903.9532499999932</v>
      </c>
      <c r="K121" s="12">
        <v>-15634.739829999995</v>
      </c>
      <c r="L121" s="40">
        <v>-38690.547049999994</v>
      </c>
      <c r="M121" s="12">
        <v>-8155.6838599999992</v>
      </c>
      <c r="N121" s="12">
        <v>-10933.564439999995</v>
      </c>
      <c r="O121" s="12">
        <v>-14467.978350000012</v>
      </c>
      <c r="P121" s="12">
        <v>-13158.086229999997</v>
      </c>
      <c r="Q121" s="40">
        <v>-46715.312879999998</v>
      </c>
      <c r="R121" s="12">
        <v>-10460.7711</v>
      </c>
      <c r="S121" s="12">
        <v>-11110.768909999995</v>
      </c>
      <c r="T121" s="12">
        <v>-12026.777290000004</v>
      </c>
      <c r="U121" s="12">
        <v>-11909.429629999995</v>
      </c>
      <c r="V121" s="40">
        <v>-45507.746929999994</v>
      </c>
      <c r="W121" s="12">
        <v>-16810.195630000002</v>
      </c>
      <c r="X121" s="12">
        <v>-11807.021240000002</v>
      </c>
      <c r="Y121" s="12">
        <v>-12318.089829999999</v>
      </c>
      <c r="Z121" s="12">
        <v>-14215.174809999995</v>
      </c>
      <c r="AA121" s="40">
        <v>-55150.481509999998</v>
      </c>
      <c r="AB121" s="12">
        <v>-13137.83628</v>
      </c>
      <c r="AC121" s="12">
        <v>-18937.28773</v>
      </c>
      <c r="AD121" s="12">
        <v>-14777.066740000002</v>
      </c>
      <c r="AE121" s="12">
        <v>-13919</v>
      </c>
      <c r="AF121" s="40">
        <v>-60771.190750000002</v>
      </c>
      <c r="AG121" s="12">
        <f>'DRE HOLDING SEGURIDADE'!AG7+'DRE HOLDING SEGURIDADE'!AG24</f>
        <v>-18907</v>
      </c>
      <c r="AH121" s="12">
        <f>'DRE HOLDING SEGURIDADE'!AH7+'DRE HOLDING SEGURIDADE'!AH24</f>
        <v>-21003</v>
      </c>
      <c r="AI121" s="1">
        <f>'DRE HOLDING SEGURIDADE'!AI7+'DRE HOLDING SEGURIDADE'!AI24</f>
        <v>-19474</v>
      </c>
      <c r="AJ121" s="1">
        <f>'DRE HOLDING SEGURIDADE'!AJ7+'DRE HOLDING SEGURIDADE'!AJ24</f>
        <v>-22459</v>
      </c>
      <c r="AK121" s="40">
        <f>SUM(AG121:AJ121)</f>
        <v>-81843</v>
      </c>
      <c r="AL121" s="12">
        <f>'DRE HOLDING SEGURIDADE'!AL7+'DRE HOLDING SEGURIDADE'!AL24</f>
        <v>-20821</v>
      </c>
      <c r="AM121" s="12">
        <f>'DRE HOLDING SEGURIDADE'!AM7+'DRE HOLDING SEGURIDADE'!AM24</f>
        <v>-24103</v>
      </c>
      <c r="AN121" s="12">
        <f>'DRE HOLDING SEGURIDADE'!AN7+'DRE HOLDING SEGURIDADE'!AN24</f>
        <v>-25591</v>
      </c>
      <c r="AO121" s="12">
        <f>'DRE HOLDING SEGURIDADE'!AO7+'DRE HOLDING SEGURIDADE'!AO24</f>
        <v>-21823</v>
      </c>
      <c r="AP121" s="40">
        <f>SUM(AL121:AO121)</f>
        <v>-92338</v>
      </c>
      <c r="AQ121" s="12">
        <f>'DRE HOLDING SEGURIDADE'!AQ7+'DRE HOLDING SEGURIDADE'!AQ24</f>
        <v>-28773</v>
      </c>
      <c r="AR121" s="12">
        <f>'DRE HOLDING SEGURIDADE'!AR7+'DRE HOLDING SEGURIDADE'!AR24</f>
        <v>-25710</v>
      </c>
      <c r="AS121" s="12">
        <f>'DRE HOLDING SEGURIDADE'!AS7+'DRE HOLDING SEGURIDADE'!AS24</f>
        <v>-23887</v>
      </c>
      <c r="AT121" s="12">
        <f>'DRE HOLDING SEGURIDADE'!AT7+'DRE HOLDING SEGURIDADE'!AT24</f>
        <v>-22604.945899999999</v>
      </c>
      <c r="AU121" s="40">
        <f>SUM(AQ121:AT121)</f>
        <v>-100974.94589999999</v>
      </c>
      <c r="AV121" s="12">
        <f>'DRE HOLDING SEGURIDADE'!AV7+'DRE HOLDING SEGURIDADE'!AV24</f>
        <v>-29449.077309999997</v>
      </c>
      <c r="AW121" s="12">
        <f>'DRE HOLDING SEGURIDADE'!AW7+'DRE HOLDING SEGURIDADE'!AW24</f>
        <v>-28602.436339999997</v>
      </c>
      <c r="AX121" s="12">
        <f>'DRE HOLDING SEGURIDADE'!AX7+'DRE HOLDING SEGURIDADE'!AX24</f>
        <v>-32479.447459999996</v>
      </c>
      <c r="AY121" s="12">
        <f>'DRE HOLDING SEGURIDADE'!AY7+'DRE HOLDING SEGURIDADE'!AY24</f>
        <v>-26859.826140000001</v>
      </c>
      <c r="AZ121" s="40">
        <f>SUM(AV121:AY121)</f>
        <v>-117390.78724999999</v>
      </c>
      <c r="BA121" s="12">
        <f>'DRE HOLDING SEGURIDADE'!BA7+'DRE HOLDING SEGURIDADE'!BA24</f>
        <v>-37983.320489999969</v>
      </c>
    </row>
    <row r="122" spans="1:53">
      <c r="A122" s="11"/>
      <c r="B122" s="11" t="s">
        <v>414</v>
      </c>
      <c r="C122" s="13">
        <v>0</v>
      </c>
      <c r="D122" s="13">
        <v>0</v>
      </c>
      <c r="E122" s="13">
        <v>0</v>
      </c>
      <c r="F122" s="13">
        <v>0</v>
      </c>
      <c r="G122" s="41">
        <v>0</v>
      </c>
      <c r="H122" s="13">
        <v>0</v>
      </c>
      <c r="I122" s="13">
        <v>0</v>
      </c>
      <c r="J122" s="13">
        <v>0</v>
      </c>
      <c r="K122" s="13">
        <v>-2367</v>
      </c>
      <c r="L122" s="41">
        <v>-2367</v>
      </c>
      <c r="M122" s="13">
        <v>-6</v>
      </c>
      <c r="N122" s="13">
        <v>-1</v>
      </c>
      <c r="O122" s="13">
        <v>-34</v>
      </c>
      <c r="P122" s="13">
        <v>-2109</v>
      </c>
      <c r="Q122" s="41">
        <v>-2150</v>
      </c>
      <c r="R122" s="13">
        <v>-44</v>
      </c>
      <c r="S122" s="13">
        <v>-1030</v>
      </c>
      <c r="T122" s="13">
        <v>-466</v>
      </c>
      <c r="U122" s="13">
        <v>-370</v>
      </c>
      <c r="V122" s="41">
        <v>-1910</v>
      </c>
      <c r="W122" s="13">
        <v>-390</v>
      </c>
      <c r="X122" s="13">
        <v>-356</v>
      </c>
      <c r="Y122" s="13">
        <v>-320</v>
      </c>
      <c r="Z122" s="13">
        <v>-269</v>
      </c>
      <c r="AA122" s="41">
        <v>-1335</v>
      </c>
      <c r="AB122" s="13">
        <v>-281</v>
      </c>
      <c r="AC122" s="13">
        <v>-301</v>
      </c>
      <c r="AD122" s="13">
        <v>-316</v>
      </c>
      <c r="AE122" s="13">
        <v>-347</v>
      </c>
      <c r="AF122" s="41">
        <v>-1245</v>
      </c>
      <c r="AG122" s="13">
        <f>'DRE HOLDING SEGURIDADE'!AG8+'DRE HOLDING SEGURIDADE'!AG25</f>
        <v>-442</v>
      </c>
      <c r="AH122" s="13">
        <f>'DRE HOLDING SEGURIDADE'!AH8+'DRE HOLDING SEGURIDADE'!AH25</f>
        <v>-518</v>
      </c>
      <c r="AI122" s="1">
        <f>'DRE HOLDING SEGURIDADE'!AI8+'DRE HOLDING SEGURIDADE'!AI25</f>
        <v>-563</v>
      </c>
      <c r="AJ122" s="1">
        <f>'DRE HOLDING SEGURIDADE'!AJ8+'DRE HOLDING SEGURIDADE'!AJ25</f>
        <v>-442</v>
      </c>
      <c r="AK122" s="41">
        <f t="shared" ref="AK122:AK133" si="155">SUM(AG122:AJ122)</f>
        <v>-1965</v>
      </c>
      <c r="AL122" s="13">
        <f>'DRE HOLDING SEGURIDADE'!AL8+'DRE HOLDING SEGURIDADE'!AL25</f>
        <v>-666</v>
      </c>
      <c r="AM122" s="13">
        <f>'DRE HOLDING SEGURIDADE'!AM8+'DRE HOLDING SEGURIDADE'!AM25</f>
        <v>-685</v>
      </c>
      <c r="AN122" s="13">
        <f>'DRE HOLDING SEGURIDADE'!AN8+'DRE HOLDING SEGURIDADE'!AN25</f>
        <v>-542</v>
      </c>
      <c r="AO122" s="13">
        <f>'DRE HOLDING SEGURIDADE'!AO8+'DRE HOLDING SEGURIDADE'!AO25</f>
        <v>-557</v>
      </c>
      <c r="AP122" s="41">
        <f t="shared" ref="AP122:AP133" si="156">SUM(AL122:AO122)</f>
        <v>-2450</v>
      </c>
      <c r="AQ122" s="13">
        <f>'DRE HOLDING SEGURIDADE'!AQ8+'DRE HOLDING SEGURIDADE'!AQ25</f>
        <v>-669.39359999999942</v>
      </c>
      <c r="AR122" s="13">
        <f>'DRE HOLDING SEGURIDADE'!AR8+'DRE HOLDING SEGURIDADE'!AR25</f>
        <v>-576</v>
      </c>
      <c r="AS122" s="13">
        <f>'DRE HOLDING SEGURIDADE'!AS8+'DRE HOLDING SEGURIDADE'!AS25</f>
        <v>-597</v>
      </c>
      <c r="AT122" s="13">
        <f>'DRE HOLDING SEGURIDADE'!AT8+'DRE HOLDING SEGURIDADE'!AT25</f>
        <v>-571.58524999999463</v>
      </c>
      <c r="AU122" s="41">
        <f t="shared" ref="AU122:AU133" si="157">SUM(AQ122:AT122)</f>
        <v>-2413.9788499999941</v>
      </c>
      <c r="AV122" s="13">
        <f>'DRE HOLDING SEGURIDADE'!AV8+'DRE HOLDING SEGURIDADE'!AV25</f>
        <v>-785</v>
      </c>
      <c r="AW122" s="13">
        <f>'DRE HOLDING SEGURIDADE'!AW8+'DRE HOLDING SEGURIDADE'!AW25</f>
        <v>-749</v>
      </c>
      <c r="AX122" s="13">
        <f>'DRE HOLDING SEGURIDADE'!AX8+'DRE HOLDING SEGURIDADE'!AX25</f>
        <v>-631.57474999999977</v>
      </c>
      <c r="AY122" s="13">
        <f>'DRE HOLDING SEGURIDADE'!AY8+'DRE HOLDING SEGURIDADE'!AY25</f>
        <v>-638.99999999999091</v>
      </c>
      <c r="AZ122" s="41">
        <f t="shared" ref="AZ122:AZ133" si="158">SUM(AV122:AY122)</f>
        <v>-2804.5747499999907</v>
      </c>
      <c r="BA122" s="13">
        <f>'DRE HOLDING SEGURIDADE'!BA8+'DRE HOLDING SEGURIDADE'!BA25</f>
        <v>-881</v>
      </c>
    </row>
    <row r="123" spans="1:53">
      <c r="A123" s="11"/>
      <c r="B123" s="11" t="s">
        <v>415</v>
      </c>
      <c r="C123" s="13">
        <v>-1418</v>
      </c>
      <c r="D123" s="13">
        <v>2676</v>
      </c>
      <c r="E123" s="13">
        <v>5838.2842000000046</v>
      </c>
      <c r="F123" s="13">
        <v>7007.7157999999954</v>
      </c>
      <c r="G123" s="41">
        <v>14104</v>
      </c>
      <c r="H123" s="13">
        <v>4216.8194699999985</v>
      </c>
      <c r="I123" s="13">
        <v>7007.4345200000016</v>
      </c>
      <c r="J123" s="13">
        <v>6577.1029199999975</v>
      </c>
      <c r="K123" s="13">
        <v>6446.7443500000008</v>
      </c>
      <c r="L123" s="41">
        <v>24248.101259999999</v>
      </c>
      <c r="M123" s="13">
        <v>2734.3223500000004</v>
      </c>
      <c r="N123" s="13">
        <v>6629.0339199999999</v>
      </c>
      <c r="O123" s="13">
        <v>6871.9531700000007</v>
      </c>
      <c r="P123" s="13">
        <v>7660.0473200000015</v>
      </c>
      <c r="Q123" s="41">
        <v>23895.356760000002</v>
      </c>
      <c r="R123" s="13">
        <v>4140</v>
      </c>
      <c r="S123" s="13">
        <v>13238</v>
      </c>
      <c r="T123" s="13">
        <v>12216</v>
      </c>
      <c r="U123" s="13">
        <v>5349.4627</v>
      </c>
      <c r="V123" s="41">
        <v>34943.462700000004</v>
      </c>
      <c r="W123" s="13">
        <v>4647</v>
      </c>
      <c r="X123" s="13">
        <v>5912</v>
      </c>
      <c r="Y123" s="13">
        <v>3792</v>
      </c>
      <c r="Z123" s="13">
        <v>5933</v>
      </c>
      <c r="AA123" s="41">
        <v>20284</v>
      </c>
      <c r="AB123" s="13">
        <v>-240</v>
      </c>
      <c r="AC123" s="13">
        <v>1865.7324400000002</v>
      </c>
      <c r="AD123" s="13">
        <v>2792.8871799999997</v>
      </c>
      <c r="AE123" s="13">
        <v>1350</v>
      </c>
      <c r="AF123" s="41">
        <v>5768.6196199999995</v>
      </c>
      <c r="AG123" s="13">
        <f>'DRE HOLDING SEGURIDADE'!AG9+'DRE HOLDING SEGURIDADE'!AG26</f>
        <v>6531</v>
      </c>
      <c r="AH123" s="13">
        <f>'DRE HOLDING SEGURIDADE'!AH9+'DRE HOLDING SEGURIDADE'!AH26</f>
        <v>12193</v>
      </c>
      <c r="AI123" s="1">
        <f>'DRE HOLDING SEGURIDADE'!AI9+'DRE HOLDING SEGURIDADE'!AI26</f>
        <v>11333</v>
      </c>
      <c r="AJ123" s="1">
        <f>'DRE HOLDING SEGURIDADE'!AJ9+'DRE HOLDING SEGURIDADE'!AJ26</f>
        <v>21481</v>
      </c>
      <c r="AK123" s="41">
        <f t="shared" si="155"/>
        <v>51538</v>
      </c>
      <c r="AL123" s="13">
        <f>'DRE HOLDING SEGURIDADE'!AL9+'DRE HOLDING SEGURIDADE'!AL26</f>
        <v>3243</v>
      </c>
      <c r="AM123" s="13">
        <f>'DRE HOLDING SEGURIDADE'!AM9+'DRE HOLDING SEGURIDADE'!AM26</f>
        <v>17583</v>
      </c>
      <c r="AN123" s="13">
        <f>'DRE HOLDING SEGURIDADE'!AN9+'DRE HOLDING SEGURIDADE'!AN26</f>
        <v>12775</v>
      </c>
      <c r="AO123" s="13">
        <f>'DRE HOLDING SEGURIDADE'!AO9+'DRE HOLDING SEGURIDADE'!AO26</f>
        <v>19879</v>
      </c>
      <c r="AP123" s="41">
        <f t="shared" si="156"/>
        <v>53480</v>
      </c>
      <c r="AQ123" s="13">
        <f>'DRE HOLDING SEGURIDADE'!AQ9+'DRE HOLDING SEGURIDADE'!AQ26</f>
        <v>-23165</v>
      </c>
      <c r="AR123" s="13">
        <f>'DRE HOLDING SEGURIDADE'!AR9+'DRE HOLDING SEGURIDADE'!AR26</f>
        <v>2798</v>
      </c>
      <c r="AS123" s="13">
        <f>'DRE HOLDING SEGURIDADE'!AS9+'DRE HOLDING SEGURIDADE'!AS26</f>
        <v>18066.450649999999</v>
      </c>
      <c r="AT123" s="13">
        <f>'DRE HOLDING SEGURIDADE'!AT9+'DRE HOLDING SEGURIDADE'!AT26</f>
        <v>23316.748620000002</v>
      </c>
      <c r="AU123" s="41">
        <f t="shared" si="157"/>
        <v>21016.199270000001</v>
      </c>
      <c r="AV123" s="13">
        <f>'DRE HOLDING SEGURIDADE'!AV9+'DRE HOLDING SEGURIDADE'!AV26</f>
        <v>14097</v>
      </c>
      <c r="AW123" s="13">
        <f>'DRE HOLDING SEGURIDADE'!AW9+'DRE HOLDING SEGURIDADE'!AW26</f>
        <v>26618.123450000006</v>
      </c>
      <c r="AX123" s="13">
        <f>'DRE HOLDING SEGURIDADE'!AX9+'DRE HOLDING SEGURIDADE'!AX26</f>
        <v>30243.252930000006</v>
      </c>
      <c r="AY123" s="13">
        <f>'DRE HOLDING SEGURIDADE'!AY9+'DRE HOLDING SEGURIDADE'!AY26</f>
        <v>37185.027000000002</v>
      </c>
      <c r="AZ123" s="41">
        <f t="shared" si="158"/>
        <v>108143.40338000002</v>
      </c>
      <c r="BA123" s="13">
        <f>'DRE HOLDING SEGURIDADE'!BA9+'DRE HOLDING SEGURIDADE'!BA26</f>
        <v>12893</v>
      </c>
    </row>
    <row r="124" spans="1:53">
      <c r="A124" s="11"/>
      <c r="B124" s="11" t="s">
        <v>416</v>
      </c>
      <c r="C124" s="12">
        <v>0</v>
      </c>
      <c r="D124" s="12">
        <v>0</v>
      </c>
      <c r="E124" s="12">
        <v>0</v>
      </c>
      <c r="F124" s="12">
        <v>0</v>
      </c>
      <c r="G124" s="40">
        <v>0</v>
      </c>
      <c r="H124" s="12">
        <v>0</v>
      </c>
      <c r="I124" s="12">
        <v>0</v>
      </c>
      <c r="J124" s="12">
        <v>0</v>
      </c>
      <c r="K124" s="12">
        <v>0</v>
      </c>
      <c r="L124" s="40">
        <v>0</v>
      </c>
      <c r="M124" s="12">
        <v>0</v>
      </c>
      <c r="N124" s="12">
        <v>0</v>
      </c>
      <c r="O124" s="12">
        <v>0</v>
      </c>
      <c r="P124" s="12">
        <v>0</v>
      </c>
      <c r="Q124" s="40">
        <v>0</v>
      </c>
      <c r="R124" s="12">
        <v>0</v>
      </c>
      <c r="S124" s="12">
        <v>0</v>
      </c>
      <c r="T124" s="12">
        <v>0</v>
      </c>
      <c r="U124" s="12">
        <v>0</v>
      </c>
      <c r="V124" s="40">
        <v>0</v>
      </c>
      <c r="W124" s="12">
        <v>0</v>
      </c>
      <c r="X124" s="12">
        <v>0</v>
      </c>
      <c r="Y124" s="12">
        <v>0</v>
      </c>
      <c r="Z124" s="12">
        <v>0</v>
      </c>
      <c r="AA124" s="40">
        <v>0</v>
      </c>
      <c r="AB124" s="12">
        <v>0</v>
      </c>
      <c r="AC124" s="12">
        <v>0</v>
      </c>
      <c r="AD124" s="12">
        <v>0</v>
      </c>
      <c r="AE124" s="12">
        <v>0</v>
      </c>
      <c r="AF124" s="40">
        <v>0</v>
      </c>
      <c r="AG124" s="12">
        <f>'DRE HOLDING SEGURIDADE'!AG10+'DRE HOLDING SEGURIDADE'!AG27</f>
        <v>0</v>
      </c>
      <c r="AH124" s="12">
        <f>'DRE HOLDING SEGURIDADE'!AH10+'DRE HOLDING SEGURIDADE'!AH27</f>
        <v>0</v>
      </c>
      <c r="AI124" s="1">
        <f>'DRE HOLDING SEGURIDADE'!AI10+'DRE HOLDING SEGURIDADE'!AI27</f>
        <v>0</v>
      </c>
      <c r="AJ124" s="1">
        <f>'DRE HOLDING SEGURIDADE'!AJ10+'DRE HOLDING SEGURIDADE'!AJ27</f>
        <v>0</v>
      </c>
      <c r="AK124" s="40">
        <f t="shared" si="155"/>
        <v>0</v>
      </c>
      <c r="AL124" s="12">
        <f>'DRE HOLDING SEGURIDADE'!AL10+'DRE HOLDING SEGURIDADE'!AL27</f>
        <v>0</v>
      </c>
      <c r="AM124" s="12">
        <f>'DRE HOLDING SEGURIDADE'!AM10+'DRE HOLDING SEGURIDADE'!AM27</f>
        <v>0</v>
      </c>
      <c r="AN124" s="12">
        <f>'DRE HOLDING SEGURIDADE'!AN10+'DRE HOLDING SEGURIDADE'!AN27</f>
        <v>0</v>
      </c>
      <c r="AO124" s="12">
        <f>'DRE HOLDING SEGURIDADE'!AO10+'DRE HOLDING SEGURIDADE'!AO27</f>
        <v>0</v>
      </c>
      <c r="AP124" s="40">
        <f t="shared" si="156"/>
        <v>0</v>
      </c>
      <c r="AQ124" s="12">
        <f>'DRE HOLDING SEGURIDADE'!AQ10+'DRE HOLDING SEGURIDADE'!AQ27</f>
        <v>0</v>
      </c>
      <c r="AR124" s="12">
        <f>'DRE HOLDING SEGURIDADE'!AR10+'DRE HOLDING SEGURIDADE'!AR27</f>
        <v>0</v>
      </c>
      <c r="AS124" s="12">
        <f>'DRE HOLDING SEGURIDADE'!AS10+'DRE HOLDING SEGURIDADE'!AS27</f>
        <v>0</v>
      </c>
      <c r="AT124" s="12">
        <f>'DRE HOLDING SEGURIDADE'!AT10+'DRE HOLDING SEGURIDADE'!AT27</f>
        <v>0</v>
      </c>
      <c r="AU124" s="40">
        <f t="shared" si="157"/>
        <v>0</v>
      </c>
      <c r="AV124" s="12">
        <f>'DRE HOLDING SEGURIDADE'!AV10+'DRE HOLDING SEGURIDADE'!AV27</f>
        <v>0</v>
      </c>
      <c r="AW124" s="12">
        <f>'DRE HOLDING SEGURIDADE'!AW10+'DRE HOLDING SEGURIDADE'!AW27</f>
        <v>0</v>
      </c>
      <c r="AX124" s="12">
        <f>'DRE HOLDING SEGURIDADE'!AX10+'DRE HOLDING SEGURIDADE'!AX27</f>
        <v>0</v>
      </c>
      <c r="AY124" s="12">
        <f>'DRE HOLDING SEGURIDADE'!AY10+'DRE HOLDING SEGURIDADE'!AY27</f>
        <v>0</v>
      </c>
      <c r="AZ124" s="40">
        <f t="shared" si="158"/>
        <v>0</v>
      </c>
      <c r="BA124" s="12">
        <f>'DRE HOLDING SEGURIDADE'!BA10+'DRE HOLDING SEGURIDADE'!BA27</f>
        <v>0</v>
      </c>
    </row>
    <row r="125" spans="1:53">
      <c r="A125" s="11"/>
      <c r="B125" s="11" t="s">
        <v>417</v>
      </c>
      <c r="C125" s="13">
        <v>0</v>
      </c>
      <c r="D125" s="13">
        <v>0</v>
      </c>
      <c r="E125" s="13">
        <v>0</v>
      </c>
      <c r="F125" s="13">
        <v>0</v>
      </c>
      <c r="G125" s="41">
        <v>0</v>
      </c>
      <c r="H125" s="13">
        <v>0</v>
      </c>
      <c r="I125" s="13">
        <v>0</v>
      </c>
      <c r="J125" s="13">
        <v>0</v>
      </c>
      <c r="K125" s="13">
        <v>0</v>
      </c>
      <c r="L125" s="41">
        <v>0</v>
      </c>
      <c r="M125" s="13">
        <v>0</v>
      </c>
      <c r="N125" s="13">
        <v>0</v>
      </c>
      <c r="O125" s="13">
        <v>0</v>
      </c>
      <c r="P125" s="13">
        <v>0</v>
      </c>
      <c r="Q125" s="41">
        <v>0</v>
      </c>
      <c r="R125" s="13">
        <v>0</v>
      </c>
      <c r="S125" s="13">
        <v>0</v>
      </c>
      <c r="T125" s="13">
        <v>0</v>
      </c>
      <c r="U125" s="13">
        <v>0</v>
      </c>
      <c r="V125" s="41">
        <v>0</v>
      </c>
      <c r="W125" s="13">
        <v>0</v>
      </c>
      <c r="X125" s="13">
        <v>0</v>
      </c>
      <c r="Y125" s="13">
        <v>0</v>
      </c>
      <c r="Z125" s="13">
        <v>0</v>
      </c>
      <c r="AA125" s="41">
        <v>0</v>
      </c>
      <c r="AB125" s="13">
        <v>0</v>
      </c>
      <c r="AC125" s="13">
        <v>1808.0078899999999</v>
      </c>
      <c r="AD125" s="13">
        <v>5934.6343400000005</v>
      </c>
      <c r="AE125" s="13">
        <v>6.7999999970197672E-4</v>
      </c>
      <c r="AF125" s="41">
        <v>7742.6429100000005</v>
      </c>
      <c r="AG125" s="13">
        <f>'DRE HOLDING SEGURIDADE'!AG11+'DRE HOLDING SEGURIDADE'!AG28</f>
        <v>0</v>
      </c>
      <c r="AH125" s="13">
        <f>'DRE HOLDING SEGURIDADE'!AH11+'DRE HOLDING SEGURIDADE'!AH28</f>
        <v>0</v>
      </c>
      <c r="AI125" s="1">
        <f>'DRE HOLDING SEGURIDADE'!AI11+'DRE HOLDING SEGURIDADE'!AI28</f>
        <v>5</v>
      </c>
      <c r="AJ125" s="1">
        <f>'DRE HOLDING SEGURIDADE'!AJ11+'DRE HOLDING SEGURIDADE'!AJ28</f>
        <v>296732</v>
      </c>
      <c r="AK125" s="41">
        <f t="shared" si="155"/>
        <v>296737</v>
      </c>
      <c r="AL125" s="110">
        <f>'DRE HOLDING SEGURIDADE'!AL11+'DRE HOLDING SEGURIDADE'!AL28</f>
        <v>30681</v>
      </c>
      <c r="AM125" s="110">
        <f>'DRE HOLDING SEGURIDADE'!AM11+'DRE HOLDING SEGURIDADE'!AM28</f>
        <v>1</v>
      </c>
      <c r="AN125" s="110">
        <f>'DRE HOLDING SEGURIDADE'!AN11+'DRE HOLDING SEGURIDADE'!AN28</f>
        <v>9</v>
      </c>
      <c r="AO125" s="110">
        <f>'DRE HOLDING SEGURIDADE'!AO11+'DRE HOLDING SEGURIDADE'!AO28</f>
        <v>0</v>
      </c>
      <c r="AP125" s="41">
        <f t="shared" si="156"/>
        <v>30691</v>
      </c>
      <c r="AQ125" s="110">
        <f>'DRE HOLDING SEGURIDADE'!AQ11+'DRE HOLDING SEGURIDADE'!AQ28</f>
        <v>1</v>
      </c>
      <c r="AR125" s="110">
        <f>'DRE HOLDING SEGURIDADE'!AR11+'DRE HOLDING SEGURIDADE'!AR28</f>
        <v>3106</v>
      </c>
      <c r="AS125" s="110">
        <f>'DRE HOLDING SEGURIDADE'!AS11+'DRE HOLDING SEGURIDADE'!AS28</f>
        <v>0</v>
      </c>
      <c r="AT125" s="110">
        <f>'DRE HOLDING SEGURIDADE'!AT11+'DRE HOLDING SEGURIDADE'!AT28</f>
        <v>0</v>
      </c>
      <c r="AU125" s="41">
        <f t="shared" si="157"/>
        <v>3107</v>
      </c>
      <c r="AV125" s="110">
        <f>'DRE HOLDING SEGURIDADE'!AV11+'DRE HOLDING SEGURIDADE'!AV28</f>
        <v>-383.71208000000001</v>
      </c>
      <c r="AW125" s="110">
        <f>'DRE HOLDING SEGURIDADE'!AW11+'DRE HOLDING SEGURIDADE'!AW28</f>
        <v>385.85464000000013</v>
      </c>
      <c r="AX125" s="110">
        <f>'DRE HOLDING SEGURIDADE'!AX11+'DRE HOLDING SEGURIDADE'!AX28</f>
        <v>-3.7834979593753813E-13</v>
      </c>
      <c r="AY125" s="110">
        <f>'DRE HOLDING SEGURIDADE'!AY11+'DRE HOLDING SEGURIDADE'!AY28</f>
        <v>0.76277000000000394</v>
      </c>
      <c r="AZ125" s="41">
        <f t="shared" si="158"/>
        <v>2.9053299999997426</v>
      </c>
      <c r="BA125" s="110">
        <f>'DRE HOLDING SEGURIDADE'!BA11+'DRE HOLDING SEGURIDADE'!BA28</f>
        <v>0</v>
      </c>
    </row>
    <row r="126" spans="1:53">
      <c r="A126" s="9"/>
      <c r="B126" s="9" t="s">
        <v>418</v>
      </c>
      <c r="C126" s="10">
        <v>-3634.6877699999995</v>
      </c>
      <c r="D126" s="10">
        <v>-1450.8672299999998</v>
      </c>
      <c r="E126" s="10">
        <v>-471.89426999999341</v>
      </c>
      <c r="F126" s="10">
        <v>-2352.2478400000027</v>
      </c>
      <c r="G126" s="39">
        <v>-7909.6971099999955</v>
      </c>
      <c r="H126" s="10">
        <v>-2452.4653399999997</v>
      </c>
      <c r="I126" s="10">
        <v>-475.13464000000204</v>
      </c>
      <c r="J126" s="10">
        <v>-2326.8503299999957</v>
      </c>
      <c r="K126" s="10">
        <v>-11554.995479999994</v>
      </c>
      <c r="L126" s="39">
        <v>-16809.445789999991</v>
      </c>
      <c r="M126" s="10">
        <v>-5427.3615099999988</v>
      </c>
      <c r="N126" s="10">
        <v>-4305.5305199999948</v>
      </c>
      <c r="O126" s="10">
        <v>-7630.0251800000115</v>
      </c>
      <c r="P126" s="10">
        <v>-7607.0389099999957</v>
      </c>
      <c r="Q126" s="39">
        <v>-24969.956120000003</v>
      </c>
      <c r="R126" s="10">
        <v>-6364.7710999999999</v>
      </c>
      <c r="S126" s="10">
        <v>1097.2310900000048</v>
      </c>
      <c r="T126" s="10">
        <v>-276.77729000000363</v>
      </c>
      <c r="U126" s="10">
        <v>-6929.966929999995</v>
      </c>
      <c r="V126" s="39">
        <v>-12474.284229999994</v>
      </c>
      <c r="W126" s="10">
        <v>-12553.195630000002</v>
      </c>
      <c r="X126" s="10">
        <v>-6251.0212400000019</v>
      </c>
      <c r="Y126" s="10">
        <v>-8846.089829999999</v>
      </c>
      <c r="Z126" s="10">
        <v>-8551.174809999995</v>
      </c>
      <c r="AA126" s="39">
        <v>-36201.481509999998</v>
      </c>
      <c r="AB126" s="10">
        <v>-13658.83628</v>
      </c>
      <c r="AC126" s="10">
        <v>-15564.547399999999</v>
      </c>
      <c r="AD126" s="10">
        <v>-6365.5452200000018</v>
      </c>
      <c r="AE126" s="10">
        <v>-12915.999320000001</v>
      </c>
      <c r="AF126" s="39">
        <v>-48504.928220000002</v>
      </c>
      <c r="AG126" s="10">
        <f>SUM(AG120:AG125)</f>
        <v>-12818</v>
      </c>
      <c r="AH126" s="10">
        <f>SUM(AH120:AH125)</f>
        <v>-9328</v>
      </c>
      <c r="AI126" s="76">
        <f>SUM(AI120:AI125)</f>
        <v>-8699</v>
      </c>
      <c r="AJ126" s="76">
        <f>SUM(AJ120:AJ125)</f>
        <v>295312</v>
      </c>
      <c r="AK126" s="39">
        <f t="shared" si="155"/>
        <v>264467</v>
      </c>
      <c r="AL126" s="10">
        <f>SUM(AL120:AL125)</f>
        <v>12437</v>
      </c>
      <c r="AM126" s="10">
        <f>SUM(AM120:AM125)</f>
        <v>-7204</v>
      </c>
      <c r="AN126" s="10">
        <f t="shared" ref="AN126:AO126" si="159">SUM(AN120:AN125)</f>
        <v>-13349</v>
      </c>
      <c r="AO126" s="10">
        <f t="shared" si="159"/>
        <v>-2501</v>
      </c>
      <c r="AP126" s="39">
        <f t="shared" si="156"/>
        <v>-10617</v>
      </c>
      <c r="AQ126" s="10">
        <f t="shared" ref="AQ126" si="160">SUM(AQ120:AQ125)</f>
        <v>-52606.393599999996</v>
      </c>
      <c r="AR126" s="10">
        <f>SUM(AR120:AR125)</f>
        <v>-20382</v>
      </c>
      <c r="AS126" s="10">
        <f t="shared" ref="AS126:AT126" si="161">SUM(AS120:AS125)</f>
        <v>-6417.5493500000011</v>
      </c>
      <c r="AT126" s="10">
        <f t="shared" si="161"/>
        <v>140.21747000000687</v>
      </c>
      <c r="AU126" s="39">
        <f t="shared" si="157"/>
        <v>-79265.725479999994</v>
      </c>
      <c r="AV126" s="10">
        <f t="shared" ref="AV126" si="162">SUM(AV120:AV125)</f>
        <v>-16520.789389999998</v>
      </c>
      <c r="AW126" s="10">
        <f t="shared" ref="AW126:AX126" si="163">SUM(AW120:AW125)</f>
        <v>-2347.4582499999901</v>
      </c>
      <c r="AX126" s="10">
        <f t="shared" si="163"/>
        <v>-2867.76927999999</v>
      </c>
      <c r="AY126" s="10">
        <f>SUM(AY120:AY125)</f>
        <v>9686.9636300000111</v>
      </c>
      <c r="AZ126" s="39">
        <f t="shared" si="158"/>
        <v>-12049.053289999965</v>
      </c>
      <c r="BA126" s="10">
        <f>SUM(BA120:BA125)</f>
        <v>-25971.320489999969</v>
      </c>
    </row>
    <row r="127" spans="1:53">
      <c r="A127" s="11"/>
      <c r="B127" s="11" t="s">
        <v>419</v>
      </c>
      <c r="C127" s="13">
        <v>0</v>
      </c>
      <c r="D127" s="13">
        <v>0</v>
      </c>
      <c r="E127" s="13">
        <v>0</v>
      </c>
      <c r="F127" s="13">
        <v>0</v>
      </c>
      <c r="G127" s="40">
        <v>0</v>
      </c>
      <c r="H127" s="13">
        <v>0</v>
      </c>
      <c r="I127" s="13">
        <v>0</v>
      </c>
      <c r="J127" s="13">
        <v>0</v>
      </c>
      <c r="K127" s="13">
        <v>0</v>
      </c>
      <c r="L127" s="40">
        <v>0</v>
      </c>
      <c r="M127" s="13">
        <v>0</v>
      </c>
      <c r="N127" s="13">
        <v>0</v>
      </c>
      <c r="O127" s="13">
        <v>0</v>
      </c>
      <c r="P127" s="13">
        <v>0</v>
      </c>
      <c r="Q127" s="40">
        <v>0</v>
      </c>
      <c r="R127" s="13">
        <v>0</v>
      </c>
      <c r="S127" s="13">
        <v>0</v>
      </c>
      <c r="T127" s="13">
        <v>0</v>
      </c>
      <c r="U127" s="13">
        <v>0</v>
      </c>
      <c r="V127" s="40">
        <v>0</v>
      </c>
      <c r="W127" s="13">
        <v>0</v>
      </c>
      <c r="X127" s="13">
        <v>0</v>
      </c>
      <c r="Y127" s="13">
        <v>0</v>
      </c>
      <c r="Z127" s="13">
        <v>0</v>
      </c>
      <c r="AA127" s="40">
        <v>0</v>
      </c>
      <c r="AB127" s="13">
        <v>0</v>
      </c>
      <c r="AC127" s="13">
        <v>0</v>
      </c>
      <c r="AD127" s="13">
        <v>0</v>
      </c>
      <c r="AE127" s="13">
        <v>0</v>
      </c>
      <c r="AF127" s="40">
        <v>0</v>
      </c>
      <c r="AG127" s="13">
        <f>'DRE HOLDING SEGURIDADE'!AG13+'DRE HOLDING SEGURIDADE'!AG30</f>
        <v>0</v>
      </c>
      <c r="AH127" s="13">
        <f>'DRE HOLDING SEGURIDADE'!AH13+'DRE HOLDING SEGURIDADE'!AH30</f>
        <v>0</v>
      </c>
      <c r="AI127" s="1">
        <f>'DRE HOLDING SEGURIDADE'!AI13+'DRE HOLDING SEGURIDADE'!AI30</f>
        <v>0</v>
      </c>
      <c r="AJ127" s="1">
        <f>'DRE HOLDING SEGURIDADE'!AJ13+'DRE HOLDING SEGURIDADE'!AJ30</f>
        <v>0</v>
      </c>
      <c r="AK127" s="40">
        <f t="shared" si="155"/>
        <v>0</v>
      </c>
      <c r="AL127" s="13">
        <f>'DRE HOLDING SEGURIDADE'!AL13+'DRE HOLDING SEGURIDADE'!AL30</f>
        <v>0</v>
      </c>
      <c r="AM127" s="13">
        <f>'DRE HOLDING SEGURIDADE'!AM13+'DRE HOLDING SEGURIDADE'!AM30</f>
        <v>0</v>
      </c>
      <c r="AN127" s="13">
        <f>'DRE HOLDING SEGURIDADE'!AN13+'DRE HOLDING SEGURIDADE'!AN30</f>
        <v>0</v>
      </c>
      <c r="AO127" s="13">
        <f>'DRE HOLDING SEGURIDADE'!AO13+'DRE HOLDING SEGURIDADE'!AO30</f>
        <v>0</v>
      </c>
      <c r="AP127" s="40">
        <f t="shared" si="156"/>
        <v>0</v>
      </c>
      <c r="AQ127" s="13">
        <f>'DRE HOLDING SEGURIDADE'!AQ13+'DRE HOLDING SEGURIDADE'!AQ30</f>
        <v>0</v>
      </c>
      <c r="AR127" s="13">
        <f>'DRE HOLDING SEGURIDADE'!AR13+'DRE HOLDING SEGURIDADE'!AR30</f>
        <v>0</v>
      </c>
      <c r="AS127" s="13">
        <f>'DRE HOLDING SEGURIDADE'!AS13+'DRE HOLDING SEGURIDADE'!AS30</f>
        <v>0</v>
      </c>
      <c r="AT127" s="13">
        <f>'DRE HOLDING SEGURIDADE'!AT13+'DRE HOLDING SEGURIDADE'!AT30</f>
        <v>0</v>
      </c>
      <c r="AU127" s="40">
        <f t="shared" si="157"/>
        <v>0</v>
      </c>
      <c r="AV127" s="13">
        <f>'DRE HOLDING SEGURIDADE'!AV13+'DRE HOLDING SEGURIDADE'!AV30</f>
        <v>0</v>
      </c>
      <c r="AW127" s="13">
        <f>'DRE HOLDING SEGURIDADE'!AW13+'DRE HOLDING SEGURIDADE'!AW30</f>
        <v>0</v>
      </c>
      <c r="AX127" s="13">
        <f>'DRE HOLDING SEGURIDADE'!AX13+'DRE HOLDING SEGURIDADE'!AX30</f>
        <v>0</v>
      </c>
      <c r="AY127" s="13">
        <f>'DRE HOLDING SEGURIDADE'!AY13+'DRE HOLDING SEGURIDADE'!AY30</f>
        <v>0</v>
      </c>
      <c r="AZ127" s="40">
        <f t="shared" si="158"/>
        <v>0</v>
      </c>
      <c r="BA127" s="13">
        <f>'DRE HOLDING SEGURIDADE'!BA13+'DRE HOLDING SEGURIDADE'!BA30</f>
        <v>0</v>
      </c>
    </row>
    <row r="128" spans="1:53">
      <c r="A128" s="9"/>
      <c r="B128" s="9" t="s">
        <v>420</v>
      </c>
      <c r="C128" s="10">
        <v>-3634.6877699999995</v>
      </c>
      <c r="D128" s="10">
        <v>-1450.8672299999998</v>
      </c>
      <c r="E128" s="10">
        <v>-471.89426999999341</v>
      </c>
      <c r="F128" s="10">
        <v>-2352.2478400000027</v>
      </c>
      <c r="G128" s="39">
        <v>-7909.6971099999955</v>
      </c>
      <c r="H128" s="10">
        <v>-2452.4653399999997</v>
      </c>
      <c r="I128" s="10">
        <v>-475.13464000000204</v>
      </c>
      <c r="J128" s="10">
        <v>-2326.8503299999957</v>
      </c>
      <c r="K128" s="10">
        <v>-11554.995479999994</v>
      </c>
      <c r="L128" s="39">
        <v>-16809.445789999991</v>
      </c>
      <c r="M128" s="10">
        <v>-5427.3615099999988</v>
      </c>
      <c r="N128" s="10">
        <v>-4305.5305199999948</v>
      </c>
      <c r="O128" s="10">
        <v>-7630.0251800000115</v>
      </c>
      <c r="P128" s="10">
        <v>-7607.0389099999957</v>
      </c>
      <c r="Q128" s="39">
        <v>-24969.956120000003</v>
      </c>
      <c r="R128" s="10">
        <v>-6364.7710999999999</v>
      </c>
      <c r="S128" s="10">
        <v>1097.2310900000048</v>
      </c>
      <c r="T128" s="10">
        <v>-276.77729000000363</v>
      </c>
      <c r="U128" s="10">
        <v>-6929.966929999995</v>
      </c>
      <c r="V128" s="39">
        <v>-12474.284229999994</v>
      </c>
      <c r="W128" s="10">
        <v>-12553.195630000002</v>
      </c>
      <c r="X128" s="10">
        <v>-6251.0212400000019</v>
      </c>
      <c r="Y128" s="10">
        <v>-8846.089829999999</v>
      </c>
      <c r="Z128" s="10">
        <v>-8551.174809999995</v>
      </c>
      <c r="AA128" s="39">
        <v>-36201.481509999998</v>
      </c>
      <c r="AB128" s="10">
        <v>-13658.83628</v>
      </c>
      <c r="AC128" s="10">
        <v>-15564.547399999999</v>
      </c>
      <c r="AD128" s="10">
        <v>-6365.5452200000018</v>
      </c>
      <c r="AE128" s="10">
        <v>-12915.999320000001</v>
      </c>
      <c r="AF128" s="39">
        <v>-48504.928220000002</v>
      </c>
      <c r="AG128" s="10">
        <f>SUM(AG126:AG127)</f>
        <v>-12818</v>
      </c>
      <c r="AH128" s="10">
        <f>SUM(AH126:AH127)</f>
        <v>-9328</v>
      </c>
      <c r="AI128" s="76">
        <f>SUM(AI126:AI127)</f>
        <v>-8699</v>
      </c>
      <c r="AJ128" s="76">
        <f>SUM(AJ126:AJ127)</f>
        <v>295312</v>
      </c>
      <c r="AK128" s="39">
        <f t="shared" si="155"/>
        <v>264467</v>
      </c>
      <c r="AL128" s="10">
        <f>SUM(AL126:AL127)</f>
        <v>12437</v>
      </c>
      <c r="AM128" s="10">
        <f>SUM(AM126:AM127)</f>
        <v>-7204</v>
      </c>
      <c r="AN128" s="10">
        <f t="shared" ref="AN128:AO128" si="164">SUM(AN126:AN127)</f>
        <v>-13349</v>
      </c>
      <c r="AO128" s="10">
        <f t="shared" si="164"/>
        <v>-2501</v>
      </c>
      <c r="AP128" s="39">
        <f t="shared" si="156"/>
        <v>-10617</v>
      </c>
      <c r="AQ128" s="10">
        <f t="shared" ref="AQ128" si="165">SUM(AQ126:AQ127)</f>
        <v>-52606.393599999996</v>
      </c>
      <c r="AR128" s="10">
        <f>SUM(AR126:AR127)</f>
        <v>-20382</v>
      </c>
      <c r="AS128" s="10">
        <f t="shared" ref="AS128:AT128" si="166">SUM(AS126:AS127)</f>
        <v>-6417.5493500000011</v>
      </c>
      <c r="AT128" s="10">
        <f t="shared" si="166"/>
        <v>140.21747000000687</v>
      </c>
      <c r="AU128" s="39">
        <f t="shared" si="157"/>
        <v>-79265.725479999994</v>
      </c>
      <c r="AV128" s="10">
        <f t="shared" ref="AV128" si="167">SUM(AV126:AV127)</f>
        <v>-16520.789389999998</v>
      </c>
      <c r="AW128" s="10">
        <f t="shared" ref="AW128:AX128" si="168">SUM(AW126:AW127)</f>
        <v>-2347.4582499999901</v>
      </c>
      <c r="AX128" s="10">
        <f t="shared" si="168"/>
        <v>-2867.76927999999</v>
      </c>
      <c r="AY128" s="10">
        <f>SUM(AY126:AY127)</f>
        <v>9686.9636300000111</v>
      </c>
      <c r="AZ128" s="39">
        <f t="shared" si="158"/>
        <v>-12049.053289999965</v>
      </c>
      <c r="BA128" s="10">
        <f>SUM(BA126:BA127)</f>
        <v>-25971.320489999969</v>
      </c>
    </row>
    <row r="129" spans="1:53">
      <c r="A129" s="11"/>
      <c r="B129" s="11" t="s">
        <v>421</v>
      </c>
      <c r="C129" s="13">
        <v>0</v>
      </c>
      <c r="D129" s="13">
        <v>0</v>
      </c>
      <c r="E129" s="13">
        <v>0</v>
      </c>
      <c r="F129" s="13">
        <v>0</v>
      </c>
      <c r="G129" s="41">
        <v>0</v>
      </c>
      <c r="H129" s="13">
        <v>0</v>
      </c>
      <c r="I129" s="13">
        <v>0</v>
      </c>
      <c r="J129" s="13">
        <v>0</v>
      </c>
      <c r="K129" s="13">
        <v>-5779</v>
      </c>
      <c r="L129" s="41">
        <v>-5779</v>
      </c>
      <c r="M129" s="13">
        <v>-1</v>
      </c>
      <c r="N129" s="13">
        <v>-1</v>
      </c>
      <c r="O129" s="13">
        <v>-158</v>
      </c>
      <c r="P129" s="13">
        <v>-5258</v>
      </c>
      <c r="Q129" s="41">
        <v>-5418</v>
      </c>
      <c r="R129" s="13">
        <v>-218</v>
      </c>
      <c r="S129" s="13">
        <v>-2657</v>
      </c>
      <c r="T129" s="13">
        <v>-1260</v>
      </c>
      <c r="U129" s="13">
        <v>-1063</v>
      </c>
      <c r="V129" s="41">
        <v>-5198</v>
      </c>
      <c r="W129" s="13">
        <v>-1101</v>
      </c>
      <c r="X129" s="13">
        <v>-997</v>
      </c>
      <c r="Y129" s="13">
        <v>-857</v>
      </c>
      <c r="Z129" s="13">
        <v>-732</v>
      </c>
      <c r="AA129" s="41">
        <v>-3687</v>
      </c>
      <c r="AB129" s="13">
        <v>-683</v>
      </c>
      <c r="AC129" s="13">
        <v>-737</v>
      </c>
      <c r="AD129" s="13">
        <v>-788</v>
      </c>
      <c r="AE129" s="13">
        <v>-892</v>
      </c>
      <c r="AF129" s="41">
        <v>-3100</v>
      </c>
      <c r="AG129" s="13">
        <f>'DRE HOLDING SEGURIDADE'!AG15+'DRE HOLDING SEGURIDADE'!AG32</f>
        <v>-1229</v>
      </c>
      <c r="AH129" s="13">
        <f>'DRE HOLDING SEGURIDADE'!AH15+'DRE HOLDING SEGURIDADE'!AH32</f>
        <v>-1499</v>
      </c>
      <c r="AI129" s="1">
        <f>'DRE HOLDING SEGURIDADE'!AI15+'DRE HOLDING SEGURIDADE'!AI32</f>
        <v>-1695</v>
      </c>
      <c r="AJ129" s="1">
        <f>'DRE HOLDING SEGURIDADE'!AJ15+'DRE HOLDING SEGURIDADE'!AJ32</f>
        <v>-75410</v>
      </c>
      <c r="AK129" s="41">
        <f t="shared" si="155"/>
        <v>-79833</v>
      </c>
      <c r="AL129" s="1">
        <f>'DRE HOLDING SEGURIDADE'!AL15+'DRE HOLDING SEGURIDADE'!AL32</f>
        <v>-9565.25</v>
      </c>
      <c r="AM129" s="1">
        <f>'DRE HOLDING SEGURIDADE'!AM15+'DRE HOLDING SEGURIDADE'!AM32</f>
        <v>-2037</v>
      </c>
      <c r="AN129" s="1">
        <f>'DRE HOLDING SEGURIDADE'!AN15+'DRE HOLDING SEGURIDADE'!AN32</f>
        <v>-1359</v>
      </c>
      <c r="AO129" s="1">
        <f>'DRE HOLDING SEGURIDADE'!AO15+'DRE HOLDING SEGURIDADE'!AO32</f>
        <v>-1660</v>
      </c>
      <c r="AP129" s="41">
        <f t="shared" si="156"/>
        <v>-14621.25</v>
      </c>
      <c r="AQ129" s="1">
        <f>'DRE HOLDING SEGURIDADE'!AQ15+'DRE HOLDING SEGURIDADE'!AQ32</f>
        <v>-1914</v>
      </c>
      <c r="AR129" s="1">
        <f>'DRE HOLDING SEGURIDADE'!AR15+'DRE HOLDING SEGURIDADE'!AR32</f>
        <v>-3135</v>
      </c>
      <c r="AS129" s="1">
        <f>'DRE HOLDING SEGURIDADE'!AS15+'DRE HOLDING SEGURIDADE'!AS32</f>
        <v>-1519</v>
      </c>
      <c r="AT129" s="1">
        <f>'DRE HOLDING SEGURIDADE'!AT15+'DRE HOLDING SEGURIDADE'!AT32</f>
        <v>-1613</v>
      </c>
      <c r="AU129" s="41">
        <f t="shared" si="157"/>
        <v>-8181</v>
      </c>
      <c r="AV129" s="1">
        <f>'DRE HOLDING SEGURIDADE'!AV15+'DRE HOLDING SEGURIDADE'!AV32</f>
        <v>-1761.86293</v>
      </c>
      <c r="AW129" s="1">
        <f>'DRE HOLDING SEGURIDADE'!AW15+'DRE HOLDING SEGURIDADE'!AW32</f>
        <v>-1478.2010500000001</v>
      </c>
      <c r="AX129" s="1">
        <f>'DRE HOLDING SEGURIDADE'!AX15+'DRE HOLDING SEGURIDADE'!AX32</f>
        <v>-1726.7014100000001</v>
      </c>
      <c r="AY129" s="1">
        <f>'DRE HOLDING SEGURIDADE'!AY15+'DRE HOLDING SEGURIDADE'!AY32</f>
        <v>-1837</v>
      </c>
      <c r="AZ129" s="41">
        <f t="shared" si="158"/>
        <v>-6803.7653900000005</v>
      </c>
      <c r="BA129" s="1">
        <f>'DRE HOLDING SEGURIDADE'!BA15+'DRE HOLDING SEGURIDADE'!BA32</f>
        <v>-2164</v>
      </c>
    </row>
    <row r="130" spans="1:53">
      <c r="A130" s="11"/>
      <c r="B130" s="11" t="s">
        <v>422</v>
      </c>
      <c r="C130" s="13">
        <v>0</v>
      </c>
      <c r="D130" s="13">
        <v>0</v>
      </c>
      <c r="E130" s="13">
        <v>0</v>
      </c>
      <c r="F130" s="13">
        <v>0</v>
      </c>
      <c r="G130" s="41">
        <v>0</v>
      </c>
      <c r="H130" s="13">
        <v>0</v>
      </c>
      <c r="I130" s="13">
        <v>0</v>
      </c>
      <c r="J130" s="13">
        <v>0</v>
      </c>
      <c r="K130" s="13">
        <v>-2089</v>
      </c>
      <c r="L130" s="41">
        <v>-2089</v>
      </c>
      <c r="M130" s="13">
        <v>-1</v>
      </c>
      <c r="N130" s="13">
        <v>0</v>
      </c>
      <c r="O130" s="13">
        <v>-63</v>
      </c>
      <c r="P130" s="13">
        <v>-1895</v>
      </c>
      <c r="Q130" s="41">
        <v>-1959</v>
      </c>
      <c r="R130" s="13">
        <v>-81</v>
      </c>
      <c r="S130" s="13">
        <v>-963</v>
      </c>
      <c r="T130" s="13">
        <v>-457</v>
      </c>
      <c r="U130" s="13">
        <v>-379</v>
      </c>
      <c r="V130" s="41">
        <v>-1880</v>
      </c>
      <c r="W130" s="13">
        <v>-401</v>
      </c>
      <c r="X130" s="13">
        <v>-363</v>
      </c>
      <c r="Y130" s="13">
        <v>-314</v>
      </c>
      <c r="Z130" s="13">
        <v>-256</v>
      </c>
      <c r="AA130" s="41">
        <v>-1334</v>
      </c>
      <c r="AB130" s="13">
        <v>-250</v>
      </c>
      <c r="AC130" s="13">
        <v>-270</v>
      </c>
      <c r="AD130" s="13">
        <v>-288</v>
      </c>
      <c r="AE130" s="13">
        <v>-316</v>
      </c>
      <c r="AF130" s="41">
        <v>-1124</v>
      </c>
      <c r="AG130" s="13">
        <f>'DRE HOLDING SEGURIDADE'!AG16+'DRE HOLDING SEGURIDADE'!AG33</f>
        <v>-447</v>
      </c>
      <c r="AH130" s="13">
        <f>'DRE HOLDING SEGURIDADE'!AH16+'DRE HOLDING SEGURIDADE'!AH33</f>
        <v>-544</v>
      </c>
      <c r="AI130" s="1">
        <f>'DRE HOLDING SEGURIDADE'!AI16+'DRE HOLDING SEGURIDADE'!AI33</f>
        <v>-614</v>
      </c>
      <c r="AJ130" s="1">
        <f>'DRE HOLDING SEGURIDADE'!AJ16+'DRE HOLDING SEGURIDADE'!AJ33</f>
        <v>-27152</v>
      </c>
      <c r="AK130" s="41">
        <f t="shared" si="155"/>
        <v>-28757</v>
      </c>
      <c r="AL130" s="1">
        <f>'DRE HOLDING SEGURIDADE'!AL16+'DRE HOLDING SEGURIDADE'!AL33</f>
        <v>-3448.29</v>
      </c>
      <c r="AM130" s="1">
        <f>'DRE HOLDING SEGURIDADE'!AM16+'DRE HOLDING SEGURIDADE'!AM33</f>
        <v>-737</v>
      </c>
      <c r="AN130" s="1">
        <f>'DRE HOLDING SEGURIDADE'!AN16+'DRE HOLDING SEGURIDADE'!AN33</f>
        <v>-494</v>
      </c>
      <c r="AO130" s="1">
        <f>'DRE HOLDING SEGURIDADE'!AO16+'DRE HOLDING SEGURIDADE'!AO33</f>
        <v>-593</v>
      </c>
      <c r="AP130" s="41">
        <f t="shared" si="156"/>
        <v>-5272.29</v>
      </c>
      <c r="AQ130" s="1">
        <f>'DRE HOLDING SEGURIDADE'!AQ16+'DRE HOLDING SEGURIDADE'!AQ33</f>
        <v>-693</v>
      </c>
      <c r="AR130" s="1">
        <f>'DRE HOLDING SEGURIDADE'!AR16+'DRE HOLDING SEGURIDADE'!AR33</f>
        <v>-510</v>
      </c>
      <c r="AS130" s="1">
        <f>'DRE HOLDING SEGURIDADE'!AS16+'DRE HOLDING SEGURIDADE'!AS33</f>
        <v>-532</v>
      </c>
      <c r="AT130" s="1">
        <f>'DRE HOLDING SEGURIDADE'!AT16+'DRE HOLDING SEGURIDADE'!AT33</f>
        <v>-511</v>
      </c>
      <c r="AU130" s="41">
        <f t="shared" si="157"/>
        <v>-2246</v>
      </c>
      <c r="AV130" s="1">
        <f>'DRE HOLDING SEGURIDADE'!AV16+'DRE HOLDING SEGURIDADE'!AV33</f>
        <v>-702</v>
      </c>
      <c r="AW130" s="1">
        <f>'DRE HOLDING SEGURIDADE'!AW16+'DRE HOLDING SEGURIDADE'!AW33</f>
        <v>-533</v>
      </c>
      <c r="AX130" s="1">
        <f>'DRE HOLDING SEGURIDADE'!AX16+'DRE HOLDING SEGURIDADE'!AX33</f>
        <v>-559</v>
      </c>
      <c r="AY130" s="1">
        <f>'DRE HOLDING SEGURIDADE'!AY16+'DRE HOLDING SEGURIDADE'!AY33</f>
        <v>-566</v>
      </c>
      <c r="AZ130" s="41">
        <f t="shared" si="158"/>
        <v>-2360</v>
      </c>
      <c r="BA130" s="1">
        <f>'DRE HOLDING SEGURIDADE'!BA16+'DRE HOLDING SEGURIDADE'!BA33</f>
        <v>-779</v>
      </c>
    </row>
    <row r="131" spans="1:53">
      <c r="A131" s="11"/>
      <c r="B131" s="11" t="s">
        <v>423</v>
      </c>
      <c r="C131" s="13">
        <v>0</v>
      </c>
      <c r="D131" s="13">
        <v>0</v>
      </c>
      <c r="E131" s="13">
        <v>0</v>
      </c>
      <c r="F131" s="13">
        <v>0</v>
      </c>
      <c r="G131" s="41">
        <v>0</v>
      </c>
      <c r="H131" s="13">
        <v>0</v>
      </c>
      <c r="I131" s="13">
        <v>0</v>
      </c>
      <c r="J131" s="13">
        <v>0</v>
      </c>
      <c r="K131" s="13">
        <v>0</v>
      </c>
      <c r="L131" s="41">
        <v>0</v>
      </c>
      <c r="M131" s="13">
        <v>0</v>
      </c>
      <c r="N131" s="13">
        <v>0</v>
      </c>
      <c r="O131" s="13">
        <v>0</v>
      </c>
      <c r="P131" s="13">
        <v>0</v>
      </c>
      <c r="Q131" s="41">
        <v>0</v>
      </c>
      <c r="R131" s="13">
        <v>0</v>
      </c>
      <c r="S131" s="13">
        <v>0</v>
      </c>
      <c r="T131" s="13">
        <v>0</v>
      </c>
      <c r="U131" s="13">
        <v>0</v>
      </c>
      <c r="V131" s="41">
        <v>0</v>
      </c>
      <c r="W131" s="13">
        <v>0</v>
      </c>
      <c r="X131" s="13">
        <v>0</v>
      </c>
      <c r="Y131" s="13">
        <v>0</v>
      </c>
      <c r="Z131" s="13">
        <v>0</v>
      </c>
      <c r="AA131" s="41">
        <v>0</v>
      </c>
      <c r="AB131" s="13">
        <v>0</v>
      </c>
      <c r="AC131" s="13">
        <v>0</v>
      </c>
      <c r="AD131" s="13">
        <v>0</v>
      </c>
      <c r="AE131" s="13">
        <v>0</v>
      </c>
      <c r="AF131" s="41">
        <v>0</v>
      </c>
      <c r="AG131" s="13">
        <f>'DRE HOLDING SEGURIDADE'!AG17+'DRE HOLDING SEGURIDADE'!AG34</f>
        <v>0</v>
      </c>
      <c r="AH131" s="13">
        <f>'DRE HOLDING SEGURIDADE'!AH17+'DRE HOLDING SEGURIDADE'!AH34</f>
        <v>0</v>
      </c>
      <c r="AI131" s="1">
        <f>'DRE HOLDING SEGURIDADE'!AI17+'DRE HOLDING SEGURIDADE'!AI34</f>
        <v>0</v>
      </c>
      <c r="AJ131" s="1">
        <f>'DRE HOLDING SEGURIDADE'!AJ17+'DRE HOLDING SEGURIDADE'!AJ34</f>
        <v>0</v>
      </c>
      <c r="AK131" s="41">
        <f t="shared" si="155"/>
        <v>0</v>
      </c>
      <c r="AL131" s="1">
        <f>'DRE HOLDING SEGURIDADE'!AL17+'DRE HOLDING SEGURIDADE'!AL34</f>
        <v>0</v>
      </c>
      <c r="AM131" s="1">
        <f>'DRE HOLDING SEGURIDADE'!AM17+'DRE HOLDING SEGURIDADE'!AM34</f>
        <v>0</v>
      </c>
      <c r="AN131" s="1">
        <f>'DRE HOLDING SEGURIDADE'!AN17+'DRE HOLDING SEGURIDADE'!AN34</f>
        <v>0</v>
      </c>
      <c r="AO131" s="1">
        <f>'DRE HOLDING SEGURIDADE'!AO17+'DRE HOLDING SEGURIDADE'!AO34</f>
        <v>0</v>
      </c>
      <c r="AP131" s="41">
        <f t="shared" si="156"/>
        <v>0</v>
      </c>
      <c r="AQ131" s="1">
        <f>'DRE HOLDING SEGURIDADE'!AQ17+'DRE HOLDING SEGURIDADE'!AQ34</f>
        <v>0</v>
      </c>
      <c r="AR131" s="1">
        <f>'DRE HOLDING SEGURIDADE'!AR17+'DRE HOLDING SEGURIDADE'!AR34</f>
        <v>0</v>
      </c>
      <c r="AS131" s="1">
        <f>'DRE HOLDING SEGURIDADE'!AS17+'DRE HOLDING SEGURIDADE'!AS34</f>
        <v>0</v>
      </c>
      <c r="AT131" s="1">
        <f>'DRE HOLDING SEGURIDADE'!AT17+'DRE HOLDING SEGURIDADE'!AT34</f>
        <v>0</v>
      </c>
      <c r="AU131" s="41">
        <f t="shared" si="157"/>
        <v>0</v>
      </c>
      <c r="AV131" s="1">
        <f>'DRE HOLDING SEGURIDADE'!AV17+'DRE HOLDING SEGURIDADE'!AV34</f>
        <v>0</v>
      </c>
      <c r="AW131" s="1">
        <f>'DRE HOLDING SEGURIDADE'!AW17+'DRE HOLDING SEGURIDADE'!AW34</f>
        <v>0</v>
      </c>
      <c r="AX131" s="1">
        <f>'DRE HOLDING SEGURIDADE'!AX17+'DRE HOLDING SEGURIDADE'!AX34</f>
        <v>0</v>
      </c>
      <c r="AY131" s="1">
        <f>'DRE HOLDING SEGURIDADE'!AY17+'DRE HOLDING SEGURIDADE'!AY34</f>
        <v>0</v>
      </c>
      <c r="AZ131" s="41">
        <f t="shared" si="158"/>
        <v>0</v>
      </c>
      <c r="BA131" s="1">
        <f>'DRE HOLDING SEGURIDADE'!BA17+'DRE HOLDING SEGURIDADE'!BA34</f>
        <v>0</v>
      </c>
    </row>
    <row r="132" spans="1:53">
      <c r="A132" s="11"/>
      <c r="B132" s="11" t="s">
        <v>424</v>
      </c>
      <c r="C132" s="13">
        <v>0</v>
      </c>
      <c r="D132" s="13">
        <v>0</v>
      </c>
      <c r="E132" s="13">
        <v>0</v>
      </c>
      <c r="F132" s="13">
        <v>0</v>
      </c>
      <c r="G132" s="41">
        <v>0</v>
      </c>
      <c r="H132" s="13">
        <v>0</v>
      </c>
      <c r="I132" s="13">
        <v>0</v>
      </c>
      <c r="J132" s="13">
        <v>0</v>
      </c>
      <c r="K132" s="13">
        <v>0</v>
      </c>
      <c r="L132" s="41">
        <v>0</v>
      </c>
      <c r="M132" s="13">
        <v>0</v>
      </c>
      <c r="N132" s="13">
        <v>0</v>
      </c>
      <c r="O132" s="13">
        <v>0</v>
      </c>
      <c r="P132" s="13">
        <v>0</v>
      </c>
      <c r="Q132" s="41">
        <v>0</v>
      </c>
      <c r="R132" s="13">
        <v>0</v>
      </c>
      <c r="S132" s="13">
        <v>0</v>
      </c>
      <c r="T132" s="13">
        <v>0</v>
      </c>
      <c r="U132" s="13">
        <v>0</v>
      </c>
      <c r="V132" s="41">
        <v>0</v>
      </c>
      <c r="W132" s="13">
        <v>0</v>
      </c>
      <c r="X132" s="13">
        <v>0</v>
      </c>
      <c r="Y132" s="13">
        <v>0</v>
      </c>
      <c r="Z132" s="13">
        <v>0</v>
      </c>
      <c r="AA132" s="41">
        <v>0</v>
      </c>
      <c r="AB132" s="13">
        <v>0</v>
      </c>
      <c r="AC132" s="13">
        <v>0</v>
      </c>
      <c r="AD132" s="13">
        <v>0</v>
      </c>
      <c r="AE132" s="13">
        <v>0</v>
      </c>
      <c r="AF132" s="41">
        <v>0</v>
      </c>
      <c r="AG132" s="13">
        <f>'DRE HOLDING SEGURIDADE'!AG18+'DRE HOLDING SEGURIDADE'!AG35</f>
        <v>0</v>
      </c>
      <c r="AH132" s="13">
        <f>'DRE HOLDING SEGURIDADE'!AH18+'DRE HOLDING SEGURIDADE'!AH35</f>
        <v>0</v>
      </c>
      <c r="AI132" s="1">
        <f>'DRE HOLDING SEGURIDADE'!AI18+'DRE HOLDING SEGURIDADE'!AI35</f>
        <v>0</v>
      </c>
      <c r="AJ132" s="1">
        <f>'DRE HOLDING SEGURIDADE'!AJ18+'DRE HOLDING SEGURIDADE'!AJ35</f>
        <v>0</v>
      </c>
      <c r="AK132" s="41">
        <f t="shared" si="155"/>
        <v>0</v>
      </c>
      <c r="AL132" s="1">
        <f>'DRE HOLDING SEGURIDADE'!AL18+'DRE HOLDING SEGURIDADE'!AL35</f>
        <v>0</v>
      </c>
      <c r="AM132" s="1">
        <f>'DRE HOLDING SEGURIDADE'!AM18+'DRE HOLDING SEGURIDADE'!AM35</f>
        <v>0</v>
      </c>
      <c r="AN132" s="1">
        <f>'DRE HOLDING SEGURIDADE'!AN18+'DRE HOLDING SEGURIDADE'!AN35</f>
        <v>0</v>
      </c>
      <c r="AO132" s="1">
        <f>'DRE HOLDING SEGURIDADE'!AO18+'DRE HOLDING SEGURIDADE'!AO35</f>
        <v>0</v>
      </c>
      <c r="AP132" s="41">
        <f t="shared" si="156"/>
        <v>0</v>
      </c>
      <c r="AQ132" s="1">
        <f>'DRE HOLDING SEGURIDADE'!AQ18+'DRE HOLDING SEGURIDADE'!AQ35</f>
        <v>0</v>
      </c>
      <c r="AR132" s="1">
        <f>'DRE HOLDING SEGURIDADE'!AR18+'DRE HOLDING SEGURIDADE'!AR35</f>
        <v>0</v>
      </c>
      <c r="AS132" s="1">
        <f>'DRE HOLDING SEGURIDADE'!AS18+'DRE HOLDING SEGURIDADE'!AS35</f>
        <v>0</v>
      </c>
      <c r="AT132" s="1">
        <f>'DRE HOLDING SEGURIDADE'!AT18+'DRE HOLDING SEGURIDADE'!AT35</f>
        <v>0</v>
      </c>
      <c r="AU132" s="41">
        <f t="shared" si="157"/>
        <v>0</v>
      </c>
      <c r="AV132" s="1">
        <f>'DRE HOLDING SEGURIDADE'!AV18+'DRE HOLDING SEGURIDADE'!AV35</f>
        <v>0</v>
      </c>
      <c r="AW132" s="1">
        <f>'DRE HOLDING SEGURIDADE'!AW18+'DRE HOLDING SEGURIDADE'!AW35</f>
        <v>0</v>
      </c>
      <c r="AX132" s="1">
        <f>'DRE HOLDING SEGURIDADE'!AX18+'DRE HOLDING SEGURIDADE'!AX35</f>
        <v>0</v>
      </c>
      <c r="AY132" s="1">
        <f>'DRE HOLDING SEGURIDADE'!AY18+'DRE HOLDING SEGURIDADE'!AY35</f>
        <v>0</v>
      </c>
      <c r="AZ132" s="41">
        <f t="shared" si="158"/>
        <v>0</v>
      </c>
      <c r="BA132" s="1">
        <f>'DRE HOLDING SEGURIDADE'!BA18+'DRE HOLDING SEGURIDADE'!BA35</f>
        <v>0</v>
      </c>
    </row>
    <row r="133" spans="1:53" ht="15.75" thickBot="1">
      <c r="A133" s="15"/>
      <c r="B133" s="15" t="s">
        <v>435</v>
      </c>
      <c r="C133" s="33">
        <v>-3634.6877699999995</v>
      </c>
      <c r="D133" s="33">
        <v>-1450.8672299999998</v>
      </c>
      <c r="E133" s="33">
        <v>-471.89426999999341</v>
      </c>
      <c r="F133" s="33">
        <v>-2352.2478400000027</v>
      </c>
      <c r="G133" s="37">
        <v>-7909.6971099999955</v>
      </c>
      <c r="H133" s="33">
        <v>-2452.4653399999997</v>
      </c>
      <c r="I133" s="33">
        <v>-475.13464000000204</v>
      </c>
      <c r="J133" s="33">
        <v>-2326.8503299999957</v>
      </c>
      <c r="K133" s="33">
        <v>-19422.995479999994</v>
      </c>
      <c r="L133" s="37">
        <v>-24677.445789999991</v>
      </c>
      <c r="M133" s="33">
        <v>-5429.3615099999988</v>
      </c>
      <c r="N133" s="33">
        <v>-4306.5305199999948</v>
      </c>
      <c r="O133" s="33">
        <v>-7851.0251800000115</v>
      </c>
      <c r="P133" s="33">
        <v>-14760.038909999996</v>
      </c>
      <c r="Q133" s="37">
        <v>-32346.956120000003</v>
      </c>
      <c r="R133" s="33">
        <v>-6663.7710999999999</v>
      </c>
      <c r="S133" s="33">
        <v>-2522.7689099999952</v>
      </c>
      <c r="T133" s="33">
        <v>-1993.7772900000036</v>
      </c>
      <c r="U133" s="33">
        <v>-8371.966929999995</v>
      </c>
      <c r="V133" s="37">
        <v>-19552.284229999994</v>
      </c>
      <c r="W133" s="33">
        <v>-14055.195630000002</v>
      </c>
      <c r="X133" s="33">
        <v>-7611.0212400000019</v>
      </c>
      <c r="Y133" s="33">
        <v>-10017.089829999999</v>
      </c>
      <c r="Z133" s="33">
        <v>-9539.174809999995</v>
      </c>
      <c r="AA133" s="37">
        <v>-41222.481509999998</v>
      </c>
      <c r="AB133" s="33">
        <v>-14591.83628</v>
      </c>
      <c r="AC133" s="33">
        <v>-16571.547399999999</v>
      </c>
      <c r="AD133" s="33">
        <v>-7441.5452200000018</v>
      </c>
      <c r="AE133" s="33">
        <v>-14123.999320000001</v>
      </c>
      <c r="AF133" s="37">
        <v>-52728.928220000002</v>
      </c>
      <c r="AG133" s="33">
        <f>SUM(AG128:AG132)</f>
        <v>-14494</v>
      </c>
      <c r="AH133" s="33">
        <f>SUM(AH128:AH132)</f>
        <v>-11371</v>
      </c>
      <c r="AI133" s="33">
        <f>SUM(AI128:AI132)</f>
        <v>-11008</v>
      </c>
      <c r="AJ133" s="33">
        <f>SUM(AJ128:AJ132)</f>
        <v>192750</v>
      </c>
      <c r="AK133" s="37">
        <f t="shared" si="155"/>
        <v>155877</v>
      </c>
      <c r="AL133" s="33">
        <f>SUM(AL128:AL132)</f>
        <v>-576.54</v>
      </c>
      <c r="AM133" s="33">
        <f>SUM(AM128:AM132)</f>
        <v>-9978</v>
      </c>
      <c r="AN133" s="33">
        <f t="shared" ref="AN133:AO133" si="169">SUM(AN128:AN132)</f>
        <v>-15202</v>
      </c>
      <c r="AO133" s="33">
        <f t="shared" si="169"/>
        <v>-4754</v>
      </c>
      <c r="AP133" s="37">
        <f t="shared" si="156"/>
        <v>-30510.54</v>
      </c>
      <c r="AQ133" s="33">
        <f t="shared" ref="AQ133" si="170">SUM(AQ128:AQ132)</f>
        <v>-55213.393599999996</v>
      </c>
      <c r="AR133" s="33">
        <f>SUM(AR128:AR132)</f>
        <v>-24027</v>
      </c>
      <c r="AS133" s="33">
        <f t="shared" ref="AS133:AT133" si="171">SUM(AS128:AS132)</f>
        <v>-8468.5493500000011</v>
      </c>
      <c r="AT133" s="33">
        <f t="shared" si="171"/>
        <v>-1983.7825299999931</v>
      </c>
      <c r="AU133" s="37">
        <f t="shared" si="157"/>
        <v>-89692.725479999994</v>
      </c>
      <c r="AV133" s="33">
        <f t="shared" ref="AV133:AX133" si="172">SUM(AV128:AV132)</f>
        <v>-18984.652319999997</v>
      </c>
      <c r="AW133" s="33">
        <f t="shared" si="172"/>
        <v>-4358.6592999999903</v>
      </c>
      <c r="AX133" s="33">
        <f t="shared" si="172"/>
        <v>-5153.4706899999901</v>
      </c>
      <c r="AY133" s="33">
        <f>SUM(AY128:AY132)</f>
        <v>7283.9636300000111</v>
      </c>
      <c r="AZ133" s="37">
        <f t="shared" si="158"/>
        <v>-21212.818679999968</v>
      </c>
      <c r="BA133" s="33">
        <f>SUM(BA128:BA132)</f>
        <v>-28914.320489999969</v>
      </c>
    </row>
    <row r="136" spans="1:53">
      <c r="AD136" s="8"/>
    </row>
    <row r="137" spans="1:53">
      <c r="AD137" s="8"/>
    </row>
  </sheetData>
  <mergeCells count="1">
    <mergeCell ref="C2:AB2"/>
  </mergeCells>
  <phoneticPr fontId="18" type="noConversion"/>
  <conditionalFormatting sqref="BJ84:BJ100">
    <cfRule type="expression" dxfId="163" priority="3">
      <formula>(IF(BI84 = "-", 1, BI84) * BH84) &gt;= 0</formula>
    </cfRule>
    <cfRule type="expression" dxfId="162" priority="4">
      <formula>(IF(BI84 = "-", 1, BI84) * BH84) &lt; 0</formula>
    </cfRule>
  </conditionalFormatting>
  <conditionalFormatting sqref="BJ85:BJ89 BJ93:BJ95">
    <cfRule type="expression" dxfId="161" priority="10">
      <formula>(IF(BI85 = "-", 1, BI85) * BF85) &lt; 0</formula>
    </cfRule>
    <cfRule type="expression" dxfId="160" priority="9">
      <formula>(IF(BI85 = "-", 1, BI85) * BF85) &gt;= 0</formula>
    </cfRule>
  </conditionalFormatting>
  <conditionalFormatting sqref="BL8:BL24">
    <cfRule type="expression" dxfId="159" priority="119">
      <formula>(IF(BK8 = "-", 1, BK8) * BJ8) &gt;= 0</formula>
    </cfRule>
    <cfRule type="expression" dxfId="158" priority="120">
      <formula>(IF(BK8 = "-", 1, BK8) * BJ8) &lt; 0</formula>
    </cfRule>
  </conditionalFormatting>
  <conditionalFormatting sqref="BL84:BM86">
    <cfRule type="expression" dxfId="157" priority="22">
      <formula>(IF(BK84 = "-", 1, BK84) * BH84) &lt; 0</formula>
    </cfRule>
    <cfRule type="expression" dxfId="156" priority="21">
      <formula>(IF(BK84 = "-", 1, BK84) * BH84) &gt;= 0</formula>
    </cfRule>
  </conditionalFormatting>
  <conditionalFormatting sqref="BL85:BM85">
    <cfRule type="expression" dxfId="155" priority="26">
      <formula>(IF(BK85 = "-", 1, BK85) * BH85) &lt; 0</formula>
    </cfRule>
    <cfRule type="expression" dxfId="154" priority="25">
      <formula>(IF(BK85 = "-", 1, BK85) * BH85) &gt;= 0</formula>
    </cfRule>
  </conditionalFormatting>
  <conditionalFormatting sqref="BL86:BM87 BL89:BM89 BJ91 BL91:BM91 BL93:BM93 BL95:BM95 BJ97 BL97:BM97 BJ99 BL99:BM99">
    <cfRule type="expression" dxfId="153" priority="18">
      <formula>(IF(BI86 = "-", 1, BI86) * BF86) &lt; 0</formula>
    </cfRule>
  </conditionalFormatting>
  <conditionalFormatting sqref="BL86:BM87 BL89:BM89 BL93:BM93 BL95:BM95 BL91:BM91 BJ91 BJ97 BJ99 BL97:BM97 BL99:BM99">
    <cfRule type="expression" dxfId="152" priority="17">
      <formula>(IF(BI86 = "-", 1, BI86) * BF86) &gt;= 0</formula>
    </cfRule>
  </conditionalFormatting>
  <conditionalFormatting sqref="BL87:BM89 BL93:BM95">
    <cfRule type="expression" dxfId="151" priority="16">
      <formula>(IF(BK87 = "-", 1, BK87) * BH87) &lt; 0</formula>
    </cfRule>
    <cfRule type="expression" dxfId="150" priority="15">
      <formula>(IF(BK87 = "-", 1, BK87) * BH87) &gt;= 0</formula>
    </cfRule>
  </conditionalFormatting>
  <conditionalFormatting sqref="BL88:BM88 BL94:BM94">
    <cfRule type="expression" dxfId="149" priority="14">
      <formula>(IF(BK88 = "-", 1, BK88) * BH88) &lt; 0</formula>
    </cfRule>
    <cfRule type="expression" dxfId="148" priority="13">
      <formula>(IF(BK88 = "-", 1, BK88) * BH88) &gt;= 0</formula>
    </cfRule>
  </conditionalFormatting>
  <conditionalFormatting sqref="BL90:BM92">
    <cfRule type="expression" dxfId="147" priority="7">
      <formula>(IF(BK90 = "-", 1, BK90) * BH90) &gt;= 0</formula>
    </cfRule>
    <cfRule type="expression" dxfId="146" priority="8">
      <formula>(IF(BK90 = "-", 1, BK90) * BH90) &lt; 0</formula>
    </cfRule>
  </conditionalFormatting>
  <conditionalFormatting sqref="BL96:BM100">
    <cfRule type="expression" dxfId="145" priority="2">
      <formula>(IF(BK96 = "-", 1, BK96) * BH96) &lt; 0</formula>
    </cfRule>
    <cfRule type="expression" dxfId="144" priority="1">
      <formula>(IF(BK96 = "-", 1, BK96) * BH96) &gt;= 0</formula>
    </cfRule>
  </conditionalFormatting>
  <conditionalFormatting sqref="BM102:BM118">
    <cfRule type="expression" dxfId="143" priority="1784">
      <formula>(IF(#REF! = "-", 1, #REF!) * #REF!) &lt; 0</formula>
    </cfRule>
    <cfRule type="expression" dxfId="142" priority="1783">
      <formula>(IF(#REF! = "-", 1, #REF!) * #REF!) &gt;= 0</formula>
    </cfRule>
  </conditionalFormatting>
  <conditionalFormatting sqref="BM103:BM107 BM109 BM111:BM113 BM115 BM117">
    <cfRule type="expression" dxfId="141" priority="1785">
      <formula>(IF(#REF! = "-", 1, #REF!) * #REF!) &gt;= 0</formula>
    </cfRule>
    <cfRule type="expression" dxfId="140" priority="1786">
      <formula>(IF(#REF! = "-", 1, #REF!) * #REF!) &lt; 0</formula>
    </cfRule>
  </conditionalFormatting>
  <conditionalFormatting sqref="BN29:BN44">
    <cfRule type="expression" dxfId="139" priority="83">
      <formula>(IF(BM29 = "-", 1, BM29) * BL29) &gt;= 0</formula>
    </cfRule>
    <cfRule type="expression" dxfId="138" priority="84">
      <formula>(IF(BM29 = "-", 1, BM29) * BL29) &lt; 0</formula>
    </cfRule>
  </conditionalFormatting>
  <conditionalFormatting sqref="BN30:BN33 BQ30:BQ33">
    <cfRule type="expression" dxfId="137" priority="90">
      <formula>(IF(BM30 = "-", 1, BM30) * BJ30) &lt; 0</formula>
    </cfRule>
    <cfRule type="expression" dxfId="136" priority="89">
      <formula>(IF(BM30 = "-", 1, BM30) * BJ30) &gt;= 0</formula>
    </cfRule>
  </conditionalFormatting>
  <conditionalFormatting sqref="BN35 BQ35">
    <cfRule type="expression" dxfId="135" priority="88">
      <formula>(IF(BM35 = "-", 1, BM35) * BJ35) &lt; 0</formula>
    </cfRule>
    <cfRule type="expression" dxfId="134" priority="87">
      <formula>(IF(BM35 = "-", 1, BM35) * BJ35) &gt;= 0</formula>
    </cfRule>
  </conditionalFormatting>
  <conditionalFormatting sqref="BN37:BN40 BQ37:BQ40">
    <cfRule type="expression" dxfId="133" priority="85">
      <formula>(IF(BM37 = "-", 1, BM37) * BJ37) &gt;= 0</formula>
    </cfRule>
    <cfRule type="expression" dxfId="132" priority="86">
      <formula>(IF(BM37 = "-", 1, BM37) * BJ37) &lt; 0</formula>
    </cfRule>
  </conditionalFormatting>
  <conditionalFormatting sqref="BN45 BQ45">
    <cfRule type="expression" dxfId="131" priority="94">
      <formula>(IF(BM45 = "-", 1, BM45) * BJ45) &lt; 0</formula>
    </cfRule>
  </conditionalFormatting>
  <conditionalFormatting sqref="BN45">
    <cfRule type="expression" dxfId="130" priority="97">
      <formula>(IF(BM45 = "-", 1, BM45) * BL45) &gt;= 0</formula>
    </cfRule>
    <cfRule type="expression" dxfId="129" priority="98">
      <formula>(IF(BM45 = "-", 1, BM45) * BL45) &lt; 0</formula>
    </cfRule>
  </conditionalFormatting>
  <conditionalFormatting sqref="BN8:BO24">
    <cfRule type="expression" dxfId="128" priority="121">
      <formula>(IF(BM8 = "-", 1, BM8) * BJ8) &gt;= 0</formula>
    </cfRule>
    <cfRule type="expression" dxfId="127" priority="122">
      <formula>(IF(BM8 = "-", 1, BM8) * BJ8) &lt; 0</formula>
    </cfRule>
  </conditionalFormatting>
  <conditionalFormatting sqref="BO84:BO89">
    <cfRule type="expression" dxfId="126" priority="20">
      <formula>(IF(BN84 = "-", 1, BN84) * BV84) &lt; 0</formula>
    </cfRule>
    <cfRule type="expression" dxfId="125" priority="19">
      <formula>(IF(BN84 = "-", 1, BN84) * BV84) &gt;= 0</formula>
    </cfRule>
  </conditionalFormatting>
  <conditionalFormatting sqref="BO85:BO88">
    <cfRule type="expression" dxfId="124" priority="11">
      <formula>(IF(BH85 = "-", 1, BH85) * BN85) &gt;= 0</formula>
    </cfRule>
    <cfRule type="expression" dxfId="123" priority="12">
      <formula>(IF(BH85 = "-", 1, BH85) * BN85) &lt; 0</formula>
    </cfRule>
  </conditionalFormatting>
  <conditionalFormatting sqref="BO89 BO91 BO93:BO95 BO97 BO99">
    <cfRule type="expression" dxfId="122" priority="23">
      <formula>(IF(BH89 = "-", 1, BH89) * BN89) &gt;= 0</formula>
    </cfRule>
    <cfRule type="expression" dxfId="121" priority="24">
      <formula>(IF(BH89 = "-", 1, BH89) * BN89) &lt; 0</formula>
    </cfRule>
  </conditionalFormatting>
  <conditionalFormatting sqref="BO90:BO100">
    <cfRule type="expression" dxfId="120" priority="6">
      <formula>(IF(BN90 = "-", 1, BN90) * BV90) &lt; 0</formula>
    </cfRule>
    <cfRule type="expression" dxfId="119" priority="5">
      <formula>(IF(BN90 = "-", 1, BN90) * BV90) &gt;= 0</formula>
    </cfRule>
  </conditionalFormatting>
  <conditionalFormatting sqref="BO108:BO118">
    <cfRule type="expression" dxfId="118" priority="1781">
      <formula>(IF(BP108 = "-", 1, BP108) * BV108) &gt;= 0</formula>
    </cfRule>
    <cfRule type="expression" dxfId="117" priority="1782">
      <formula>(IF(BP108 = "-", 1, BP108) * BV108) &lt; 0</formula>
    </cfRule>
  </conditionalFormatting>
  <conditionalFormatting sqref="BP29:BP44">
    <cfRule type="expression" dxfId="116" priority="30">
      <formula>(IF(BO29 = "-", 1, BO29) * BL29) &lt; 0</formula>
    </cfRule>
    <cfRule type="expression" dxfId="115" priority="29">
      <formula>(IF(BO29 = "-", 1, BO29) * BL29) &gt;= 0</formula>
    </cfRule>
  </conditionalFormatting>
  <conditionalFormatting sqref="BP30:BP33">
    <cfRule type="expression" dxfId="114" priority="38">
      <formula>(IF(BO30 = "-", 1, BO30) * BL30) &lt; 0</formula>
    </cfRule>
    <cfRule type="expression" dxfId="113" priority="37">
      <formula>(IF(BO30 = "-", 1, BO30) * BL30) &gt;= 0</formula>
    </cfRule>
  </conditionalFormatting>
  <conditionalFormatting sqref="BP35">
    <cfRule type="expression" dxfId="112" priority="35">
      <formula>(IF(BO35 = "-", 1, BO35) * BL35) &gt;= 0</formula>
    </cfRule>
    <cfRule type="expression" dxfId="111" priority="36">
      <formula>(IF(BO35 = "-", 1, BO35) * BL35) &lt; 0</formula>
    </cfRule>
  </conditionalFormatting>
  <conditionalFormatting sqref="BP37:BP40">
    <cfRule type="expression" dxfId="110" priority="34">
      <formula>(IF(BO37 = "-", 1, BO37) * BL37) &lt; 0</formula>
    </cfRule>
    <cfRule type="expression" dxfId="109" priority="33">
      <formula>(IF(BO37 = "-", 1, BO37) * BL37) &gt;= 0</formula>
    </cfRule>
  </conditionalFormatting>
  <conditionalFormatting sqref="BP42:BP43">
    <cfRule type="expression" dxfId="108" priority="31">
      <formula>(IF(BO42 = "-", 1, BO42) * BL42) &gt;= 0</formula>
    </cfRule>
    <cfRule type="expression" dxfId="107" priority="32">
      <formula>(IF(BO42 = "-", 1, BO42) * BL42) &lt; 0</formula>
    </cfRule>
  </conditionalFormatting>
  <conditionalFormatting sqref="BP45">
    <cfRule type="expression" dxfId="106" priority="40">
      <formula>(IF(BO45 = "-", 1, BO45) * BL45) &lt; 0</formula>
    </cfRule>
    <cfRule type="expression" dxfId="105" priority="41">
      <formula>(IF(BO45 = "-", 1, BO45) * BL45) &gt;= 0</formula>
    </cfRule>
    <cfRule type="expression" dxfId="104" priority="39">
      <formula>(IF(BO45 = "-", 1, BO45) * BL45) &gt;= 0</formula>
    </cfRule>
    <cfRule type="expression" dxfId="103" priority="42">
      <formula>(IF(BO45 = "-", 1, BO45) * BL45) &lt; 0</formula>
    </cfRule>
  </conditionalFormatting>
  <conditionalFormatting sqref="BQ8:BQ24">
    <cfRule type="expression" dxfId="102" priority="1779">
      <formula>(IF(BP8 = "-", 1, BP8) * BV8) &gt;= 0</formula>
    </cfRule>
    <cfRule type="expression" dxfId="101" priority="1780">
      <formula>(IF(BP8 = "-", 1, BP8) * BV8) &lt; 0</formula>
    </cfRule>
  </conditionalFormatting>
  <conditionalFormatting sqref="BQ11:BQ24">
    <cfRule type="expression" dxfId="100" priority="115">
      <formula>(IF(BP11 = "-", 1, BP11) * BL11) &gt;= 0</formula>
    </cfRule>
    <cfRule type="expression" dxfId="99" priority="116">
      <formula>(IF(BP11 = "-", 1, BP11) * BL11) &lt; 0</formula>
    </cfRule>
  </conditionalFormatting>
  <conditionalFormatting sqref="BQ30:BQ41">
    <cfRule type="expression" dxfId="98" priority="65">
      <formula>(IF(BP30 = "-", 1, BP30) * BO30) &gt;= 0</formula>
    </cfRule>
    <cfRule type="expression" dxfId="97" priority="66">
      <formula>(IF(BP30 = "-", 1, BP30) * BO30) &lt; 0</formula>
    </cfRule>
  </conditionalFormatting>
  <conditionalFormatting sqref="BQ44">
    <cfRule type="expression" dxfId="96" priority="67">
      <formula>(IF(BP44 = "-", 1, BP44) * BO44) &gt;= 0</formula>
    </cfRule>
    <cfRule type="expression" dxfId="95" priority="68">
      <formula>(IF(BP44 = "-", 1, BP44) * BO44) &lt; 0</formula>
    </cfRule>
  </conditionalFormatting>
  <conditionalFormatting sqref="BQ45 BN45">
    <cfRule type="expression" dxfId="94" priority="93">
      <formula>(IF(BM45 = "-", 1, BM45) * BJ45) &gt;= 0</formula>
    </cfRule>
  </conditionalFormatting>
  <conditionalFormatting sqref="BQ45">
    <cfRule type="expression" dxfId="93" priority="69">
      <formula>(IF(BP45 = "-", 1, BP45) * BO45) &gt;= 0</formula>
    </cfRule>
    <cfRule type="expression" dxfId="92" priority="70">
      <formula>(IF(BP45 = "-", 1, BP45) * BO45) &lt; 0</formula>
    </cfRule>
  </conditionalFormatting>
  <conditionalFormatting sqref="BS29:BS45">
    <cfRule type="expression" dxfId="91" priority="101">
      <formula>(IF(BR29 = "-", 1, BR29) * CA29) &gt;= 0</formula>
    </cfRule>
    <cfRule type="expression" dxfId="90" priority="102">
      <formula>(IF(BR29 = "-", 1, BR29) * CA29) &lt; 0</formula>
    </cfRule>
  </conditionalFormatting>
  <conditionalFormatting sqref="BS45">
    <cfRule type="expression" dxfId="89" priority="99">
      <formula>(IF(BL45 = "-", 1, BL45) * BR45) &gt;= 0</formula>
    </cfRule>
    <cfRule type="expression" dxfId="88" priority="100">
      <formula>(IF(BL45 = "-", 1, BL45) * BR45) &lt; 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P8:AP24 AK126 AP126 AU126 AK128 AP128 AU128 AK133 AP133 AU133 AK8:AK13 AU8:AU13 AG14:AO14 AQ14:AX14 AK15 AU15 AG16:AO16 AQ16:AS16" formula="1"/>
    <ignoredError sqref="AZ7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7A025-6E2C-478D-B7F9-556A68FBB8BB}">
  <dimension ref="A1:BT233"/>
  <sheetViews>
    <sheetView showGridLines="0" showRowColHeaders="0" zoomScale="75" zoomScaleNormal="75" workbookViewId="0">
      <pane xSplit="6" ySplit="3" topLeftCell="AV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10.42578125" defaultRowHeight="15" outlineLevelCol="1"/>
  <cols>
    <col min="1" max="1" width="3.28515625" style="187" customWidth="1"/>
    <col min="2" max="2" width="70.7109375" customWidth="1"/>
    <col min="3" max="6" width="10.42578125" hidden="1" customWidth="1" outlineLevel="1"/>
    <col min="7" max="7" width="10.42578125" customWidth="1" collapsed="1"/>
    <col min="8" max="11" width="10.42578125" hidden="1" customWidth="1" outlineLevel="1"/>
    <col min="12" max="12" width="10.42578125" customWidth="1" collapsed="1"/>
    <col min="13" max="16" width="10.42578125" hidden="1" customWidth="1" outlineLevel="1"/>
    <col min="17" max="17" width="10.42578125" customWidth="1" collapsed="1"/>
    <col min="18" max="21" width="10.42578125" hidden="1" customWidth="1" outlineLevel="1"/>
    <col min="22" max="22" width="10.42578125" customWidth="1" collapsed="1"/>
    <col min="23" max="26" width="10.42578125" customWidth="1" outlineLevel="1"/>
    <col min="27" max="27" width="10.42578125" bestFit="1" customWidth="1"/>
    <col min="28" max="31" width="14" hidden="1" customWidth="1" outlineLevel="1"/>
    <col min="32" max="32" width="13" bestFit="1" customWidth="1" collapsed="1"/>
    <col min="33" max="33" width="14" hidden="1" customWidth="1" outlineLevel="1"/>
    <col min="34" max="34" width="11.5703125" hidden="1" customWidth="1" outlineLevel="1"/>
    <col min="35" max="36" width="12.5703125" hidden="1" customWidth="1" outlineLevel="1"/>
    <col min="37" max="37" width="13" bestFit="1" customWidth="1" collapsed="1"/>
    <col min="38" max="41" width="14" hidden="1" customWidth="1" outlineLevel="1"/>
    <col min="42" max="42" width="15.42578125" customWidth="1" collapsed="1"/>
    <col min="43" max="43" width="14" hidden="1" customWidth="1" outlineLevel="1"/>
    <col min="44" max="45" width="11.5703125" hidden="1" customWidth="1" outlineLevel="1"/>
    <col min="46" max="46" width="12.5703125" hidden="1" customWidth="1" outlineLevel="1"/>
    <col min="47" max="47" width="15.42578125" customWidth="1" collapsed="1"/>
    <col min="48" max="51" width="12.5703125" customWidth="1" outlineLevel="1"/>
    <col min="52" max="52" width="13" bestFit="1" customWidth="1"/>
    <col min="53" max="53" width="13" style="505" customWidth="1"/>
    <col min="54" max="72" width="19.28515625" customWidth="1"/>
  </cols>
  <sheetData>
    <row r="1" spans="1:72" ht="15" customHeight="1">
      <c r="A1" s="668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72" ht="15" customHeight="1">
      <c r="A2" s="668"/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32"/>
      <c r="BA2" s="630"/>
    </row>
    <row r="3" spans="1:72" ht="50.1" customHeight="1">
      <c r="A3" s="669"/>
      <c r="B3" s="635" t="s">
        <v>519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72" ht="10.35" customHeight="1">
      <c r="A4" s="4"/>
      <c r="B4" s="4"/>
      <c r="D4" s="1"/>
      <c r="E4" s="1"/>
      <c r="F4" s="1"/>
      <c r="G4" s="1"/>
      <c r="H4" s="1"/>
      <c r="I4" s="1"/>
      <c r="J4" s="1"/>
      <c r="K4" s="1"/>
      <c r="L4" s="1"/>
      <c r="M4" s="4"/>
      <c r="O4" s="1"/>
      <c r="P4" s="1"/>
      <c r="Q4" s="1"/>
      <c r="R4" s="1"/>
      <c r="S4" s="1"/>
      <c r="T4" s="1"/>
      <c r="U4" s="1"/>
      <c r="V4" s="1"/>
      <c r="W4" s="1"/>
      <c r="X4" s="4"/>
      <c r="Z4" s="1"/>
      <c r="AA4" s="1"/>
      <c r="AB4" s="1"/>
      <c r="AC4" s="1"/>
      <c r="AD4" s="1"/>
      <c r="AE4" s="1"/>
      <c r="AF4" s="1"/>
      <c r="AG4" s="1"/>
      <c r="AH4" s="1"/>
      <c r="AI4" s="4"/>
      <c r="AK4" s="1"/>
      <c r="AL4" s="1"/>
      <c r="AM4" s="1"/>
      <c r="AN4" s="1"/>
      <c r="AO4" s="1"/>
      <c r="AP4" s="1"/>
      <c r="AQ4" s="1"/>
      <c r="AR4" s="1"/>
      <c r="AS4" s="1"/>
      <c r="AT4" s="4"/>
      <c r="AU4" s="1"/>
      <c r="AV4" s="4"/>
      <c r="AW4" s="4"/>
      <c r="AX4" s="4"/>
      <c r="AY4" s="4"/>
      <c r="BA4"/>
    </row>
    <row r="5" spans="1:72" s="103" customFormat="1" ht="23.25">
      <c r="A5" s="355"/>
      <c r="B5" s="74" t="s">
        <v>38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</row>
    <row r="6" spans="1:72" ht="15.75" thickBot="1">
      <c r="BA6"/>
    </row>
    <row r="7" spans="1:72" s="2" customFormat="1">
      <c r="A7" s="670"/>
      <c r="B7" s="625" t="s">
        <v>520</v>
      </c>
      <c r="C7" s="626" t="s">
        <v>224</v>
      </c>
      <c r="D7" s="626" t="s">
        <v>225</v>
      </c>
      <c r="E7" s="626" t="s">
        <v>226</v>
      </c>
      <c r="F7" s="626" t="s">
        <v>227</v>
      </c>
      <c r="G7" s="652">
        <v>2016</v>
      </c>
      <c r="H7" s="626" t="s">
        <v>228</v>
      </c>
      <c r="I7" s="626" t="s">
        <v>229</v>
      </c>
      <c r="J7" s="626" t="s">
        <v>230</v>
      </c>
      <c r="K7" s="626" t="s">
        <v>231</v>
      </c>
      <c r="L7" s="652">
        <v>2017</v>
      </c>
      <c r="M7" s="626" t="s">
        <v>232</v>
      </c>
      <c r="N7" s="626" t="s">
        <v>233</v>
      </c>
      <c r="O7" s="626" t="s">
        <v>234</v>
      </c>
      <c r="P7" s="626" t="s">
        <v>235</v>
      </c>
      <c r="Q7" s="652">
        <v>2018</v>
      </c>
      <c r="R7" s="626" t="s">
        <v>236</v>
      </c>
      <c r="S7" s="626" t="s">
        <v>237</v>
      </c>
      <c r="T7" s="626" t="s">
        <v>238</v>
      </c>
      <c r="U7" s="626" t="s">
        <v>239</v>
      </c>
      <c r="V7" s="652">
        <v>2019</v>
      </c>
      <c r="W7" s="626" t="s">
        <v>240</v>
      </c>
      <c r="X7" s="626" t="s">
        <v>241</v>
      </c>
      <c r="Y7" s="626" t="s">
        <v>242</v>
      </c>
      <c r="Z7" s="626" t="s">
        <v>243</v>
      </c>
      <c r="AA7" s="652">
        <v>2020</v>
      </c>
      <c r="AB7" s="626" t="s">
        <v>244</v>
      </c>
      <c r="AC7" s="626" t="s">
        <v>245</v>
      </c>
      <c r="AD7" s="626" t="s">
        <v>246</v>
      </c>
      <c r="AE7" s="626" t="s">
        <v>247</v>
      </c>
      <c r="AF7" s="652">
        <v>2021</v>
      </c>
      <c r="AG7" s="626" t="s">
        <v>248</v>
      </c>
      <c r="AH7" s="626" t="s">
        <v>249</v>
      </c>
      <c r="AI7" s="626" t="s">
        <v>250</v>
      </c>
      <c r="AJ7" s="626" t="s">
        <v>215</v>
      </c>
      <c r="AK7" s="652">
        <v>2022</v>
      </c>
      <c r="AL7" s="626" t="s">
        <v>252</v>
      </c>
      <c r="AM7" s="626" t="s">
        <v>253</v>
      </c>
      <c r="AN7" s="626" t="s">
        <v>254</v>
      </c>
      <c r="AO7" s="626" t="s">
        <v>219</v>
      </c>
      <c r="AP7" s="652">
        <v>2023</v>
      </c>
      <c r="AQ7" s="626" t="s">
        <v>223</v>
      </c>
      <c r="AR7" s="626" t="s">
        <v>256</v>
      </c>
      <c r="AS7" s="626" t="s">
        <v>357</v>
      </c>
      <c r="AT7" s="626" t="s">
        <v>358</v>
      </c>
      <c r="AU7" s="652">
        <v>2024</v>
      </c>
      <c r="AV7" s="626" t="s">
        <v>359</v>
      </c>
      <c r="AW7" s="626" t="s">
        <v>1115</v>
      </c>
      <c r="AX7" s="626" t="s">
        <v>1116</v>
      </c>
      <c r="AY7" s="626" t="s">
        <v>1117</v>
      </c>
      <c r="AZ7" s="653" t="s">
        <v>1118</v>
      </c>
      <c r="BA7" s="645" t="s">
        <v>1124</v>
      </c>
    </row>
    <row r="8" spans="1:72" s="2" customFormat="1">
      <c r="A8" s="356"/>
      <c r="B8" s="9" t="s">
        <v>456</v>
      </c>
      <c r="C8" s="10"/>
      <c r="D8" s="10"/>
      <c r="E8" s="10"/>
      <c r="F8" s="10"/>
      <c r="G8" s="39"/>
      <c r="H8" s="10"/>
      <c r="I8" s="10"/>
      <c r="J8" s="10"/>
      <c r="K8" s="10"/>
      <c r="L8" s="39"/>
      <c r="M8" s="10"/>
      <c r="N8" s="10"/>
      <c r="O8" s="10"/>
      <c r="P8" s="10"/>
      <c r="Q8" s="39"/>
      <c r="R8" s="10"/>
      <c r="S8" s="10"/>
      <c r="T8" s="10"/>
      <c r="U8" s="10"/>
      <c r="V8" s="39"/>
      <c r="W8" s="10"/>
      <c r="X8" s="10"/>
      <c r="Y8" s="10"/>
      <c r="Z8" s="117">
        <v>0</v>
      </c>
      <c r="AA8" s="118"/>
      <c r="AB8" s="117">
        <v>8524351.9430500008</v>
      </c>
      <c r="AC8" s="117">
        <v>8749520.7973600104</v>
      </c>
      <c r="AD8" s="117">
        <v>9105169.2647398524</v>
      </c>
      <c r="AE8" s="117">
        <v>10150735.34553016</v>
      </c>
      <c r="AF8" s="118">
        <v>36529777.350680023</v>
      </c>
      <c r="AG8" s="117">
        <v>9421086</v>
      </c>
      <c r="AH8" s="117">
        <v>9775560</v>
      </c>
      <c r="AI8" s="117">
        <v>9873448</v>
      </c>
      <c r="AJ8" s="117">
        <v>6661431</v>
      </c>
      <c r="AK8" s="118">
        <f>SUM(AG8:AJ8)</f>
        <v>35731525</v>
      </c>
      <c r="AL8" s="117">
        <v>7448732</v>
      </c>
      <c r="AM8" s="117">
        <v>7658106</v>
      </c>
      <c r="AN8" s="117">
        <v>7728950</v>
      </c>
      <c r="AO8" s="117">
        <v>7276088</v>
      </c>
      <c r="AP8" s="118">
        <f>SUM(AL8:AO8)</f>
        <v>30111876</v>
      </c>
      <c r="AQ8" s="117">
        <v>6835296</v>
      </c>
      <c r="AR8" s="117">
        <v>6417345</v>
      </c>
      <c r="AS8" s="117">
        <v>6827618</v>
      </c>
      <c r="AT8" s="117">
        <v>6883077</v>
      </c>
      <c r="AU8" s="118">
        <f>SUM(AQ8:AT8)</f>
        <v>26963336</v>
      </c>
      <c r="AV8" s="117">
        <v>6970527</v>
      </c>
      <c r="AW8" s="117">
        <v>7617450</v>
      </c>
      <c r="AX8" s="117">
        <v>8088407</v>
      </c>
      <c r="AY8" s="117">
        <v>7344509</v>
      </c>
      <c r="AZ8" s="118">
        <f>SUM(AV8:AY8)</f>
        <v>30020893</v>
      </c>
      <c r="BA8" s="117">
        <v>7521722</v>
      </c>
      <c r="BB8" s="736"/>
      <c r="BC8" s="736"/>
      <c r="BD8" s="736"/>
      <c r="BE8" s="736"/>
      <c r="BF8" s="736"/>
      <c r="BG8" s="736"/>
      <c r="BH8" s="736"/>
      <c r="BI8" s="736"/>
      <c r="BJ8" s="736"/>
      <c r="BK8" s="736"/>
      <c r="BL8" s="736"/>
      <c r="BM8" s="736"/>
      <c r="BN8" s="736"/>
      <c r="BO8" s="736"/>
      <c r="BP8" s="736"/>
      <c r="BQ8" s="736"/>
      <c r="BR8" s="736"/>
      <c r="BS8" s="736"/>
      <c r="BT8" s="736"/>
    </row>
    <row r="9" spans="1:72">
      <c r="A9" s="357"/>
      <c r="B9" s="11" t="s">
        <v>457</v>
      </c>
      <c r="C9" s="12"/>
      <c r="D9" s="12"/>
      <c r="E9" s="12"/>
      <c r="F9" s="12"/>
      <c r="G9" s="40"/>
      <c r="H9" s="12"/>
      <c r="I9" s="12"/>
      <c r="J9" s="12"/>
      <c r="K9" s="12"/>
      <c r="L9" s="40"/>
      <c r="M9" s="12"/>
      <c r="N9" s="12"/>
      <c r="O9" s="12"/>
      <c r="P9" s="12"/>
      <c r="Q9" s="40"/>
      <c r="R9" s="12"/>
      <c r="S9" s="12"/>
      <c r="T9" s="12"/>
      <c r="U9" s="12"/>
      <c r="V9" s="40"/>
      <c r="W9" s="12"/>
      <c r="X9" s="12"/>
      <c r="Y9" s="12"/>
      <c r="Z9" s="153">
        <v>0</v>
      </c>
      <c r="AA9" s="144"/>
      <c r="AB9" s="153">
        <v>-8153266.0459199818</v>
      </c>
      <c r="AC9" s="153">
        <v>-8389100.4260200746</v>
      </c>
      <c r="AD9" s="153">
        <v>-8695572.3965100124</v>
      </c>
      <c r="AE9" s="153">
        <v>-9741478.7213299759</v>
      </c>
      <c r="AF9" s="144">
        <v>-34979417.589780048</v>
      </c>
      <c r="AG9" s="153">
        <v>-9072022</v>
      </c>
      <c r="AH9" s="153">
        <v>-9335600</v>
      </c>
      <c r="AI9" s="153">
        <v>-9470599</v>
      </c>
      <c r="AJ9" s="153">
        <v>-6160877</v>
      </c>
      <c r="AK9" s="144">
        <f t="shared" ref="AK9:AK26" si="0">SUM(AG9:AJ9)</f>
        <v>-34039098</v>
      </c>
      <c r="AL9" s="153">
        <v>-6930438</v>
      </c>
      <c r="AM9" s="153">
        <v>-7067714</v>
      </c>
      <c r="AN9" s="153">
        <v>-7174718</v>
      </c>
      <c r="AO9" s="153">
        <v>-6775533</v>
      </c>
      <c r="AP9" s="144">
        <f t="shared" ref="AP9:AP26" si="1">SUM(AL9:AO9)</f>
        <v>-27948403</v>
      </c>
      <c r="AQ9" s="153">
        <v>-6276469</v>
      </c>
      <c r="AR9" s="121">
        <v>-6256813</v>
      </c>
      <c r="AS9" s="121">
        <v>-6321424</v>
      </c>
      <c r="AT9" s="121">
        <v>-6336679</v>
      </c>
      <c r="AU9" s="144">
        <f t="shared" ref="AU9:AU26" si="2">SUM(AQ9:AT9)</f>
        <v>-25191385</v>
      </c>
      <c r="AV9" s="121">
        <v>-6474126</v>
      </c>
      <c r="AW9" s="121">
        <v>-7137999</v>
      </c>
      <c r="AX9" s="121">
        <v>-7610837</v>
      </c>
      <c r="AY9" s="121">
        <v>-6814234</v>
      </c>
      <c r="AZ9" s="144">
        <f t="shared" ref="AZ9:AZ26" si="3">SUM(AV9:AY9)</f>
        <v>-28037196</v>
      </c>
      <c r="BA9" s="123">
        <v>-6990944</v>
      </c>
      <c r="BB9" s="736"/>
      <c r="BC9" s="736"/>
      <c r="BD9" s="736"/>
      <c r="BE9" s="736"/>
      <c r="BF9" s="736"/>
      <c r="BG9" s="736"/>
      <c r="BH9" s="736"/>
      <c r="BI9" s="736"/>
      <c r="BJ9" s="736"/>
      <c r="BK9" s="736"/>
      <c r="BL9" s="736"/>
      <c r="BM9" s="736"/>
      <c r="BN9" s="736"/>
      <c r="BO9" s="736"/>
      <c r="BP9" s="736"/>
      <c r="BQ9" s="736"/>
      <c r="BR9" s="736"/>
      <c r="BS9" s="736"/>
      <c r="BT9" s="736"/>
    </row>
    <row r="10" spans="1:72" s="2" customFormat="1">
      <c r="A10" s="356"/>
      <c r="B10" s="9" t="s">
        <v>412</v>
      </c>
      <c r="C10" s="10"/>
      <c r="D10" s="10"/>
      <c r="E10" s="10"/>
      <c r="F10" s="10"/>
      <c r="G10" s="39"/>
      <c r="H10" s="10"/>
      <c r="I10" s="10"/>
      <c r="J10" s="10"/>
      <c r="K10" s="10"/>
      <c r="L10" s="39"/>
      <c r="M10" s="10"/>
      <c r="N10" s="10"/>
      <c r="O10" s="10"/>
      <c r="P10" s="10"/>
      <c r="Q10" s="39"/>
      <c r="R10" s="10"/>
      <c r="S10" s="10"/>
      <c r="T10" s="10"/>
      <c r="U10" s="10"/>
      <c r="V10" s="39"/>
      <c r="W10" s="10"/>
      <c r="X10" s="10"/>
      <c r="Y10" s="10"/>
      <c r="Z10" s="117">
        <v>0</v>
      </c>
      <c r="AA10" s="118">
        <v>0</v>
      </c>
      <c r="AB10" s="117">
        <v>371085.89713001903</v>
      </c>
      <c r="AC10" s="117">
        <v>360420.37133993639</v>
      </c>
      <c r="AD10" s="117">
        <v>409596.86822983937</v>
      </c>
      <c r="AE10" s="117">
        <v>409256.62420018384</v>
      </c>
      <c r="AF10" s="118">
        <v>1550359.7608999787</v>
      </c>
      <c r="AG10" s="117">
        <f>SUM(AG8:AG9)</f>
        <v>349064</v>
      </c>
      <c r="AH10" s="117">
        <f>SUM(AH8:AH9)</f>
        <v>439960</v>
      </c>
      <c r="AI10" s="117">
        <f>SUM(AI8:AI9)</f>
        <v>402849</v>
      </c>
      <c r="AJ10" s="117">
        <f>SUM(AJ8:AJ9)</f>
        <v>500554</v>
      </c>
      <c r="AK10" s="118">
        <f t="shared" si="0"/>
        <v>1692427</v>
      </c>
      <c r="AL10" s="117">
        <f>SUM(AL8:AL9)</f>
        <v>518294</v>
      </c>
      <c r="AM10" s="117">
        <f>SUM(AM8:AM9)</f>
        <v>590392</v>
      </c>
      <c r="AN10" s="117">
        <f>SUM(AN8:AN9)</f>
        <v>554232</v>
      </c>
      <c r="AO10" s="117">
        <f>SUM(AO8:AO9)</f>
        <v>500555</v>
      </c>
      <c r="AP10" s="118">
        <f t="shared" si="1"/>
        <v>2163473</v>
      </c>
      <c r="AQ10" s="117">
        <f>SUM(AQ8:AQ9)</f>
        <v>558827</v>
      </c>
      <c r="AR10" s="117">
        <f t="shared" ref="AR10:AW10" si="4">SUM(AR8:AR9)</f>
        <v>160532</v>
      </c>
      <c r="AS10" s="117">
        <f t="shared" si="4"/>
        <v>506194</v>
      </c>
      <c r="AT10" s="117">
        <f t="shared" si="4"/>
        <v>546398</v>
      </c>
      <c r="AU10" s="118">
        <f t="shared" si="2"/>
        <v>1771951</v>
      </c>
      <c r="AV10" s="117">
        <f t="shared" si="4"/>
        <v>496401</v>
      </c>
      <c r="AW10" s="117">
        <f t="shared" si="4"/>
        <v>479451</v>
      </c>
      <c r="AX10" s="117">
        <f>SUM(AX8:AX9)</f>
        <v>477570</v>
      </c>
      <c r="AY10" s="117">
        <f>SUM(AY8:AY9)</f>
        <v>530275</v>
      </c>
      <c r="AZ10" s="118">
        <f t="shared" si="3"/>
        <v>1983697</v>
      </c>
      <c r="BA10" s="117">
        <f t="shared" ref="BA10" si="5">SUM(BA8:BA9)</f>
        <v>530778</v>
      </c>
      <c r="BB10" s="736"/>
      <c r="BC10" s="736"/>
      <c r="BD10" s="736"/>
      <c r="BE10" s="736"/>
      <c r="BF10" s="736"/>
      <c r="BG10" s="736"/>
      <c r="BH10" s="736"/>
      <c r="BI10" s="736"/>
      <c r="BJ10" s="736"/>
      <c r="BK10" s="736"/>
      <c r="BL10" s="736"/>
      <c r="BM10" s="736"/>
      <c r="BN10" s="736"/>
      <c r="BO10" s="736"/>
      <c r="BP10" s="736"/>
      <c r="BQ10" s="736"/>
      <c r="BR10" s="736"/>
      <c r="BS10" s="736"/>
      <c r="BT10" s="736"/>
    </row>
    <row r="11" spans="1:72">
      <c r="A11" s="357"/>
      <c r="B11" s="11" t="s">
        <v>413</v>
      </c>
      <c r="C11" s="8"/>
      <c r="D11" s="8"/>
      <c r="E11" s="8"/>
      <c r="F11" s="8"/>
      <c r="G11" s="40"/>
      <c r="H11" s="8"/>
      <c r="I11" s="8"/>
      <c r="J11" s="8"/>
      <c r="K11" s="8"/>
      <c r="L11" s="40"/>
      <c r="M11" s="8"/>
      <c r="N11" s="8"/>
      <c r="O11" s="8"/>
      <c r="P11" s="8"/>
      <c r="Q11" s="40"/>
      <c r="R11" s="12"/>
      <c r="S11" s="12"/>
      <c r="T11" s="12"/>
      <c r="U11" s="12"/>
      <c r="V11" s="40"/>
      <c r="W11" s="12"/>
      <c r="X11" s="12"/>
      <c r="Y11" s="12"/>
      <c r="Z11" s="153">
        <v>-102.57438999999999</v>
      </c>
      <c r="AA11" s="144">
        <v>-103</v>
      </c>
      <c r="AB11" s="153">
        <v>-107947.30848521594</v>
      </c>
      <c r="AC11" s="153">
        <v>-132350.01864478405</v>
      </c>
      <c r="AD11" s="153">
        <v>-128705.83052000002</v>
      </c>
      <c r="AE11" s="153">
        <v>-139089.75760999977</v>
      </c>
      <c r="AF11" s="144">
        <v>-508092.91525999981</v>
      </c>
      <c r="AG11" s="153">
        <v>-137218</v>
      </c>
      <c r="AH11" s="153">
        <v>-130703</v>
      </c>
      <c r="AI11" s="153">
        <v>-128968</v>
      </c>
      <c r="AJ11" s="153">
        <v>-158411</v>
      </c>
      <c r="AK11" s="144">
        <f t="shared" si="0"/>
        <v>-555300</v>
      </c>
      <c r="AL11" s="153">
        <v>-150353</v>
      </c>
      <c r="AM11" s="153">
        <v>-139764</v>
      </c>
      <c r="AN11" s="153">
        <v>-140573</v>
      </c>
      <c r="AO11" s="153">
        <v>-198156</v>
      </c>
      <c r="AP11" s="144">
        <f t="shared" si="1"/>
        <v>-628846</v>
      </c>
      <c r="AQ11" s="153">
        <v>-154174</v>
      </c>
      <c r="AR11" s="153">
        <v>-164722</v>
      </c>
      <c r="AS11" s="153">
        <v>-180889</v>
      </c>
      <c r="AT11" s="153">
        <v>-213160</v>
      </c>
      <c r="AU11" s="144">
        <f t="shared" si="2"/>
        <v>-712945</v>
      </c>
      <c r="AV11" s="153">
        <v>-169579</v>
      </c>
      <c r="AW11" s="153">
        <v>-172570</v>
      </c>
      <c r="AX11" s="153">
        <v>-189472.24</v>
      </c>
      <c r="AY11" s="153">
        <v>-221474.223</v>
      </c>
      <c r="AZ11" s="144">
        <f t="shared" si="3"/>
        <v>-753095.46299999999</v>
      </c>
      <c r="BA11" s="123">
        <v>-182189</v>
      </c>
      <c r="BB11" s="736"/>
      <c r="BC11" s="736"/>
      <c r="BD11" s="736"/>
      <c r="BE11" s="736"/>
      <c r="BF11" s="736"/>
      <c r="BG11" s="736"/>
      <c r="BH11" s="736"/>
      <c r="BI11" s="736"/>
      <c r="BJ11" s="736"/>
      <c r="BK11" s="736"/>
      <c r="BL11" s="736"/>
      <c r="BM11" s="736"/>
      <c r="BN11" s="736"/>
      <c r="BO11" s="736"/>
      <c r="BP11" s="736"/>
      <c r="BQ11" s="736"/>
      <c r="BR11" s="736"/>
      <c r="BS11" s="736"/>
      <c r="BT11" s="736"/>
    </row>
    <row r="12" spans="1:72">
      <c r="A12" s="357"/>
      <c r="B12" s="11" t="s">
        <v>414</v>
      </c>
      <c r="C12" s="13"/>
      <c r="D12" s="13"/>
      <c r="E12" s="13"/>
      <c r="F12" s="13"/>
      <c r="G12" s="41"/>
      <c r="H12" s="13"/>
      <c r="I12" s="13"/>
      <c r="J12" s="13"/>
      <c r="K12" s="13"/>
      <c r="L12" s="41"/>
      <c r="M12" s="13"/>
      <c r="N12" s="13"/>
      <c r="O12" s="13"/>
      <c r="P12" s="13"/>
      <c r="Q12" s="41"/>
      <c r="R12" s="13"/>
      <c r="S12" s="13"/>
      <c r="T12" s="13"/>
      <c r="U12" s="13"/>
      <c r="V12" s="41"/>
      <c r="W12" s="13"/>
      <c r="X12" s="13"/>
      <c r="Y12" s="13"/>
      <c r="Z12" s="120">
        <v>-25.421709999999997</v>
      </c>
      <c r="AA12" s="154">
        <v>-25</v>
      </c>
      <c r="AB12" s="120">
        <v>-56245.167200000004</v>
      </c>
      <c r="AC12" s="120">
        <v>-55703.818180000009</v>
      </c>
      <c r="AD12" s="120">
        <v>-57129.72679999996</v>
      </c>
      <c r="AE12" s="120">
        <v>-69147.100420000017</v>
      </c>
      <c r="AF12" s="154">
        <v>-238225.8126</v>
      </c>
      <c r="AG12" s="120">
        <v>-68275</v>
      </c>
      <c r="AH12" s="120">
        <v>-69987</v>
      </c>
      <c r="AI12" s="120">
        <v>-72584</v>
      </c>
      <c r="AJ12" s="120">
        <v>-76001</v>
      </c>
      <c r="AK12" s="154">
        <f t="shared" si="0"/>
        <v>-286847</v>
      </c>
      <c r="AL12" s="120">
        <v>-79995</v>
      </c>
      <c r="AM12" s="120">
        <v>-82119</v>
      </c>
      <c r="AN12" s="120">
        <v>-79870</v>
      </c>
      <c r="AO12" s="120">
        <v>-80539</v>
      </c>
      <c r="AP12" s="154">
        <f t="shared" si="1"/>
        <v>-322523</v>
      </c>
      <c r="AQ12" s="120">
        <v>-80768</v>
      </c>
      <c r="AR12" s="121">
        <v>-85106</v>
      </c>
      <c r="AS12" s="121">
        <v>-85600</v>
      </c>
      <c r="AT12" s="121">
        <v>-79730</v>
      </c>
      <c r="AU12" s="154">
        <f t="shared" si="2"/>
        <v>-331204</v>
      </c>
      <c r="AV12" s="121">
        <v>-83266</v>
      </c>
      <c r="AW12" s="121">
        <v>-84860</v>
      </c>
      <c r="AX12" s="121">
        <v>-87712</v>
      </c>
      <c r="AY12" s="121">
        <v>-90009</v>
      </c>
      <c r="AZ12" s="154">
        <f t="shared" si="3"/>
        <v>-345847</v>
      </c>
      <c r="BA12" s="120">
        <v>-84683</v>
      </c>
      <c r="BB12" s="736"/>
      <c r="BC12" s="736"/>
      <c r="BD12" s="736"/>
      <c r="BE12" s="736"/>
      <c r="BF12" s="736"/>
      <c r="BG12" s="736"/>
      <c r="BH12" s="736"/>
      <c r="BI12" s="736"/>
      <c r="BJ12" s="736"/>
      <c r="BK12" s="736"/>
      <c r="BL12" s="736"/>
      <c r="BM12" s="736"/>
      <c r="BN12" s="736"/>
      <c r="BO12" s="736"/>
      <c r="BP12" s="736"/>
      <c r="BQ12" s="736"/>
      <c r="BR12" s="736"/>
      <c r="BS12" s="736"/>
      <c r="BT12" s="736"/>
    </row>
    <row r="13" spans="1:72">
      <c r="A13" s="357"/>
      <c r="B13" s="11" t="s">
        <v>415</v>
      </c>
      <c r="C13" s="13"/>
      <c r="D13" s="13"/>
      <c r="E13" s="13"/>
      <c r="F13" s="13"/>
      <c r="G13" s="41"/>
      <c r="H13" s="13"/>
      <c r="I13" s="13"/>
      <c r="J13" s="13"/>
      <c r="K13" s="13"/>
      <c r="L13" s="41"/>
      <c r="M13" s="13"/>
      <c r="N13" s="13"/>
      <c r="O13" s="13"/>
      <c r="P13" s="13"/>
      <c r="Q13" s="41"/>
      <c r="R13" s="13"/>
      <c r="S13" s="13"/>
      <c r="T13" s="13"/>
      <c r="U13" s="13"/>
      <c r="V13" s="41"/>
      <c r="W13" s="13"/>
      <c r="X13" s="13"/>
      <c r="Y13" s="13"/>
      <c r="Z13" s="120">
        <v>250.23676999999998</v>
      </c>
      <c r="AA13" s="154">
        <v>250</v>
      </c>
      <c r="AB13" s="120">
        <v>369205.98393521551</v>
      </c>
      <c r="AC13" s="120">
        <v>390566.12576478452</v>
      </c>
      <c r="AD13" s="120">
        <v>384244.78863999771</v>
      </c>
      <c r="AE13" s="120">
        <v>448133.49607000162</v>
      </c>
      <c r="AF13" s="154">
        <v>1592150.3944099993</v>
      </c>
      <c r="AG13" s="120">
        <v>471355</v>
      </c>
      <c r="AH13" s="120">
        <v>445213.36647999473</v>
      </c>
      <c r="AI13" s="120">
        <v>509698</v>
      </c>
      <c r="AJ13" s="120">
        <v>556622.89953001589</v>
      </c>
      <c r="AK13" s="154">
        <f t="shared" si="0"/>
        <v>1982889.2660100106</v>
      </c>
      <c r="AL13" s="120">
        <v>633194.79758000758</v>
      </c>
      <c r="AM13" s="120">
        <v>611575.09639000136</v>
      </c>
      <c r="AN13" s="120">
        <v>690508.45509999082</v>
      </c>
      <c r="AO13" s="120">
        <v>709750.64022999187</v>
      </c>
      <c r="AP13" s="154">
        <f t="shared" si="1"/>
        <v>2645028.9892999916</v>
      </c>
      <c r="AQ13" s="120">
        <v>670264.54638000007</v>
      </c>
      <c r="AR13" s="121">
        <v>713554.58261000167</v>
      </c>
      <c r="AS13" s="121">
        <v>745732.29615999782</v>
      </c>
      <c r="AT13" s="121">
        <v>750576.9556499999</v>
      </c>
      <c r="AU13" s="154">
        <f t="shared" si="2"/>
        <v>2880128.3807999995</v>
      </c>
      <c r="AV13" s="121">
        <v>748704.39310999867</v>
      </c>
      <c r="AW13" s="121">
        <v>766876.61996000097</v>
      </c>
      <c r="AX13" s="121">
        <v>896021.16880999948</v>
      </c>
      <c r="AY13" s="121">
        <v>852781.8512600041</v>
      </c>
      <c r="AZ13" s="154">
        <f t="shared" si="3"/>
        <v>3264384.0331400032</v>
      </c>
      <c r="BA13" s="120">
        <v>829667.6476099987</v>
      </c>
      <c r="BB13" s="736"/>
      <c r="BC13" s="736"/>
      <c r="BD13" s="736"/>
      <c r="BE13" s="736"/>
      <c r="BF13" s="736"/>
      <c r="BG13" s="736"/>
      <c r="BH13" s="736"/>
      <c r="BI13" s="736"/>
      <c r="BJ13" s="736"/>
      <c r="BK13" s="736"/>
      <c r="BL13" s="736"/>
      <c r="BM13" s="736"/>
      <c r="BN13" s="736"/>
      <c r="BO13" s="736"/>
      <c r="BP13" s="736"/>
      <c r="BQ13" s="736"/>
      <c r="BR13" s="736"/>
      <c r="BS13" s="736"/>
      <c r="BT13" s="736"/>
    </row>
    <row r="14" spans="1:72">
      <c r="A14" s="357"/>
      <c r="B14" s="11" t="s">
        <v>416</v>
      </c>
      <c r="C14" s="8"/>
      <c r="D14" s="8"/>
      <c r="E14" s="8"/>
      <c r="F14" s="8"/>
      <c r="G14" s="40"/>
      <c r="H14" s="8"/>
      <c r="I14" s="8"/>
      <c r="J14" s="8"/>
      <c r="K14" s="8"/>
      <c r="L14" s="40"/>
      <c r="M14" s="8"/>
      <c r="N14" s="8"/>
      <c r="O14" s="8"/>
      <c r="P14" s="8"/>
      <c r="Q14" s="40"/>
      <c r="R14" s="12"/>
      <c r="S14" s="12"/>
      <c r="T14" s="12"/>
      <c r="U14" s="12"/>
      <c r="V14" s="40"/>
      <c r="W14" s="12"/>
      <c r="X14" s="12"/>
      <c r="Y14" s="12"/>
      <c r="Z14" s="153">
        <v>0</v>
      </c>
      <c r="AA14" s="144">
        <v>0</v>
      </c>
      <c r="AB14" s="153">
        <v>0</v>
      </c>
      <c r="AC14" s="153">
        <v>-1.0999999999999999E-2</v>
      </c>
      <c r="AD14" s="153">
        <v>0</v>
      </c>
      <c r="AE14" s="153">
        <v>0</v>
      </c>
      <c r="AF14" s="144">
        <v>-1.0999999999999999E-2</v>
      </c>
      <c r="AG14" s="153">
        <v>0</v>
      </c>
      <c r="AH14" s="153">
        <v>0</v>
      </c>
      <c r="AI14" s="153">
        <v>0</v>
      </c>
      <c r="AJ14" s="153">
        <v>0</v>
      </c>
      <c r="AK14" s="144">
        <f t="shared" si="0"/>
        <v>0</v>
      </c>
      <c r="AL14" s="153">
        <v>0</v>
      </c>
      <c r="AM14" s="153">
        <v>0</v>
      </c>
      <c r="AN14" s="153">
        <v>0</v>
      </c>
      <c r="AO14" s="153">
        <v>0</v>
      </c>
      <c r="AP14" s="144">
        <f t="shared" si="1"/>
        <v>0</v>
      </c>
      <c r="AQ14" s="153">
        <v>0</v>
      </c>
      <c r="AR14" s="153">
        <v>0</v>
      </c>
      <c r="AS14" s="153">
        <v>0</v>
      </c>
      <c r="AT14" s="153">
        <v>0</v>
      </c>
      <c r="AU14" s="144">
        <f t="shared" si="2"/>
        <v>0</v>
      </c>
      <c r="AV14" s="153">
        <v>0</v>
      </c>
      <c r="AW14" s="153">
        <v>0</v>
      </c>
      <c r="AX14" s="153">
        <v>0</v>
      </c>
      <c r="AY14" s="153">
        <v>0</v>
      </c>
      <c r="AZ14" s="144">
        <f t="shared" si="3"/>
        <v>0</v>
      </c>
      <c r="BA14" s="123">
        <v>0</v>
      </c>
      <c r="BB14" s="736"/>
      <c r="BC14" s="736"/>
      <c r="BD14" s="736"/>
      <c r="BE14" s="736"/>
      <c r="BF14" s="736"/>
      <c r="BG14" s="736"/>
      <c r="BH14" s="736"/>
      <c r="BI14" s="736"/>
      <c r="BJ14" s="736"/>
      <c r="BK14" s="736"/>
      <c r="BL14" s="736"/>
      <c r="BM14" s="736"/>
      <c r="BN14" s="736"/>
      <c r="BO14" s="736"/>
      <c r="BP14" s="736"/>
      <c r="BQ14" s="736"/>
      <c r="BR14" s="736"/>
      <c r="BS14" s="736"/>
      <c r="BT14" s="736"/>
    </row>
    <row r="15" spans="1:72" s="2" customFormat="1">
      <c r="A15" s="356"/>
      <c r="B15" s="9" t="s">
        <v>418</v>
      </c>
      <c r="C15" s="10"/>
      <c r="D15" s="10"/>
      <c r="E15" s="10"/>
      <c r="F15" s="10"/>
      <c r="G15" s="39"/>
      <c r="H15" s="10"/>
      <c r="I15" s="10"/>
      <c r="J15" s="10"/>
      <c r="K15" s="10"/>
      <c r="L15" s="39"/>
      <c r="M15" s="10"/>
      <c r="N15" s="10"/>
      <c r="O15" s="10"/>
      <c r="P15" s="10"/>
      <c r="Q15" s="39"/>
      <c r="R15" s="10"/>
      <c r="S15" s="10"/>
      <c r="T15" s="10"/>
      <c r="U15" s="10"/>
      <c r="V15" s="39"/>
      <c r="W15" s="10"/>
      <c r="X15" s="10"/>
      <c r="Y15" s="10"/>
      <c r="Z15" s="117">
        <v>122.24066999999999</v>
      </c>
      <c r="AA15" s="118">
        <v>122</v>
      </c>
      <c r="AB15" s="117">
        <v>576099.40538001864</v>
      </c>
      <c r="AC15" s="117">
        <v>562932.6492799368</v>
      </c>
      <c r="AD15" s="117">
        <v>608006.09954983718</v>
      </c>
      <c r="AE15" s="117">
        <v>649153.26224018575</v>
      </c>
      <c r="AF15" s="118">
        <v>2396191.4164499785</v>
      </c>
      <c r="AG15" s="117">
        <f>SUM(AG10:AG14)</f>
        <v>614926</v>
      </c>
      <c r="AH15" s="117">
        <f>SUM(AH10:AH14)</f>
        <v>684483.36647999473</v>
      </c>
      <c r="AI15" s="117">
        <f>SUM(AI10:AI14)</f>
        <v>710995</v>
      </c>
      <c r="AJ15" s="117">
        <f>SUM(AJ10:AJ14)</f>
        <v>822764.89953001589</v>
      </c>
      <c r="AK15" s="118">
        <f t="shared" si="0"/>
        <v>2833169.2660100106</v>
      </c>
      <c r="AL15" s="117">
        <f>SUM(AL10:AL14)</f>
        <v>921140.79758000758</v>
      </c>
      <c r="AM15" s="117">
        <f>SUM(AM10:AM14)</f>
        <v>980084.09639000136</v>
      </c>
      <c r="AN15" s="117">
        <f>SUM(AN10:AN14)</f>
        <v>1024297.4550999908</v>
      </c>
      <c r="AO15" s="117">
        <f>SUM(AO10:AO14)</f>
        <v>931610.64022999187</v>
      </c>
      <c r="AP15" s="118">
        <f t="shared" si="1"/>
        <v>3857132.9892999912</v>
      </c>
      <c r="AQ15" s="117">
        <f>SUM(AQ10:AQ14)</f>
        <v>994149.54638000007</v>
      </c>
      <c r="AR15" s="117">
        <f t="shared" ref="AR15:AW15" si="6">SUM(AR10:AR14)</f>
        <v>624258.58261000167</v>
      </c>
      <c r="AS15" s="117">
        <f t="shared" si="6"/>
        <v>985437.29615999782</v>
      </c>
      <c r="AT15" s="117">
        <f t="shared" si="6"/>
        <v>1004084.9556499999</v>
      </c>
      <c r="AU15" s="118">
        <f t="shared" si="2"/>
        <v>3607930.3807999995</v>
      </c>
      <c r="AV15" s="117">
        <f t="shared" si="6"/>
        <v>992260.39310999867</v>
      </c>
      <c r="AW15" s="117">
        <f t="shared" si="6"/>
        <v>988897.61996000097</v>
      </c>
      <c r="AX15" s="117">
        <f>SUM(AX10:AX14)</f>
        <v>1096406.9288099995</v>
      </c>
      <c r="AY15" s="117">
        <f>SUM(AY10:AY14)</f>
        <v>1071573.6282600041</v>
      </c>
      <c r="AZ15" s="118">
        <f t="shared" si="3"/>
        <v>4149138.5701400032</v>
      </c>
      <c r="BA15" s="117">
        <f t="shared" ref="BA15" si="7">SUM(BA10:BA14)</f>
        <v>1093573.6476099987</v>
      </c>
      <c r="BB15" s="736"/>
      <c r="BC15" s="736"/>
      <c r="BD15" s="736"/>
      <c r="BE15" s="736"/>
      <c r="BF15" s="736"/>
      <c r="BG15" s="736"/>
      <c r="BH15" s="736"/>
      <c r="BI15" s="736"/>
      <c r="BJ15" s="736"/>
      <c r="BK15" s="736"/>
      <c r="BL15" s="736"/>
      <c r="BM15" s="736"/>
      <c r="BN15" s="736"/>
      <c r="BO15" s="736"/>
      <c r="BP15" s="736"/>
      <c r="BQ15" s="736"/>
      <c r="BR15" s="736"/>
      <c r="BS15" s="736"/>
      <c r="BT15" s="736"/>
    </row>
    <row r="16" spans="1:72">
      <c r="A16" s="357"/>
      <c r="B16" s="11" t="s">
        <v>419</v>
      </c>
      <c r="C16" s="13"/>
      <c r="D16" s="13"/>
      <c r="E16" s="13"/>
      <c r="F16" s="13"/>
      <c r="G16" s="41"/>
      <c r="H16" s="13"/>
      <c r="I16" s="13"/>
      <c r="J16" s="13"/>
      <c r="K16" s="13"/>
      <c r="L16" s="41"/>
      <c r="M16" s="13"/>
      <c r="N16" s="13"/>
      <c r="O16" s="13"/>
      <c r="P16" s="13"/>
      <c r="Q16" s="41"/>
      <c r="R16" s="13"/>
      <c r="S16" s="13"/>
      <c r="T16" s="13"/>
      <c r="U16" s="13"/>
      <c r="V16" s="41"/>
      <c r="W16" s="13"/>
      <c r="X16" s="13"/>
      <c r="Y16" s="13"/>
      <c r="Z16" s="153">
        <v>1.2899200000000002</v>
      </c>
      <c r="AA16" s="154">
        <v>1</v>
      </c>
      <c r="AB16" s="153">
        <v>68.335160000000002</v>
      </c>
      <c r="AC16" s="153">
        <v>0</v>
      </c>
      <c r="AD16" s="153">
        <v>0</v>
      </c>
      <c r="AE16" s="153">
        <v>1.0419100000000034</v>
      </c>
      <c r="AF16" s="154">
        <v>69.377070000000003</v>
      </c>
      <c r="AG16" s="153">
        <v>862</v>
      </c>
      <c r="AH16" s="153">
        <v>1198</v>
      </c>
      <c r="AI16" s="153">
        <v>932</v>
      </c>
      <c r="AJ16" s="153">
        <v>-2696</v>
      </c>
      <c r="AK16" s="154">
        <f t="shared" si="0"/>
        <v>296</v>
      </c>
      <c r="AL16" s="153">
        <v>1</v>
      </c>
      <c r="AM16" s="153">
        <v>3</v>
      </c>
      <c r="AN16" s="153">
        <v>0</v>
      </c>
      <c r="AO16" s="153">
        <v>2435</v>
      </c>
      <c r="AP16" s="154">
        <f t="shared" si="1"/>
        <v>2439</v>
      </c>
      <c r="AQ16" s="153">
        <v>2</v>
      </c>
      <c r="AR16" s="153">
        <v>-2348</v>
      </c>
      <c r="AS16" s="153">
        <v>0</v>
      </c>
      <c r="AT16" s="153">
        <v>0</v>
      </c>
      <c r="AU16" s="154">
        <f t="shared" si="2"/>
        <v>-2346</v>
      </c>
      <c r="AV16" s="153">
        <v>0</v>
      </c>
      <c r="AW16" s="153">
        <v>19</v>
      </c>
      <c r="AX16" s="153">
        <v>-57</v>
      </c>
      <c r="AY16" s="153">
        <v>-706</v>
      </c>
      <c r="AZ16" s="154">
        <f t="shared" si="3"/>
        <v>-744</v>
      </c>
      <c r="BA16" s="120">
        <v>0</v>
      </c>
      <c r="BB16" s="736"/>
      <c r="BC16" s="736"/>
      <c r="BD16" s="736"/>
      <c r="BE16" s="736"/>
      <c r="BF16" s="736"/>
      <c r="BG16" s="736"/>
      <c r="BH16" s="736"/>
      <c r="BI16" s="736"/>
      <c r="BJ16" s="736"/>
      <c r="BK16" s="736"/>
      <c r="BL16" s="736"/>
      <c r="BM16" s="736"/>
      <c r="BN16" s="736"/>
      <c r="BO16" s="736"/>
      <c r="BP16" s="736"/>
      <c r="BQ16" s="736"/>
      <c r="BR16" s="736"/>
      <c r="BS16" s="736"/>
      <c r="BT16" s="736"/>
    </row>
    <row r="17" spans="1:72" s="2" customFormat="1">
      <c r="A17" s="356"/>
      <c r="B17" s="9" t="s">
        <v>420</v>
      </c>
      <c r="C17" s="10"/>
      <c r="D17" s="10"/>
      <c r="E17" s="10"/>
      <c r="F17" s="10"/>
      <c r="G17" s="39"/>
      <c r="H17" s="10"/>
      <c r="I17" s="10"/>
      <c r="J17" s="10"/>
      <c r="K17" s="10"/>
      <c r="L17" s="39"/>
      <c r="M17" s="10"/>
      <c r="N17" s="10"/>
      <c r="O17" s="10"/>
      <c r="P17" s="10"/>
      <c r="Q17" s="39"/>
      <c r="R17" s="10"/>
      <c r="S17" s="10"/>
      <c r="T17" s="10"/>
      <c r="U17" s="10"/>
      <c r="V17" s="39"/>
      <c r="W17" s="10"/>
      <c r="X17" s="10"/>
      <c r="Y17" s="10"/>
      <c r="Z17" s="117">
        <v>123.53058999999999</v>
      </c>
      <c r="AA17" s="118">
        <v>123</v>
      </c>
      <c r="AB17" s="117">
        <v>576167.74054001865</v>
      </c>
      <c r="AC17" s="117">
        <v>562932.6492799368</v>
      </c>
      <c r="AD17" s="117">
        <v>608006.09954983718</v>
      </c>
      <c r="AE17" s="117">
        <v>649154.30415018578</v>
      </c>
      <c r="AF17" s="118">
        <v>2396260.7935199784</v>
      </c>
      <c r="AG17" s="117">
        <f>AG15+AG16</f>
        <v>615788</v>
      </c>
      <c r="AH17" s="117">
        <f>AH15+AH16</f>
        <v>685681.36647999473</v>
      </c>
      <c r="AI17" s="117">
        <f>AI15+AI16</f>
        <v>711927</v>
      </c>
      <c r="AJ17" s="117">
        <f>AJ15+AJ16</f>
        <v>820068.89953001589</v>
      </c>
      <c r="AK17" s="118">
        <f t="shared" si="0"/>
        <v>2833465.2660100106</v>
      </c>
      <c r="AL17" s="117">
        <f>AL15+AL16</f>
        <v>921141.79758000758</v>
      </c>
      <c r="AM17" s="117">
        <f>AM15+AM16</f>
        <v>980087.09639000136</v>
      </c>
      <c r="AN17" s="117">
        <f>AN15+AN16</f>
        <v>1024297.4550999908</v>
      </c>
      <c r="AO17" s="117">
        <f>AO15+AO16</f>
        <v>934045.64022999187</v>
      </c>
      <c r="AP17" s="118">
        <f t="shared" si="1"/>
        <v>3859571.9892999912</v>
      </c>
      <c r="AQ17" s="117">
        <f>AQ15+AQ16</f>
        <v>994151.54638000007</v>
      </c>
      <c r="AR17" s="117">
        <f t="shared" ref="AR17:BA17" si="8">AR15+AR16</f>
        <v>621910.58261000167</v>
      </c>
      <c r="AS17" s="117">
        <f t="shared" si="8"/>
        <v>985437.29615999782</v>
      </c>
      <c r="AT17" s="117">
        <f t="shared" si="8"/>
        <v>1004084.9556499999</v>
      </c>
      <c r="AU17" s="118">
        <f t="shared" si="2"/>
        <v>3605584.3807999995</v>
      </c>
      <c r="AV17" s="117">
        <f t="shared" si="8"/>
        <v>992260.39310999867</v>
      </c>
      <c r="AW17" s="117">
        <f t="shared" si="8"/>
        <v>988916.61996000097</v>
      </c>
      <c r="AX17" s="117">
        <f t="shared" si="8"/>
        <v>1096349.9288099995</v>
      </c>
      <c r="AY17" s="117">
        <f t="shared" si="8"/>
        <v>1070867.6282600041</v>
      </c>
      <c r="AZ17" s="118">
        <f t="shared" si="3"/>
        <v>4148394.5701400032</v>
      </c>
      <c r="BA17" s="117">
        <f t="shared" si="8"/>
        <v>1093573.6476099987</v>
      </c>
      <c r="BB17" s="736"/>
      <c r="BC17" s="736"/>
      <c r="BD17" s="736"/>
      <c r="BE17" s="736"/>
      <c r="BF17" s="736"/>
      <c r="BG17" s="736"/>
      <c r="BH17" s="736"/>
      <c r="BI17" s="736"/>
      <c r="BJ17" s="736"/>
      <c r="BK17" s="736"/>
      <c r="BL17" s="736"/>
      <c r="BM17" s="736"/>
      <c r="BN17" s="736"/>
      <c r="BO17" s="736"/>
      <c r="BP17" s="736"/>
      <c r="BQ17" s="736"/>
      <c r="BR17" s="736"/>
      <c r="BS17" s="736"/>
      <c r="BT17" s="736"/>
    </row>
    <row r="18" spans="1:72">
      <c r="A18" s="357"/>
      <c r="B18" s="11" t="s">
        <v>421</v>
      </c>
      <c r="C18" s="13"/>
      <c r="D18" s="13"/>
      <c r="E18" s="13"/>
      <c r="F18" s="13"/>
      <c r="G18" s="41"/>
      <c r="H18" s="13"/>
      <c r="I18" s="13"/>
      <c r="J18" s="13"/>
      <c r="K18" s="13"/>
      <c r="L18" s="41"/>
      <c r="M18" s="13"/>
      <c r="N18" s="13"/>
      <c r="O18" s="13"/>
      <c r="P18" s="13"/>
      <c r="Q18" s="41"/>
      <c r="R18" s="13"/>
      <c r="S18" s="13"/>
      <c r="T18" s="13"/>
      <c r="U18" s="13"/>
      <c r="V18" s="41"/>
      <c r="W18" s="13"/>
      <c r="X18" s="13"/>
      <c r="Y18" s="13"/>
      <c r="Z18" s="153">
        <v>-38.111809999999998</v>
      </c>
      <c r="AA18" s="154">
        <v>-38</v>
      </c>
      <c r="AB18" s="153">
        <v>-144187.23258999997</v>
      </c>
      <c r="AC18" s="153">
        <v>-140769.63487000001</v>
      </c>
      <c r="AD18" s="153">
        <v>-152098.65334000002</v>
      </c>
      <c r="AE18" s="153">
        <v>-157172.16621000011</v>
      </c>
      <c r="AF18" s="154">
        <v>-594227.68701000011</v>
      </c>
      <c r="AG18" s="153">
        <v>-153877</v>
      </c>
      <c r="AH18" s="153">
        <v>-171588</v>
      </c>
      <c r="AI18" s="153">
        <v>-178155</v>
      </c>
      <c r="AJ18" s="153">
        <v>-204760</v>
      </c>
      <c r="AK18" s="154">
        <f t="shared" si="0"/>
        <v>-708380</v>
      </c>
      <c r="AL18" s="153">
        <v>-230703</v>
      </c>
      <c r="AM18" s="153">
        <v>-245650</v>
      </c>
      <c r="AN18" s="153">
        <v>-256708</v>
      </c>
      <c r="AO18" s="153">
        <v>-233328</v>
      </c>
      <c r="AP18" s="154">
        <f t="shared" si="1"/>
        <v>-966389</v>
      </c>
      <c r="AQ18" s="153">
        <v>-248850</v>
      </c>
      <c r="AR18" s="153">
        <v>-156031</v>
      </c>
      <c r="AS18" s="153">
        <v>-239529</v>
      </c>
      <c r="AT18" s="153">
        <v>-227043</v>
      </c>
      <c r="AU18" s="154">
        <f t="shared" si="2"/>
        <v>-871453</v>
      </c>
      <c r="AV18" s="153">
        <v>-246931</v>
      </c>
      <c r="AW18" s="153">
        <v>-245405</v>
      </c>
      <c r="AX18" s="153">
        <v>-268090</v>
      </c>
      <c r="AY18" s="153">
        <v>-234045</v>
      </c>
      <c r="AZ18" s="154">
        <f t="shared" si="3"/>
        <v>-994471</v>
      </c>
      <c r="BA18" s="120">
        <v>-270740</v>
      </c>
      <c r="BB18" s="736"/>
      <c r="BC18" s="736"/>
      <c r="BD18" s="736"/>
      <c r="BE18" s="736"/>
      <c r="BF18" s="736"/>
      <c r="BG18" s="736"/>
      <c r="BH18" s="736"/>
      <c r="BI18" s="736"/>
      <c r="BJ18" s="736"/>
      <c r="BK18" s="736"/>
      <c r="BL18" s="736"/>
      <c r="BM18" s="736"/>
      <c r="BN18" s="736"/>
      <c r="BO18" s="736"/>
      <c r="BP18" s="736"/>
      <c r="BQ18" s="736"/>
      <c r="BR18" s="736"/>
      <c r="BS18" s="736"/>
      <c r="BT18" s="736"/>
    </row>
    <row r="19" spans="1:72">
      <c r="A19" s="357"/>
      <c r="B19" s="11" t="s">
        <v>422</v>
      </c>
      <c r="C19" s="13"/>
      <c r="D19" s="13"/>
      <c r="E19" s="13"/>
      <c r="F19" s="13"/>
      <c r="G19" s="41"/>
      <c r="H19" s="13"/>
      <c r="I19" s="13"/>
      <c r="J19" s="13"/>
      <c r="K19" s="13"/>
      <c r="L19" s="41"/>
      <c r="M19" s="13"/>
      <c r="N19" s="13"/>
      <c r="O19" s="13"/>
      <c r="P19" s="13"/>
      <c r="Q19" s="41"/>
      <c r="R19" s="13"/>
      <c r="S19" s="13"/>
      <c r="T19" s="13"/>
      <c r="U19" s="13"/>
      <c r="V19" s="41"/>
      <c r="W19" s="13"/>
      <c r="X19" s="13"/>
      <c r="Y19" s="13"/>
      <c r="Z19" s="153">
        <v>-28.867080000000001</v>
      </c>
      <c r="AA19" s="154">
        <v>-29</v>
      </c>
      <c r="AB19" s="153">
        <v>-86534.870490000001</v>
      </c>
      <c r="AC19" s="153">
        <v>-82043.799209999997</v>
      </c>
      <c r="AD19" s="153">
        <v>-121009.95424000008</v>
      </c>
      <c r="AE19" s="153">
        <v>-117321.61612999988</v>
      </c>
      <c r="AF19" s="154">
        <v>-406910.24006999994</v>
      </c>
      <c r="AG19" s="153">
        <v>-92338</v>
      </c>
      <c r="AH19" s="153">
        <v>-102913</v>
      </c>
      <c r="AI19" s="153">
        <v>-112840</v>
      </c>
      <c r="AJ19" s="153">
        <v>-130892</v>
      </c>
      <c r="AK19" s="154">
        <f t="shared" si="0"/>
        <v>-438983</v>
      </c>
      <c r="AL19" s="153">
        <v>-138423</v>
      </c>
      <c r="AM19" s="153">
        <v>-147325</v>
      </c>
      <c r="AN19" s="153">
        <v>-154150</v>
      </c>
      <c r="AO19" s="153">
        <v>-139664</v>
      </c>
      <c r="AP19" s="154">
        <f t="shared" si="1"/>
        <v>-579562</v>
      </c>
      <c r="AQ19" s="153">
        <v>-149375</v>
      </c>
      <c r="AR19" s="153">
        <v>-93662</v>
      </c>
      <c r="AS19" s="153">
        <v>-148881</v>
      </c>
      <c r="AT19" s="153">
        <v>-152668</v>
      </c>
      <c r="AU19" s="154">
        <f t="shared" si="2"/>
        <v>-544586</v>
      </c>
      <c r="AV19" s="153">
        <v>-149701</v>
      </c>
      <c r="AW19" s="153">
        <v>-147979</v>
      </c>
      <c r="AX19" s="153">
        <v>-165812</v>
      </c>
      <c r="AY19" s="153">
        <v>-164948</v>
      </c>
      <c r="AZ19" s="154">
        <f t="shared" si="3"/>
        <v>-628440</v>
      </c>
      <c r="BA19" s="120">
        <v>-164657</v>
      </c>
      <c r="BB19" s="736"/>
      <c r="BC19" s="736"/>
      <c r="BD19" s="736"/>
      <c r="BE19" s="736"/>
      <c r="BF19" s="736"/>
      <c r="BG19" s="736"/>
      <c r="BH19" s="736"/>
      <c r="BI19" s="736"/>
      <c r="BJ19" s="736"/>
      <c r="BK19" s="736"/>
      <c r="BL19" s="736"/>
      <c r="BM19" s="736"/>
      <c r="BN19" s="736"/>
      <c r="BO19" s="736"/>
      <c r="BP19" s="736"/>
      <c r="BQ19" s="736"/>
      <c r="BR19" s="736"/>
      <c r="BS19" s="736"/>
      <c r="BT19" s="736"/>
    </row>
    <row r="20" spans="1:72">
      <c r="A20" s="357"/>
      <c r="B20" s="11" t="s">
        <v>423</v>
      </c>
      <c r="C20" s="13"/>
      <c r="D20" s="13"/>
      <c r="E20" s="13"/>
      <c r="F20" s="13"/>
      <c r="G20" s="41"/>
      <c r="H20" s="13"/>
      <c r="I20" s="13"/>
      <c r="J20" s="13"/>
      <c r="K20" s="13"/>
      <c r="L20" s="41"/>
      <c r="M20" s="13"/>
      <c r="N20" s="13"/>
      <c r="O20" s="13"/>
      <c r="P20" s="13"/>
      <c r="Q20" s="41"/>
      <c r="R20" s="13"/>
      <c r="S20" s="13"/>
      <c r="T20" s="13"/>
      <c r="U20" s="13"/>
      <c r="V20" s="41"/>
      <c r="W20" s="13"/>
      <c r="X20" s="13"/>
      <c r="Y20" s="13"/>
      <c r="Z20" s="153">
        <v>0</v>
      </c>
      <c r="AA20" s="154">
        <v>0</v>
      </c>
      <c r="AB20" s="153">
        <v>0</v>
      </c>
      <c r="AC20" s="153">
        <v>0</v>
      </c>
      <c r="AD20" s="153">
        <v>0</v>
      </c>
      <c r="AE20" s="153">
        <v>0</v>
      </c>
      <c r="AF20" s="154">
        <v>0</v>
      </c>
      <c r="AG20" s="153">
        <v>0</v>
      </c>
      <c r="AH20" s="153">
        <v>0</v>
      </c>
      <c r="AI20" s="153">
        <v>0</v>
      </c>
      <c r="AJ20" s="153">
        <v>0</v>
      </c>
      <c r="AK20" s="154">
        <f t="shared" si="0"/>
        <v>0</v>
      </c>
      <c r="AL20" s="153">
        <v>0</v>
      </c>
      <c r="AM20" s="153">
        <v>0</v>
      </c>
      <c r="AN20" s="153">
        <v>0</v>
      </c>
      <c r="AO20" s="153">
        <v>0</v>
      </c>
      <c r="AP20" s="154">
        <f t="shared" si="1"/>
        <v>0</v>
      </c>
      <c r="AQ20" s="153">
        <v>0</v>
      </c>
      <c r="AR20" s="153">
        <v>0</v>
      </c>
      <c r="AS20" s="153">
        <v>0</v>
      </c>
      <c r="AT20" s="153">
        <v>0</v>
      </c>
      <c r="AU20" s="154">
        <f t="shared" si="2"/>
        <v>0</v>
      </c>
      <c r="AV20" s="153">
        <v>0</v>
      </c>
      <c r="AW20" s="153">
        <v>0</v>
      </c>
      <c r="AX20" s="153">
        <v>0</v>
      </c>
      <c r="AY20" s="153">
        <v>0</v>
      </c>
      <c r="AZ20" s="154">
        <f t="shared" si="3"/>
        <v>0</v>
      </c>
      <c r="BA20" s="120">
        <v>0</v>
      </c>
      <c r="BB20" s="736"/>
      <c r="BC20" s="736"/>
      <c r="BD20" s="736"/>
      <c r="BE20" s="736"/>
      <c r="BF20" s="736"/>
      <c r="BG20" s="736"/>
      <c r="BH20" s="736"/>
      <c r="BI20" s="736"/>
      <c r="BJ20" s="736"/>
      <c r="BK20" s="736"/>
      <c r="BL20" s="736"/>
      <c r="BM20" s="736"/>
      <c r="BN20" s="736"/>
      <c r="BO20" s="736"/>
      <c r="BP20" s="736"/>
      <c r="BQ20" s="736"/>
      <c r="BR20" s="736"/>
      <c r="BS20" s="736"/>
      <c r="BT20" s="736"/>
    </row>
    <row r="21" spans="1:72">
      <c r="A21" s="357"/>
      <c r="B21" s="11" t="s">
        <v>424</v>
      </c>
      <c r="C21" s="13"/>
      <c r="D21" s="13"/>
      <c r="E21" s="13"/>
      <c r="F21" s="13"/>
      <c r="G21" s="41"/>
      <c r="H21" s="13"/>
      <c r="I21" s="13"/>
      <c r="J21" s="13"/>
      <c r="K21" s="13"/>
      <c r="L21" s="41"/>
      <c r="M21" s="13"/>
      <c r="N21" s="13"/>
      <c r="O21" s="13"/>
      <c r="P21" s="13"/>
      <c r="Q21" s="41"/>
      <c r="R21" s="13"/>
      <c r="S21" s="13"/>
      <c r="T21" s="13"/>
      <c r="U21" s="13"/>
      <c r="V21" s="41"/>
      <c r="W21" s="13"/>
      <c r="X21" s="13"/>
      <c r="Y21" s="13"/>
      <c r="Z21" s="153">
        <v>0</v>
      </c>
      <c r="AA21" s="154">
        <v>0</v>
      </c>
      <c r="AB21" s="153">
        <v>0</v>
      </c>
      <c r="AC21" s="153">
        <v>0</v>
      </c>
      <c r="AD21" s="153">
        <v>0</v>
      </c>
      <c r="AE21" s="153">
        <v>0</v>
      </c>
      <c r="AF21" s="154">
        <v>0</v>
      </c>
      <c r="AG21" s="153">
        <v>0</v>
      </c>
      <c r="AH21" s="153">
        <v>0</v>
      </c>
      <c r="AI21" s="153">
        <v>0</v>
      </c>
      <c r="AJ21" s="153">
        <v>0</v>
      </c>
      <c r="AK21" s="154">
        <f t="shared" si="0"/>
        <v>0</v>
      </c>
      <c r="AL21" s="153">
        <v>0</v>
      </c>
      <c r="AM21" s="153">
        <v>0</v>
      </c>
      <c r="AN21" s="153">
        <v>0</v>
      </c>
      <c r="AO21" s="153">
        <v>0</v>
      </c>
      <c r="AP21" s="154">
        <f t="shared" si="1"/>
        <v>0</v>
      </c>
      <c r="AQ21" s="153">
        <v>0</v>
      </c>
      <c r="AR21" s="153">
        <v>0</v>
      </c>
      <c r="AS21" s="153">
        <v>0</v>
      </c>
      <c r="AT21" s="153">
        <v>0</v>
      </c>
      <c r="AU21" s="154">
        <f t="shared" si="2"/>
        <v>0</v>
      </c>
      <c r="AV21" s="153">
        <v>0</v>
      </c>
      <c r="AW21" s="153">
        <v>0</v>
      </c>
      <c r="AX21" s="153">
        <v>0</v>
      </c>
      <c r="AY21" s="153">
        <v>0</v>
      </c>
      <c r="AZ21" s="154">
        <f t="shared" si="3"/>
        <v>0</v>
      </c>
      <c r="BA21" s="120">
        <v>0</v>
      </c>
      <c r="BB21" s="736"/>
      <c r="BC21" s="736"/>
      <c r="BD21" s="736"/>
      <c r="BE21" s="736"/>
      <c r="BF21" s="736"/>
      <c r="BG21" s="736"/>
      <c r="BH21" s="736"/>
      <c r="BI21" s="736"/>
      <c r="BJ21" s="736"/>
      <c r="BK21" s="736"/>
      <c r="BL21" s="736"/>
      <c r="BM21" s="736"/>
      <c r="BN21" s="736"/>
      <c r="BO21" s="736"/>
      <c r="BP21" s="736"/>
      <c r="BQ21" s="736"/>
      <c r="BR21" s="736"/>
      <c r="BS21" s="736"/>
      <c r="BT21" s="736"/>
    </row>
    <row r="22" spans="1:72" s="2" customFormat="1">
      <c r="A22" s="358"/>
      <c r="B22" s="15" t="s">
        <v>450</v>
      </c>
      <c r="C22" s="16"/>
      <c r="D22" s="16"/>
      <c r="E22" s="16"/>
      <c r="F22" s="16"/>
      <c r="G22" s="45"/>
      <c r="H22" s="16"/>
      <c r="I22" s="16"/>
      <c r="J22" s="16"/>
      <c r="K22" s="16"/>
      <c r="L22" s="45"/>
      <c r="M22" s="16"/>
      <c r="N22" s="16"/>
      <c r="O22" s="16"/>
      <c r="P22" s="16"/>
      <c r="Q22" s="45"/>
      <c r="R22" s="16"/>
      <c r="S22" s="16"/>
      <c r="T22" s="16"/>
      <c r="U22" s="16"/>
      <c r="V22" s="45"/>
      <c r="W22" s="16"/>
      <c r="X22" s="16"/>
      <c r="Y22" s="16"/>
      <c r="Z22" s="155">
        <v>56.551699999999997</v>
      </c>
      <c r="AA22" s="156">
        <v>56</v>
      </c>
      <c r="AB22" s="155">
        <v>345445.63746001868</v>
      </c>
      <c r="AC22" s="155">
        <v>340119.21519993676</v>
      </c>
      <c r="AD22" s="155">
        <v>334897.49196983711</v>
      </c>
      <c r="AE22" s="155">
        <v>374660.52181018569</v>
      </c>
      <c r="AF22" s="156">
        <v>1395122.8664399781</v>
      </c>
      <c r="AG22" s="155">
        <f>SUM(AG17:AG21)</f>
        <v>369573</v>
      </c>
      <c r="AH22" s="155">
        <f>SUM(AH17:AH21)</f>
        <v>411180.36647999473</v>
      </c>
      <c r="AI22" s="155">
        <f>SUM(AI17:AI21)</f>
        <v>420932</v>
      </c>
      <c r="AJ22" s="155">
        <f>SUM(AJ17:AJ21)</f>
        <v>484416.89953001589</v>
      </c>
      <c r="AK22" s="156">
        <f t="shared" si="0"/>
        <v>1686102.2660100106</v>
      </c>
      <c r="AL22" s="155">
        <f>SUM(AL17:AL21)</f>
        <v>552015.79758000758</v>
      </c>
      <c r="AM22" s="155">
        <f>SUM(AM17:AM21)</f>
        <v>587112.09639000136</v>
      </c>
      <c r="AN22" s="155">
        <f>SUM(AN17:AN21)</f>
        <v>613439.45509999082</v>
      </c>
      <c r="AO22" s="155">
        <f>SUM(AO17:AO21)</f>
        <v>561053.64022999187</v>
      </c>
      <c r="AP22" s="156">
        <f t="shared" si="1"/>
        <v>2313620.9892999916</v>
      </c>
      <c r="AQ22" s="155">
        <f>SUM(AQ17:AQ21)</f>
        <v>595926.54638000007</v>
      </c>
      <c r="AR22" s="155">
        <f>SUM(AR17:AR21)</f>
        <v>372217.58261000167</v>
      </c>
      <c r="AS22" s="155">
        <f t="shared" ref="AS22:BA22" si="9">SUM(AS17:AS21)</f>
        <v>597027.29615999782</v>
      </c>
      <c r="AT22" s="155">
        <f t="shared" si="9"/>
        <v>624373.9556499999</v>
      </c>
      <c r="AU22" s="156">
        <f t="shared" si="2"/>
        <v>2189545.3807999995</v>
      </c>
      <c r="AV22" s="155">
        <f t="shared" si="9"/>
        <v>595628.39310999867</v>
      </c>
      <c r="AW22" s="155">
        <f t="shared" si="9"/>
        <v>595532.61996000097</v>
      </c>
      <c r="AX22" s="155">
        <f t="shared" si="9"/>
        <v>662447.92880999949</v>
      </c>
      <c r="AY22" s="155">
        <f t="shared" si="9"/>
        <v>671874.6282600041</v>
      </c>
      <c r="AZ22" s="156">
        <f t="shared" si="3"/>
        <v>2525483.5701400032</v>
      </c>
      <c r="BA22" s="155">
        <f t="shared" si="9"/>
        <v>658176.6476099987</v>
      </c>
      <c r="BB22" s="736"/>
      <c r="BC22" s="736"/>
      <c r="BD22" s="736"/>
      <c r="BE22" s="736"/>
      <c r="BF22" s="736"/>
      <c r="BG22" s="736"/>
      <c r="BH22" s="736"/>
      <c r="BI22" s="736"/>
      <c r="BJ22" s="736"/>
      <c r="BK22" s="736"/>
      <c r="BL22" s="736"/>
      <c r="BM22" s="736"/>
      <c r="BN22" s="736"/>
      <c r="BO22" s="736"/>
      <c r="BP22" s="736"/>
      <c r="BQ22" s="736"/>
      <c r="BR22" s="736"/>
      <c r="BS22" s="736"/>
      <c r="BT22" s="736"/>
    </row>
    <row r="23" spans="1:72">
      <c r="A23" s="357"/>
      <c r="B23" s="11" t="s">
        <v>468</v>
      </c>
      <c r="C23" s="13"/>
      <c r="D23" s="13"/>
      <c r="E23" s="13"/>
      <c r="F23" s="13"/>
      <c r="G23" s="41"/>
      <c r="H23" s="13"/>
      <c r="I23" s="13"/>
      <c r="J23" s="13"/>
      <c r="K23" s="13"/>
      <c r="L23" s="41"/>
      <c r="M23" s="13"/>
      <c r="N23" s="13"/>
      <c r="O23" s="13"/>
      <c r="P23" s="13"/>
      <c r="Q23" s="41"/>
      <c r="R23" s="13"/>
      <c r="S23" s="13"/>
      <c r="T23" s="13"/>
      <c r="U23" s="13"/>
      <c r="V23" s="41"/>
      <c r="W23" s="13"/>
      <c r="X23" s="13"/>
      <c r="Y23" s="13"/>
      <c r="Z23" s="120">
        <v>56.551699999999997</v>
      </c>
      <c r="AA23" s="154">
        <v>56</v>
      </c>
      <c r="AB23" s="120">
        <v>345445.63746001868</v>
      </c>
      <c r="AC23" s="120">
        <v>340119.21519993676</v>
      </c>
      <c r="AD23" s="120">
        <v>334897.49196983711</v>
      </c>
      <c r="AE23" s="120">
        <v>374660.52181018569</v>
      </c>
      <c r="AF23" s="154">
        <v>1395122.8664399781</v>
      </c>
      <c r="AG23" s="120">
        <v>369573</v>
      </c>
      <c r="AH23" s="120">
        <v>411180</v>
      </c>
      <c r="AI23" s="120">
        <f>AI22</f>
        <v>420932</v>
      </c>
      <c r="AJ23" s="120">
        <v>484417</v>
      </c>
      <c r="AK23" s="154">
        <f t="shared" si="0"/>
        <v>1686102</v>
      </c>
      <c r="AL23" s="120">
        <f>AL22</f>
        <v>552015.79758000758</v>
      </c>
      <c r="AM23" s="120">
        <v>587112</v>
      </c>
      <c r="AN23" s="120">
        <f>AN22</f>
        <v>613439.45509999082</v>
      </c>
      <c r="AO23" s="120">
        <f>AO22</f>
        <v>561053.64022999187</v>
      </c>
      <c r="AP23" s="154">
        <f t="shared" si="1"/>
        <v>2313620.8929099902</v>
      </c>
      <c r="AQ23" s="120">
        <f>AQ22</f>
        <v>595926.54638000007</v>
      </c>
      <c r="AR23" s="120">
        <f>AR22</f>
        <v>372217.58261000167</v>
      </c>
      <c r="AS23" s="120">
        <v>597027.29615999782</v>
      </c>
      <c r="AT23" s="121">
        <v>624373.9556499999</v>
      </c>
      <c r="AU23" s="154">
        <f t="shared" si="2"/>
        <v>2189545.3807999995</v>
      </c>
      <c r="AV23" s="121">
        <f>AV22</f>
        <v>595628.39310999867</v>
      </c>
      <c r="AW23" s="121">
        <f>AW22</f>
        <v>595532.61996000097</v>
      </c>
      <c r="AX23" s="121">
        <f>AX22</f>
        <v>662447.92880999949</v>
      </c>
      <c r="AY23" s="121">
        <f>AY22</f>
        <v>671874.6282600041</v>
      </c>
      <c r="AZ23" s="154">
        <f t="shared" si="3"/>
        <v>2525483.5701400032</v>
      </c>
      <c r="BA23" s="120">
        <v>658176.6476099987</v>
      </c>
      <c r="BB23" s="736"/>
      <c r="BC23" s="736"/>
      <c r="BD23" s="736"/>
      <c r="BE23" s="736"/>
      <c r="BF23" s="736"/>
      <c r="BG23" s="736"/>
      <c r="BH23" s="736"/>
      <c r="BI23" s="736"/>
      <c r="BJ23" s="736"/>
      <c r="BK23" s="736"/>
      <c r="BL23" s="736"/>
      <c r="BM23" s="736"/>
      <c r="BN23" s="736"/>
      <c r="BO23" s="736"/>
      <c r="BP23" s="736"/>
      <c r="BQ23" s="736"/>
      <c r="BR23" s="736"/>
      <c r="BS23" s="736"/>
      <c r="BT23" s="736"/>
    </row>
    <row r="24" spans="1:72">
      <c r="A24" s="357"/>
      <c r="B24" s="11" t="s">
        <v>436</v>
      </c>
      <c r="C24" s="13"/>
      <c r="D24" s="13"/>
      <c r="E24" s="13"/>
      <c r="F24" s="13"/>
      <c r="G24" s="41"/>
      <c r="H24" s="13"/>
      <c r="I24" s="13"/>
      <c r="J24" s="13"/>
      <c r="K24" s="13"/>
      <c r="L24" s="41"/>
      <c r="M24" s="13"/>
      <c r="N24" s="13"/>
      <c r="O24" s="13"/>
      <c r="P24" s="13"/>
      <c r="Q24" s="41"/>
      <c r="R24" s="13"/>
      <c r="S24" s="13"/>
      <c r="T24" s="13"/>
      <c r="U24" s="13"/>
      <c r="V24" s="41"/>
      <c r="W24" s="13"/>
      <c r="X24" s="13"/>
      <c r="Y24" s="13"/>
      <c r="Z24" s="120">
        <v>0</v>
      </c>
      <c r="AA24" s="154">
        <v>0</v>
      </c>
      <c r="AB24" s="120">
        <v>0</v>
      </c>
      <c r="AC24" s="120">
        <v>0</v>
      </c>
      <c r="AD24" s="120">
        <v>0</v>
      </c>
      <c r="AE24" s="120">
        <v>0</v>
      </c>
      <c r="AF24" s="154">
        <v>0</v>
      </c>
      <c r="AG24" s="120">
        <v>0</v>
      </c>
      <c r="AH24" s="120">
        <v>0</v>
      </c>
      <c r="AI24" s="120">
        <v>0</v>
      </c>
      <c r="AJ24" s="120">
        <v>0</v>
      </c>
      <c r="AK24" s="154">
        <f t="shared" si="0"/>
        <v>0</v>
      </c>
      <c r="AL24" s="120">
        <v>0</v>
      </c>
      <c r="AM24" s="120">
        <v>0</v>
      </c>
      <c r="AN24" s="120">
        <v>0</v>
      </c>
      <c r="AO24" s="120">
        <v>0</v>
      </c>
      <c r="AP24" s="154">
        <f t="shared" si="1"/>
        <v>0</v>
      </c>
      <c r="AQ24" s="120"/>
      <c r="AR24" s="120"/>
      <c r="AS24" s="120"/>
      <c r="AT24" s="121">
        <v>0</v>
      </c>
      <c r="AU24" s="154">
        <f t="shared" si="2"/>
        <v>0</v>
      </c>
      <c r="AV24" s="121">
        <v>0</v>
      </c>
      <c r="AW24" s="121">
        <v>0</v>
      </c>
      <c r="AX24" s="121">
        <v>0</v>
      </c>
      <c r="AY24" s="121">
        <v>0</v>
      </c>
      <c r="AZ24" s="154">
        <f t="shared" si="3"/>
        <v>0</v>
      </c>
      <c r="BA24" s="120">
        <v>0</v>
      </c>
      <c r="BB24" s="736"/>
      <c r="BC24" s="736"/>
      <c r="BD24" s="736"/>
      <c r="BE24" s="736"/>
      <c r="BF24" s="736"/>
      <c r="BG24" s="736"/>
      <c r="BH24" s="736"/>
      <c r="BI24" s="736"/>
      <c r="BJ24" s="736"/>
      <c r="BK24" s="736"/>
      <c r="BL24" s="736"/>
      <c r="BM24" s="736"/>
      <c r="BN24" s="736"/>
      <c r="BO24" s="736"/>
      <c r="BP24" s="736"/>
      <c r="BQ24" s="736"/>
      <c r="BR24" s="736"/>
      <c r="BS24" s="736"/>
      <c r="BT24" s="736"/>
    </row>
    <row r="25" spans="1:72">
      <c r="A25" s="357"/>
      <c r="B25" s="11" t="s">
        <v>470</v>
      </c>
      <c r="C25" s="13"/>
      <c r="D25" s="13"/>
      <c r="E25" s="13"/>
      <c r="F25" s="13"/>
      <c r="G25" s="41"/>
      <c r="H25" s="13"/>
      <c r="I25" s="13"/>
      <c r="J25" s="13"/>
      <c r="K25" s="13"/>
      <c r="L25" s="41"/>
      <c r="M25" s="13"/>
      <c r="N25" s="13"/>
      <c r="O25" s="13"/>
      <c r="P25" s="13"/>
      <c r="Q25" s="41"/>
      <c r="R25" s="13"/>
      <c r="S25" s="13"/>
      <c r="T25" s="13"/>
      <c r="U25" s="13"/>
      <c r="V25" s="41"/>
      <c r="W25" s="13"/>
      <c r="X25" s="13"/>
      <c r="Y25" s="13"/>
      <c r="Z25" s="120">
        <v>56.551699999999997</v>
      </c>
      <c r="AA25" s="154">
        <v>56</v>
      </c>
      <c r="AB25" s="120">
        <v>345445.63746001868</v>
      </c>
      <c r="AC25" s="120">
        <v>340119.21519993676</v>
      </c>
      <c r="AD25" s="120">
        <v>334897.49196983711</v>
      </c>
      <c r="AE25" s="120">
        <v>374660.52181019244</v>
      </c>
      <c r="AF25" s="154">
        <v>1395122.8664399849</v>
      </c>
      <c r="AG25" s="120">
        <v>369573</v>
      </c>
      <c r="AH25" s="120">
        <v>411180</v>
      </c>
      <c r="AI25" s="120">
        <f>AI23</f>
        <v>420932</v>
      </c>
      <c r="AJ25" s="120">
        <v>484417</v>
      </c>
      <c r="AK25" s="154">
        <f t="shared" si="0"/>
        <v>1686102</v>
      </c>
      <c r="AL25" s="120">
        <f>AL23+AL24</f>
        <v>552015.79758000758</v>
      </c>
      <c r="AM25" s="120">
        <f>AM23+AM24</f>
        <v>587112</v>
      </c>
      <c r="AN25" s="120">
        <f>AN23+AN24</f>
        <v>613439.45509999082</v>
      </c>
      <c r="AO25" s="120">
        <f>AO23+AO24</f>
        <v>561053.64022999187</v>
      </c>
      <c r="AP25" s="154">
        <f t="shared" si="1"/>
        <v>2313620.8929099902</v>
      </c>
      <c r="AQ25" s="120">
        <f>AQ23</f>
        <v>595926.54638000007</v>
      </c>
      <c r="AR25" s="120">
        <f>AR22</f>
        <v>372217.58261000167</v>
      </c>
      <c r="AS25" s="120">
        <v>597027.29615999782</v>
      </c>
      <c r="AT25" s="121">
        <v>624373.9556499999</v>
      </c>
      <c r="AU25" s="154">
        <f t="shared" si="2"/>
        <v>2189545.3807999995</v>
      </c>
      <c r="AV25" s="121">
        <f>AV23+AV24</f>
        <v>595628.39310999867</v>
      </c>
      <c r="AW25" s="121">
        <f>AW23+AW24</f>
        <v>595532.61996000097</v>
      </c>
      <c r="AX25" s="121">
        <f>AX23+AX24</f>
        <v>662447.92880999949</v>
      </c>
      <c r="AY25" s="121">
        <f>AY23+AY24</f>
        <v>671874.6282600041</v>
      </c>
      <c r="AZ25" s="154">
        <f t="shared" si="3"/>
        <v>2525483.5701400032</v>
      </c>
      <c r="BA25" s="120">
        <v>658176.6476099987</v>
      </c>
      <c r="BB25" s="736"/>
      <c r="BC25" s="736"/>
      <c r="BD25" s="736"/>
      <c r="BE25" s="736"/>
      <c r="BF25" s="736"/>
      <c r="BG25" s="736"/>
      <c r="BH25" s="736"/>
      <c r="BI25" s="736"/>
      <c r="BJ25" s="736"/>
      <c r="BK25" s="736"/>
      <c r="BL25" s="736"/>
      <c r="BM25" s="736"/>
      <c r="BN25" s="736"/>
      <c r="BO25" s="736"/>
      <c r="BP25" s="736"/>
      <c r="BQ25" s="736"/>
      <c r="BR25" s="736"/>
      <c r="BS25" s="736"/>
      <c r="BT25" s="736"/>
    </row>
    <row r="26" spans="1:72">
      <c r="A26" s="357"/>
      <c r="B26" s="11" t="s">
        <v>471</v>
      </c>
      <c r="C26" s="13"/>
      <c r="D26" s="13"/>
      <c r="E26" s="13"/>
      <c r="F26" s="13"/>
      <c r="G26" s="41"/>
      <c r="H26" s="13"/>
      <c r="I26" s="13"/>
      <c r="J26" s="13"/>
      <c r="K26" s="13"/>
      <c r="L26" s="41"/>
      <c r="M26" s="13"/>
      <c r="N26" s="13"/>
      <c r="O26" s="13"/>
      <c r="P26" s="13"/>
      <c r="Q26" s="41"/>
      <c r="R26" s="13"/>
      <c r="S26" s="13"/>
      <c r="T26" s="13"/>
      <c r="U26" s="13"/>
      <c r="V26" s="41"/>
      <c r="W26" s="13"/>
      <c r="X26" s="13"/>
      <c r="Y26" s="13"/>
      <c r="Z26" s="120">
        <v>0</v>
      </c>
      <c r="AA26" s="154">
        <v>0</v>
      </c>
      <c r="AB26" s="120">
        <v>0</v>
      </c>
      <c r="AC26" s="120">
        <v>0</v>
      </c>
      <c r="AD26" s="120">
        <v>0</v>
      </c>
      <c r="AE26" s="120">
        <v>0</v>
      </c>
      <c r="AF26" s="154">
        <v>0</v>
      </c>
      <c r="AG26" s="120">
        <v>0</v>
      </c>
      <c r="AH26" s="120">
        <v>0</v>
      </c>
      <c r="AI26" s="120">
        <v>0</v>
      </c>
      <c r="AJ26" s="120">
        <v>0</v>
      </c>
      <c r="AK26" s="154">
        <f t="shared" si="0"/>
        <v>0</v>
      </c>
      <c r="AL26" s="120">
        <v>0</v>
      </c>
      <c r="AM26" s="120"/>
      <c r="AN26" s="120">
        <v>0</v>
      </c>
      <c r="AO26" s="120">
        <v>0</v>
      </c>
      <c r="AP26" s="154">
        <f t="shared" si="1"/>
        <v>0</v>
      </c>
      <c r="AQ26" s="120"/>
      <c r="AR26" s="120"/>
      <c r="AS26" s="120"/>
      <c r="AT26" s="121"/>
      <c r="AU26" s="154">
        <f t="shared" si="2"/>
        <v>0</v>
      </c>
      <c r="AV26" s="121"/>
      <c r="AW26" s="121"/>
      <c r="AX26" s="121"/>
      <c r="AY26" s="121"/>
      <c r="AZ26" s="154">
        <f t="shared" si="3"/>
        <v>0</v>
      </c>
      <c r="BA26" s="120">
        <v>0</v>
      </c>
      <c r="BB26" s="736"/>
      <c r="BC26" s="736"/>
      <c r="BD26" s="736"/>
      <c r="BE26" s="736"/>
      <c r="BF26" s="736"/>
      <c r="BG26" s="736"/>
      <c r="BH26" s="736"/>
      <c r="BI26" s="736"/>
      <c r="BJ26" s="736"/>
      <c r="BK26" s="736"/>
      <c r="BL26" s="736"/>
      <c r="BM26" s="736"/>
      <c r="BN26" s="736"/>
      <c r="BO26" s="736"/>
      <c r="BP26" s="736"/>
      <c r="BQ26" s="736"/>
      <c r="BR26" s="736"/>
      <c r="BS26" s="736"/>
      <c r="BT26" s="736"/>
    </row>
    <row r="27" spans="1:72" ht="15.75" thickBot="1">
      <c r="A27" s="359"/>
      <c r="B27" s="17" t="s">
        <v>451</v>
      </c>
      <c r="C27" s="18"/>
      <c r="D27" s="18"/>
      <c r="E27" s="18"/>
      <c r="F27" s="18"/>
      <c r="G27" s="48"/>
      <c r="H27" s="18"/>
      <c r="I27" s="18"/>
      <c r="J27" s="18"/>
      <c r="K27" s="18"/>
      <c r="L27" s="48"/>
      <c r="M27" s="18"/>
      <c r="N27" s="18"/>
      <c r="O27" s="18"/>
      <c r="P27" s="18"/>
      <c r="Q27" s="48"/>
      <c r="R27" s="18"/>
      <c r="S27" s="18"/>
      <c r="T27" s="18"/>
      <c r="U27" s="18"/>
      <c r="V27" s="48"/>
      <c r="W27" s="18"/>
      <c r="X27" s="18"/>
      <c r="Y27" s="18"/>
      <c r="Z27" s="18">
        <v>0.6</v>
      </c>
      <c r="AA27" s="48">
        <v>0.6</v>
      </c>
      <c r="AB27" s="18">
        <v>0.6</v>
      </c>
      <c r="AC27" s="18">
        <v>0.6</v>
      </c>
      <c r="AD27" s="18">
        <v>0.6</v>
      </c>
      <c r="AE27" s="18">
        <v>0.6</v>
      </c>
      <c r="AF27" s="48">
        <v>0.6</v>
      </c>
      <c r="AG27" s="18">
        <v>0.6</v>
      </c>
      <c r="AH27" s="18">
        <v>0.6</v>
      </c>
      <c r="AI27" s="18">
        <v>0.6</v>
      </c>
      <c r="AJ27" s="18">
        <v>0.6</v>
      </c>
      <c r="AK27" s="48">
        <v>0.6</v>
      </c>
      <c r="AL27" s="18">
        <v>0.6</v>
      </c>
      <c r="AM27" s="18">
        <v>0.6</v>
      </c>
      <c r="AN27" s="18">
        <v>0.6</v>
      </c>
      <c r="AO27" s="18">
        <v>0.6</v>
      </c>
      <c r="AP27" s="48">
        <v>0.6</v>
      </c>
      <c r="AQ27" s="18">
        <v>0.6</v>
      </c>
      <c r="AR27" s="18">
        <v>0.6</v>
      </c>
      <c r="AS27" s="18">
        <v>0.6</v>
      </c>
      <c r="AT27" s="18">
        <v>0.6</v>
      </c>
      <c r="AU27" s="48">
        <v>0.6</v>
      </c>
      <c r="AV27" s="18">
        <v>0.6</v>
      </c>
      <c r="AW27" s="18">
        <v>0.6</v>
      </c>
      <c r="AX27" s="18">
        <v>0.6</v>
      </c>
      <c r="AY27" s="18">
        <v>0.6</v>
      </c>
      <c r="AZ27" s="48">
        <v>0.6</v>
      </c>
      <c r="BA27" s="18">
        <v>0.6</v>
      </c>
      <c r="BB27" s="736"/>
      <c r="BC27" s="736"/>
      <c r="BD27" s="736"/>
      <c r="BE27" s="736"/>
      <c r="BF27" s="736"/>
      <c r="BG27" s="736"/>
      <c r="BH27" s="736"/>
      <c r="BI27" s="736"/>
      <c r="BJ27" s="736"/>
      <c r="BK27" s="736"/>
      <c r="BL27" s="736"/>
      <c r="BM27" s="736"/>
      <c r="BN27" s="736"/>
      <c r="BO27" s="736"/>
      <c r="BP27" s="736"/>
      <c r="BQ27" s="736"/>
      <c r="BR27" s="736"/>
      <c r="BS27" s="736"/>
      <c r="BT27" s="736"/>
    </row>
    <row r="28" spans="1:72" ht="15.75" thickBot="1"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U28" s="8"/>
      <c r="AZ28" s="8"/>
      <c r="BB28" s="736"/>
      <c r="BC28" s="736"/>
      <c r="BD28" s="736"/>
      <c r="BE28" s="736"/>
      <c r="BF28" s="736"/>
      <c r="BG28" s="736"/>
      <c r="BH28" s="736"/>
      <c r="BI28" s="736"/>
      <c r="BJ28" s="736"/>
      <c r="BK28" s="736"/>
      <c r="BL28" s="736"/>
      <c r="BM28" s="736"/>
      <c r="BN28" s="736"/>
      <c r="BO28" s="736"/>
      <c r="BP28" s="736"/>
      <c r="BQ28" s="736"/>
      <c r="BR28" s="736"/>
      <c r="BS28" s="736"/>
      <c r="BT28" s="736"/>
    </row>
    <row r="29" spans="1:72" s="100" customFormat="1">
      <c r="A29" s="670"/>
      <c r="B29" s="625" t="s">
        <v>521</v>
      </c>
      <c r="C29" s="626" t="s">
        <v>224</v>
      </c>
      <c r="D29" s="626" t="s">
        <v>225</v>
      </c>
      <c r="E29" s="626" t="s">
        <v>226</v>
      </c>
      <c r="F29" s="626" t="s">
        <v>227</v>
      </c>
      <c r="G29" s="652">
        <v>2016</v>
      </c>
      <c r="H29" s="626" t="s">
        <v>228</v>
      </c>
      <c r="I29" s="626" t="s">
        <v>229</v>
      </c>
      <c r="J29" s="626" t="s">
        <v>230</v>
      </c>
      <c r="K29" s="626" t="s">
        <v>231</v>
      </c>
      <c r="L29" s="652">
        <v>2017</v>
      </c>
      <c r="M29" s="626" t="s">
        <v>232</v>
      </c>
      <c r="N29" s="626" t="s">
        <v>233</v>
      </c>
      <c r="O29" s="626" t="s">
        <v>234</v>
      </c>
      <c r="P29" s="626" t="s">
        <v>235</v>
      </c>
      <c r="Q29" s="652">
        <v>2018</v>
      </c>
      <c r="R29" s="626" t="s">
        <v>236</v>
      </c>
      <c r="S29" s="626" t="s">
        <v>237</v>
      </c>
      <c r="T29" s="626" t="s">
        <v>238</v>
      </c>
      <c r="U29" s="626" t="s">
        <v>239</v>
      </c>
      <c r="V29" s="652">
        <v>2019</v>
      </c>
      <c r="W29" s="626" t="s">
        <v>240</v>
      </c>
      <c r="X29" s="626" t="s">
        <v>241</v>
      </c>
      <c r="Y29" s="626" t="s">
        <v>242</v>
      </c>
      <c r="Z29" s="626" t="s">
        <v>243</v>
      </c>
      <c r="AA29" s="652">
        <v>2020</v>
      </c>
      <c r="AB29" s="626" t="s">
        <v>244</v>
      </c>
      <c r="AC29" s="626" t="s">
        <v>245</v>
      </c>
      <c r="AD29" s="626" t="s">
        <v>246</v>
      </c>
      <c r="AE29" s="626" t="s">
        <v>247</v>
      </c>
      <c r="AF29" s="652">
        <v>2021</v>
      </c>
      <c r="AG29" s="626" t="s">
        <v>248</v>
      </c>
      <c r="AH29" s="626" t="s">
        <v>249</v>
      </c>
      <c r="AI29" s="626" t="s">
        <v>250</v>
      </c>
      <c r="AJ29" s="626" t="s">
        <v>215</v>
      </c>
      <c r="AK29" s="652">
        <v>2022</v>
      </c>
      <c r="AL29" s="626" t="s">
        <v>252</v>
      </c>
      <c r="AM29" s="626" t="s">
        <v>253</v>
      </c>
      <c r="AN29" s="626" t="s">
        <v>254</v>
      </c>
      <c r="AO29" s="626" t="s">
        <v>219</v>
      </c>
      <c r="AP29" s="652">
        <v>2023</v>
      </c>
      <c r="AQ29" s="626" t="s">
        <v>223</v>
      </c>
      <c r="AR29" s="626" t="s">
        <v>256</v>
      </c>
      <c r="AS29" s="626" t="s">
        <v>357</v>
      </c>
      <c r="AT29" s="626" t="s">
        <v>358</v>
      </c>
      <c r="AU29" s="652">
        <v>2024</v>
      </c>
      <c r="AV29" s="626" t="s">
        <v>359</v>
      </c>
      <c r="AW29" s="626" t="s">
        <v>1115</v>
      </c>
      <c r="AX29" s="626" t="s">
        <v>1116</v>
      </c>
      <c r="AY29" s="626" t="s">
        <v>1117</v>
      </c>
      <c r="AZ29" s="653" t="s">
        <v>1118</v>
      </c>
      <c r="BA29" s="645" t="s">
        <v>1124</v>
      </c>
      <c r="BB29" s="768"/>
      <c r="BC29" s="768"/>
      <c r="BD29" s="768"/>
      <c r="BE29" s="768"/>
      <c r="BF29" s="768"/>
      <c r="BG29" s="768"/>
      <c r="BH29" s="768"/>
      <c r="BI29" s="768"/>
      <c r="BJ29" s="768"/>
      <c r="BK29" s="768"/>
      <c r="BL29" s="768"/>
      <c r="BM29" s="768"/>
      <c r="BN29" s="768"/>
      <c r="BO29" s="768"/>
      <c r="BP29" s="768"/>
      <c r="BQ29" s="768"/>
      <c r="BR29" s="768"/>
      <c r="BS29" s="768"/>
      <c r="BT29" s="768"/>
    </row>
    <row r="30" spans="1:72" s="2" customFormat="1">
      <c r="A30" s="356"/>
      <c r="B30" s="9" t="s">
        <v>482</v>
      </c>
      <c r="C30" s="10"/>
      <c r="D30" s="10"/>
      <c r="E30" s="10"/>
      <c r="F30" s="10"/>
      <c r="G30" s="39"/>
      <c r="H30" s="10"/>
      <c r="I30" s="10"/>
      <c r="J30" s="10"/>
      <c r="K30" s="10"/>
      <c r="L30" s="39"/>
      <c r="M30" s="10"/>
      <c r="N30" s="10"/>
      <c r="O30" s="10"/>
      <c r="P30" s="10"/>
      <c r="Q30" s="39"/>
      <c r="R30" s="10"/>
      <c r="S30" s="10"/>
      <c r="T30" s="10"/>
      <c r="U30" s="10"/>
      <c r="V30" s="39"/>
      <c r="W30" s="10"/>
      <c r="X30" s="10"/>
      <c r="Y30" s="10"/>
      <c r="Z30" s="10"/>
      <c r="AA30" s="39"/>
      <c r="AB30" s="117">
        <v>7371705.3895699997</v>
      </c>
      <c r="AC30" s="117">
        <v>7737737.2083200011</v>
      </c>
      <c r="AD30" s="117">
        <v>7871224.1222200012</v>
      </c>
      <c r="AE30" s="117">
        <v>9115536.4638000038</v>
      </c>
      <c r="AF30" s="39">
        <v>32096203.183910005</v>
      </c>
      <c r="AG30" s="125">
        <v>8442587</v>
      </c>
      <c r="AH30" s="125">
        <v>8592893</v>
      </c>
      <c r="AI30" s="125">
        <v>8460731</v>
      </c>
      <c r="AJ30" s="125">
        <v>5685634</v>
      </c>
      <c r="AK30" s="39">
        <f t="shared" ref="AK30:AK63" si="10">SUM(AG30:AJ30)</f>
        <v>31181845</v>
      </c>
      <c r="AL30" s="125">
        <v>6246809</v>
      </c>
      <c r="AM30" s="337">
        <v>6478923</v>
      </c>
      <c r="AN30" s="337">
        <v>6528762</v>
      </c>
      <c r="AO30" s="125">
        <v>6007836</v>
      </c>
      <c r="AP30" s="39">
        <f t="shared" ref="AP30:AP64" si="11">SUM(AL30:AO30)</f>
        <v>25262330</v>
      </c>
      <c r="AQ30" s="125">
        <v>6401413</v>
      </c>
      <c r="AR30" s="125">
        <v>5963198</v>
      </c>
      <c r="AS30" s="125">
        <v>6688094</v>
      </c>
      <c r="AT30" s="125">
        <v>7323617</v>
      </c>
      <c r="AU30" s="39">
        <f>SUM(AQ30:AT30)</f>
        <v>26376322</v>
      </c>
      <c r="AV30" s="125">
        <v>6953452</v>
      </c>
      <c r="AW30" s="125">
        <v>5652132</v>
      </c>
      <c r="AX30" s="125">
        <v>7051216</v>
      </c>
      <c r="AY30" s="125">
        <v>6446632</v>
      </c>
      <c r="AZ30" s="39">
        <f>SUM(AV30:AY30)</f>
        <v>26103432</v>
      </c>
      <c r="BA30" s="125">
        <v>6616065</v>
      </c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</row>
    <row r="31" spans="1:72">
      <c r="A31" s="357"/>
      <c r="B31" s="11" t="s">
        <v>483</v>
      </c>
      <c r="C31" s="8"/>
      <c r="D31" s="8"/>
      <c r="E31" s="8"/>
      <c r="F31" s="8"/>
      <c r="G31" s="40"/>
      <c r="H31" s="8"/>
      <c r="I31" s="8"/>
      <c r="J31" s="8"/>
      <c r="K31" s="8"/>
      <c r="L31" s="40"/>
      <c r="M31" s="8"/>
      <c r="N31" s="8"/>
      <c r="O31" s="8"/>
      <c r="P31" s="8"/>
      <c r="Q31" s="40"/>
      <c r="R31" s="12"/>
      <c r="S31" s="12"/>
      <c r="T31" s="12"/>
      <c r="U31" s="12"/>
      <c r="V31" s="40"/>
      <c r="W31" s="12"/>
      <c r="X31" s="12"/>
      <c r="Y31" s="12"/>
      <c r="Z31" s="12"/>
      <c r="AA31" s="40"/>
      <c r="AB31" s="157">
        <v>-7369360.5868700044</v>
      </c>
      <c r="AC31" s="157">
        <v>-7735725.2728399979</v>
      </c>
      <c r="AD31" s="157">
        <v>-7869199.2206799984</v>
      </c>
      <c r="AE31" s="157">
        <v>-9113453.198950002</v>
      </c>
      <c r="AF31" s="40">
        <v>-32087738.279339999</v>
      </c>
      <c r="AG31" s="212">
        <v>-8440643</v>
      </c>
      <c r="AH31" s="212">
        <v>-8590970</v>
      </c>
      <c r="AI31" s="212">
        <v>-8456818</v>
      </c>
      <c r="AJ31" s="212">
        <v>-5683822</v>
      </c>
      <c r="AK31" s="40">
        <f t="shared" si="10"/>
        <v>-31172253</v>
      </c>
      <c r="AL31" s="212">
        <v>-6245424</v>
      </c>
      <c r="AM31" s="214">
        <v>-6476750</v>
      </c>
      <c r="AN31" s="214">
        <v>-6527399</v>
      </c>
      <c r="AO31" s="212">
        <v>-6006344</v>
      </c>
      <c r="AP31" s="40">
        <f t="shared" si="11"/>
        <v>-25255917</v>
      </c>
      <c r="AQ31" s="212">
        <v>-6400330</v>
      </c>
      <c r="AR31" s="214">
        <v>-5962027</v>
      </c>
      <c r="AS31" s="214">
        <v>-6687150</v>
      </c>
      <c r="AT31" s="214">
        <v>-7322507</v>
      </c>
      <c r="AU31" s="40">
        <f>SUM(AQ31:AT31)</f>
        <v>-26372014</v>
      </c>
      <c r="AV31" s="214">
        <v>-6952310</v>
      </c>
      <c r="AW31" s="214">
        <v>-5652194</v>
      </c>
      <c r="AX31" s="214">
        <v>-7051569</v>
      </c>
      <c r="AY31" s="214">
        <v>-6446660</v>
      </c>
      <c r="AZ31" s="40">
        <f>SUM(AV31:AY31)</f>
        <v>-26102733</v>
      </c>
      <c r="BA31" s="214">
        <v>-6616068</v>
      </c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</row>
    <row r="32" spans="1:72">
      <c r="A32" s="357"/>
      <c r="B32" s="11" t="s">
        <v>484</v>
      </c>
      <c r="C32" s="8"/>
      <c r="D32" s="8"/>
      <c r="E32" s="8"/>
      <c r="F32" s="8"/>
      <c r="G32" s="40"/>
      <c r="H32" s="8"/>
      <c r="I32" s="8"/>
      <c r="J32" s="8"/>
      <c r="K32" s="8"/>
      <c r="L32" s="40"/>
      <c r="M32" s="8"/>
      <c r="N32" s="8"/>
      <c r="O32" s="8"/>
      <c r="P32" s="8"/>
      <c r="Q32" s="40"/>
      <c r="R32" s="12"/>
      <c r="S32" s="12"/>
      <c r="T32" s="12"/>
      <c r="U32" s="12"/>
      <c r="V32" s="40"/>
      <c r="W32" s="12"/>
      <c r="X32" s="12"/>
      <c r="Y32" s="12"/>
      <c r="Z32" s="12"/>
      <c r="AA32" s="40"/>
      <c r="AB32" s="121">
        <v>2344.8026999952272</v>
      </c>
      <c r="AC32" s="121">
        <v>2011.93548000288</v>
      </c>
      <c r="AD32" s="157">
        <v>2024.9015400028229</v>
      </c>
      <c r="AE32" s="157">
        <v>2083.2648499999045</v>
      </c>
      <c r="AF32" s="40">
        <v>8464.9045700008337</v>
      </c>
      <c r="AG32" s="212">
        <v>1943</v>
      </c>
      <c r="AH32" s="212">
        <v>1924</v>
      </c>
      <c r="AI32" s="212">
        <v>3913</v>
      </c>
      <c r="AJ32" s="212">
        <v>1812</v>
      </c>
      <c r="AK32" s="40">
        <f t="shared" si="10"/>
        <v>9592</v>
      </c>
      <c r="AL32" s="212">
        <v>1385</v>
      </c>
      <c r="AM32" s="212">
        <v>2174</v>
      </c>
      <c r="AN32" s="212">
        <v>1362</v>
      </c>
      <c r="AO32" s="212">
        <v>1491</v>
      </c>
      <c r="AP32" s="40">
        <f t="shared" si="11"/>
        <v>6412</v>
      </c>
      <c r="AQ32" s="212">
        <v>1082</v>
      </c>
      <c r="AR32" s="214">
        <v>1171</v>
      </c>
      <c r="AS32" s="214">
        <v>944</v>
      </c>
      <c r="AT32" s="214">
        <v>1110</v>
      </c>
      <c r="AU32" s="40">
        <f t="shared" ref="AU32" si="12">SUM(AQ32:AT32)</f>
        <v>4307</v>
      </c>
      <c r="AV32" s="214">
        <v>1143</v>
      </c>
      <c r="AW32" s="214">
        <v>-61</v>
      </c>
      <c r="AX32" s="214">
        <v>-352</v>
      </c>
      <c r="AY32" s="214">
        <v>-28</v>
      </c>
      <c r="AZ32" s="40">
        <f t="shared" ref="AZ32:AZ64" si="13">SUM(AV32:AY32)</f>
        <v>702</v>
      </c>
      <c r="BA32" s="214">
        <v>-3</v>
      </c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</row>
    <row r="33" spans="1:72" s="2" customFormat="1">
      <c r="A33" s="356"/>
      <c r="B33" s="9" t="s">
        <v>485</v>
      </c>
      <c r="C33" s="10"/>
      <c r="D33" s="10"/>
      <c r="E33" s="10"/>
      <c r="F33" s="10"/>
      <c r="G33" s="39"/>
      <c r="H33" s="10"/>
      <c r="I33" s="10"/>
      <c r="J33" s="10"/>
      <c r="K33" s="10"/>
      <c r="L33" s="39"/>
      <c r="M33" s="10"/>
      <c r="N33" s="10"/>
      <c r="O33" s="10"/>
      <c r="P33" s="10"/>
      <c r="Q33" s="39"/>
      <c r="R33" s="10"/>
      <c r="S33" s="10"/>
      <c r="T33" s="10"/>
      <c r="U33" s="10"/>
      <c r="V33" s="39"/>
      <c r="W33" s="10"/>
      <c r="X33" s="10"/>
      <c r="Y33" s="10"/>
      <c r="Z33" s="10"/>
      <c r="AA33" s="39"/>
      <c r="AB33" s="160">
        <v>278442.3706299999</v>
      </c>
      <c r="AC33" s="160">
        <v>291308.83288</v>
      </c>
      <c r="AD33" s="117">
        <v>322219.94581000006</v>
      </c>
      <c r="AE33" s="117">
        <v>322081.6549599999</v>
      </c>
      <c r="AF33" s="39">
        <v>1214052.8042799998</v>
      </c>
      <c r="AG33" s="125">
        <v>334070</v>
      </c>
      <c r="AH33" s="125">
        <v>349234</v>
      </c>
      <c r="AI33" s="125">
        <v>384436</v>
      </c>
      <c r="AJ33" s="125">
        <v>383548</v>
      </c>
      <c r="AK33" s="39">
        <f t="shared" si="10"/>
        <v>1451288</v>
      </c>
      <c r="AL33" s="125">
        <v>394936</v>
      </c>
      <c r="AM33" s="337">
        <v>388315</v>
      </c>
      <c r="AN33" s="337">
        <v>418794</v>
      </c>
      <c r="AO33" s="125">
        <v>408440</v>
      </c>
      <c r="AP33" s="39">
        <f t="shared" si="11"/>
        <v>1610485</v>
      </c>
      <c r="AQ33" s="125">
        <v>419247</v>
      </c>
      <c r="AR33" s="337">
        <v>440581</v>
      </c>
      <c r="AS33" s="337">
        <v>471062</v>
      </c>
      <c r="AT33" s="337">
        <v>457195</v>
      </c>
      <c r="AU33" s="39">
        <f t="shared" ref="AU33:AU63" si="14">SUM(AQ33:AT33)</f>
        <v>1788085</v>
      </c>
      <c r="AV33" s="337">
        <v>453046</v>
      </c>
      <c r="AW33" s="337">
        <v>462956</v>
      </c>
      <c r="AX33" s="337">
        <v>512432</v>
      </c>
      <c r="AY33" s="337">
        <v>508870</v>
      </c>
      <c r="AZ33" s="39">
        <f t="shared" si="13"/>
        <v>1937304</v>
      </c>
      <c r="BA33" s="337">
        <v>502633</v>
      </c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</row>
    <row r="34" spans="1:72">
      <c r="A34" s="357"/>
      <c r="B34" s="11" t="s">
        <v>486</v>
      </c>
      <c r="C34" s="8"/>
      <c r="D34" s="8"/>
      <c r="E34" s="8"/>
      <c r="F34" s="8"/>
      <c r="G34" s="40"/>
      <c r="H34" s="8"/>
      <c r="I34" s="8"/>
      <c r="J34" s="8"/>
      <c r="K34" s="8"/>
      <c r="L34" s="40"/>
      <c r="M34" s="8"/>
      <c r="N34" s="8"/>
      <c r="O34" s="8"/>
      <c r="P34" s="8"/>
      <c r="Q34" s="40"/>
      <c r="R34" s="12"/>
      <c r="S34" s="12"/>
      <c r="T34" s="12"/>
      <c r="U34" s="12"/>
      <c r="V34" s="40"/>
      <c r="W34" s="12"/>
      <c r="X34" s="12"/>
      <c r="Y34" s="12"/>
      <c r="Z34" s="12"/>
      <c r="AA34" s="40"/>
      <c r="AB34" s="121">
        <v>-624.2755800000001</v>
      </c>
      <c r="AC34" s="121">
        <v>-869.64622999999972</v>
      </c>
      <c r="AD34" s="153">
        <v>-1456.4493799999993</v>
      </c>
      <c r="AE34" s="153">
        <v>-954.92426999999998</v>
      </c>
      <c r="AF34" s="40">
        <v>-3905.2954599999989</v>
      </c>
      <c r="AG34" s="136">
        <v>-1038</v>
      </c>
      <c r="AH34" s="136">
        <v>5761</v>
      </c>
      <c r="AI34" s="136">
        <v>-509</v>
      </c>
      <c r="AJ34" s="136">
        <v>776</v>
      </c>
      <c r="AK34" s="40">
        <f t="shared" si="10"/>
        <v>4990</v>
      </c>
      <c r="AL34" s="136">
        <v>-444</v>
      </c>
      <c r="AM34" s="136">
        <v>-12050</v>
      </c>
      <c r="AN34" s="136">
        <v>-257</v>
      </c>
      <c r="AO34" s="136">
        <v>-90</v>
      </c>
      <c r="AP34" s="40">
        <f t="shared" si="11"/>
        <v>-12841</v>
      </c>
      <c r="AQ34" s="136">
        <v>1083</v>
      </c>
      <c r="AR34" s="214">
        <v>-6862</v>
      </c>
      <c r="AS34" s="214">
        <v>-4</v>
      </c>
      <c r="AT34" s="214">
        <v>147</v>
      </c>
      <c r="AU34" s="40">
        <f t="shared" si="14"/>
        <v>-5636</v>
      </c>
      <c r="AV34" s="214">
        <v>1447</v>
      </c>
      <c r="AW34" s="214">
        <v>3649</v>
      </c>
      <c r="AX34" s="214">
        <v>255</v>
      </c>
      <c r="AY34" s="214">
        <v>329</v>
      </c>
      <c r="AZ34" s="40">
        <f t="shared" si="13"/>
        <v>5680</v>
      </c>
      <c r="BA34" s="214">
        <v>1940</v>
      </c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</row>
    <row r="35" spans="1:72">
      <c r="A35" s="357"/>
      <c r="B35" s="11" t="s">
        <v>487</v>
      </c>
      <c r="C35" s="8"/>
      <c r="D35" s="8"/>
      <c r="E35" s="8"/>
      <c r="F35" s="8"/>
      <c r="G35" s="40"/>
      <c r="H35" s="8"/>
      <c r="I35" s="8"/>
      <c r="J35" s="8"/>
      <c r="K35" s="8"/>
      <c r="L35" s="40"/>
      <c r="M35" s="8"/>
      <c r="N35" s="8"/>
      <c r="O35" s="8"/>
      <c r="P35" s="8"/>
      <c r="Q35" s="40"/>
      <c r="R35" s="12"/>
      <c r="S35" s="12"/>
      <c r="T35" s="12"/>
      <c r="U35" s="12"/>
      <c r="V35" s="40"/>
      <c r="W35" s="12"/>
      <c r="X35" s="12"/>
      <c r="Y35" s="12"/>
      <c r="Z35" s="12"/>
      <c r="AA35" s="40"/>
      <c r="AB35" s="153">
        <v>-5371.9643200000082</v>
      </c>
      <c r="AC35" s="153">
        <v>-2105.5578300000006</v>
      </c>
      <c r="AD35" s="153">
        <v>-4162.4561499999991</v>
      </c>
      <c r="AE35" s="153">
        <v>-3347.18451</v>
      </c>
      <c r="AF35" s="40">
        <v>-14987.162810000009</v>
      </c>
      <c r="AG35" s="136">
        <v>-4491</v>
      </c>
      <c r="AH35" s="136">
        <v>-4544</v>
      </c>
      <c r="AI35" s="136">
        <v>-4968</v>
      </c>
      <c r="AJ35" s="136">
        <v>-3391</v>
      </c>
      <c r="AK35" s="40">
        <f t="shared" si="10"/>
        <v>-17394</v>
      </c>
      <c r="AL35" s="136">
        <v>1095</v>
      </c>
      <c r="AM35" s="136">
        <v>-4251</v>
      </c>
      <c r="AN35" s="214">
        <v>-4662</v>
      </c>
      <c r="AO35" s="136">
        <v>-4969</v>
      </c>
      <c r="AP35" s="40">
        <f t="shared" si="11"/>
        <v>-12787</v>
      </c>
      <c r="AQ35" s="136">
        <v>-6183</v>
      </c>
      <c r="AR35" s="214">
        <v>-2868</v>
      </c>
      <c r="AS35" s="214">
        <v>-781</v>
      </c>
      <c r="AT35" s="214">
        <v>-1734</v>
      </c>
      <c r="AU35" s="40">
        <f t="shared" si="14"/>
        <v>-11566</v>
      </c>
      <c r="AV35" s="214">
        <v>-3827</v>
      </c>
      <c r="AW35" s="214">
        <v>-1518</v>
      </c>
      <c r="AX35" s="214">
        <v>-3466</v>
      </c>
      <c r="AY35" s="214">
        <v>-1828</v>
      </c>
      <c r="AZ35" s="40">
        <f t="shared" si="13"/>
        <v>-10639</v>
      </c>
      <c r="BA35" s="214">
        <v>-1867</v>
      </c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</row>
    <row r="36" spans="1:72">
      <c r="A36" s="357"/>
      <c r="B36" s="11" t="s">
        <v>522</v>
      </c>
      <c r="C36" s="8"/>
      <c r="D36" s="8"/>
      <c r="E36" s="8"/>
      <c r="F36" s="8"/>
      <c r="G36" s="40"/>
      <c r="H36" s="8"/>
      <c r="I36" s="8"/>
      <c r="J36" s="8"/>
      <c r="K36" s="8"/>
      <c r="L36" s="40"/>
      <c r="M36" s="8"/>
      <c r="N36" s="8"/>
      <c r="O36" s="8"/>
      <c r="P36" s="8"/>
      <c r="Q36" s="40"/>
      <c r="R36" s="12"/>
      <c r="S36" s="12"/>
      <c r="T36" s="12"/>
      <c r="U36" s="12"/>
      <c r="V36" s="40"/>
      <c r="W36" s="12"/>
      <c r="X36" s="12"/>
      <c r="Y36" s="12"/>
      <c r="Z36" s="12"/>
      <c r="AA36" s="40"/>
      <c r="AB36" s="153">
        <v>-68581.576150000008</v>
      </c>
      <c r="AC36" s="153">
        <v>-24349.651330000033</v>
      </c>
      <c r="AD36" s="153">
        <v>-21974.241810000003</v>
      </c>
      <c r="AE36" s="153">
        <v>-54837.903119999988</v>
      </c>
      <c r="AF36" s="40">
        <v>-169743.37241000004</v>
      </c>
      <c r="AG36" s="136">
        <v>-51006</v>
      </c>
      <c r="AH36" s="136">
        <v>-95128</v>
      </c>
      <c r="AI36" s="136">
        <v>-100996</v>
      </c>
      <c r="AJ36" s="136">
        <v>-36840</v>
      </c>
      <c r="AK36" s="40">
        <f t="shared" si="10"/>
        <v>-283970</v>
      </c>
      <c r="AL36" s="136">
        <v>-41814</v>
      </c>
      <c r="AM36" s="136">
        <v>-7424</v>
      </c>
      <c r="AN36" s="214">
        <v>-18785</v>
      </c>
      <c r="AO36" s="136">
        <v>-29965</v>
      </c>
      <c r="AP36" s="40">
        <f t="shared" si="11"/>
        <v>-97988</v>
      </c>
      <c r="AQ36" s="136">
        <v>-39136</v>
      </c>
      <c r="AR36" s="214">
        <v>-40941</v>
      </c>
      <c r="AS36" s="214">
        <v>-46053</v>
      </c>
      <c r="AT36" s="214">
        <v>-47550</v>
      </c>
      <c r="AU36" s="40">
        <f t="shared" si="14"/>
        <v>-173680</v>
      </c>
      <c r="AV36" s="214">
        <v>-41971</v>
      </c>
      <c r="AW36" s="214">
        <v>-42662</v>
      </c>
      <c r="AX36" s="214">
        <v>-44824</v>
      </c>
      <c r="AY36" s="214">
        <v>-42105</v>
      </c>
      <c r="AZ36" s="40">
        <f t="shared" si="13"/>
        <v>-171562</v>
      </c>
      <c r="BA36" s="214">
        <v>-20943</v>
      </c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</row>
    <row r="37" spans="1:72">
      <c r="A37" s="357"/>
      <c r="B37" s="11" t="s">
        <v>479</v>
      </c>
      <c r="C37" s="8"/>
      <c r="D37" s="8"/>
      <c r="E37" s="8"/>
      <c r="F37" s="8"/>
      <c r="G37" s="40"/>
      <c r="H37" s="8"/>
      <c r="I37" s="8"/>
      <c r="J37" s="8"/>
      <c r="K37" s="8"/>
      <c r="L37" s="40"/>
      <c r="M37" s="8"/>
      <c r="N37" s="8"/>
      <c r="O37" s="8"/>
      <c r="P37" s="8"/>
      <c r="Q37" s="40"/>
      <c r="R37" s="1"/>
      <c r="S37" s="1"/>
      <c r="T37" s="1"/>
      <c r="U37" s="1"/>
      <c r="V37" s="40"/>
      <c r="W37" s="1"/>
      <c r="X37" s="1"/>
      <c r="Y37" s="1"/>
      <c r="Z37" s="1"/>
      <c r="AA37" s="40"/>
      <c r="AB37" s="121">
        <v>-1707.1178699999996</v>
      </c>
      <c r="AC37" s="121">
        <v>-543.88587999999913</v>
      </c>
      <c r="AD37" s="121">
        <v>-2519.7171000000003</v>
      </c>
      <c r="AE37" s="121">
        <v>-3644.2183100000029</v>
      </c>
      <c r="AF37" s="40">
        <v>-8414.9391600000017</v>
      </c>
      <c r="AG37" s="214">
        <v>4288</v>
      </c>
      <c r="AH37" s="214">
        <v>-1036</v>
      </c>
      <c r="AI37" s="214">
        <v>-1185</v>
      </c>
      <c r="AJ37" s="214">
        <v>-3412</v>
      </c>
      <c r="AK37" s="40">
        <f t="shared" si="10"/>
        <v>-1345</v>
      </c>
      <c r="AL37" s="214">
        <v>-1152</v>
      </c>
      <c r="AM37" s="214">
        <v>-939</v>
      </c>
      <c r="AN37" s="214">
        <v>-6756</v>
      </c>
      <c r="AO37" s="214">
        <v>-2746</v>
      </c>
      <c r="AP37" s="40">
        <f t="shared" si="11"/>
        <v>-11593</v>
      </c>
      <c r="AQ37" s="214">
        <v>-2089</v>
      </c>
      <c r="AR37" s="214">
        <v>-5167</v>
      </c>
      <c r="AS37" s="214">
        <v>-4916</v>
      </c>
      <c r="AT37" s="214">
        <v>-7015</v>
      </c>
      <c r="AU37" s="40">
        <f t="shared" si="14"/>
        <v>-19187</v>
      </c>
      <c r="AV37" s="214">
        <v>-8632</v>
      </c>
      <c r="AW37" s="214">
        <v>1955</v>
      </c>
      <c r="AX37" s="214">
        <v>-4314</v>
      </c>
      <c r="AY37" s="214">
        <v>-2568</v>
      </c>
      <c r="AZ37" s="40">
        <f t="shared" si="13"/>
        <v>-13559</v>
      </c>
      <c r="BA37" s="214">
        <v>-21502</v>
      </c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</row>
    <row r="38" spans="1:72">
      <c r="A38" s="357"/>
      <c r="B38" s="11" t="s">
        <v>488</v>
      </c>
      <c r="C38" s="8"/>
      <c r="D38" s="8"/>
      <c r="E38" s="8"/>
      <c r="F38" s="8"/>
      <c r="G38" s="40"/>
      <c r="H38" s="8"/>
      <c r="I38" s="8"/>
      <c r="J38" s="8"/>
      <c r="K38" s="8"/>
      <c r="L38" s="40"/>
      <c r="M38" s="8"/>
      <c r="N38" s="8"/>
      <c r="O38" s="8"/>
      <c r="P38" s="8"/>
      <c r="Q38" s="40"/>
      <c r="R38" s="12"/>
      <c r="S38" s="12"/>
      <c r="T38" s="12"/>
      <c r="U38" s="12"/>
      <c r="V38" s="40"/>
      <c r="W38" s="12"/>
      <c r="X38" s="12"/>
      <c r="Y38" s="12"/>
      <c r="Z38" s="12"/>
      <c r="AA38" s="40"/>
      <c r="AB38" s="153">
        <v>0</v>
      </c>
      <c r="AC38" s="153">
        <v>0</v>
      </c>
      <c r="AD38" s="153">
        <v>0</v>
      </c>
      <c r="AE38" s="153">
        <v>0</v>
      </c>
      <c r="AF38" s="40">
        <v>0</v>
      </c>
      <c r="AG38" s="136">
        <v>0</v>
      </c>
      <c r="AH38" s="136">
        <v>0</v>
      </c>
      <c r="AI38" s="136">
        <v>0</v>
      </c>
      <c r="AJ38" s="136">
        <v>0</v>
      </c>
      <c r="AK38" s="40">
        <f t="shared" si="10"/>
        <v>0</v>
      </c>
      <c r="AL38" s="136">
        <v>0</v>
      </c>
      <c r="AM38" s="136">
        <v>0</v>
      </c>
      <c r="AN38" s="136">
        <v>0</v>
      </c>
      <c r="AO38" s="136">
        <v>0</v>
      </c>
      <c r="AP38" s="40">
        <f t="shared" si="11"/>
        <v>0</v>
      </c>
      <c r="AQ38" s="136">
        <v>0</v>
      </c>
      <c r="AR38" s="214">
        <v>0</v>
      </c>
      <c r="AS38" s="214">
        <v>0</v>
      </c>
      <c r="AT38" s="214">
        <v>0</v>
      </c>
      <c r="AU38" s="40">
        <f t="shared" si="14"/>
        <v>0</v>
      </c>
      <c r="AV38" s="214">
        <v>0</v>
      </c>
      <c r="AW38" s="214">
        <v>0</v>
      </c>
      <c r="AX38" s="214">
        <v>0</v>
      </c>
      <c r="AY38" s="214">
        <v>0</v>
      </c>
      <c r="AZ38" s="40">
        <f t="shared" si="13"/>
        <v>0</v>
      </c>
      <c r="BA38" s="214">
        <v>0</v>
      </c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</row>
    <row r="39" spans="1:72" s="2" customFormat="1">
      <c r="A39" s="356"/>
      <c r="B39" s="9" t="s">
        <v>489</v>
      </c>
      <c r="C39" s="10"/>
      <c r="D39" s="10"/>
      <c r="E39" s="10"/>
      <c r="F39" s="10"/>
      <c r="G39" s="39"/>
      <c r="H39" s="10"/>
      <c r="I39" s="10"/>
      <c r="J39" s="10"/>
      <c r="K39" s="10"/>
      <c r="L39" s="39"/>
      <c r="M39" s="10"/>
      <c r="N39" s="10"/>
      <c r="O39" s="10"/>
      <c r="P39" s="10"/>
      <c r="Q39" s="39"/>
      <c r="R39" s="10"/>
      <c r="S39" s="10"/>
      <c r="T39" s="10"/>
      <c r="U39" s="10"/>
      <c r="V39" s="39"/>
      <c r="W39" s="10"/>
      <c r="X39" s="10"/>
      <c r="Y39" s="10"/>
      <c r="Z39" s="10"/>
      <c r="AA39" s="39"/>
      <c r="AB39" s="117">
        <v>500847.47617000027</v>
      </c>
      <c r="AC39" s="117">
        <v>380294.5871100002</v>
      </c>
      <c r="AD39" s="117">
        <v>319218.5239700001</v>
      </c>
      <c r="AE39" s="117">
        <v>218115.9887499999</v>
      </c>
      <c r="AF39" s="39">
        <v>1418476.5760000004</v>
      </c>
      <c r="AG39" s="125">
        <v>294477</v>
      </c>
      <c r="AH39" s="125">
        <v>289534</v>
      </c>
      <c r="AI39" s="125">
        <v>297853</v>
      </c>
      <c r="AJ39" s="125">
        <v>293598</v>
      </c>
      <c r="AK39" s="39">
        <f t="shared" si="10"/>
        <v>1175462</v>
      </c>
      <c r="AL39" s="125">
        <v>317592</v>
      </c>
      <c r="AM39" s="125">
        <v>300125</v>
      </c>
      <c r="AN39" s="125">
        <v>326435</v>
      </c>
      <c r="AO39" s="125">
        <v>326492</v>
      </c>
      <c r="AP39" s="39">
        <f t="shared" si="11"/>
        <v>1270644</v>
      </c>
      <c r="AQ39" s="125">
        <v>291946</v>
      </c>
      <c r="AR39" s="337">
        <v>297470</v>
      </c>
      <c r="AS39" s="337">
        <v>592116</v>
      </c>
      <c r="AT39" s="337">
        <v>1160336</v>
      </c>
      <c r="AU39" s="39">
        <f t="shared" si="14"/>
        <v>2341868</v>
      </c>
      <c r="AV39" s="337">
        <v>939804</v>
      </c>
      <c r="AW39" s="337">
        <v>934185</v>
      </c>
      <c r="AX39" s="337">
        <v>984513</v>
      </c>
      <c r="AY39" s="337">
        <v>846507</v>
      </c>
      <c r="AZ39" s="39">
        <f t="shared" si="13"/>
        <v>3705009</v>
      </c>
      <c r="BA39" s="337">
        <v>855196</v>
      </c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</row>
    <row r="40" spans="1:72">
      <c r="A40" s="357"/>
      <c r="B40" s="11" t="s">
        <v>490</v>
      </c>
      <c r="C40" s="8"/>
      <c r="D40" s="8"/>
      <c r="E40" s="8"/>
      <c r="F40" s="8"/>
      <c r="G40" s="40"/>
      <c r="H40" s="8"/>
      <c r="I40" s="8"/>
      <c r="J40" s="8"/>
      <c r="K40" s="8"/>
      <c r="L40" s="40"/>
      <c r="M40" s="8"/>
      <c r="N40" s="8"/>
      <c r="O40" s="8"/>
      <c r="P40" s="8"/>
      <c r="Q40" s="40"/>
      <c r="R40" s="12"/>
      <c r="S40" s="12"/>
      <c r="T40" s="12"/>
      <c r="U40" s="12"/>
      <c r="V40" s="40"/>
      <c r="W40" s="12"/>
      <c r="X40" s="12"/>
      <c r="Y40" s="12"/>
      <c r="Z40" s="12"/>
      <c r="AA40" s="40"/>
      <c r="AB40" s="153">
        <v>37595.185799999999</v>
      </c>
      <c r="AC40" s="153">
        <v>38135.667359999999</v>
      </c>
      <c r="AD40" s="153">
        <v>39279.276079999996</v>
      </c>
      <c r="AE40" s="153">
        <v>40965.159450000006</v>
      </c>
      <c r="AF40" s="40">
        <v>155975.28869000002</v>
      </c>
      <c r="AG40" s="136">
        <v>40233</v>
      </c>
      <c r="AH40" s="136">
        <v>41674</v>
      </c>
      <c r="AI40" s="136">
        <v>41634</v>
      </c>
      <c r="AJ40" s="136">
        <v>41971</v>
      </c>
      <c r="AK40" s="40">
        <f t="shared" si="10"/>
        <v>165512</v>
      </c>
      <c r="AL40" s="136">
        <v>41113</v>
      </c>
      <c r="AM40" s="214">
        <v>41310</v>
      </c>
      <c r="AN40" s="214">
        <v>41890</v>
      </c>
      <c r="AO40" s="136">
        <v>41458</v>
      </c>
      <c r="AP40" s="40">
        <f t="shared" si="11"/>
        <v>165771</v>
      </c>
      <c r="AQ40" s="136">
        <v>40574</v>
      </c>
      <c r="AR40" s="136">
        <v>40012</v>
      </c>
      <c r="AS40" s="136">
        <v>39722</v>
      </c>
      <c r="AT40" s="136">
        <v>39103</v>
      </c>
      <c r="AU40" s="40">
        <f t="shared" si="14"/>
        <v>159411</v>
      </c>
      <c r="AV40" s="136">
        <v>37848</v>
      </c>
      <c r="AW40" s="136">
        <v>37343</v>
      </c>
      <c r="AX40" s="136">
        <v>37221</v>
      </c>
      <c r="AY40" s="136">
        <v>36844</v>
      </c>
      <c r="AZ40" s="40">
        <f t="shared" si="13"/>
        <v>149256</v>
      </c>
      <c r="BA40" s="136">
        <v>35721</v>
      </c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</row>
    <row r="41" spans="1:72">
      <c r="A41" s="357"/>
      <c r="B41" s="11" t="s">
        <v>443</v>
      </c>
      <c r="C41" s="8"/>
      <c r="D41" s="8"/>
      <c r="E41" s="8"/>
      <c r="F41" s="8"/>
      <c r="G41" s="40"/>
      <c r="H41" s="8"/>
      <c r="I41" s="8"/>
      <c r="J41" s="8"/>
      <c r="K41" s="8"/>
      <c r="L41" s="40"/>
      <c r="M41" s="8"/>
      <c r="N41" s="8"/>
      <c r="O41" s="8"/>
      <c r="P41" s="8"/>
      <c r="Q41" s="40"/>
      <c r="R41" s="12"/>
      <c r="S41" s="12"/>
      <c r="T41" s="12"/>
      <c r="U41" s="12"/>
      <c r="V41" s="40"/>
      <c r="W41" s="12"/>
      <c r="X41" s="12"/>
      <c r="Y41" s="12"/>
      <c r="Z41" s="12"/>
      <c r="AA41" s="40"/>
      <c r="AB41" s="153">
        <v>366692.96035000024</v>
      </c>
      <c r="AC41" s="153">
        <v>410105.63296999992</v>
      </c>
      <c r="AD41" s="153">
        <v>452811.49024999986</v>
      </c>
      <c r="AE41" s="153">
        <v>479109.9370300002</v>
      </c>
      <c r="AF41" s="40">
        <v>1708720.0206000002</v>
      </c>
      <c r="AG41" s="136">
        <v>379234</v>
      </c>
      <c r="AH41" s="136">
        <v>362031</v>
      </c>
      <c r="AI41" s="136">
        <v>328290</v>
      </c>
      <c r="AJ41" s="136">
        <v>303757</v>
      </c>
      <c r="AK41" s="40">
        <f t="shared" si="10"/>
        <v>1373312</v>
      </c>
      <c r="AL41" s="136">
        <v>263681</v>
      </c>
      <c r="AM41" s="136">
        <v>274438</v>
      </c>
      <c r="AN41" s="136">
        <v>184944</v>
      </c>
      <c r="AO41" s="136">
        <v>151909</v>
      </c>
      <c r="AP41" s="40">
        <f t="shared" si="11"/>
        <v>874972</v>
      </c>
      <c r="AQ41" s="136">
        <v>155871</v>
      </c>
      <c r="AR41" s="136">
        <v>134837</v>
      </c>
      <c r="AS41" s="136">
        <v>34528</v>
      </c>
      <c r="AT41" s="214">
        <v>-95761</v>
      </c>
      <c r="AU41" s="40">
        <f t="shared" si="14"/>
        <v>229475</v>
      </c>
      <c r="AV41" s="214">
        <v>112123</v>
      </c>
      <c r="AW41" s="214">
        <v>110248</v>
      </c>
      <c r="AX41" s="214">
        <v>66620</v>
      </c>
      <c r="AY41" s="214">
        <v>198613.27100000001</v>
      </c>
      <c r="AZ41" s="40">
        <f t="shared" si="13"/>
        <v>487604.27100000001</v>
      </c>
      <c r="BA41" s="214">
        <v>170269</v>
      </c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</row>
    <row r="42" spans="1:72" s="2" customFormat="1">
      <c r="A42" s="356"/>
      <c r="B42" s="9" t="s">
        <v>491</v>
      </c>
      <c r="C42" s="10"/>
      <c r="D42" s="10"/>
      <c r="E42" s="10"/>
      <c r="F42" s="10"/>
      <c r="G42" s="39"/>
      <c r="H42" s="10"/>
      <c r="I42" s="10"/>
      <c r="J42" s="10"/>
      <c r="K42" s="10"/>
      <c r="L42" s="39"/>
      <c r="M42" s="10"/>
      <c r="N42" s="10"/>
      <c r="O42" s="10"/>
      <c r="P42" s="10"/>
      <c r="Q42" s="39"/>
      <c r="R42" s="10"/>
      <c r="S42" s="10"/>
      <c r="T42" s="10"/>
      <c r="U42" s="10"/>
      <c r="V42" s="39"/>
      <c r="W42" s="10"/>
      <c r="X42" s="10"/>
      <c r="Y42" s="10"/>
      <c r="Z42" s="10"/>
      <c r="AA42" s="39"/>
      <c r="AB42" s="160">
        <v>905135.62232000055</v>
      </c>
      <c r="AC42" s="160">
        <v>828535.8874400002</v>
      </c>
      <c r="AD42" s="117">
        <v>811309.29029999999</v>
      </c>
      <c r="AE42" s="117">
        <v>738191.08522999997</v>
      </c>
      <c r="AF42" s="39">
        <v>3283171.8852900006</v>
      </c>
      <c r="AG42" s="125">
        <v>713944</v>
      </c>
      <c r="AH42" s="125">
        <v>693239</v>
      </c>
      <c r="AI42" s="125">
        <v>667777</v>
      </c>
      <c r="AJ42" s="125">
        <v>639326</v>
      </c>
      <c r="AK42" s="39">
        <f>SUM(AG42:AJ42)</f>
        <v>2714286</v>
      </c>
      <c r="AL42" s="125">
        <v>622386</v>
      </c>
      <c r="AM42" s="125">
        <v>615873</v>
      </c>
      <c r="AN42" s="125">
        <v>553269</v>
      </c>
      <c r="AO42" s="125">
        <v>519859</v>
      </c>
      <c r="AP42" s="39">
        <f t="shared" si="11"/>
        <v>2311387</v>
      </c>
      <c r="AQ42" s="125">
        <v>488391</v>
      </c>
      <c r="AR42" s="125">
        <f>SUM(AR39:AR41)</f>
        <v>472319</v>
      </c>
      <c r="AS42" s="125">
        <v>666366</v>
      </c>
      <c r="AT42" s="337">
        <v>1103678</v>
      </c>
      <c r="AU42" s="39">
        <f t="shared" si="14"/>
        <v>2730754</v>
      </c>
      <c r="AV42" s="337">
        <v>1089775</v>
      </c>
      <c r="AW42" s="337">
        <v>1081776</v>
      </c>
      <c r="AX42" s="337">
        <v>1088354</v>
      </c>
      <c r="AY42" s="337">
        <v>1081963</v>
      </c>
      <c r="AZ42" s="39">
        <f t="shared" si="13"/>
        <v>4341868</v>
      </c>
      <c r="BA42" s="337">
        <v>1061186</v>
      </c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</row>
    <row r="43" spans="1:72">
      <c r="A43" s="357"/>
      <c r="B43" s="11" t="s">
        <v>492</v>
      </c>
      <c r="C43" s="8"/>
      <c r="D43" s="8"/>
      <c r="E43" s="8"/>
      <c r="F43" s="8"/>
      <c r="G43" s="40"/>
      <c r="H43" s="8"/>
      <c r="I43" s="8"/>
      <c r="J43" s="8"/>
      <c r="K43" s="8"/>
      <c r="L43" s="40"/>
      <c r="M43" s="8"/>
      <c r="N43" s="8"/>
      <c r="O43" s="8"/>
      <c r="P43" s="8"/>
      <c r="Q43" s="40"/>
      <c r="R43" s="12"/>
      <c r="S43" s="12"/>
      <c r="T43" s="12"/>
      <c r="U43" s="12"/>
      <c r="V43" s="40"/>
      <c r="W43" s="12"/>
      <c r="X43" s="12"/>
      <c r="Y43" s="12"/>
      <c r="Z43" s="12"/>
      <c r="AA43" s="40"/>
      <c r="AB43" s="153">
        <v>0</v>
      </c>
      <c r="AC43" s="153">
        <v>0</v>
      </c>
      <c r="AD43" s="153">
        <v>0</v>
      </c>
      <c r="AE43" s="153">
        <v>0</v>
      </c>
      <c r="AF43" s="40">
        <v>0</v>
      </c>
      <c r="AG43" s="136">
        <v>0</v>
      </c>
      <c r="AH43" s="136">
        <v>0</v>
      </c>
      <c r="AI43" s="136">
        <v>0</v>
      </c>
      <c r="AJ43" s="136">
        <v>0</v>
      </c>
      <c r="AK43" s="40">
        <f t="shared" si="10"/>
        <v>0</v>
      </c>
      <c r="AL43" s="136">
        <v>0</v>
      </c>
      <c r="AM43" s="136">
        <v>0</v>
      </c>
      <c r="AN43" s="136">
        <v>0</v>
      </c>
      <c r="AO43" s="136">
        <v>0</v>
      </c>
      <c r="AP43" s="40">
        <f t="shared" si="11"/>
        <v>0</v>
      </c>
      <c r="AQ43" s="136">
        <v>0</v>
      </c>
      <c r="AR43" s="136">
        <v>0</v>
      </c>
      <c r="AS43" s="136">
        <v>0</v>
      </c>
      <c r="AT43" s="214">
        <v>0</v>
      </c>
      <c r="AU43" s="40">
        <f t="shared" si="14"/>
        <v>0</v>
      </c>
      <c r="AV43" s="214">
        <v>0</v>
      </c>
      <c r="AW43" s="214">
        <v>0</v>
      </c>
      <c r="AX43" s="214">
        <v>0</v>
      </c>
      <c r="AY43" s="214">
        <v>0</v>
      </c>
      <c r="AZ43" s="40">
        <f t="shared" si="13"/>
        <v>0</v>
      </c>
      <c r="BA43" s="214">
        <v>0</v>
      </c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</row>
    <row r="44" spans="1:72">
      <c r="A44" s="357"/>
      <c r="B44" s="11" t="s">
        <v>477</v>
      </c>
      <c r="C44" s="8"/>
      <c r="D44" s="8"/>
      <c r="E44" s="8"/>
      <c r="F44" s="8"/>
      <c r="G44" s="40"/>
      <c r="H44" s="8"/>
      <c r="I44" s="8"/>
      <c r="J44" s="8"/>
      <c r="K44" s="8"/>
      <c r="L44" s="40"/>
      <c r="M44" s="8"/>
      <c r="N44" s="8"/>
      <c r="O44" s="8"/>
      <c r="P44" s="8"/>
      <c r="Q44" s="40"/>
      <c r="R44" s="12"/>
      <c r="S44" s="12"/>
      <c r="T44" s="12"/>
      <c r="U44" s="12"/>
      <c r="V44" s="40"/>
      <c r="W44" s="12"/>
      <c r="X44" s="12"/>
      <c r="Y44" s="12"/>
      <c r="Z44" s="12"/>
      <c r="AA44" s="40"/>
      <c r="AB44" s="153">
        <v>-202462.43909999987</v>
      </c>
      <c r="AC44" s="153">
        <v>-242249.02899000002</v>
      </c>
      <c r="AD44" s="153">
        <v>-234783.75523999985</v>
      </c>
      <c r="AE44" s="153">
        <v>-178294.08065999986</v>
      </c>
      <c r="AF44" s="40">
        <v>-857789.30398999958</v>
      </c>
      <c r="AG44" s="136">
        <v>-180937</v>
      </c>
      <c r="AH44" s="136">
        <v>-168317</v>
      </c>
      <c r="AI44" s="136">
        <v>-171628</v>
      </c>
      <c r="AJ44" s="136">
        <v>-166620</v>
      </c>
      <c r="AK44" s="40">
        <f t="shared" si="10"/>
        <v>-687502</v>
      </c>
      <c r="AL44" s="136">
        <v>-174082</v>
      </c>
      <c r="AM44" s="136">
        <v>-111730</v>
      </c>
      <c r="AN44" s="136">
        <v>-132132</v>
      </c>
      <c r="AO44" s="136">
        <v>-144124</v>
      </c>
      <c r="AP44" s="40">
        <f t="shared" si="11"/>
        <v>-562068</v>
      </c>
      <c r="AQ44" s="136">
        <v>-96543</v>
      </c>
      <c r="AR44" s="136">
        <v>-386500</v>
      </c>
      <c r="AS44" s="136">
        <v>-147300</v>
      </c>
      <c r="AT44" s="136">
        <v>-140387</v>
      </c>
      <c r="AU44" s="40">
        <f t="shared" si="14"/>
        <v>-770730</v>
      </c>
      <c r="AV44" s="136">
        <v>-220604</v>
      </c>
      <c r="AW44" s="136">
        <v>-228823</v>
      </c>
      <c r="AX44" s="136">
        <v>-210831</v>
      </c>
      <c r="AY44" s="136">
        <v>-191109</v>
      </c>
      <c r="AZ44" s="40">
        <f t="shared" si="13"/>
        <v>-851367</v>
      </c>
      <c r="BA44" s="136">
        <v>-188875</v>
      </c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</row>
    <row r="45" spans="1:72">
      <c r="A45" s="357"/>
      <c r="B45" s="11" t="s">
        <v>493</v>
      </c>
      <c r="C45" s="8"/>
      <c r="D45" s="8"/>
      <c r="E45" s="8"/>
      <c r="F45" s="8"/>
      <c r="G45" s="40"/>
      <c r="H45" s="8"/>
      <c r="I45" s="8"/>
      <c r="J45" s="8"/>
      <c r="K45" s="8"/>
      <c r="L45" s="40"/>
      <c r="M45" s="8"/>
      <c r="N45" s="8"/>
      <c r="O45" s="8"/>
      <c r="P45" s="8"/>
      <c r="Q45" s="40"/>
      <c r="R45" s="12"/>
      <c r="S45" s="12"/>
      <c r="T45" s="12"/>
      <c r="U45" s="12"/>
      <c r="V45" s="40"/>
      <c r="W45" s="12"/>
      <c r="X45" s="12"/>
      <c r="Y45" s="12"/>
      <c r="Z45" s="12"/>
      <c r="AA45" s="40"/>
      <c r="AB45" s="153">
        <v>-240457.69581999999</v>
      </c>
      <c r="AC45" s="153">
        <v>-207568.67671999993</v>
      </c>
      <c r="AD45" s="153">
        <v>-198774.60974999997</v>
      </c>
      <c r="AE45" s="153">
        <v>-186525.25239000004</v>
      </c>
      <c r="AF45" s="40">
        <v>-833326.23467999988</v>
      </c>
      <c r="AG45" s="136">
        <v>-180606</v>
      </c>
      <c r="AH45" s="136">
        <v>-160447</v>
      </c>
      <c r="AI45" s="136">
        <v>-155392</v>
      </c>
      <c r="AJ45" s="136">
        <v>-146833</v>
      </c>
      <c r="AK45" s="40">
        <f t="shared" si="10"/>
        <v>-643278</v>
      </c>
      <c r="AL45" s="136">
        <v>-138091</v>
      </c>
      <c r="AM45" s="136">
        <v>-135086</v>
      </c>
      <c r="AN45" s="136">
        <v>-122703</v>
      </c>
      <c r="AO45" s="136">
        <v>-116629</v>
      </c>
      <c r="AP45" s="40">
        <f t="shared" si="11"/>
        <v>-512509</v>
      </c>
      <c r="AQ45" s="136">
        <v>-102405</v>
      </c>
      <c r="AR45" s="136">
        <v>-98413</v>
      </c>
      <c r="AS45" s="136">
        <v>-157652</v>
      </c>
      <c r="AT45" s="214">
        <v>-309714</v>
      </c>
      <c r="AU45" s="40">
        <f t="shared" si="14"/>
        <v>-668184</v>
      </c>
      <c r="AV45" s="214">
        <v>-282822</v>
      </c>
      <c r="AW45" s="214">
        <v>-288494</v>
      </c>
      <c r="AX45" s="214">
        <v>-312370</v>
      </c>
      <c r="AY45" s="214">
        <v>-293485</v>
      </c>
      <c r="AZ45" s="40">
        <f t="shared" si="13"/>
        <v>-1177171</v>
      </c>
      <c r="BA45" s="214">
        <v>-282304</v>
      </c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</row>
    <row r="46" spans="1:72">
      <c r="A46" s="357"/>
      <c r="B46" s="11" t="s">
        <v>494</v>
      </c>
      <c r="C46" s="8"/>
      <c r="D46" s="8"/>
      <c r="E46" s="8"/>
      <c r="F46" s="8"/>
      <c r="G46" s="40"/>
      <c r="H46" s="8"/>
      <c r="I46" s="8"/>
      <c r="J46" s="8"/>
      <c r="K46" s="8"/>
      <c r="L46" s="40"/>
      <c r="M46" s="8"/>
      <c r="N46" s="8"/>
      <c r="O46" s="8"/>
      <c r="P46" s="8"/>
      <c r="Q46" s="40"/>
      <c r="R46" s="1"/>
      <c r="S46" s="1"/>
      <c r="T46" s="1"/>
      <c r="U46" s="1"/>
      <c r="V46" s="40"/>
      <c r="W46" s="1"/>
      <c r="X46" s="1"/>
      <c r="Y46" s="1"/>
      <c r="Z46" s="1"/>
      <c r="AA46" s="40"/>
      <c r="AB46" s="121">
        <v>-41815.427179999991</v>
      </c>
      <c r="AC46" s="121">
        <v>-45492.076409999994</v>
      </c>
      <c r="AD46" s="121">
        <v>-42630.944470000002</v>
      </c>
      <c r="AE46" s="121">
        <v>-36162.419140000005</v>
      </c>
      <c r="AF46" s="40">
        <v>-166100.86719999998</v>
      </c>
      <c r="AG46" s="214">
        <v>-42926</v>
      </c>
      <c r="AH46" s="214">
        <v>-29741</v>
      </c>
      <c r="AI46" s="214">
        <v>-33961</v>
      </c>
      <c r="AJ46" s="214">
        <v>-46085</v>
      </c>
      <c r="AK46" s="40">
        <f t="shared" si="10"/>
        <v>-152713</v>
      </c>
      <c r="AL46" s="214">
        <v>-33034</v>
      </c>
      <c r="AM46" s="214">
        <v>-41453</v>
      </c>
      <c r="AN46" s="214">
        <v>-41443</v>
      </c>
      <c r="AO46" s="214">
        <v>-38964</v>
      </c>
      <c r="AP46" s="40">
        <f t="shared" si="11"/>
        <v>-154894</v>
      </c>
      <c r="AQ46" s="214">
        <v>-33389</v>
      </c>
      <c r="AR46" s="214">
        <v>-34517</v>
      </c>
      <c r="AS46" s="214">
        <v>-44676</v>
      </c>
      <c r="AT46" s="214">
        <v>-66195</v>
      </c>
      <c r="AU46" s="40">
        <f t="shared" si="14"/>
        <v>-178777</v>
      </c>
      <c r="AV46" s="214">
        <v>-55371</v>
      </c>
      <c r="AW46" s="214">
        <v>-62507</v>
      </c>
      <c r="AX46" s="214">
        <v>-50337</v>
      </c>
      <c r="AY46" s="214">
        <v>-35420</v>
      </c>
      <c r="AZ46" s="40">
        <f t="shared" si="13"/>
        <v>-203635</v>
      </c>
      <c r="BA46" s="214">
        <v>-31594</v>
      </c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</row>
    <row r="47" spans="1:72">
      <c r="A47" s="357"/>
      <c r="B47" s="11" t="s">
        <v>495</v>
      </c>
      <c r="C47" s="8"/>
      <c r="D47" s="8"/>
      <c r="E47" s="8"/>
      <c r="F47" s="8"/>
      <c r="G47" s="40"/>
      <c r="H47" s="8"/>
      <c r="I47" s="8"/>
      <c r="J47" s="8"/>
      <c r="K47" s="8"/>
      <c r="L47" s="40"/>
      <c r="M47" s="8"/>
      <c r="N47" s="8"/>
      <c r="O47" s="8"/>
      <c r="P47" s="8"/>
      <c r="Q47" s="40"/>
      <c r="R47" s="12"/>
      <c r="S47" s="12"/>
      <c r="T47" s="12"/>
      <c r="U47" s="12"/>
      <c r="V47" s="40"/>
      <c r="W47" s="12"/>
      <c r="X47" s="12"/>
      <c r="Y47" s="12"/>
      <c r="Z47" s="12"/>
      <c r="AA47" s="40"/>
      <c r="AB47" s="153">
        <v>1918.7970499999992</v>
      </c>
      <c r="AC47" s="153">
        <v>-1201.8325300000006</v>
      </c>
      <c r="AD47" s="153">
        <v>-2548.0523699999981</v>
      </c>
      <c r="AE47" s="153">
        <v>-3859.2093299999997</v>
      </c>
      <c r="AF47" s="40">
        <v>-5690.2971799999996</v>
      </c>
      <c r="AG47" s="136">
        <v>737</v>
      </c>
      <c r="AH47" s="136">
        <v>488</v>
      </c>
      <c r="AI47" s="136">
        <v>-4</v>
      </c>
      <c r="AJ47" s="136">
        <v>-585</v>
      </c>
      <c r="AK47" s="40">
        <f t="shared" si="10"/>
        <v>636</v>
      </c>
      <c r="AL47" s="136">
        <v>-195</v>
      </c>
      <c r="AM47" s="136">
        <v>0</v>
      </c>
      <c r="AN47" s="136">
        <v>518</v>
      </c>
      <c r="AO47" s="136">
        <v>-490</v>
      </c>
      <c r="AP47" s="40">
        <f t="shared" si="11"/>
        <v>-167</v>
      </c>
      <c r="AQ47" s="136">
        <v>1</v>
      </c>
      <c r="AR47" s="136">
        <v>-408</v>
      </c>
      <c r="AS47" s="136">
        <v>-765</v>
      </c>
      <c r="AT47" s="214">
        <v>-2598</v>
      </c>
      <c r="AU47" s="40">
        <f t="shared" si="14"/>
        <v>-3770</v>
      </c>
      <c r="AV47" s="214">
        <v>188</v>
      </c>
      <c r="AW47" s="214">
        <v>0</v>
      </c>
      <c r="AX47" s="214">
        <v>0</v>
      </c>
      <c r="AY47" s="214">
        <v>0</v>
      </c>
      <c r="AZ47" s="40">
        <f t="shared" si="13"/>
        <v>188</v>
      </c>
      <c r="BA47" s="214">
        <v>0</v>
      </c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</row>
    <row r="48" spans="1:72" s="2" customFormat="1">
      <c r="A48" s="356"/>
      <c r="B48" s="9" t="s">
        <v>412</v>
      </c>
      <c r="C48" s="10"/>
      <c r="D48" s="10"/>
      <c r="E48" s="10"/>
      <c r="F48" s="10"/>
      <c r="G48" s="39"/>
      <c r="H48" s="10"/>
      <c r="I48" s="10"/>
      <c r="J48" s="10"/>
      <c r="K48" s="10"/>
      <c r="L48" s="39"/>
      <c r="M48" s="10"/>
      <c r="N48" s="10"/>
      <c r="O48" s="10"/>
      <c r="P48" s="10"/>
      <c r="Q48" s="39"/>
      <c r="R48" s="10"/>
      <c r="S48" s="10"/>
      <c r="T48" s="10"/>
      <c r="U48" s="10"/>
      <c r="V48" s="39"/>
      <c r="W48" s="10"/>
      <c r="X48" s="10"/>
      <c r="Y48" s="10"/>
      <c r="Z48" s="10"/>
      <c r="AA48" s="39"/>
      <c r="AB48" s="117">
        <v>626821.09668001742</v>
      </c>
      <c r="AC48" s="117">
        <v>597476.29987993999</v>
      </c>
      <c r="AD48" s="117">
        <v>626703.9113798351</v>
      </c>
      <c r="AE48" s="117">
        <v>594731</v>
      </c>
      <c r="AF48" s="39">
        <v>2445732.3079397925</v>
      </c>
      <c r="AG48" s="125">
        <v>593977</v>
      </c>
      <c r="AH48" s="125">
        <v>591433</v>
      </c>
      <c r="AI48" s="125">
        <v>587482</v>
      </c>
      <c r="AJ48" s="125">
        <v>621696</v>
      </c>
      <c r="AK48" s="39">
        <f t="shared" si="10"/>
        <v>2394588</v>
      </c>
      <c r="AL48" s="125">
        <v>630990</v>
      </c>
      <c r="AM48" s="125">
        <v>692931</v>
      </c>
      <c r="AN48" s="125">
        <v>647206</v>
      </c>
      <c r="AO48" s="125">
        <v>591812</v>
      </c>
      <c r="AP48" s="39">
        <f t="shared" si="11"/>
        <v>2562939</v>
      </c>
      <c r="AQ48" s="125">
        <v>630057</v>
      </c>
      <c r="AR48" s="337">
        <v>338395</v>
      </c>
      <c r="AS48" s="337">
        <v>736225</v>
      </c>
      <c r="AT48" s="337">
        <v>986938</v>
      </c>
      <c r="AU48" s="39">
        <f t="shared" si="14"/>
        <v>2691615</v>
      </c>
      <c r="AV48" s="337">
        <v>932371</v>
      </c>
      <c r="AW48" s="337">
        <v>926270</v>
      </c>
      <c r="AX48" s="337">
        <v>974546</v>
      </c>
      <c r="AY48" s="337">
        <v>1024619</v>
      </c>
      <c r="AZ48" s="39">
        <f t="shared" si="13"/>
        <v>3857806</v>
      </c>
      <c r="BA48" s="337">
        <v>1018671</v>
      </c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</row>
    <row r="49" spans="1:72">
      <c r="A49" s="357"/>
      <c r="B49" s="11" t="s">
        <v>413</v>
      </c>
      <c r="C49" s="8"/>
      <c r="D49" s="8"/>
      <c r="E49" s="8"/>
      <c r="F49" s="8"/>
      <c r="G49" s="40"/>
      <c r="H49" s="8"/>
      <c r="I49" s="8"/>
      <c r="J49" s="8"/>
      <c r="K49" s="8"/>
      <c r="L49" s="40"/>
      <c r="M49" s="8"/>
      <c r="N49" s="8"/>
      <c r="O49" s="8"/>
      <c r="P49" s="8"/>
      <c r="Q49" s="40"/>
      <c r="R49" s="12"/>
      <c r="S49" s="12"/>
      <c r="T49" s="12"/>
      <c r="U49" s="12"/>
      <c r="V49" s="40"/>
      <c r="W49" s="12"/>
      <c r="X49" s="12"/>
      <c r="Y49" s="12"/>
      <c r="Z49" s="12"/>
      <c r="AA49" s="40"/>
      <c r="AB49" s="153">
        <v>-40863.081930000008</v>
      </c>
      <c r="AC49" s="153">
        <v>-48364.621699999996</v>
      </c>
      <c r="AD49" s="153">
        <v>-45204.369459999987</v>
      </c>
      <c r="AE49" s="153">
        <v>-51303</v>
      </c>
      <c r="AF49" s="40">
        <v>-185735.07308999999</v>
      </c>
      <c r="AG49" s="136">
        <v>-44770</v>
      </c>
      <c r="AH49" s="136">
        <v>-6875</v>
      </c>
      <c r="AI49" s="136">
        <v>-32484</v>
      </c>
      <c r="AJ49" s="136">
        <v>-43155</v>
      </c>
      <c r="AK49" s="40">
        <f t="shared" si="10"/>
        <v>-127284</v>
      </c>
      <c r="AL49" s="136">
        <v>-31580</v>
      </c>
      <c r="AM49" s="136">
        <v>-46154</v>
      </c>
      <c r="AN49" s="136">
        <v>-43867</v>
      </c>
      <c r="AO49" s="136">
        <v>-54857</v>
      </c>
      <c r="AP49" s="40">
        <f t="shared" si="11"/>
        <v>-176458</v>
      </c>
      <c r="AQ49" s="136">
        <v>-36762</v>
      </c>
      <c r="AR49" s="136">
        <v>-38023</v>
      </c>
      <c r="AS49" s="136">
        <v>-84677</v>
      </c>
      <c r="AT49" s="136">
        <v>-190951</v>
      </c>
      <c r="AU49" s="40">
        <f t="shared" si="14"/>
        <v>-350413</v>
      </c>
      <c r="AV49" s="136">
        <v>-151678</v>
      </c>
      <c r="AW49" s="136">
        <v>-158207</v>
      </c>
      <c r="AX49" s="136">
        <v>-173160</v>
      </c>
      <c r="AY49" s="136">
        <v>-215423</v>
      </c>
      <c r="AZ49" s="40">
        <f t="shared" si="13"/>
        <v>-698468</v>
      </c>
      <c r="BA49" s="136">
        <v>-168420</v>
      </c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</row>
    <row r="50" spans="1:72">
      <c r="A50" s="357"/>
      <c r="B50" s="11" t="s">
        <v>414</v>
      </c>
      <c r="C50" s="13"/>
      <c r="D50" s="13"/>
      <c r="E50" s="13"/>
      <c r="F50" s="13"/>
      <c r="G50" s="41"/>
      <c r="H50" s="13"/>
      <c r="I50" s="13"/>
      <c r="J50" s="13"/>
      <c r="K50" s="13"/>
      <c r="L50" s="41"/>
      <c r="M50" s="13"/>
      <c r="N50" s="13"/>
      <c r="O50" s="13"/>
      <c r="P50" s="13"/>
      <c r="Q50" s="41"/>
      <c r="R50" s="13"/>
      <c r="S50" s="13"/>
      <c r="T50" s="13"/>
      <c r="U50" s="13"/>
      <c r="V50" s="41"/>
      <c r="W50" s="13"/>
      <c r="X50" s="13"/>
      <c r="Y50" s="13"/>
      <c r="Z50" s="13"/>
      <c r="AA50" s="41"/>
      <c r="AB50" s="120">
        <v>-54689.177870000007</v>
      </c>
      <c r="AC50" s="120">
        <v>-51138.765789999998</v>
      </c>
      <c r="AD50" s="120">
        <v>-48524.068589999966</v>
      </c>
      <c r="AE50" s="120">
        <v>-50159</v>
      </c>
      <c r="AF50" s="41">
        <v>-204511.01224999997</v>
      </c>
      <c r="AG50" s="136">
        <v>-53032</v>
      </c>
      <c r="AH50" s="136">
        <v>-52585</v>
      </c>
      <c r="AI50" s="136">
        <v>-52291</v>
      </c>
      <c r="AJ50" s="136">
        <v>-52523</v>
      </c>
      <c r="AK50" s="41">
        <f t="shared" si="10"/>
        <v>-210431</v>
      </c>
      <c r="AL50" s="136">
        <v>-54519</v>
      </c>
      <c r="AM50" s="136">
        <v>-53571</v>
      </c>
      <c r="AN50" s="136">
        <v>-50689</v>
      </c>
      <c r="AO50" s="136">
        <v>-49881</v>
      </c>
      <c r="AP50" s="41">
        <f t="shared" si="11"/>
        <v>-208660</v>
      </c>
      <c r="AQ50" s="136">
        <v>-49060</v>
      </c>
      <c r="AR50" s="136">
        <v>-49858</v>
      </c>
      <c r="AS50" s="136">
        <v>-62370</v>
      </c>
      <c r="AT50" s="136">
        <v>-79673</v>
      </c>
      <c r="AU50" s="41">
        <f t="shared" si="14"/>
        <v>-240961</v>
      </c>
      <c r="AV50" s="136">
        <v>-83185</v>
      </c>
      <c r="AW50" s="136">
        <v>-84786</v>
      </c>
      <c r="AX50" s="136">
        <v>-87626</v>
      </c>
      <c r="AY50" s="136">
        <v>-89926</v>
      </c>
      <c r="AZ50" s="41">
        <f t="shared" si="13"/>
        <v>-345523</v>
      </c>
      <c r="BA50" s="136">
        <v>-84603</v>
      </c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</row>
    <row r="51" spans="1:72">
      <c r="A51" s="357"/>
      <c r="B51" s="11" t="s">
        <v>415</v>
      </c>
      <c r="C51" s="13"/>
      <c r="D51" s="13"/>
      <c r="E51" s="13"/>
      <c r="F51" s="13"/>
      <c r="G51" s="41"/>
      <c r="H51" s="13"/>
      <c r="I51" s="13"/>
      <c r="J51" s="13"/>
      <c r="K51" s="13"/>
      <c r="L51" s="41"/>
      <c r="M51" s="13"/>
      <c r="N51" s="13"/>
      <c r="O51" s="13"/>
      <c r="P51" s="13"/>
      <c r="Q51" s="41"/>
      <c r="R51" s="13"/>
      <c r="S51" s="13"/>
      <c r="T51" s="13"/>
      <c r="U51" s="13"/>
      <c r="V51" s="41"/>
      <c r="W51" s="13"/>
      <c r="X51" s="13"/>
      <c r="Y51" s="13"/>
      <c r="Z51" s="13"/>
      <c r="AA51" s="41"/>
      <c r="AB51" s="120">
        <v>104385.49487999949</v>
      </c>
      <c r="AC51" s="120">
        <v>95494.159360000747</v>
      </c>
      <c r="AD51" s="120">
        <v>53207.904359997978</v>
      </c>
      <c r="AE51" s="120">
        <v>102355</v>
      </c>
      <c r="AF51" s="41">
        <v>355442.55859999824</v>
      </c>
      <c r="AG51" s="136">
        <v>98928</v>
      </c>
      <c r="AH51" s="136">
        <v>49950</v>
      </c>
      <c r="AI51" s="136">
        <v>70375</v>
      </c>
      <c r="AJ51" s="136">
        <v>90867</v>
      </c>
      <c r="AK51" s="41">
        <f t="shared" si="10"/>
        <v>310120</v>
      </c>
      <c r="AL51" s="136">
        <v>118344</v>
      </c>
      <c r="AM51" s="136">
        <v>84251</v>
      </c>
      <c r="AN51" s="136">
        <v>132511</v>
      </c>
      <c r="AO51" s="136">
        <v>135452</v>
      </c>
      <c r="AP51" s="41">
        <f t="shared" si="11"/>
        <v>470558</v>
      </c>
      <c r="AQ51" s="136">
        <v>99246</v>
      </c>
      <c r="AR51" s="136">
        <v>112904</v>
      </c>
      <c r="AS51" s="136">
        <v>161543</v>
      </c>
      <c r="AT51" s="136">
        <v>289078</v>
      </c>
      <c r="AU51" s="41">
        <f t="shared" si="14"/>
        <v>662771</v>
      </c>
      <c r="AV51" s="136">
        <v>294989</v>
      </c>
      <c r="AW51" s="136">
        <v>306521</v>
      </c>
      <c r="AX51" s="136">
        <v>383437</v>
      </c>
      <c r="AY51" s="136">
        <v>351949</v>
      </c>
      <c r="AZ51" s="41">
        <f t="shared" si="13"/>
        <v>1336896</v>
      </c>
      <c r="BA51" s="136">
        <v>327977</v>
      </c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</row>
    <row r="52" spans="1:72">
      <c r="A52" s="357"/>
      <c r="B52" s="11" t="s">
        <v>416</v>
      </c>
      <c r="C52" s="8"/>
      <c r="D52" s="8"/>
      <c r="E52" s="8"/>
      <c r="F52" s="8"/>
      <c r="G52" s="40"/>
      <c r="H52" s="8"/>
      <c r="I52" s="8"/>
      <c r="J52" s="8"/>
      <c r="K52" s="8"/>
      <c r="L52" s="40"/>
      <c r="M52" s="8"/>
      <c r="N52" s="8"/>
      <c r="O52" s="8"/>
      <c r="P52" s="8"/>
      <c r="Q52" s="40"/>
      <c r="R52" s="12"/>
      <c r="S52" s="12"/>
      <c r="T52" s="12"/>
      <c r="U52" s="12"/>
      <c r="V52" s="40"/>
      <c r="W52" s="12"/>
      <c r="X52" s="12"/>
      <c r="Y52" s="12"/>
      <c r="Z52" s="12"/>
      <c r="AA52" s="40"/>
      <c r="AB52" s="153">
        <v>0</v>
      </c>
      <c r="AC52" s="153">
        <v>-1.1009999999999999E-2</v>
      </c>
      <c r="AD52" s="153">
        <v>0</v>
      </c>
      <c r="AE52" s="153">
        <v>0</v>
      </c>
      <c r="AF52" s="40">
        <v>-1.1009999999999999E-2</v>
      </c>
      <c r="AG52" s="136">
        <v>0</v>
      </c>
      <c r="AH52" s="136">
        <v>0</v>
      </c>
      <c r="AI52" s="136">
        <v>0</v>
      </c>
      <c r="AJ52" s="136">
        <v>0</v>
      </c>
      <c r="AK52" s="40">
        <f t="shared" si="10"/>
        <v>0</v>
      </c>
      <c r="AL52" s="136">
        <v>0</v>
      </c>
      <c r="AM52" s="136">
        <v>0</v>
      </c>
      <c r="AN52" s="136">
        <v>0</v>
      </c>
      <c r="AO52" s="136">
        <v>0</v>
      </c>
      <c r="AP52" s="40">
        <f t="shared" si="11"/>
        <v>0</v>
      </c>
      <c r="AQ52" s="136">
        <v>0</v>
      </c>
      <c r="AR52" s="136">
        <v>0</v>
      </c>
      <c r="AS52" s="136">
        <v>0</v>
      </c>
      <c r="AT52" s="136">
        <v>0</v>
      </c>
      <c r="AU52" s="40">
        <f t="shared" si="14"/>
        <v>0</v>
      </c>
      <c r="AV52" s="136">
        <v>0</v>
      </c>
      <c r="AW52" s="136">
        <v>0</v>
      </c>
      <c r="AX52" s="136">
        <v>0</v>
      </c>
      <c r="AY52" s="136">
        <v>0</v>
      </c>
      <c r="AZ52" s="40">
        <f t="shared" si="13"/>
        <v>0</v>
      </c>
      <c r="BA52" s="136">
        <v>0</v>
      </c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</row>
    <row r="53" spans="1:72" s="2" customFormat="1">
      <c r="A53" s="356"/>
      <c r="B53" s="9" t="s">
        <v>418</v>
      </c>
      <c r="C53" s="10"/>
      <c r="D53" s="10"/>
      <c r="E53" s="10"/>
      <c r="F53" s="10"/>
      <c r="G53" s="39"/>
      <c r="H53" s="10"/>
      <c r="I53" s="10"/>
      <c r="J53" s="10"/>
      <c r="K53" s="10"/>
      <c r="L53" s="39"/>
      <c r="M53" s="10"/>
      <c r="N53" s="10"/>
      <c r="O53" s="10"/>
      <c r="P53" s="10"/>
      <c r="Q53" s="39"/>
      <c r="R53" s="10"/>
      <c r="S53" s="10"/>
      <c r="T53" s="10"/>
      <c r="U53" s="10"/>
      <c r="V53" s="39"/>
      <c r="W53" s="10"/>
      <c r="X53" s="10"/>
      <c r="Y53" s="10"/>
      <c r="Z53" s="10"/>
      <c r="AA53" s="39"/>
      <c r="AB53" s="117">
        <v>635654.33176001697</v>
      </c>
      <c r="AC53" s="117">
        <v>593467.06073994073</v>
      </c>
      <c r="AD53" s="117">
        <v>586183.37768983317</v>
      </c>
      <c r="AE53" s="117">
        <v>595624</v>
      </c>
      <c r="AF53" s="39">
        <v>2410928.770189791</v>
      </c>
      <c r="AG53" s="125">
        <f>SUM(AG48:AG52)</f>
        <v>595103</v>
      </c>
      <c r="AH53" s="125">
        <f>SUM(AH48:AH52)</f>
        <v>581923</v>
      </c>
      <c r="AI53" s="125">
        <f>SUM(AI48:AI52)</f>
        <v>573082</v>
      </c>
      <c r="AJ53" s="125">
        <f>SUM(AJ48:AJ52)</f>
        <v>616885</v>
      </c>
      <c r="AK53" s="39">
        <f t="shared" si="10"/>
        <v>2366993</v>
      </c>
      <c r="AL53" s="125">
        <f>SUM(AL48:AL52)</f>
        <v>663235</v>
      </c>
      <c r="AM53" s="125">
        <f>SUM(AM48:AM52)</f>
        <v>677457</v>
      </c>
      <c r="AN53" s="125">
        <f>SUM(AN48:AN52)</f>
        <v>685161</v>
      </c>
      <c r="AO53" s="125">
        <f>SUM(AO48:AO52)</f>
        <v>622526</v>
      </c>
      <c r="AP53" s="39">
        <f t="shared" si="11"/>
        <v>2648379</v>
      </c>
      <c r="AQ53" s="125">
        <f>SUM(AQ48:AQ52)</f>
        <v>643481</v>
      </c>
      <c r="AR53" s="337">
        <f>SUM(AR48:AR52)</f>
        <v>363418</v>
      </c>
      <c r="AS53" s="337">
        <f>SUM(AS48:AS52)</f>
        <v>750721</v>
      </c>
      <c r="AT53" s="337">
        <f>SUM(AT48:AT52)</f>
        <v>1005392</v>
      </c>
      <c r="AU53" s="39">
        <f t="shared" si="14"/>
        <v>2763012</v>
      </c>
      <c r="AV53" s="337">
        <f>SUM(AV48:AV52)</f>
        <v>992497</v>
      </c>
      <c r="AW53" s="337">
        <f>SUM(AW48:AW52)</f>
        <v>989798</v>
      </c>
      <c r="AX53" s="337">
        <f t="shared" ref="AX53:AY53" si="15">SUM(AX48:AX52)</f>
        <v>1097197</v>
      </c>
      <c r="AY53" s="337">
        <f t="shared" si="15"/>
        <v>1071219</v>
      </c>
      <c r="AZ53" s="39">
        <f t="shared" si="13"/>
        <v>4150711</v>
      </c>
      <c r="BA53" s="337">
        <f>SUM(BA48:BA52)</f>
        <v>1093625</v>
      </c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</row>
    <row r="54" spans="1:72">
      <c r="A54" s="357"/>
      <c r="B54" s="11" t="s">
        <v>419</v>
      </c>
      <c r="C54" s="13"/>
      <c r="D54" s="13"/>
      <c r="E54" s="13"/>
      <c r="F54" s="13"/>
      <c r="G54" s="41"/>
      <c r="H54" s="13"/>
      <c r="I54" s="13"/>
      <c r="J54" s="13"/>
      <c r="K54" s="13"/>
      <c r="L54" s="41"/>
      <c r="M54" s="13"/>
      <c r="N54" s="13"/>
      <c r="O54" s="13"/>
      <c r="P54" s="13"/>
      <c r="Q54" s="41"/>
      <c r="R54" s="13"/>
      <c r="S54" s="13"/>
      <c r="T54" s="13"/>
      <c r="U54" s="13"/>
      <c r="V54" s="41"/>
      <c r="W54" s="13"/>
      <c r="X54" s="13"/>
      <c r="Y54" s="13"/>
      <c r="Z54" s="13"/>
      <c r="AA54" s="41"/>
      <c r="AB54" s="153">
        <v>68.335160000000002</v>
      </c>
      <c r="AC54" s="153">
        <v>0</v>
      </c>
      <c r="AD54" s="153">
        <v>0</v>
      </c>
      <c r="AE54" s="153">
        <v>1</v>
      </c>
      <c r="AF54" s="41">
        <v>69.335160000000002</v>
      </c>
      <c r="AG54" s="136">
        <v>-7</v>
      </c>
      <c r="AH54" s="136">
        <v>328</v>
      </c>
      <c r="AI54" s="136">
        <v>61</v>
      </c>
      <c r="AJ54" s="136">
        <v>-140</v>
      </c>
      <c r="AK54" s="41">
        <f t="shared" si="10"/>
        <v>242</v>
      </c>
      <c r="AL54" s="136">
        <v>1</v>
      </c>
      <c r="AM54" s="136">
        <v>2</v>
      </c>
      <c r="AN54" s="136">
        <v>0</v>
      </c>
      <c r="AO54" s="136">
        <v>3</v>
      </c>
      <c r="AP54" s="41">
        <f t="shared" si="11"/>
        <v>6</v>
      </c>
      <c r="AQ54" s="136">
        <v>1</v>
      </c>
      <c r="AR54" s="136">
        <v>-2348</v>
      </c>
      <c r="AS54" s="136">
        <v>0</v>
      </c>
      <c r="AT54" s="136">
        <v>0</v>
      </c>
      <c r="AU54" s="41">
        <f t="shared" si="14"/>
        <v>-2347</v>
      </c>
      <c r="AV54" s="136">
        <v>0</v>
      </c>
      <c r="AW54" s="136">
        <v>18</v>
      </c>
      <c r="AX54" s="136">
        <v>-58</v>
      </c>
      <c r="AY54" s="136">
        <v>-706</v>
      </c>
      <c r="AZ54" s="41">
        <f t="shared" si="13"/>
        <v>-746</v>
      </c>
      <c r="BA54" s="136">
        <v>0</v>
      </c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</row>
    <row r="55" spans="1:72" s="2" customFormat="1">
      <c r="A55" s="356"/>
      <c r="B55" s="9" t="s">
        <v>420</v>
      </c>
      <c r="C55" s="10"/>
      <c r="D55" s="10"/>
      <c r="E55" s="10"/>
      <c r="F55" s="10"/>
      <c r="G55" s="39"/>
      <c r="H55" s="10"/>
      <c r="I55" s="10"/>
      <c r="J55" s="10"/>
      <c r="K55" s="10"/>
      <c r="L55" s="39"/>
      <c r="M55" s="10"/>
      <c r="N55" s="10"/>
      <c r="O55" s="10"/>
      <c r="P55" s="10"/>
      <c r="Q55" s="39"/>
      <c r="R55" s="10"/>
      <c r="S55" s="10"/>
      <c r="T55" s="10"/>
      <c r="U55" s="10"/>
      <c r="V55" s="39"/>
      <c r="W55" s="10"/>
      <c r="X55" s="10"/>
      <c r="Y55" s="10"/>
      <c r="Z55" s="10"/>
      <c r="AA55" s="39"/>
      <c r="AB55" s="117">
        <v>635722.66692001699</v>
      </c>
      <c r="AC55" s="117">
        <v>593467.06073994073</v>
      </c>
      <c r="AD55" s="117">
        <v>586183.37768983317</v>
      </c>
      <c r="AE55" s="117">
        <v>595625</v>
      </c>
      <c r="AF55" s="39">
        <v>2410998.1053497908</v>
      </c>
      <c r="AG55" s="125">
        <f>AG53+AG54</f>
        <v>595096</v>
      </c>
      <c r="AH55" s="125">
        <f>AH53+AH54</f>
        <v>582251</v>
      </c>
      <c r="AI55" s="125">
        <f>AI53+AI54</f>
        <v>573143</v>
      </c>
      <c r="AJ55" s="125">
        <f>AJ53+AJ54</f>
        <v>616745</v>
      </c>
      <c r="AK55" s="39">
        <f t="shared" si="10"/>
        <v>2367235</v>
      </c>
      <c r="AL55" s="125">
        <f>AL53+AL54</f>
        <v>663236</v>
      </c>
      <c r="AM55" s="125">
        <f>AM53+AM54</f>
        <v>677459</v>
      </c>
      <c r="AN55" s="125">
        <f>AN53+AN54</f>
        <v>685161</v>
      </c>
      <c r="AO55" s="125">
        <f>AO53+AO54</f>
        <v>622529</v>
      </c>
      <c r="AP55" s="39">
        <f t="shared" si="11"/>
        <v>2648385</v>
      </c>
      <c r="AQ55" s="125">
        <f>AQ53+AQ54</f>
        <v>643482</v>
      </c>
      <c r="AR55" s="337">
        <f>AR53+AR54</f>
        <v>361070</v>
      </c>
      <c r="AS55" s="337">
        <f>AS53+AS54</f>
        <v>750721</v>
      </c>
      <c r="AT55" s="337">
        <f>AT53+AT54</f>
        <v>1005392</v>
      </c>
      <c r="AU55" s="39">
        <f t="shared" si="14"/>
        <v>2760665</v>
      </c>
      <c r="AV55" s="337">
        <f>AV53+AV54</f>
        <v>992497</v>
      </c>
      <c r="AW55" s="337">
        <f>AW53+AW54</f>
        <v>989816</v>
      </c>
      <c r="AX55" s="337">
        <f t="shared" ref="AX55:AY55" si="16">AX53+AX54</f>
        <v>1097139</v>
      </c>
      <c r="AY55" s="337">
        <f t="shared" si="16"/>
        <v>1070513</v>
      </c>
      <c r="AZ55" s="39">
        <f t="shared" si="13"/>
        <v>4149965</v>
      </c>
      <c r="BA55" s="337">
        <f>BA53+BA54</f>
        <v>1093625</v>
      </c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</row>
    <row r="56" spans="1:72">
      <c r="A56" s="357"/>
      <c r="B56" s="11" t="s">
        <v>421</v>
      </c>
      <c r="C56" s="13"/>
      <c r="D56" s="13"/>
      <c r="E56" s="13"/>
      <c r="F56" s="13"/>
      <c r="G56" s="41"/>
      <c r="H56" s="13"/>
      <c r="I56" s="13"/>
      <c r="J56" s="13"/>
      <c r="K56" s="13"/>
      <c r="L56" s="41"/>
      <c r="M56" s="13"/>
      <c r="N56" s="13"/>
      <c r="O56" s="13"/>
      <c r="P56" s="13"/>
      <c r="Q56" s="41"/>
      <c r="R56" s="13"/>
      <c r="S56" s="13"/>
      <c r="T56" s="13"/>
      <c r="U56" s="13"/>
      <c r="V56" s="41"/>
      <c r="W56" s="13"/>
      <c r="X56" s="13"/>
      <c r="Y56" s="13"/>
      <c r="Z56" s="13"/>
      <c r="AA56" s="41"/>
      <c r="AB56" s="153">
        <v>-158984.92804999999</v>
      </c>
      <c r="AC56" s="153">
        <v>-148403.64939999999</v>
      </c>
      <c r="AD56" s="153">
        <v>-146344.25734000001</v>
      </c>
      <c r="AE56" s="153">
        <v>-125550</v>
      </c>
      <c r="AF56" s="41">
        <v>-579282.83478999999</v>
      </c>
      <c r="AG56" s="136">
        <v>-148717</v>
      </c>
      <c r="AH56" s="136">
        <v>-145667</v>
      </c>
      <c r="AI56" s="136">
        <v>-143329</v>
      </c>
      <c r="AJ56" s="136">
        <v>-153923</v>
      </c>
      <c r="AK56" s="41">
        <f t="shared" si="10"/>
        <v>-591636</v>
      </c>
      <c r="AL56" s="136">
        <v>-166167</v>
      </c>
      <c r="AM56" s="136">
        <v>-169597</v>
      </c>
      <c r="AN56" s="136">
        <v>-171916</v>
      </c>
      <c r="AO56" s="136">
        <v>-155088</v>
      </c>
      <c r="AP56" s="41">
        <f t="shared" si="11"/>
        <v>-662768</v>
      </c>
      <c r="AQ56" s="136">
        <v>-160930</v>
      </c>
      <c r="AR56" s="136">
        <v>-90345</v>
      </c>
      <c r="AS56" s="136">
        <v>-184520</v>
      </c>
      <c r="AT56" s="136">
        <v>-227043</v>
      </c>
      <c r="AU56" s="41">
        <f t="shared" si="14"/>
        <v>-662838</v>
      </c>
      <c r="AV56" s="136">
        <v>-246925</v>
      </c>
      <c r="AW56" s="136">
        <v>-245412</v>
      </c>
      <c r="AX56" s="136">
        <v>-268089</v>
      </c>
      <c r="AY56" s="136">
        <v>-234046</v>
      </c>
      <c r="AZ56" s="41">
        <f t="shared" si="13"/>
        <v>-994472</v>
      </c>
      <c r="BA56" s="136">
        <v>-270740</v>
      </c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</row>
    <row r="57" spans="1:72">
      <c r="A57" s="357"/>
      <c r="B57" s="11" t="s">
        <v>422</v>
      </c>
      <c r="C57" s="13"/>
      <c r="D57" s="13"/>
      <c r="E57" s="13"/>
      <c r="F57" s="13"/>
      <c r="G57" s="41"/>
      <c r="H57" s="13"/>
      <c r="I57" s="13"/>
      <c r="J57" s="13"/>
      <c r="K57" s="13"/>
      <c r="L57" s="41"/>
      <c r="M57" s="13"/>
      <c r="N57" s="13"/>
      <c r="O57" s="13"/>
      <c r="P57" s="13"/>
      <c r="Q57" s="41"/>
      <c r="R57" s="13"/>
      <c r="S57" s="13"/>
      <c r="T57" s="13"/>
      <c r="U57" s="13"/>
      <c r="V57" s="41"/>
      <c r="W57" s="13"/>
      <c r="X57" s="13"/>
      <c r="Y57" s="13"/>
      <c r="Z57" s="13"/>
      <c r="AA57" s="41"/>
      <c r="AB57" s="153">
        <v>-95413.487769999992</v>
      </c>
      <c r="AC57" s="153">
        <v>-87700.743070000011</v>
      </c>
      <c r="AD57" s="153">
        <v>-116497.23238000003</v>
      </c>
      <c r="AE57" s="153">
        <v>-101368</v>
      </c>
      <c r="AF57" s="41">
        <v>-400979.46322000003</v>
      </c>
      <c r="AG57" s="136">
        <v>-89242</v>
      </c>
      <c r="AH57" s="136">
        <v>-87365</v>
      </c>
      <c r="AI57" s="136">
        <v>-90610</v>
      </c>
      <c r="AJ57" s="136">
        <v>-98258</v>
      </c>
      <c r="AK57" s="41">
        <f t="shared" si="10"/>
        <v>-365475</v>
      </c>
      <c r="AL57" s="136">
        <v>-99643</v>
      </c>
      <c r="AM57" s="136">
        <v>-101767</v>
      </c>
      <c r="AN57" s="136">
        <v>-103155</v>
      </c>
      <c r="AO57" s="136">
        <v>-92956</v>
      </c>
      <c r="AP57" s="41">
        <f t="shared" si="11"/>
        <v>-397521</v>
      </c>
      <c r="AQ57" s="136">
        <v>-96555</v>
      </c>
      <c r="AR57" s="136">
        <v>-54199</v>
      </c>
      <c r="AS57" s="136">
        <v>-112601</v>
      </c>
      <c r="AT57" s="136">
        <v>-152668</v>
      </c>
      <c r="AU57" s="41">
        <f t="shared" si="14"/>
        <v>-416023</v>
      </c>
      <c r="AV57" s="136">
        <v>-149697</v>
      </c>
      <c r="AW57" s="136">
        <v>-147984</v>
      </c>
      <c r="AX57" s="136">
        <v>-165811</v>
      </c>
      <c r="AY57" s="136">
        <v>-164948</v>
      </c>
      <c r="AZ57" s="41">
        <f t="shared" si="13"/>
        <v>-628440</v>
      </c>
      <c r="BA57" s="136">
        <v>-164657</v>
      </c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</row>
    <row r="58" spans="1:72">
      <c r="A58" s="357"/>
      <c r="B58" s="11" t="s">
        <v>423</v>
      </c>
      <c r="C58" s="13"/>
      <c r="D58" s="13"/>
      <c r="E58" s="13"/>
      <c r="F58" s="13"/>
      <c r="G58" s="41"/>
      <c r="H58" s="13"/>
      <c r="I58" s="13"/>
      <c r="J58" s="13"/>
      <c r="K58" s="13"/>
      <c r="L58" s="41"/>
      <c r="M58" s="13"/>
      <c r="N58" s="13"/>
      <c r="O58" s="13"/>
      <c r="P58" s="13"/>
      <c r="Q58" s="41"/>
      <c r="R58" s="13"/>
      <c r="S58" s="13"/>
      <c r="T58" s="13"/>
      <c r="U58" s="13"/>
      <c r="V58" s="41"/>
      <c r="W58" s="13"/>
      <c r="X58" s="13"/>
      <c r="Y58" s="13"/>
      <c r="Z58" s="13"/>
      <c r="AA58" s="41"/>
      <c r="AB58" s="153">
        <v>0</v>
      </c>
      <c r="AC58" s="153">
        <v>0</v>
      </c>
      <c r="AD58" s="153">
        <v>0</v>
      </c>
      <c r="AE58" s="153">
        <v>0</v>
      </c>
      <c r="AF58" s="41">
        <v>0</v>
      </c>
      <c r="AG58" s="136">
        <v>0</v>
      </c>
      <c r="AH58" s="136">
        <v>0</v>
      </c>
      <c r="AI58" s="136">
        <v>0</v>
      </c>
      <c r="AJ58" s="136">
        <v>0</v>
      </c>
      <c r="AK58" s="41">
        <f t="shared" si="10"/>
        <v>0</v>
      </c>
      <c r="AL58" s="136">
        <v>0</v>
      </c>
      <c r="AM58" s="136">
        <v>0</v>
      </c>
      <c r="AN58" s="136">
        <v>0</v>
      </c>
      <c r="AO58" s="136">
        <v>0</v>
      </c>
      <c r="AP58" s="41">
        <f t="shared" si="11"/>
        <v>0</v>
      </c>
      <c r="AQ58" s="136">
        <v>0</v>
      </c>
      <c r="AR58" s="136">
        <v>0</v>
      </c>
      <c r="AS58" s="136">
        <v>0</v>
      </c>
      <c r="AT58" s="136">
        <v>0</v>
      </c>
      <c r="AU58" s="41">
        <f t="shared" si="14"/>
        <v>0</v>
      </c>
      <c r="AV58" s="136">
        <v>0</v>
      </c>
      <c r="AW58" s="136">
        <v>0</v>
      </c>
      <c r="AX58" s="136">
        <v>0</v>
      </c>
      <c r="AY58" s="136">
        <v>0</v>
      </c>
      <c r="AZ58" s="41">
        <f t="shared" si="13"/>
        <v>0</v>
      </c>
      <c r="BA58" s="136">
        <v>0</v>
      </c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</row>
    <row r="59" spans="1:72">
      <c r="A59" s="357"/>
      <c r="B59" s="11" t="s">
        <v>424</v>
      </c>
      <c r="C59" s="13"/>
      <c r="D59" s="13"/>
      <c r="E59" s="13"/>
      <c r="F59" s="13"/>
      <c r="G59" s="41"/>
      <c r="H59" s="13"/>
      <c r="I59" s="13"/>
      <c r="J59" s="13"/>
      <c r="K59" s="13"/>
      <c r="L59" s="41"/>
      <c r="M59" s="13"/>
      <c r="N59" s="13"/>
      <c r="O59" s="13"/>
      <c r="P59" s="13"/>
      <c r="Q59" s="41"/>
      <c r="R59" s="13"/>
      <c r="S59" s="13"/>
      <c r="T59" s="13"/>
      <c r="U59" s="13"/>
      <c r="V59" s="41"/>
      <c r="W59" s="13"/>
      <c r="X59" s="13"/>
      <c r="Y59" s="13"/>
      <c r="Z59" s="13"/>
      <c r="AA59" s="41"/>
      <c r="AB59" s="153">
        <v>0</v>
      </c>
      <c r="AC59" s="153">
        <v>0</v>
      </c>
      <c r="AD59" s="153">
        <v>0</v>
      </c>
      <c r="AE59" s="153">
        <v>0</v>
      </c>
      <c r="AF59" s="41">
        <v>0</v>
      </c>
      <c r="AG59" s="136">
        <v>0</v>
      </c>
      <c r="AH59" s="136">
        <v>0</v>
      </c>
      <c r="AI59" s="136">
        <v>0</v>
      </c>
      <c r="AJ59" s="136">
        <v>0</v>
      </c>
      <c r="AK59" s="41">
        <f t="shared" si="10"/>
        <v>0</v>
      </c>
      <c r="AL59" s="136">
        <v>0</v>
      </c>
      <c r="AM59" s="136">
        <v>0</v>
      </c>
      <c r="AN59" s="136">
        <v>0</v>
      </c>
      <c r="AO59" s="136">
        <v>0</v>
      </c>
      <c r="AP59" s="41">
        <f t="shared" si="11"/>
        <v>0</v>
      </c>
      <c r="AQ59" s="136">
        <v>0</v>
      </c>
      <c r="AR59" s="136">
        <v>0</v>
      </c>
      <c r="AS59" s="136">
        <v>0</v>
      </c>
      <c r="AT59" s="136">
        <v>0</v>
      </c>
      <c r="AU59" s="41">
        <f t="shared" si="14"/>
        <v>0</v>
      </c>
      <c r="AV59" s="136">
        <v>0</v>
      </c>
      <c r="AW59" s="136">
        <v>0</v>
      </c>
      <c r="AX59" s="136">
        <v>0</v>
      </c>
      <c r="AY59" s="136">
        <v>0</v>
      </c>
      <c r="AZ59" s="41">
        <f t="shared" si="13"/>
        <v>0</v>
      </c>
      <c r="BA59" s="136">
        <v>0</v>
      </c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</row>
    <row r="60" spans="1:72" s="2" customFormat="1">
      <c r="A60" s="358"/>
      <c r="B60" s="15" t="s">
        <v>450</v>
      </c>
      <c r="C60" s="16"/>
      <c r="D60" s="16"/>
      <c r="E60" s="16"/>
      <c r="F60" s="16"/>
      <c r="G60" s="45"/>
      <c r="H60" s="16"/>
      <c r="I60" s="16"/>
      <c r="J60" s="16"/>
      <c r="K60" s="16"/>
      <c r="L60" s="45"/>
      <c r="M60" s="16"/>
      <c r="N60" s="16"/>
      <c r="O60" s="16"/>
      <c r="P60" s="16"/>
      <c r="Q60" s="45"/>
      <c r="R60" s="16"/>
      <c r="S60" s="16"/>
      <c r="T60" s="16"/>
      <c r="U60" s="16"/>
      <c r="V60" s="45"/>
      <c r="W60" s="16"/>
      <c r="X60" s="16"/>
      <c r="Y60" s="16"/>
      <c r="Z60" s="16"/>
      <c r="AA60" s="45"/>
      <c r="AB60" s="155">
        <v>381324.25110001699</v>
      </c>
      <c r="AC60" s="155">
        <v>357362.66826994071</v>
      </c>
      <c r="AD60" s="155">
        <v>323341.8879698331</v>
      </c>
      <c r="AE60" s="155">
        <v>368707</v>
      </c>
      <c r="AF60" s="45">
        <v>1430735.8073397907</v>
      </c>
      <c r="AG60" s="155">
        <f>SUM(AG55:AG59)</f>
        <v>357137</v>
      </c>
      <c r="AH60" s="155">
        <f>SUM(AH55:AH59)</f>
        <v>349219</v>
      </c>
      <c r="AI60" s="155">
        <f>SUM(AI55:AI59)</f>
        <v>339204</v>
      </c>
      <c r="AJ60" s="155">
        <f>SUM(AJ55:AJ59)</f>
        <v>364564</v>
      </c>
      <c r="AK60" s="45">
        <f t="shared" si="10"/>
        <v>1410124</v>
      </c>
      <c r="AL60" s="155">
        <f>SUM(AL55:AL59)</f>
        <v>397426</v>
      </c>
      <c r="AM60" s="155">
        <f>SUM(AM55:AM59)</f>
        <v>406095</v>
      </c>
      <c r="AN60" s="155">
        <f>SUM(AN55:AN59)</f>
        <v>410090</v>
      </c>
      <c r="AO60" s="155">
        <f>SUM(AO55:AO59)</f>
        <v>374485</v>
      </c>
      <c r="AP60" s="45">
        <f t="shared" si="11"/>
        <v>1588096</v>
      </c>
      <c r="AQ60" s="155">
        <f>SUM(AQ55:AQ59)</f>
        <v>385997</v>
      </c>
      <c r="AR60" s="155">
        <f>SUM(AR55:AR59)</f>
        <v>216526</v>
      </c>
      <c r="AS60" s="155">
        <f>SUM(AS55:AS59)</f>
        <v>453600</v>
      </c>
      <c r="AT60" s="155">
        <f>SUM(AT55:AT59)</f>
        <v>625681</v>
      </c>
      <c r="AU60" s="45">
        <f t="shared" si="14"/>
        <v>1681804</v>
      </c>
      <c r="AV60" s="155">
        <f>SUM(AV55:AV59)</f>
        <v>595875</v>
      </c>
      <c r="AW60" s="155">
        <f>SUM(AW55:AW59)</f>
        <v>596420</v>
      </c>
      <c r="AX60" s="155">
        <f t="shared" ref="AX60:AY60" si="17">SUM(AX55:AX59)</f>
        <v>663239</v>
      </c>
      <c r="AY60" s="155">
        <f t="shared" si="17"/>
        <v>671519</v>
      </c>
      <c r="AZ60" s="45">
        <f t="shared" si="13"/>
        <v>2527053</v>
      </c>
      <c r="BA60" s="155">
        <f>SUM(BA55:BA59)</f>
        <v>658228</v>
      </c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</row>
    <row r="61" spans="1:72">
      <c r="A61" s="357"/>
      <c r="B61" s="11" t="s">
        <v>468</v>
      </c>
      <c r="C61" s="13"/>
      <c r="D61" s="13"/>
      <c r="E61" s="13"/>
      <c r="F61" s="13"/>
      <c r="G61" s="41"/>
      <c r="H61" s="13"/>
      <c r="I61" s="13"/>
      <c r="J61" s="13"/>
      <c r="K61" s="13"/>
      <c r="L61" s="41"/>
      <c r="M61" s="13"/>
      <c r="N61" s="13"/>
      <c r="O61" s="13"/>
      <c r="P61" s="13"/>
      <c r="Q61" s="41"/>
      <c r="R61" s="13"/>
      <c r="S61" s="13"/>
      <c r="T61" s="13"/>
      <c r="U61" s="13"/>
      <c r="V61" s="41"/>
      <c r="W61" s="13"/>
      <c r="X61" s="13"/>
      <c r="Y61" s="13"/>
      <c r="Z61" s="13"/>
      <c r="AA61" s="41"/>
      <c r="AB61" s="153">
        <v>381324.25110001693</v>
      </c>
      <c r="AC61" s="153">
        <v>357362.66826994083</v>
      </c>
      <c r="AD61" s="153">
        <v>323341.88796983322</v>
      </c>
      <c r="AE61" s="153">
        <v>368707</v>
      </c>
      <c r="AF61" s="41">
        <v>1430735.807339791</v>
      </c>
      <c r="AG61" s="153">
        <v>357137</v>
      </c>
      <c r="AH61" s="136">
        <v>349219</v>
      </c>
      <c r="AI61" s="136">
        <f>AI63</f>
        <v>339204</v>
      </c>
      <c r="AJ61" s="136">
        <f>AJ63</f>
        <v>364564</v>
      </c>
      <c r="AK61" s="41">
        <f t="shared" si="10"/>
        <v>1410124</v>
      </c>
      <c r="AL61" s="153">
        <v>397426</v>
      </c>
      <c r="AM61" s="153">
        <v>406096</v>
      </c>
      <c r="AN61" s="153">
        <v>410090</v>
      </c>
      <c r="AO61" s="153">
        <v>374485</v>
      </c>
      <c r="AP61" s="41">
        <f t="shared" si="11"/>
        <v>1588097</v>
      </c>
      <c r="AQ61" s="153">
        <v>385997</v>
      </c>
      <c r="AR61" s="136">
        <v>216526</v>
      </c>
      <c r="AS61" s="136">
        <v>453600</v>
      </c>
      <c r="AT61" s="136">
        <v>625681</v>
      </c>
      <c r="AU61" s="41">
        <f t="shared" si="14"/>
        <v>1681804</v>
      </c>
      <c r="AV61" s="136">
        <f>AV60</f>
        <v>595875</v>
      </c>
      <c r="AW61" s="136">
        <f>AW60</f>
        <v>596420</v>
      </c>
      <c r="AX61" s="136">
        <f>AX60</f>
        <v>663239</v>
      </c>
      <c r="AY61" s="136">
        <f>AY60</f>
        <v>671519</v>
      </c>
      <c r="AZ61" s="41">
        <f t="shared" si="13"/>
        <v>2527053</v>
      </c>
      <c r="BA61" s="13">
        <v>658228</v>
      </c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</row>
    <row r="62" spans="1:72">
      <c r="A62" s="357"/>
      <c r="B62" s="11" t="s">
        <v>436</v>
      </c>
      <c r="C62" s="13"/>
      <c r="D62" s="13"/>
      <c r="E62" s="13"/>
      <c r="F62" s="13"/>
      <c r="G62" s="41"/>
      <c r="H62" s="13"/>
      <c r="I62" s="13"/>
      <c r="J62" s="13"/>
      <c r="K62" s="13"/>
      <c r="L62" s="41"/>
      <c r="M62" s="13"/>
      <c r="N62" s="13"/>
      <c r="O62" s="13"/>
      <c r="P62" s="13"/>
      <c r="Q62" s="41"/>
      <c r="R62" s="13"/>
      <c r="S62" s="13"/>
      <c r="T62" s="13"/>
      <c r="U62" s="13"/>
      <c r="V62" s="41"/>
      <c r="W62" s="13"/>
      <c r="X62" s="13"/>
      <c r="Y62" s="13"/>
      <c r="Z62" s="13"/>
      <c r="AA62" s="41"/>
      <c r="AB62" s="120">
        <v>0</v>
      </c>
      <c r="AC62" s="120">
        <v>0</v>
      </c>
      <c r="AD62" s="120">
        <v>0</v>
      </c>
      <c r="AE62" s="120">
        <v>0</v>
      </c>
      <c r="AF62" s="41">
        <v>0</v>
      </c>
      <c r="AG62" s="120">
        <v>0</v>
      </c>
      <c r="AH62" s="136">
        <v>0</v>
      </c>
      <c r="AI62" s="136">
        <v>0</v>
      </c>
      <c r="AJ62" s="136">
        <v>0</v>
      </c>
      <c r="AK62" s="41">
        <f t="shared" si="10"/>
        <v>0</v>
      </c>
      <c r="AL62" s="120">
        <v>0</v>
      </c>
      <c r="AM62" s="120">
        <v>0</v>
      </c>
      <c r="AN62" s="120">
        <v>0</v>
      </c>
      <c r="AO62" s="120">
        <v>0</v>
      </c>
      <c r="AP62" s="41">
        <f t="shared" si="11"/>
        <v>0</v>
      </c>
      <c r="AQ62" s="120">
        <v>0</v>
      </c>
      <c r="AR62" s="136">
        <v>0</v>
      </c>
      <c r="AS62" s="136">
        <v>0</v>
      </c>
      <c r="AT62" s="136">
        <v>0</v>
      </c>
      <c r="AU62" s="41">
        <f t="shared" si="14"/>
        <v>0</v>
      </c>
      <c r="AV62" s="136">
        <v>0</v>
      </c>
      <c r="AW62" s="136">
        <v>0</v>
      </c>
      <c r="AX62" s="136">
        <v>0</v>
      </c>
      <c r="AY62" s="136">
        <v>0</v>
      </c>
      <c r="AZ62" s="41">
        <f t="shared" si="13"/>
        <v>0</v>
      </c>
      <c r="BA62" s="13">
        <v>0</v>
      </c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</row>
    <row r="63" spans="1:72">
      <c r="A63" s="357"/>
      <c r="B63" s="11" t="s">
        <v>470</v>
      </c>
      <c r="C63" s="13"/>
      <c r="D63" s="13"/>
      <c r="E63" s="13"/>
      <c r="F63" s="13"/>
      <c r="G63" s="41"/>
      <c r="H63" s="13"/>
      <c r="I63" s="13"/>
      <c r="J63" s="13"/>
      <c r="K63" s="13"/>
      <c r="L63" s="41"/>
      <c r="M63" s="13"/>
      <c r="N63" s="13"/>
      <c r="O63" s="13"/>
      <c r="P63" s="13"/>
      <c r="Q63" s="41"/>
      <c r="R63" s="13"/>
      <c r="S63" s="13"/>
      <c r="T63" s="13"/>
      <c r="U63" s="13"/>
      <c r="V63" s="41"/>
      <c r="W63" s="13"/>
      <c r="X63" s="13"/>
      <c r="Y63" s="13"/>
      <c r="Z63" s="13"/>
      <c r="AA63" s="41"/>
      <c r="AB63" s="120">
        <v>381324.25110001693</v>
      </c>
      <c r="AC63" s="120">
        <v>357362.66826994083</v>
      </c>
      <c r="AD63" s="120">
        <v>323341.88796983322</v>
      </c>
      <c r="AE63" s="120">
        <v>368707</v>
      </c>
      <c r="AF63" s="41">
        <v>1430735.807339791</v>
      </c>
      <c r="AG63" s="120">
        <v>357137</v>
      </c>
      <c r="AH63" s="136">
        <v>349219</v>
      </c>
      <c r="AI63" s="136">
        <f>AI60</f>
        <v>339204</v>
      </c>
      <c r="AJ63" s="136">
        <f>AJ60</f>
        <v>364564</v>
      </c>
      <c r="AK63" s="41">
        <f t="shared" si="10"/>
        <v>1410124</v>
      </c>
      <c r="AL63" s="120">
        <v>397426</v>
      </c>
      <c r="AM63" s="120">
        <f>SUM(AM61:AM62)</f>
        <v>406096</v>
      </c>
      <c r="AN63" s="120">
        <v>410090</v>
      </c>
      <c r="AO63" s="120">
        <v>374485</v>
      </c>
      <c r="AP63" s="41">
        <f t="shared" si="11"/>
        <v>1588097</v>
      </c>
      <c r="AQ63" s="120">
        <v>385997</v>
      </c>
      <c r="AR63" s="136">
        <v>216526</v>
      </c>
      <c r="AS63" s="136">
        <v>453600</v>
      </c>
      <c r="AT63" s="136">
        <v>625681</v>
      </c>
      <c r="AU63" s="41">
        <f t="shared" si="14"/>
        <v>1681804</v>
      </c>
      <c r="AV63" s="136">
        <f>AV62+AV61</f>
        <v>595875</v>
      </c>
      <c r="AW63" s="136">
        <f>AW62+AW61</f>
        <v>596420</v>
      </c>
      <c r="AX63" s="136">
        <f>AX62+AX61</f>
        <v>663239</v>
      </c>
      <c r="AY63" s="136">
        <f>AY62+AY61</f>
        <v>671519</v>
      </c>
      <c r="AZ63" s="41">
        <f t="shared" si="13"/>
        <v>2527053</v>
      </c>
      <c r="BA63" s="13">
        <v>658228</v>
      </c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</row>
    <row r="64" spans="1:72">
      <c r="A64" s="357"/>
      <c r="B64" s="11" t="s">
        <v>471</v>
      </c>
      <c r="C64" s="13"/>
      <c r="D64" s="13"/>
      <c r="E64" s="13"/>
      <c r="F64" s="13"/>
      <c r="G64" s="41"/>
      <c r="H64" s="13"/>
      <c r="I64" s="13"/>
      <c r="J64" s="13"/>
      <c r="K64" s="13"/>
      <c r="L64" s="41"/>
      <c r="M64" s="13"/>
      <c r="N64" s="13"/>
      <c r="O64" s="13"/>
      <c r="P64" s="13"/>
      <c r="Q64" s="41"/>
      <c r="R64" s="13"/>
      <c r="S64" s="13"/>
      <c r="T64" s="13"/>
      <c r="U64" s="13"/>
      <c r="V64" s="41"/>
      <c r="W64" s="13"/>
      <c r="X64" s="13"/>
      <c r="Y64" s="13"/>
      <c r="Z64" s="13"/>
      <c r="AA64" s="41"/>
      <c r="AB64" s="120">
        <v>0</v>
      </c>
      <c r="AC64" s="120">
        <v>0</v>
      </c>
      <c r="AD64" s="120">
        <v>0</v>
      </c>
      <c r="AE64" s="120"/>
      <c r="AF64" s="41"/>
      <c r="AG64" s="120">
        <v>0</v>
      </c>
      <c r="AH64" s="136">
        <v>0</v>
      </c>
      <c r="AI64" s="136">
        <v>0</v>
      </c>
      <c r="AJ64" s="136">
        <v>0</v>
      </c>
      <c r="AK64" s="41"/>
      <c r="AL64" s="120">
        <v>0</v>
      </c>
      <c r="AM64" s="120">
        <v>0</v>
      </c>
      <c r="AN64" s="120">
        <v>0</v>
      </c>
      <c r="AO64" s="120">
        <v>0</v>
      </c>
      <c r="AP64" s="41">
        <f t="shared" si="11"/>
        <v>0</v>
      </c>
      <c r="AQ64" s="120">
        <v>0</v>
      </c>
      <c r="AR64" s="136">
        <v>0</v>
      </c>
      <c r="AS64" s="136">
        <v>0</v>
      </c>
      <c r="AT64" s="136">
        <v>0</v>
      </c>
      <c r="AU64" s="41">
        <f t="shared" ref="AU64" si="18">SUM(AQ64:AT64)</f>
        <v>0</v>
      </c>
      <c r="AV64" s="136">
        <v>0</v>
      </c>
      <c r="AW64" s="136">
        <v>0</v>
      </c>
      <c r="AX64" s="136">
        <v>0</v>
      </c>
      <c r="AY64" s="136">
        <v>0</v>
      </c>
      <c r="AZ64" s="41">
        <f t="shared" si="13"/>
        <v>0</v>
      </c>
      <c r="BA64" s="13">
        <v>0</v>
      </c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</row>
    <row r="65" spans="1:72" ht="15.75" thickBot="1">
      <c r="A65" s="359"/>
      <c r="B65" s="17" t="s">
        <v>451</v>
      </c>
      <c r="C65" s="18"/>
      <c r="D65" s="18"/>
      <c r="E65" s="18"/>
      <c r="F65" s="18"/>
      <c r="G65" s="48"/>
      <c r="H65" s="18"/>
      <c r="I65" s="18"/>
      <c r="J65" s="18"/>
      <c r="K65" s="18"/>
      <c r="L65" s="48"/>
      <c r="M65" s="18"/>
      <c r="N65" s="18"/>
      <c r="O65" s="18"/>
      <c r="P65" s="18"/>
      <c r="Q65" s="48"/>
      <c r="R65" s="18"/>
      <c r="S65" s="18"/>
      <c r="T65" s="18"/>
      <c r="U65" s="18"/>
      <c r="V65" s="48"/>
      <c r="W65" s="18"/>
      <c r="X65" s="18"/>
      <c r="Y65" s="18"/>
      <c r="Z65" s="18"/>
      <c r="AA65" s="48"/>
      <c r="AB65" s="18">
        <v>0.6</v>
      </c>
      <c r="AC65" s="18">
        <v>0.6</v>
      </c>
      <c r="AD65" s="18">
        <v>0.6</v>
      </c>
      <c r="AE65" s="18">
        <v>0.6</v>
      </c>
      <c r="AF65" s="48">
        <v>0.6</v>
      </c>
      <c r="AG65" s="18">
        <v>0.6</v>
      </c>
      <c r="AH65" s="18">
        <v>0.6</v>
      </c>
      <c r="AI65" s="18">
        <v>0.6</v>
      </c>
      <c r="AJ65" s="18">
        <v>0.6</v>
      </c>
      <c r="AK65" s="48">
        <v>0.6</v>
      </c>
      <c r="AL65" s="18">
        <v>0.6</v>
      </c>
      <c r="AM65" s="18">
        <v>0.6</v>
      </c>
      <c r="AN65" s="18">
        <v>0.6</v>
      </c>
      <c r="AO65" s="18">
        <v>0.6</v>
      </c>
      <c r="AP65" s="48">
        <v>0.6</v>
      </c>
      <c r="AQ65" s="18">
        <v>0.6</v>
      </c>
      <c r="AR65" s="18">
        <v>0.6</v>
      </c>
      <c r="AS65" s="18">
        <v>0.6</v>
      </c>
      <c r="AT65" s="18">
        <v>0.6</v>
      </c>
      <c r="AU65" s="48">
        <v>0.6</v>
      </c>
      <c r="AV65" s="18">
        <v>0.6</v>
      </c>
      <c r="AW65" s="18">
        <v>0.6</v>
      </c>
      <c r="AX65" s="18">
        <v>0.6</v>
      </c>
      <c r="AY65" s="18">
        <v>0.6</v>
      </c>
      <c r="AZ65" s="48">
        <v>0.6</v>
      </c>
      <c r="BA65" s="18">
        <v>0.6</v>
      </c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</row>
    <row r="66" spans="1:72" ht="15.75" thickBot="1">
      <c r="A66" s="452"/>
      <c r="AI66" s="49"/>
      <c r="AJ66" s="49"/>
      <c r="AK66" s="8"/>
      <c r="AL66" s="8"/>
      <c r="AM66" s="8"/>
      <c r="AN66" s="8"/>
      <c r="AO66" s="8"/>
      <c r="AP66" s="476"/>
      <c r="AT66" s="49"/>
      <c r="AU66" s="476"/>
      <c r="AV66" s="49"/>
      <c r="AW66" s="49"/>
      <c r="AX66" s="49"/>
      <c r="AY66" s="49"/>
      <c r="AZ66" s="8"/>
    </row>
    <row r="67" spans="1:72" s="2" customFormat="1">
      <c r="A67" s="670"/>
      <c r="B67" s="625" t="s">
        <v>523</v>
      </c>
      <c r="C67" s="626" t="s">
        <v>224</v>
      </c>
      <c r="D67" s="626" t="s">
        <v>225</v>
      </c>
      <c r="E67" s="626" t="s">
        <v>226</v>
      </c>
      <c r="F67" s="626" t="s">
        <v>227</v>
      </c>
      <c r="G67" s="652">
        <v>2016</v>
      </c>
      <c r="H67" s="626" t="s">
        <v>228</v>
      </c>
      <c r="I67" s="626" t="s">
        <v>229</v>
      </c>
      <c r="J67" s="626" t="s">
        <v>230</v>
      </c>
      <c r="K67" s="626" t="s">
        <v>231</v>
      </c>
      <c r="L67" s="652">
        <v>2017</v>
      </c>
      <c r="M67" s="626" t="s">
        <v>232</v>
      </c>
      <c r="N67" s="626" t="s">
        <v>233</v>
      </c>
      <c r="O67" s="626" t="s">
        <v>234</v>
      </c>
      <c r="P67" s="626" t="s">
        <v>235</v>
      </c>
      <c r="Q67" s="652">
        <v>2018</v>
      </c>
      <c r="R67" s="626" t="s">
        <v>236</v>
      </c>
      <c r="S67" s="626" t="s">
        <v>237</v>
      </c>
      <c r="T67" s="626" t="s">
        <v>238</v>
      </c>
      <c r="U67" s="626" t="s">
        <v>239</v>
      </c>
      <c r="V67" s="652">
        <v>2019</v>
      </c>
      <c r="W67" s="626" t="s">
        <v>240</v>
      </c>
      <c r="X67" s="626" t="s">
        <v>241</v>
      </c>
      <c r="Y67" s="626" t="s">
        <v>242</v>
      </c>
      <c r="Z67" s="626" t="s">
        <v>243</v>
      </c>
      <c r="AA67" s="652">
        <v>2020</v>
      </c>
      <c r="AB67" s="626" t="s">
        <v>244</v>
      </c>
      <c r="AC67" s="626" t="s">
        <v>245</v>
      </c>
      <c r="AD67" s="626" t="s">
        <v>246</v>
      </c>
      <c r="AE67" s="626" t="s">
        <v>247</v>
      </c>
      <c r="AF67" s="652">
        <v>2021</v>
      </c>
      <c r="AG67" s="626" t="s">
        <v>248</v>
      </c>
      <c r="AH67" s="626" t="s">
        <v>249</v>
      </c>
      <c r="AI67" s="626" t="s">
        <v>250</v>
      </c>
      <c r="AJ67" s="626" t="s">
        <v>215</v>
      </c>
      <c r="AK67" s="652">
        <v>2022</v>
      </c>
      <c r="AL67" s="626" t="s">
        <v>252</v>
      </c>
      <c r="AM67" s="626" t="s">
        <v>253</v>
      </c>
      <c r="AN67" s="626" t="s">
        <v>254</v>
      </c>
      <c r="AO67" s="626" t="s">
        <v>219</v>
      </c>
      <c r="AP67" s="652">
        <v>2023</v>
      </c>
      <c r="AQ67" s="626" t="s">
        <v>223</v>
      </c>
      <c r="AR67" s="626" t="s">
        <v>256</v>
      </c>
      <c r="AS67" s="626" t="s">
        <v>524</v>
      </c>
      <c r="AT67" s="626" t="s">
        <v>358</v>
      </c>
      <c r="AU67" s="652">
        <v>2024</v>
      </c>
      <c r="AV67" s="626" t="s">
        <v>359</v>
      </c>
      <c r="AW67" s="626" t="s">
        <v>1115</v>
      </c>
      <c r="AX67" s="626" t="s">
        <v>1116</v>
      </c>
      <c r="AY67" s="626" t="s">
        <v>1117</v>
      </c>
      <c r="AZ67" s="653" t="s">
        <v>1118</v>
      </c>
      <c r="BA67" s="645" t="s">
        <v>1124</v>
      </c>
    </row>
    <row r="68" spans="1:72" s="2" customFormat="1">
      <c r="A68" s="356"/>
      <c r="B68" s="9" t="s">
        <v>474</v>
      </c>
      <c r="C68" s="10"/>
      <c r="D68" s="10"/>
      <c r="E68" s="10"/>
      <c r="F68" s="10"/>
      <c r="G68" s="39"/>
      <c r="H68" s="10"/>
      <c r="I68" s="10"/>
      <c r="J68" s="10"/>
      <c r="K68" s="10"/>
      <c r="L68" s="39"/>
      <c r="M68" s="10"/>
      <c r="N68" s="10"/>
      <c r="O68" s="10"/>
      <c r="P68" s="10"/>
      <c r="Q68" s="39"/>
      <c r="R68" s="10"/>
      <c r="S68" s="10"/>
      <c r="T68" s="10"/>
      <c r="U68" s="10"/>
      <c r="V68" s="39"/>
      <c r="W68" s="10"/>
      <c r="X68" s="10"/>
      <c r="Y68" s="10"/>
      <c r="Z68" s="117">
        <v>0</v>
      </c>
      <c r="AA68" s="118">
        <v>0</v>
      </c>
      <c r="AB68" s="117">
        <v>597890.99592000013</v>
      </c>
      <c r="AC68" s="117">
        <v>662908.03372000006</v>
      </c>
      <c r="AD68" s="117">
        <v>898847.53519999958</v>
      </c>
      <c r="AE68" s="117">
        <v>796480.02752000024</v>
      </c>
      <c r="AF68" s="118">
        <v>2956126.5923600001</v>
      </c>
      <c r="AG68" s="117">
        <v>620099</v>
      </c>
      <c r="AH68" s="117">
        <v>828148</v>
      </c>
      <c r="AI68" s="117">
        <v>1049488</v>
      </c>
      <c r="AJ68" s="117">
        <v>614638</v>
      </c>
      <c r="AK68" s="118">
        <f t="shared" ref="AK68:AK93" si="19">SUM(AG68:AJ68)</f>
        <v>3112373</v>
      </c>
      <c r="AL68" s="117">
        <v>819049</v>
      </c>
      <c r="AM68" s="117">
        <v>818149</v>
      </c>
      <c r="AN68" s="117">
        <v>813360</v>
      </c>
      <c r="AO68" s="117">
        <v>878825</v>
      </c>
      <c r="AP68" s="118">
        <f t="shared" ref="AP68:AP93" si="20">SUM(AL68:AO68)</f>
        <v>3329383</v>
      </c>
      <c r="AQ68" s="117">
        <v>835760</v>
      </c>
      <c r="AR68" s="117">
        <v>876232</v>
      </c>
      <c r="AS68" s="117">
        <v>592569</v>
      </c>
      <c r="AT68" s="117"/>
      <c r="AU68" s="118">
        <f>SUM(AQ68:AT68)</f>
        <v>2304561</v>
      </c>
      <c r="AV68" s="117"/>
      <c r="AW68" s="117"/>
      <c r="AX68" s="117"/>
      <c r="AY68" s="117"/>
      <c r="AZ68" s="118"/>
      <c r="BA68" s="117"/>
    </row>
    <row r="69" spans="1:72">
      <c r="A69" s="357"/>
      <c r="B69" s="11" t="s">
        <v>443</v>
      </c>
      <c r="C69" s="8"/>
      <c r="D69" s="8"/>
      <c r="E69" s="8"/>
      <c r="F69" s="8"/>
      <c r="G69" s="40"/>
      <c r="H69" s="8"/>
      <c r="I69" s="8"/>
      <c r="J69" s="8"/>
      <c r="K69" s="8"/>
      <c r="L69" s="40"/>
      <c r="M69" s="8"/>
      <c r="N69" s="8"/>
      <c r="O69" s="8"/>
      <c r="P69" s="8"/>
      <c r="Q69" s="40"/>
      <c r="R69" s="12"/>
      <c r="S69" s="12"/>
      <c r="T69" s="12"/>
      <c r="U69" s="12"/>
      <c r="V69" s="40"/>
      <c r="W69" s="12"/>
      <c r="X69" s="12"/>
      <c r="Y69" s="12"/>
      <c r="Z69" s="153">
        <v>0</v>
      </c>
      <c r="AA69" s="144">
        <v>0</v>
      </c>
      <c r="AB69" s="153">
        <v>-566576.46236999996</v>
      </c>
      <c r="AC69" s="153">
        <v>-573779.64684000006</v>
      </c>
      <c r="AD69" s="153">
        <v>-736097.70926999999</v>
      </c>
      <c r="AE69" s="153">
        <v>-568769.90661000018</v>
      </c>
      <c r="AF69" s="144">
        <v>-2445223.7250899998</v>
      </c>
      <c r="AG69" s="153">
        <v>-343673</v>
      </c>
      <c r="AH69" s="153">
        <v>-500991</v>
      </c>
      <c r="AI69" s="153">
        <v>-661427</v>
      </c>
      <c r="AJ69" s="153">
        <v>-176688</v>
      </c>
      <c r="AK69" s="144">
        <f t="shared" si="19"/>
        <v>-1682779</v>
      </c>
      <c r="AL69" s="153">
        <v>-349046</v>
      </c>
      <c r="AM69" s="153">
        <v>-298596</v>
      </c>
      <c r="AN69" s="153">
        <v>-264755</v>
      </c>
      <c r="AO69" s="153">
        <v>-293107</v>
      </c>
      <c r="AP69" s="144">
        <f t="shared" si="20"/>
        <v>-1205504</v>
      </c>
      <c r="AQ69" s="153">
        <v>-228325</v>
      </c>
      <c r="AR69" s="121">
        <v>-249074</v>
      </c>
      <c r="AS69" s="121">
        <v>-157021</v>
      </c>
      <c r="AT69" s="153"/>
      <c r="AU69" s="144">
        <f t="shared" ref="AU69:AU93" si="21">SUM(AQ69:AT69)</f>
        <v>-634420</v>
      </c>
      <c r="AV69" s="153"/>
      <c r="AW69" s="153"/>
      <c r="AX69" s="153"/>
      <c r="AY69" s="153"/>
      <c r="AZ69" s="144"/>
      <c r="BA69" s="123"/>
    </row>
    <row r="70" spans="1:72" s="2" customFormat="1">
      <c r="A70" s="356"/>
      <c r="B70" s="9" t="s">
        <v>475</v>
      </c>
      <c r="C70" s="10"/>
      <c r="D70" s="10"/>
      <c r="E70" s="10"/>
      <c r="F70" s="10"/>
      <c r="G70" s="39"/>
      <c r="H70" s="10"/>
      <c r="I70" s="10"/>
      <c r="J70" s="10"/>
      <c r="K70" s="10"/>
      <c r="L70" s="39"/>
      <c r="M70" s="10"/>
      <c r="N70" s="10"/>
      <c r="O70" s="10"/>
      <c r="P70" s="10"/>
      <c r="Q70" s="39"/>
      <c r="R70" s="10"/>
      <c r="S70" s="10"/>
      <c r="T70" s="10"/>
      <c r="U70" s="10"/>
      <c r="V70" s="39"/>
      <c r="W70" s="10"/>
      <c r="X70" s="10"/>
      <c r="Y70" s="10"/>
      <c r="Z70" s="117">
        <v>0</v>
      </c>
      <c r="AA70" s="118">
        <v>0</v>
      </c>
      <c r="AB70" s="117">
        <v>31314.533550000167</v>
      </c>
      <c r="AC70" s="117">
        <v>89128.386880000005</v>
      </c>
      <c r="AD70" s="117">
        <v>162749.82592999958</v>
      </c>
      <c r="AE70" s="117">
        <v>227710.12091000023</v>
      </c>
      <c r="AF70" s="118">
        <v>510902.86726999999</v>
      </c>
      <c r="AG70" s="117">
        <f>SUM(AG68:AG69)</f>
        <v>276426</v>
      </c>
      <c r="AH70" s="117">
        <f>SUM(AH68:AH69)</f>
        <v>327157</v>
      </c>
      <c r="AI70" s="117">
        <f>SUM(AI68:AI69)</f>
        <v>388061</v>
      </c>
      <c r="AJ70" s="117">
        <f>SUM(AJ68:AJ69)</f>
        <v>437950</v>
      </c>
      <c r="AK70" s="118">
        <f t="shared" si="19"/>
        <v>1429594</v>
      </c>
      <c r="AL70" s="117">
        <f>SUM(AL68:AL69)</f>
        <v>470003</v>
      </c>
      <c r="AM70" s="117">
        <v>519553</v>
      </c>
      <c r="AN70" s="117">
        <v>548605</v>
      </c>
      <c r="AO70" s="117">
        <v>585718</v>
      </c>
      <c r="AP70" s="118">
        <f t="shared" si="20"/>
        <v>2123879</v>
      </c>
      <c r="AQ70" s="117">
        <v>607435</v>
      </c>
      <c r="AR70" s="117">
        <f>AR68+AR69</f>
        <v>627158</v>
      </c>
      <c r="AS70" s="117">
        <f>AS68+AS69</f>
        <v>435548</v>
      </c>
      <c r="AT70" s="117">
        <f>AT68+AT69</f>
        <v>0</v>
      </c>
      <c r="AU70" s="118">
        <f t="shared" si="21"/>
        <v>1670141</v>
      </c>
      <c r="AV70" s="117"/>
      <c r="AW70" s="117"/>
      <c r="AX70" s="117"/>
      <c r="AY70" s="117"/>
      <c r="AZ70" s="118"/>
      <c r="BA70" s="117"/>
    </row>
    <row r="71" spans="1:72">
      <c r="A71" s="357"/>
      <c r="B71" s="11" t="s">
        <v>476</v>
      </c>
      <c r="C71" s="8"/>
      <c r="D71" s="8"/>
      <c r="E71" s="8"/>
      <c r="F71" s="8"/>
      <c r="G71" s="40"/>
      <c r="H71" s="8"/>
      <c r="I71" s="8"/>
      <c r="J71" s="8"/>
      <c r="K71" s="8"/>
      <c r="L71" s="40"/>
      <c r="M71" s="8"/>
      <c r="N71" s="8"/>
      <c r="O71" s="8"/>
      <c r="P71" s="8"/>
      <c r="Q71" s="40"/>
      <c r="R71" s="1"/>
      <c r="S71" s="1"/>
      <c r="T71" s="1"/>
      <c r="U71" s="1"/>
      <c r="V71" s="40"/>
      <c r="W71" s="1"/>
      <c r="X71" s="1"/>
      <c r="Y71" s="1"/>
      <c r="Z71" s="121">
        <v>0</v>
      </c>
      <c r="AA71" s="144">
        <v>0</v>
      </c>
      <c r="AB71" s="158">
        <v>0</v>
      </c>
      <c r="AC71" s="158">
        <v>0</v>
      </c>
      <c r="AD71" s="158">
        <v>0</v>
      </c>
      <c r="AE71" s="158">
        <v>0</v>
      </c>
      <c r="AF71" s="144">
        <v>0</v>
      </c>
      <c r="AG71" s="158">
        <v>0</v>
      </c>
      <c r="AH71" s="158">
        <v>0</v>
      </c>
      <c r="AI71" s="158">
        <v>0</v>
      </c>
      <c r="AJ71" s="158">
        <v>0</v>
      </c>
      <c r="AK71" s="144">
        <f t="shared" si="19"/>
        <v>0</v>
      </c>
      <c r="AL71" s="158">
        <v>0</v>
      </c>
      <c r="AM71" s="158">
        <v>0</v>
      </c>
      <c r="AN71" s="158">
        <v>0</v>
      </c>
      <c r="AO71" s="158">
        <v>0</v>
      </c>
      <c r="AP71" s="144">
        <f t="shared" si="20"/>
        <v>0</v>
      </c>
      <c r="AQ71" s="158">
        <v>0</v>
      </c>
      <c r="AR71" s="121">
        <v>0</v>
      </c>
      <c r="AS71" s="121">
        <v>0</v>
      </c>
      <c r="AT71" s="158"/>
      <c r="AU71" s="144">
        <f t="shared" si="21"/>
        <v>0</v>
      </c>
      <c r="AV71" s="158"/>
      <c r="AW71" s="158"/>
      <c r="AX71" s="158"/>
      <c r="AY71" s="158"/>
      <c r="AZ71" s="144"/>
      <c r="BA71" s="123"/>
    </row>
    <row r="72" spans="1:72">
      <c r="A72" s="357"/>
      <c r="B72" s="11" t="s">
        <v>477</v>
      </c>
      <c r="C72" s="8"/>
      <c r="D72" s="8"/>
      <c r="E72" s="8"/>
      <c r="F72" s="8"/>
      <c r="G72" s="40"/>
      <c r="H72" s="8"/>
      <c r="I72" s="8"/>
      <c r="J72" s="8"/>
      <c r="K72" s="8"/>
      <c r="L72" s="40"/>
      <c r="M72" s="8"/>
      <c r="N72" s="8"/>
      <c r="O72" s="8"/>
      <c r="P72" s="8"/>
      <c r="Q72" s="40"/>
      <c r="R72" s="12"/>
      <c r="S72" s="12"/>
      <c r="T72" s="12"/>
      <c r="U72" s="12"/>
      <c r="V72" s="40"/>
      <c r="W72" s="12"/>
      <c r="X72" s="12"/>
      <c r="Y72" s="12"/>
      <c r="Z72" s="153">
        <v>0</v>
      </c>
      <c r="AA72" s="144">
        <v>0</v>
      </c>
      <c r="AB72" s="153">
        <v>-1685.86781</v>
      </c>
      <c r="AC72" s="153">
        <v>-8012.6489099999999</v>
      </c>
      <c r="AD72" s="153">
        <v>-7771.8813299999993</v>
      </c>
      <c r="AE72" s="153">
        <v>-16068.68095</v>
      </c>
      <c r="AF72" s="144">
        <v>-33539.078999999998</v>
      </c>
      <c r="AG72" s="153">
        <v>-28306</v>
      </c>
      <c r="AH72" s="153">
        <v>-23216</v>
      </c>
      <c r="AI72" s="153">
        <v>-42716</v>
      </c>
      <c r="AJ72" s="153">
        <v>-56326</v>
      </c>
      <c r="AK72" s="144">
        <f t="shared" si="19"/>
        <v>-150564</v>
      </c>
      <c r="AL72" s="153">
        <v>-51991</v>
      </c>
      <c r="AM72" s="153">
        <v>-76231</v>
      </c>
      <c r="AN72" s="153">
        <v>-67514</v>
      </c>
      <c r="AO72" s="153">
        <v>-73566</v>
      </c>
      <c r="AP72" s="144">
        <f t="shared" si="20"/>
        <v>-269302</v>
      </c>
      <c r="AQ72" s="153">
        <v>-74637</v>
      </c>
      <c r="AR72" s="153">
        <v>-159629</v>
      </c>
      <c r="AS72" s="153">
        <v>-59868</v>
      </c>
      <c r="AT72" s="153"/>
      <c r="AU72" s="144">
        <f t="shared" si="21"/>
        <v>-294134</v>
      </c>
      <c r="AV72" s="153"/>
      <c r="AW72" s="153"/>
      <c r="AX72" s="153"/>
      <c r="AY72" s="153"/>
      <c r="AZ72" s="144"/>
      <c r="BA72" s="123"/>
    </row>
    <row r="73" spans="1:72">
      <c r="A73" s="357"/>
      <c r="B73" s="11" t="s">
        <v>525</v>
      </c>
      <c r="C73" s="8"/>
      <c r="D73" s="8"/>
      <c r="E73" s="8"/>
      <c r="F73" s="8"/>
      <c r="G73" s="40"/>
      <c r="H73" s="8"/>
      <c r="I73" s="8"/>
      <c r="J73" s="8"/>
      <c r="K73" s="8"/>
      <c r="L73" s="40"/>
      <c r="M73" s="8"/>
      <c r="N73" s="8"/>
      <c r="O73" s="8"/>
      <c r="P73" s="8"/>
      <c r="Q73" s="40"/>
      <c r="R73" s="12"/>
      <c r="S73" s="12"/>
      <c r="T73" s="12"/>
      <c r="U73" s="12"/>
      <c r="V73" s="40"/>
      <c r="W73" s="12"/>
      <c r="X73" s="12"/>
      <c r="Y73" s="12"/>
      <c r="Z73" s="153">
        <v>0</v>
      </c>
      <c r="AA73" s="144">
        <v>0</v>
      </c>
      <c r="AB73" s="153">
        <v>-21171.079079999974</v>
      </c>
      <c r="AC73" s="153">
        <v>-34115.547020000027</v>
      </c>
      <c r="AD73" s="153">
        <v>-63358.311219999952</v>
      </c>
      <c r="AE73" s="153">
        <v>-81628.076670000009</v>
      </c>
      <c r="AF73" s="144">
        <v>-200273.01398999995</v>
      </c>
      <c r="AG73" s="153">
        <v>-100146.81653</v>
      </c>
      <c r="AH73" s="153">
        <v>-111298.16868</v>
      </c>
      <c r="AI73" s="153">
        <v>-131992.83077</v>
      </c>
      <c r="AJ73" s="153">
        <v>-133884</v>
      </c>
      <c r="AK73" s="144">
        <f t="shared" si="19"/>
        <v>-477321.81598000001</v>
      </c>
      <c r="AL73" s="153">
        <v>-143635</v>
      </c>
      <c r="AM73" s="153">
        <v>-182253</v>
      </c>
      <c r="AN73" s="153">
        <v>-171120</v>
      </c>
      <c r="AO73" s="153">
        <v>-211865</v>
      </c>
      <c r="AP73" s="144">
        <f t="shared" si="20"/>
        <v>-708873</v>
      </c>
      <c r="AQ73" s="153">
        <v>-187325</v>
      </c>
      <c r="AR73" s="153">
        <v>-195901</v>
      </c>
      <c r="AS73" s="153">
        <v>-137924</v>
      </c>
      <c r="AT73" s="153"/>
      <c r="AU73" s="144">
        <f t="shared" si="21"/>
        <v>-521150</v>
      </c>
      <c r="AV73" s="153"/>
      <c r="AW73" s="153"/>
      <c r="AX73" s="153"/>
      <c r="AY73" s="153"/>
      <c r="AZ73" s="144"/>
      <c r="BA73" s="123"/>
    </row>
    <row r="74" spans="1:72">
      <c r="A74" s="357"/>
      <c r="B74" s="11" t="s">
        <v>526</v>
      </c>
      <c r="C74" s="8"/>
      <c r="D74" s="8"/>
      <c r="E74" s="8"/>
      <c r="F74" s="8"/>
      <c r="G74" s="40"/>
      <c r="H74" s="8"/>
      <c r="I74" s="8"/>
      <c r="J74" s="8"/>
      <c r="K74" s="8"/>
      <c r="L74" s="40"/>
      <c r="M74" s="8"/>
      <c r="N74" s="8"/>
      <c r="O74" s="8"/>
      <c r="P74" s="8"/>
      <c r="Q74" s="40"/>
      <c r="R74" s="12"/>
      <c r="S74" s="12"/>
      <c r="T74" s="12"/>
      <c r="U74" s="12"/>
      <c r="V74" s="40"/>
      <c r="W74" s="12"/>
      <c r="X74" s="12"/>
      <c r="Y74" s="12"/>
      <c r="Z74" s="153"/>
      <c r="AA74" s="144"/>
      <c r="AB74" s="153"/>
      <c r="AC74" s="153"/>
      <c r="AD74" s="153"/>
      <c r="AE74" s="153"/>
      <c r="AF74" s="144"/>
      <c r="AG74" s="153">
        <v>-64545.183470000004</v>
      </c>
      <c r="AH74" s="153">
        <v>11793.168680000001</v>
      </c>
      <c r="AI74" s="153">
        <v>-37861.16923</v>
      </c>
      <c r="AJ74" s="153">
        <v>4174</v>
      </c>
      <c r="AK74" s="144">
        <f>SUM(AG74:AJ74)</f>
        <v>-86439.184020000001</v>
      </c>
      <c r="AL74" s="153">
        <v>-731</v>
      </c>
      <c r="AM74" s="153">
        <v>22300</v>
      </c>
      <c r="AN74" s="153">
        <v>15045</v>
      </c>
      <c r="AO74" s="153">
        <v>8288</v>
      </c>
      <c r="AP74" s="144">
        <f t="shared" si="20"/>
        <v>44902</v>
      </c>
      <c r="AQ74" s="153">
        <v>0</v>
      </c>
      <c r="AR74" s="153">
        <v>0</v>
      </c>
      <c r="AS74" s="153">
        <v>-2487</v>
      </c>
      <c r="AT74" s="153"/>
      <c r="AU74" s="144">
        <f t="shared" si="21"/>
        <v>-2487</v>
      </c>
      <c r="AV74" s="153"/>
      <c r="AW74" s="153"/>
      <c r="AX74" s="153"/>
      <c r="AY74" s="153"/>
      <c r="AZ74" s="144"/>
      <c r="BA74" s="123"/>
    </row>
    <row r="75" spans="1:72">
      <c r="A75" s="357"/>
      <c r="B75" s="11" t="s">
        <v>479</v>
      </c>
      <c r="C75" s="8"/>
      <c r="D75" s="8"/>
      <c r="E75" s="8"/>
      <c r="F75" s="8"/>
      <c r="G75" s="40"/>
      <c r="H75" s="8"/>
      <c r="I75" s="8"/>
      <c r="J75" s="8"/>
      <c r="K75" s="8"/>
      <c r="L75" s="40"/>
      <c r="M75" s="8"/>
      <c r="N75" s="8"/>
      <c r="O75" s="8"/>
      <c r="P75" s="8"/>
      <c r="Q75" s="40"/>
      <c r="R75" s="12"/>
      <c r="S75" s="12"/>
      <c r="T75" s="12"/>
      <c r="U75" s="12"/>
      <c r="V75" s="40"/>
      <c r="W75" s="12"/>
      <c r="X75" s="12"/>
      <c r="Y75" s="12"/>
      <c r="Z75" s="153">
        <v>0</v>
      </c>
      <c r="AA75" s="144">
        <v>0</v>
      </c>
      <c r="AB75" s="153">
        <v>-2004.21363</v>
      </c>
      <c r="AC75" s="153">
        <v>-12625.60988</v>
      </c>
      <c r="AD75" s="153">
        <v>-9379.8720599999997</v>
      </c>
      <c r="AE75" s="153">
        <v>-14873.137709999997</v>
      </c>
      <c r="AF75" s="144">
        <v>-38882.833279999999</v>
      </c>
      <c r="AG75" s="153">
        <v>-16216</v>
      </c>
      <c r="AH75" s="153">
        <v>-27872</v>
      </c>
      <c r="AI75" s="153">
        <v>2439</v>
      </c>
      <c r="AJ75" s="153">
        <v>-14099</v>
      </c>
      <c r="AK75" s="144">
        <f t="shared" si="19"/>
        <v>-55748</v>
      </c>
      <c r="AL75" s="153">
        <v>-14086</v>
      </c>
      <c r="AM75" s="153">
        <v>-15991</v>
      </c>
      <c r="AN75" s="153">
        <v>-15970</v>
      </c>
      <c r="AO75" s="153">
        <v>-16679</v>
      </c>
      <c r="AP75" s="144">
        <f t="shared" si="20"/>
        <v>-62726</v>
      </c>
      <c r="AQ75" s="153">
        <v>-14826</v>
      </c>
      <c r="AR75" s="153">
        <v>-22725</v>
      </c>
      <c r="AS75" s="153">
        <v>-12256</v>
      </c>
      <c r="AT75" s="153"/>
      <c r="AU75" s="144">
        <f t="shared" si="21"/>
        <v>-49807</v>
      </c>
      <c r="AV75" s="153"/>
      <c r="AW75" s="153"/>
      <c r="AX75" s="153"/>
      <c r="AY75" s="153"/>
      <c r="AZ75" s="144"/>
      <c r="BA75" s="123"/>
    </row>
    <row r="76" spans="1:72">
      <c r="A76" s="357"/>
      <c r="B76" s="11" t="s">
        <v>480</v>
      </c>
      <c r="C76" s="8"/>
      <c r="D76" s="8"/>
      <c r="E76" s="8"/>
      <c r="F76" s="8"/>
      <c r="G76" s="40"/>
      <c r="H76" s="8"/>
      <c r="I76" s="8"/>
      <c r="J76" s="8"/>
      <c r="K76" s="8"/>
      <c r="L76" s="40"/>
      <c r="M76" s="8"/>
      <c r="N76" s="8"/>
      <c r="O76" s="8"/>
      <c r="P76" s="8"/>
      <c r="Q76" s="40"/>
      <c r="R76" s="12"/>
      <c r="S76" s="12"/>
      <c r="T76" s="12"/>
      <c r="U76" s="12"/>
      <c r="V76" s="40"/>
      <c r="W76" s="12"/>
      <c r="X76" s="12"/>
      <c r="Y76" s="12"/>
      <c r="Z76" s="153">
        <v>0</v>
      </c>
      <c r="AA76" s="144">
        <v>0</v>
      </c>
      <c r="AB76" s="153">
        <v>-364.48274000000021</v>
      </c>
      <c r="AC76" s="153">
        <v>-251.24272000000002</v>
      </c>
      <c r="AD76" s="153">
        <v>-418.00799000000001</v>
      </c>
      <c r="AE76" s="153">
        <v>-363.68475000000001</v>
      </c>
      <c r="AF76" s="144">
        <v>-1397.4182000000001</v>
      </c>
      <c r="AG76" s="153">
        <v>-266</v>
      </c>
      <c r="AH76" s="153">
        <v>-813</v>
      </c>
      <c r="AI76" s="153">
        <v>-1174</v>
      </c>
      <c r="AJ76" s="153">
        <v>-856</v>
      </c>
      <c r="AK76" s="144">
        <f t="shared" si="19"/>
        <v>-3109</v>
      </c>
      <c r="AL76" s="153">
        <v>-1319</v>
      </c>
      <c r="AM76" s="153">
        <v>-1272</v>
      </c>
      <c r="AN76" s="153">
        <v>-1065</v>
      </c>
      <c r="AO76" s="153">
        <v>3485</v>
      </c>
      <c r="AP76" s="144">
        <f t="shared" si="20"/>
        <v>-171</v>
      </c>
      <c r="AQ76" s="153">
        <v>-1</v>
      </c>
      <c r="AR76" s="153">
        <v>-4681</v>
      </c>
      <c r="AS76" s="153">
        <v>0</v>
      </c>
      <c r="AT76" s="153"/>
      <c r="AU76" s="144">
        <f t="shared" si="21"/>
        <v>-4682</v>
      </c>
      <c r="AV76" s="153"/>
      <c r="AW76" s="153"/>
      <c r="AX76" s="153"/>
      <c r="AY76" s="153"/>
      <c r="AZ76" s="144"/>
      <c r="BA76" s="123"/>
    </row>
    <row r="77" spans="1:72" s="2" customFormat="1">
      <c r="A77" s="356"/>
      <c r="B77" s="9" t="s">
        <v>412</v>
      </c>
      <c r="C77" s="10"/>
      <c r="D77" s="10"/>
      <c r="E77" s="10"/>
      <c r="F77" s="10"/>
      <c r="G77" s="39"/>
      <c r="H77" s="10"/>
      <c r="I77" s="10"/>
      <c r="J77" s="10"/>
      <c r="K77" s="10"/>
      <c r="L77" s="39"/>
      <c r="M77" s="10"/>
      <c r="N77" s="10"/>
      <c r="O77" s="10"/>
      <c r="P77" s="10"/>
      <c r="Q77" s="39"/>
      <c r="R77" s="10"/>
      <c r="S77" s="10"/>
      <c r="T77" s="10"/>
      <c r="U77" s="10"/>
      <c r="V77" s="39"/>
      <c r="W77" s="10"/>
      <c r="X77" s="10"/>
      <c r="Y77" s="10"/>
      <c r="Z77" s="117">
        <v>0</v>
      </c>
      <c r="AA77" s="118">
        <v>0</v>
      </c>
      <c r="AB77" s="117">
        <v>6088.8902900007961</v>
      </c>
      <c r="AC77" s="117">
        <v>34123.338349996688</v>
      </c>
      <c r="AD77" s="117">
        <v>81821.753330001346</v>
      </c>
      <c r="AE77" s="117">
        <v>114776.54083000022</v>
      </c>
      <c r="AF77" s="118">
        <v>236810.52279999905</v>
      </c>
      <c r="AG77" s="117">
        <f>SUM(AG70:AG76)</f>
        <v>66945.999999999985</v>
      </c>
      <c r="AH77" s="117">
        <f>SUM(AH70:AH76)</f>
        <v>175751</v>
      </c>
      <c r="AI77" s="117">
        <f>SUM(AI70:AI76)</f>
        <v>176756</v>
      </c>
      <c r="AJ77" s="117">
        <f>SUM(AJ70:AJ76)</f>
        <v>236959</v>
      </c>
      <c r="AK77" s="118">
        <f t="shared" si="19"/>
        <v>656412</v>
      </c>
      <c r="AL77" s="117">
        <f>SUM(AL70:AL76)</f>
        <v>258241</v>
      </c>
      <c r="AM77" s="117">
        <f>SUM(AM70:AM76)</f>
        <v>266106</v>
      </c>
      <c r="AN77" s="117">
        <v>307981</v>
      </c>
      <c r="AO77" s="117">
        <v>295381</v>
      </c>
      <c r="AP77" s="118">
        <f t="shared" si="20"/>
        <v>1127709</v>
      </c>
      <c r="AQ77" s="117">
        <v>330646</v>
      </c>
      <c r="AR77" s="117">
        <f>SUM(AR70:AR76)</f>
        <v>244222</v>
      </c>
      <c r="AS77" s="117">
        <f>SUM(AS70:AS76)</f>
        <v>223013</v>
      </c>
      <c r="AT77" s="117">
        <f>SUM(AT70:AT76)</f>
        <v>0</v>
      </c>
      <c r="AU77" s="118">
        <f t="shared" si="21"/>
        <v>797881</v>
      </c>
      <c r="AV77" s="117"/>
      <c r="AW77" s="117"/>
      <c r="AX77" s="117"/>
      <c r="AY77" s="117"/>
      <c r="AZ77" s="118"/>
      <c r="BA77" s="117"/>
    </row>
    <row r="78" spans="1:72">
      <c r="A78" s="357"/>
      <c r="B78" s="11" t="s">
        <v>413</v>
      </c>
      <c r="C78" s="8"/>
      <c r="D78" s="8"/>
      <c r="E78" s="8"/>
      <c r="F78" s="8"/>
      <c r="G78" s="40"/>
      <c r="H78" s="8"/>
      <c r="I78" s="8"/>
      <c r="J78" s="8"/>
      <c r="K78" s="8"/>
      <c r="L78" s="40"/>
      <c r="M78" s="8"/>
      <c r="N78" s="8"/>
      <c r="O78" s="8"/>
      <c r="P78" s="8"/>
      <c r="Q78" s="40"/>
      <c r="R78" s="12"/>
      <c r="S78" s="12"/>
      <c r="T78" s="12"/>
      <c r="U78" s="12"/>
      <c r="V78" s="40"/>
      <c r="W78" s="12"/>
      <c r="X78" s="12"/>
      <c r="Y78" s="12"/>
      <c r="Z78" s="153">
        <v>-31.883089999999999</v>
      </c>
      <c r="AA78" s="144">
        <v>-31.883089999999999</v>
      </c>
      <c r="AB78" s="153">
        <v>-70658.282799999986</v>
      </c>
      <c r="AC78" s="153">
        <v>-75865.591070000024</v>
      </c>
      <c r="AD78" s="153">
        <v>-82740.807270000019</v>
      </c>
      <c r="AE78" s="153">
        <v>-87031</v>
      </c>
      <c r="AF78" s="144">
        <v>-316295.68114</v>
      </c>
      <c r="AG78" s="153">
        <v>-89970</v>
      </c>
      <c r="AH78" s="153">
        <v>-119692</v>
      </c>
      <c r="AI78" s="153">
        <v>-110318</v>
      </c>
      <c r="AJ78" s="153">
        <v>-118366</v>
      </c>
      <c r="AK78" s="144">
        <f t="shared" si="19"/>
        <v>-438346</v>
      </c>
      <c r="AL78" s="153">
        <v>-115385</v>
      </c>
      <c r="AM78" s="153">
        <v>-87614</v>
      </c>
      <c r="AN78" s="153">
        <v>-104885</v>
      </c>
      <c r="AO78" s="153">
        <v>-105205</v>
      </c>
      <c r="AP78" s="144">
        <f t="shared" si="20"/>
        <v>-413089</v>
      </c>
      <c r="AQ78" s="153">
        <v>-104222</v>
      </c>
      <c r="AR78" s="153">
        <v>-108799</v>
      </c>
      <c r="AS78" s="153">
        <v>-82169</v>
      </c>
      <c r="AT78" s="153"/>
      <c r="AU78" s="144">
        <f t="shared" si="21"/>
        <v>-295190</v>
      </c>
      <c r="AV78" s="153"/>
      <c r="AW78" s="153"/>
      <c r="AX78" s="153"/>
      <c r="AY78" s="153"/>
      <c r="AZ78" s="144"/>
      <c r="BA78" s="123"/>
    </row>
    <row r="79" spans="1:72">
      <c r="A79" s="357"/>
      <c r="B79" s="11" t="s">
        <v>414</v>
      </c>
      <c r="C79" s="13"/>
      <c r="D79" s="13"/>
      <c r="E79" s="13"/>
      <c r="F79" s="13"/>
      <c r="G79" s="41"/>
      <c r="H79" s="13"/>
      <c r="I79" s="13"/>
      <c r="J79" s="13"/>
      <c r="K79" s="13"/>
      <c r="L79" s="41"/>
      <c r="M79" s="13"/>
      <c r="N79" s="13"/>
      <c r="O79" s="13"/>
      <c r="P79" s="13"/>
      <c r="Q79" s="41"/>
      <c r="R79" s="13"/>
      <c r="S79" s="13"/>
      <c r="T79" s="13"/>
      <c r="U79" s="13"/>
      <c r="V79" s="41"/>
      <c r="W79" s="13"/>
      <c r="X79" s="13"/>
      <c r="Y79" s="13"/>
      <c r="Z79" s="120">
        <v>-25.272410000000001</v>
      </c>
      <c r="AA79" s="154">
        <v>-25.272410000000001</v>
      </c>
      <c r="AB79" s="120">
        <v>-1555.4643299999998</v>
      </c>
      <c r="AC79" s="120">
        <v>-4536.3521600000004</v>
      </c>
      <c r="AD79" s="120">
        <v>-8547.4487499999996</v>
      </c>
      <c r="AE79" s="153">
        <v>-12066.026820000001</v>
      </c>
      <c r="AF79" s="154">
        <v>-26705.29206</v>
      </c>
      <c r="AG79" s="153">
        <v>-15165</v>
      </c>
      <c r="AH79" s="153">
        <v>-17361</v>
      </c>
      <c r="AI79" s="153">
        <v>-20241</v>
      </c>
      <c r="AJ79" s="153">
        <v>-23440</v>
      </c>
      <c r="AK79" s="154">
        <f t="shared" si="19"/>
        <v>-76207</v>
      </c>
      <c r="AL79" s="153">
        <v>-25434</v>
      </c>
      <c r="AM79" s="153">
        <v>-28473</v>
      </c>
      <c r="AN79" s="153">
        <v>-29143</v>
      </c>
      <c r="AO79" s="153">
        <v>-30623</v>
      </c>
      <c r="AP79" s="154">
        <f t="shared" si="20"/>
        <v>-113673</v>
      </c>
      <c r="AQ79" s="153">
        <v>-31627</v>
      </c>
      <c r="AR79" s="153">
        <v>-35224</v>
      </c>
      <c r="AS79" s="153">
        <v>-23202</v>
      </c>
      <c r="AT79" s="153"/>
      <c r="AU79" s="154">
        <f t="shared" si="21"/>
        <v>-90053</v>
      </c>
      <c r="AV79" s="153"/>
      <c r="AW79" s="153"/>
      <c r="AX79" s="153"/>
      <c r="AY79" s="153"/>
      <c r="AZ79" s="154"/>
      <c r="BA79" s="120"/>
    </row>
    <row r="80" spans="1:72">
      <c r="A80" s="357"/>
      <c r="B80" s="11" t="s">
        <v>415</v>
      </c>
      <c r="C80" s="13"/>
      <c r="D80" s="13"/>
      <c r="E80" s="13"/>
      <c r="F80" s="13"/>
      <c r="G80" s="41"/>
      <c r="H80" s="13"/>
      <c r="I80" s="13"/>
      <c r="J80" s="13"/>
      <c r="K80" s="13"/>
      <c r="L80" s="41"/>
      <c r="M80" s="13"/>
      <c r="N80" s="13"/>
      <c r="O80" s="13"/>
      <c r="P80" s="13"/>
      <c r="Q80" s="41"/>
      <c r="R80" s="13"/>
      <c r="S80" s="13"/>
      <c r="T80" s="13"/>
      <c r="U80" s="13"/>
      <c r="V80" s="41"/>
      <c r="W80" s="13"/>
      <c r="X80" s="13"/>
      <c r="Y80" s="13"/>
      <c r="Z80" s="120">
        <v>249.60272999999998</v>
      </c>
      <c r="AA80" s="154">
        <v>249.60272999999998</v>
      </c>
      <c r="AB80" s="120">
        <v>6926.1727299999984</v>
      </c>
      <c r="AC80" s="120">
        <v>15734.644509999995</v>
      </c>
      <c r="AD80" s="120">
        <v>31517.599849999988</v>
      </c>
      <c r="AE80" s="153">
        <v>44611.355019999995</v>
      </c>
      <c r="AF80" s="154">
        <v>98789.772109999976</v>
      </c>
      <c r="AG80" s="153">
        <v>57573</v>
      </c>
      <c r="AH80" s="153">
        <v>64169</v>
      </c>
      <c r="AI80" s="153">
        <v>92344</v>
      </c>
      <c r="AJ80" s="153">
        <v>111098</v>
      </c>
      <c r="AK80" s="154">
        <f t="shared" si="19"/>
        <v>325184</v>
      </c>
      <c r="AL80" s="153">
        <v>141011</v>
      </c>
      <c r="AM80" s="153">
        <v>153326</v>
      </c>
      <c r="AN80" s="153">
        <v>165885</v>
      </c>
      <c r="AO80" s="153">
        <v>150438</v>
      </c>
      <c r="AP80" s="154">
        <f t="shared" si="20"/>
        <v>610660</v>
      </c>
      <c r="AQ80" s="153">
        <v>157222</v>
      </c>
      <c r="AR80" s="153">
        <v>162416</v>
      </c>
      <c r="AS80" s="153">
        <v>118764</v>
      </c>
      <c r="AT80" s="153"/>
      <c r="AU80" s="154">
        <f t="shared" si="21"/>
        <v>438402</v>
      </c>
      <c r="AV80" s="153"/>
      <c r="AW80" s="153"/>
      <c r="AX80" s="153"/>
      <c r="AY80" s="153"/>
      <c r="AZ80" s="154"/>
      <c r="BA80" s="120"/>
    </row>
    <row r="81" spans="1:72">
      <c r="A81" s="357"/>
      <c r="B81" s="11" t="s">
        <v>416</v>
      </c>
      <c r="C81" s="8"/>
      <c r="D81" s="8"/>
      <c r="E81" s="8"/>
      <c r="F81" s="8"/>
      <c r="G81" s="40"/>
      <c r="H81" s="8"/>
      <c r="I81" s="8"/>
      <c r="J81" s="8"/>
      <c r="K81" s="8"/>
      <c r="L81" s="40"/>
      <c r="M81" s="8"/>
      <c r="N81" s="8"/>
      <c r="O81" s="8"/>
      <c r="P81" s="8"/>
      <c r="Q81" s="40"/>
      <c r="R81" s="12"/>
      <c r="S81" s="12"/>
      <c r="T81" s="12"/>
      <c r="U81" s="12"/>
      <c r="V81" s="40"/>
      <c r="W81" s="12"/>
      <c r="X81" s="12"/>
      <c r="Y81" s="12"/>
      <c r="Z81" s="153">
        <v>0</v>
      </c>
      <c r="AA81" s="144">
        <v>0</v>
      </c>
      <c r="AB81" s="153">
        <v>0</v>
      </c>
      <c r="AC81" s="153">
        <v>0</v>
      </c>
      <c r="AD81" s="153">
        <v>0</v>
      </c>
      <c r="AE81" s="153">
        <v>0</v>
      </c>
      <c r="AF81" s="144">
        <v>0</v>
      </c>
      <c r="AG81" s="153">
        <v>0</v>
      </c>
      <c r="AH81" s="153">
        <v>0</v>
      </c>
      <c r="AI81" s="153">
        <v>0</v>
      </c>
      <c r="AJ81" s="153">
        <v>0</v>
      </c>
      <c r="AK81" s="144">
        <f t="shared" si="19"/>
        <v>0</v>
      </c>
      <c r="AL81" s="153">
        <v>0</v>
      </c>
      <c r="AM81" s="153">
        <v>0</v>
      </c>
      <c r="AN81" s="153">
        <v>0</v>
      </c>
      <c r="AO81" s="153">
        <v>0</v>
      </c>
      <c r="AP81" s="144">
        <f t="shared" si="20"/>
        <v>0</v>
      </c>
      <c r="AQ81" s="153">
        <v>0</v>
      </c>
      <c r="AR81" s="153">
        <v>0</v>
      </c>
      <c r="AS81" s="153">
        <v>0</v>
      </c>
      <c r="AT81" s="153"/>
      <c r="AU81" s="144">
        <f t="shared" si="21"/>
        <v>0</v>
      </c>
      <c r="AV81" s="153"/>
      <c r="AW81" s="153"/>
      <c r="AX81" s="153"/>
      <c r="AY81" s="153"/>
      <c r="AZ81" s="144"/>
      <c r="BA81" s="123"/>
    </row>
    <row r="82" spans="1:72" s="2" customFormat="1">
      <c r="A82" s="356"/>
      <c r="B82" s="9" t="s">
        <v>418</v>
      </c>
      <c r="C82" s="10"/>
      <c r="D82" s="10"/>
      <c r="E82" s="10"/>
      <c r="F82" s="10"/>
      <c r="G82" s="39"/>
      <c r="H82" s="10"/>
      <c r="I82" s="10"/>
      <c r="J82" s="10"/>
      <c r="K82" s="10"/>
      <c r="L82" s="39"/>
      <c r="M82" s="10"/>
      <c r="N82" s="10"/>
      <c r="O82" s="10"/>
      <c r="P82" s="10"/>
      <c r="Q82" s="39"/>
      <c r="R82" s="10"/>
      <c r="S82" s="10"/>
      <c r="T82" s="10"/>
      <c r="U82" s="10"/>
      <c r="V82" s="39"/>
      <c r="W82" s="10"/>
      <c r="X82" s="10"/>
      <c r="Y82" s="10"/>
      <c r="Z82" s="117">
        <v>192.44722999999999</v>
      </c>
      <c r="AA82" s="118">
        <v>192.44722999999999</v>
      </c>
      <c r="AB82" s="117">
        <v>-59198.684109999194</v>
      </c>
      <c r="AC82" s="117">
        <v>-30543.960370003344</v>
      </c>
      <c r="AD82" s="117">
        <v>22051.097160001314</v>
      </c>
      <c r="AE82" s="117">
        <v>60290.869030000213</v>
      </c>
      <c r="AF82" s="118">
        <v>-7400.6782900010076</v>
      </c>
      <c r="AG82" s="117">
        <f t="shared" ref="AG82:AM82" si="22">SUM(AG77:AG81)</f>
        <v>19383.999999999985</v>
      </c>
      <c r="AH82" s="117">
        <f t="shared" si="22"/>
        <v>102867</v>
      </c>
      <c r="AI82" s="117">
        <f t="shared" si="22"/>
        <v>138541</v>
      </c>
      <c r="AJ82" s="117">
        <f t="shared" si="22"/>
        <v>206251</v>
      </c>
      <c r="AK82" s="118">
        <f t="shared" si="22"/>
        <v>467043</v>
      </c>
      <c r="AL82" s="117">
        <f t="shared" si="22"/>
        <v>258433</v>
      </c>
      <c r="AM82" s="117">
        <f t="shared" si="22"/>
        <v>303345</v>
      </c>
      <c r="AN82" s="117">
        <v>339838</v>
      </c>
      <c r="AO82" s="117">
        <v>309991</v>
      </c>
      <c r="AP82" s="118">
        <f t="shared" si="20"/>
        <v>1211607</v>
      </c>
      <c r="AQ82" s="117">
        <v>352019</v>
      </c>
      <c r="AR82" s="117">
        <f>SUM(AR77:AR81)</f>
        <v>262615</v>
      </c>
      <c r="AS82" s="117">
        <f>SUM(AS77:AS81)</f>
        <v>236406</v>
      </c>
      <c r="AT82" s="117">
        <f>SUM(AT77:AT81)</f>
        <v>0</v>
      </c>
      <c r="AU82" s="118">
        <f t="shared" si="21"/>
        <v>851040</v>
      </c>
      <c r="AV82" s="117"/>
      <c r="AW82" s="117"/>
      <c r="AX82" s="117"/>
      <c r="AY82" s="117"/>
      <c r="AZ82" s="118"/>
      <c r="BA82" s="117"/>
    </row>
    <row r="83" spans="1:72">
      <c r="A83" s="357"/>
      <c r="B83" s="11" t="s">
        <v>419</v>
      </c>
      <c r="C83" s="13"/>
      <c r="D83" s="13"/>
      <c r="E83" s="13"/>
      <c r="F83" s="13"/>
      <c r="G83" s="41"/>
      <c r="H83" s="13"/>
      <c r="I83" s="13"/>
      <c r="J83" s="13"/>
      <c r="K83" s="13"/>
      <c r="L83" s="41"/>
      <c r="M83" s="13"/>
      <c r="N83" s="13"/>
      <c r="O83" s="13"/>
      <c r="P83" s="13"/>
      <c r="Q83" s="41"/>
      <c r="R83" s="13"/>
      <c r="S83" s="13"/>
      <c r="T83" s="13"/>
      <c r="U83" s="13"/>
      <c r="V83" s="41"/>
      <c r="W83" s="13"/>
      <c r="X83" s="13"/>
      <c r="Y83" s="13"/>
      <c r="Z83" s="120">
        <v>0</v>
      </c>
      <c r="AA83" s="154">
        <v>0</v>
      </c>
      <c r="AB83" s="120">
        <v>0</v>
      </c>
      <c r="AC83" s="120">
        <v>0</v>
      </c>
      <c r="AD83" s="120">
        <v>0</v>
      </c>
      <c r="AE83" s="120">
        <v>0</v>
      </c>
      <c r="AF83" s="154">
        <v>0</v>
      </c>
      <c r="AG83" s="120">
        <v>869</v>
      </c>
      <c r="AH83" s="120">
        <v>871</v>
      </c>
      <c r="AI83" s="120">
        <v>871</v>
      </c>
      <c r="AJ83" s="120">
        <v>-2557</v>
      </c>
      <c r="AK83" s="154">
        <f t="shared" si="19"/>
        <v>54</v>
      </c>
      <c r="AL83" s="120">
        <v>1</v>
      </c>
      <c r="AM83" s="120">
        <v>0</v>
      </c>
      <c r="AN83" s="120">
        <v>0</v>
      </c>
      <c r="AO83" s="120">
        <v>2433</v>
      </c>
      <c r="AP83" s="154">
        <f t="shared" si="20"/>
        <v>2434</v>
      </c>
      <c r="AQ83" s="120">
        <v>1</v>
      </c>
      <c r="AR83" s="121">
        <v>0</v>
      </c>
      <c r="AS83" s="121">
        <v>0</v>
      </c>
      <c r="AT83" s="120"/>
      <c r="AU83" s="154">
        <f t="shared" si="21"/>
        <v>1</v>
      </c>
      <c r="AV83" s="120"/>
      <c r="AW83" s="120"/>
      <c r="AX83" s="120"/>
      <c r="AY83" s="120"/>
      <c r="AZ83" s="154"/>
      <c r="BA83" s="120"/>
    </row>
    <row r="84" spans="1:72" s="2" customFormat="1">
      <c r="A84" s="356"/>
      <c r="B84" s="9" t="s">
        <v>420</v>
      </c>
      <c r="C84" s="10"/>
      <c r="D84" s="10"/>
      <c r="E84" s="10"/>
      <c r="F84" s="10"/>
      <c r="G84" s="39"/>
      <c r="H84" s="10"/>
      <c r="I84" s="10"/>
      <c r="J84" s="10"/>
      <c r="K84" s="10"/>
      <c r="L84" s="39"/>
      <c r="M84" s="10"/>
      <c r="N84" s="10"/>
      <c r="O84" s="10"/>
      <c r="P84" s="10"/>
      <c r="Q84" s="39"/>
      <c r="R84" s="10"/>
      <c r="S84" s="10"/>
      <c r="T84" s="10"/>
      <c r="U84" s="10"/>
      <c r="V84" s="39"/>
      <c r="W84" s="10"/>
      <c r="X84" s="10"/>
      <c r="Y84" s="10"/>
      <c r="Z84" s="117">
        <v>192.44722999999999</v>
      </c>
      <c r="AA84" s="118">
        <v>192.44722999999999</v>
      </c>
      <c r="AB84" s="117">
        <v>-59198.684109999194</v>
      </c>
      <c r="AC84" s="117">
        <v>-30543.960370003344</v>
      </c>
      <c r="AD84" s="117">
        <v>22051.097160001314</v>
      </c>
      <c r="AE84" s="117">
        <v>63642.651510000229</v>
      </c>
      <c r="AF84" s="118">
        <v>-4048.8958100009913</v>
      </c>
      <c r="AG84" s="117">
        <f>AG82+AG83</f>
        <v>20252.999999999985</v>
      </c>
      <c r="AH84" s="117">
        <f>AH82+AH83</f>
        <v>103738</v>
      </c>
      <c r="AI84" s="117">
        <f>AI82+AI83</f>
        <v>139412</v>
      </c>
      <c r="AJ84" s="117">
        <f>AJ82+AJ83</f>
        <v>203694</v>
      </c>
      <c r="AK84" s="118">
        <f t="shared" si="19"/>
        <v>467097</v>
      </c>
      <c r="AL84" s="117">
        <f>AL82+AL83</f>
        <v>258434</v>
      </c>
      <c r="AM84" s="117">
        <f>AM82+AM83</f>
        <v>303345</v>
      </c>
      <c r="AN84" s="117">
        <v>339838</v>
      </c>
      <c r="AO84" s="117">
        <v>312424</v>
      </c>
      <c r="AP84" s="118">
        <f t="shared" si="20"/>
        <v>1214041</v>
      </c>
      <c r="AQ84" s="117">
        <v>352020</v>
      </c>
      <c r="AR84" s="117">
        <f>AR82+AR83</f>
        <v>262615</v>
      </c>
      <c r="AS84" s="117">
        <f>AS82+AS83</f>
        <v>236406</v>
      </c>
      <c r="AT84" s="117">
        <f>AT82+AT83</f>
        <v>0</v>
      </c>
      <c r="AU84" s="118">
        <f t="shared" si="21"/>
        <v>851041</v>
      </c>
      <c r="AV84" s="117"/>
      <c r="AW84" s="117"/>
      <c r="AX84" s="117"/>
      <c r="AY84" s="117"/>
      <c r="AZ84" s="118"/>
      <c r="BA84" s="117"/>
    </row>
    <row r="85" spans="1:72">
      <c r="A85" s="357"/>
      <c r="B85" s="11" t="s">
        <v>421</v>
      </c>
      <c r="C85" s="13"/>
      <c r="D85" s="13"/>
      <c r="E85" s="13"/>
      <c r="F85" s="13"/>
      <c r="G85" s="41"/>
      <c r="H85" s="13"/>
      <c r="I85" s="13"/>
      <c r="J85" s="13"/>
      <c r="K85" s="13"/>
      <c r="L85" s="41"/>
      <c r="M85" s="13"/>
      <c r="N85" s="13"/>
      <c r="O85" s="13"/>
      <c r="P85" s="13"/>
      <c r="Q85" s="41"/>
      <c r="R85" s="13"/>
      <c r="S85" s="13"/>
      <c r="T85" s="13"/>
      <c r="U85" s="13"/>
      <c r="V85" s="41"/>
      <c r="W85" s="13"/>
      <c r="X85" s="13"/>
      <c r="Y85" s="13"/>
      <c r="Z85" s="120">
        <v>-38.111809999999998</v>
      </c>
      <c r="AA85" s="154">
        <v>-38.111809999999998</v>
      </c>
      <c r="AB85" s="120">
        <v>14797.695460000001</v>
      </c>
      <c r="AC85" s="120">
        <v>7634.0145300000022</v>
      </c>
      <c r="AD85" s="120">
        <v>-5754.3960000000043</v>
      </c>
      <c r="AE85" s="120">
        <v>-14823.771710000001</v>
      </c>
      <c r="AF85" s="154">
        <v>1853.5422799999978</v>
      </c>
      <c r="AG85" s="120">
        <v>-5055</v>
      </c>
      <c r="AH85" s="120">
        <v>-25962</v>
      </c>
      <c r="AI85" s="120">
        <v>-34891</v>
      </c>
      <c r="AJ85" s="120">
        <v>-50837</v>
      </c>
      <c r="AK85" s="154">
        <f t="shared" si="19"/>
        <v>-116745</v>
      </c>
      <c r="AL85" s="120">
        <v>-64538</v>
      </c>
      <c r="AM85" s="120">
        <v>-76054</v>
      </c>
      <c r="AN85" s="120">
        <v>-84794</v>
      </c>
      <c r="AO85" s="120">
        <v>-78240</v>
      </c>
      <c r="AP85" s="154">
        <f t="shared" si="20"/>
        <v>-303626</v>
      </c>
      <c r="AQ85" s="120">
        <v>-87920</v>
      </c>
      <c r="AR85" s="121">
        <v>-65686</v>
      </c>
      <c r="AS85" s="121">
        <v>-55009</v>
      </c>
      <c r="AT85" s="120"/>
      <c r="AU85" s="154">
        <f t="shared" si="21"/>
        <v>-208615</v>
      </c>
      <c r="AV85" s="120"/>
      <c r="AW85" s="120"/>
      <c r="AX85" s="120"/>
      <c r="AY85" s="120"/>
      <c r="AZ85" s="154"/>
      <c r="BA85" s="120"/>
    </row>
    <row r="86" spans="1:72">
      <c r="A86" s="357"/>
      <c r="B86" s="11" t="s">
        <v>422</v>
      </c>
      <c r="C86" s="13"/>
      <c r="D86" s="13"/>
      <c r="E86" s="13"/>
      <c r="F86" s="13"/>
      <c r="G86" s="41"/>
      <c r="H86" s="13"/>
      <c r="I86" s="13"/>
      <c r="J86" s="13"/>
      <c r="K86" s="13"/>
      <c r="L86" s="41"/>
      <c r="M86" s="13"/>
      <c r="N86" s="13"/>
      <c r="O86" s="13"/>
      <c r="P86" s="13"/>
      <c r="Q86" s="41"/>
      <c r="R86" s="13"/>
      <c r="S86" s="13"/>
      <c r="T86" s="13"/>
      <c r="U86" s="13"/>
      <c r="V86" s="41"/>
      <c r="W86" s="13"/>
      <c r="X86" s="13"/>
      <c r="Y86" s="13"/>
      <c r="Z86" s="120">
        <v>-28.867080000000001</v>
      </c>
      <c r="AA86" s="154">
        <v>-28.867080000000001</v>
      </c>
      <c r="AB86" s="120">
        <v>8878.6172800000004</v>
      </c>
      <c r="AC86" s="120">
        <v>5656.9438599999994</v>
      </c>
      <c r="AD86" s="120">
        <v>-4512.7218599999978</v>
      </c>
      <c r="AE86" s="120">
        <v>-9897.8135399999992</v>
      </c>
      <c r="AF86" s="154">
        <v>125.02574000000277</v>
      </c>
      <c r="AG86" s="120">
        <v>-3055</v>
      </c>
      <c r="AH86" s="120">
        <v>-15588</v>
      </c>
      <c r="AI86" s="120">
        <v>-22231</v>
      </c>
      <c r="AJ86" s="120">
        <v>-32633</v>
      </c>
      <c r="AK86" s="154">
        <f t="shared" si="19"/>
        <v>-73507</v>
      </c>
      <c r="AL86" s="120">
        <v>-38781</v>
      </c>
      <c r="AM86" s="120">
        <v>-45558</v>
      </c>
      <c r="AN86" s="120">
        <v>-50995</v>
      </c>
      <c r="AO86" s="120">
        <v>-46708</v>
      </c>
      <c r="AP86" s="154">
        <f t="shared" si="20"/>
        <v>-182042</v>
      </c>
      <c r="AQ86" s="120">
        <v>-52819</v>
      </c>
      <c r="AR86" s="121">
        <v>-39463</v>
      </c>
      <c r="AS86" s="121">
        <v>-36280</v>
      </c>
      <c r="AT86" s="120"/>
      <c r="AU86" s="154">
        <f t="shared" si="21"/>
        <v>-128562</v>
      </c>
      <c r="AV86" s="120"/>
      <c r="AW86" s="120"/>
      <c r="AX86" s="120"/>
      <c r="AY86" s="120"/>
      <c r="AZ86" s="154"/>
      <c r="BA86" s="120"/>
    </row>
    <row r="87" spans="1:72">
      <c r="A87" s="357"/>
      <c r="B87" s="11" t="s">
        <v>423</v>
      </c>
      <c r="C87" s="13"/>
      <c r="D87" s="13"/>
      <c r="E87" s="13"/>
      <c r="F87" s="13"/>
      <c r="G87" s="41"/>
      <c r="H87" s="13"/>
      <c r="I87" s="13"/>
      <c r="J87" s="13"/>
      <c r="K87" s="13"/>
      <c r="L87" s="41"/>
      <c r="M87" s="13"/>
      <c r="N87" s="13"/>
      <c r="O87" s="13"/>
      <c r="P87" s="13"/>
      <c r="Q87" s="41"/>
      <c r="R87" s="13"/>
      <c r="S87" s="13"/>
      <c r="T87" s="13"/>
      <c r="U87" s="13"/>
      <c r="V87" s="41"/>
      <c r="W87" s="13"/>
      <c r="X87" s="13"/>
      <c r="Y87" s="13"/>
      <c r="Z87" s="120">
        <v>0</v>
      </c>
      <c r="AA87" s="154">
        <v>0</v>
      </c>
      <c r="AB87" s="120">
        <v>0</v>
      </c>
      <c r="AC87" s="120">
        <v>0</v>
      </c>
      <c r="AD87" s="120">
        <v>0</v>
      </c>
      <c r="AE87" s="120">
        <v>-3352.05708</v>
      </c>
      <c r="AF87" s="154">
        <v>-3352.05708</v>
      </c>
      <c r="AG87" s="120">
        <v>0</v>
      </c>
      <c r="AH87" s="120">
        <v>0</v>
      </c>
      <c r="AI87" s="120">
        <v>0</v>
      </c>
      <c r="AJ87" s="120">
        <v>0</v>
      </c>
      <c r="AK87" s="154">
        <f t="shared" si="19"/>
        <v>0</v>
      </c>
      <c r="AL87" s="120">
        <v>0</v>
      </c>
      <c r="AM87" s="120">
        <v>0</v>
      </c>
      <c r="AN87" s="120">
        <v>0</v>
      </c>
      <c r="AO87" s="120">
        <v>0</v>
      </c>
      <c r="AP87" s="154">
        <f t="shared" si="20"/>
        <v>0</v>
      </c>
      <c r="AQ87" s="120">
        <v>0</v>
      </c>
      <c r="AR87" s="121">
        <v>0</v>
      </c>
      <c r="AS87" s="121">
        <v>0</v>
      </c>
      <c r="AT87" s="120"/>
      <c r="AU87" s="154">
        <f t="shared" si="21"/>
        <v>0</v>
      </c>
      <c r="AV87" s="120"/>
      <c r="AW87" s="120"/>
      <c r="AX87" s="120"/>
      <c r="AY87" s="120"/>
      <c r="AZ87" s="154"/>
      <c r="BA87" s="120"/>
    </row>
    <row r="88" spans="1:72">
      <c r="A88" s="357"/>
      <c r="B88" s="11" t="s">
        <v>424</v>
      </c>
      <c r="C88" s="13"/>
      <c r="D88" s="13"/>
      <c r="E88" s="13"/>
      <c r="F88" s="13"/>
      <c r="G88" s="41"/>
      <c r="H88" s="13"/>
      <c r="I88" s="13"/>
      <c r="J88" s="13"/>
      <c r="K88" s="13"/>
      <c r="L88" s="41"/>
      <c r="M88" s="13"/>
      <c r="N88" s="13"/>
      <c r="O88" s="13"/>
      <c r="P88" s="13"/>
      <c r="Q88" s="41"/>
      <c r="R88" s="13"/>
      <c r="S88" s="13"/>
      <c r="T88" s="13"/>
      <c r="U88" s="13"/>
      <c r="V88" s="41"/>
      <c r="W88" s="13"/>
      <c r="X88" s="13"/>
      <c r="Y88" s="13"/>
      <c r="Z88" s="120">
        <v>0</v>
      </c>
      <c r="AA88" s="154">
        <v>0</v>
      </c>
      <c r="AB88" s="120">
        <v>0</v>
      </c>
      <c r="AC88" s="120">
        <v>0</v>
      </c>
      <c r="AD88" s="120">
        <v>0</v>
      </c>
      <c r="AE88" s="120" t="s">
        <v>0</v>
      </c>
      <c r="AF88" s="154">
        <v>0</v>
      </c>
      <c r="AG88" s="120">
        <v>0</v>
      </c>
      <c r="AH88" s="120">
        <v>0</v>
      </c>
      <c r="AI88" s="120">
        <v>0</v>
      </c>
      <c r="AJ88" s="120">
        <v>0</v>
      </c>
      <c r="AK88" s="154">
        <f t="shared" si="19"/>
        <v>0</v>
      </c>
      <c r="AL88" s="120">
        <v>0</v>
      </c>
      <c r="AM88" s="120">
        <v>0</v>
      </c>
      <c r="AN88" s="120">
        <v>0</v>
      </c>
      <c r="AO88" s="120">
        <v>0</v>
      </c>
      <c r="AP88" s="154">
        <f t="shared" si="20"/>
        <v>0</v>
      </c>
      <c r="AQ88" s="120">
        <v>0</v>
      </c>
      <c r="AR88" s="121">
        <v>0</v>
      </c>
      <c r="AS88" s="121">
        <v>0</v>
      </c>
      <c r="AT88" s="120"/>
      <c r="AU88" s="154">
        <f t="shared" si="21"/>
        <v>0</v>
      </c>
      <c r="AV88" s="120"/>
      <c r="AW88" s="120"/>
      <c r="AX88" s="120"/>
      <c r="AY88" s="120"/>
      <c r="AZ88" s="154"/>
      <c r="BA88" s="120"/>
    </row>
    <row r="89" spans="1:72" s="2" customFormat="1">
      <c r="A89" s="358"/>
      <c r="B89" s="15" t="s">
        <v>450</v>
      </c>
      <c r="C89" s="16"/>
      <c r="D89" s="16"/>
      <c r="E89" s="16"/>
      <c r="F89" s="16"/>
      <c r="G89" s="45"/>
      <c r="H89" s="16"/>
      <c r="I89" s="16"/>
      <c r="J89" s="16"/>
      <c r="K89" s="16"/>
      <c r="L89" s="45"/>
      <c r="M89" s="16"/>
      <c r="N89" s="16"/>
      <c r="O89" s="16"/>
      <c r="P89" s="16"/>
      <c r="Q89" s="45"/>
      <c r="R89" s="16"/>
      <c r="S89" s="16"/>
      <c r="T89" s="16"/>
      <c r="U89" s="16"/>
      <c r="V89" s="45"/>
      <c r="W89" s="16"/>
      <c r="X89" s="16"/>
      <c r="Y89" s="16"/>
      <c r="Z89" s="155">
        <v>125.46834</v>
      </c>
      <c r="AA89" s="156">
        <v>125.46834</v>
      </c>
      <c r="AB89" s="155">
        <v>-35522.371369999193</v>
      </c>
      <c r="AC89" s="155">
        <v>-17253.001980003341</v>
      </c>
      <c r="AD89" s="155">
        <v>11783.979300001312</v>
      </c>
      <c r="AE89" s="155">
        <v>35569.009180000234</v>
      </c>
      <c r="AF89" s="156">
        <v>-5422.3848700009912</v>
      </c>
      <c r="AG89" s="155">
        <f>SUM(AG84:AG88)</f>
        <v>12142.999999999985</v>
      </c>
      <c r="AH89" s="155">
        <f>SUM(AH84:AH88)</f>
        <v>62188</v>
      </c>
      <c r="AI89" s="155">
        <f>SUM(AI84:AI88)</f>
        <v>82290</v>
      </c>
      <c r="AJ89" s="155">
        <f>SUM(AJ84:AJ88)</f>
        <v>120224</v>
      </c>
      <c r="AK89" s="156">
        <f t="shared" si="19"/>
        <v>276845</v>
      </c>
      <c r="AL89" s="155">
        <f>SUM(AL84:AL88)</f>
        <v>155115</v>
      </c>
      <c r="AM89" s="155">
        <f>SUM(AM84:AM88)</f>
        <v>181733</v>
      </c>
      <c r="AN89" s="155">
        <v>204049</v>
      </c>
      <c r="AO89" s="155">
        <v>187476</v>
      </c>
      <c r="AP89" s="156">
        <f t="shared" si="20"/>
        <v>728373</v>
      </c>
      <c r="AQ89" s="155">
        <f>SUM(AQ84:AQ88)</f>
        <v>211281</v>
      </c>
      <c r="AR89" s="155">
        <f>SUM(AR84:AR88)</f>
        <v>157466</v>
      </c>
      <c r="AS89" s="155">
        <f t="shared" ref="AS89:AT89" si="23">SUM(AS84:AS88)</f>
        <v>145117</v>
      </c>
      <c r="AT89" s="155">
        <f t="shared" si="23"/>
        <v>0</v>
      </c>
      <c r="AU89" s="156">
        <f t="shared" si="21"/>
        <v>513864</v>
      </c>
      <c r="AV89" s="155"/>
      <c r="AW89" s="155"/>
      <c r="AX89" s="155"/>
      <c r="AY89" s="155"/>
      <c r="AZ89" s="156"/>
      <c r="BA89" s="155"/>
    </row>
    <row r="90" spans="1:72">
      <c r="A90" s="357"/>
      <c r="B90" s="11" t="s">
        <v>468</v>
      </c>
      <c r="C90" s="13"/>
      <c r="D90" s="13"/>
      <c r="E90" s="13"/>
      <c r="F90" s="13"/>
      <c r="G90" s="41"/>
      <c r="H90" s="13"/>
      <c r="I90" s="13"/>
      <c r="J90" s="13"/>
      <c r="K90" s="13"/>
      <c r="L90" s="41"/>
      <c r="M90" s="13"/>
      <c r="N90" s="13"/>
      <c r="O90" s="13"/>
      <c r="P90" s="13"/>
      <c r="Q90" s="41"/>
      <c r="R90" s="13"/>
      <c r="S90" s="13"/>
      <c r="T90" s="13"/>
      <c r="U90" s="13"/>
      <c r="V90" s="41"/>
      <c r="W90" s="13"/>
      <c r="X90" s="13"/>
      <c r="Y90" s="13"/>
      <c r="Z90" s="120">
        <v>125.46834</v>
      </c>
      <c r="AA90" s="154">
        <v>125.46834</v>
      </c>
      <c r="AB90" s="120">
        <v>-35522.371369999193</v>
      </c>
      <c r="AC90" s="120">
        <v>-17253.001980003341</v>
      </c>
      <c r="AD90" s="120">
        <v>11783.979300001312</v>
      </c>
      <c r="AE90" s="120">
        <v>35569.009180000234</v>
      </c>
      <c r="AF90" s="154">
        <v>-5422.3848700009912</v>
      </c>
      <c r="AG90" s="120">
        <v>12143</v>
      </c>
      <c r="AH90" s="120">
        <v>62188</v>
      </c>
      <c r="AI90" s="120">
        <v>94433</v>
      </c>
      <c r="AJ90" s="120">
        <v>108081</v>
      </c>
      <c r="AK90" s="154">
        <f t="shared" si="19"/>
        <v>276845</v>
      </c>
      <c r="AL90" s="120">
        <v>155115</v>
      </c>
      <c r="AM90" s="120">
        <f>AM89</f>
        <v>181733</v>
      </c>
      <c r="AN90" s="120">
        <f>AN89</f>
        <v>204049</v>
      </c>
      <c r="AO90" s="120">
        <v>187476</v>
      </c>
      <c r="AP90" s="154">
        <f t="shared" si="20"/>
        <v>728373</v>
      </c>
      <c r="AQ90" s="120">
        <v>211281</v>
      </c>
      <c r="AR90" s="121">
        <v>157468</v>
      </c>
      <c r="AS90" s="121">
        <v>145117</v>
      </c>
      <c r="AT90" s="120"/>
      <c r="AU90" s="154">
        <f t="shared" si="21"/>
        <v>513866</v>
      </c>
      <c r="AV90" s="120"/>
      <c r="AW90" s="120"/>
      <c r="AX90" s="120"/>
      <c r="AY90" s="120"/>
      <c r="AZ90" s="154"/>
      <c r="BA90" s="120"/>
    </row>
    <row r="91" spans="1:72">
      <c r="A91" s="357"/>
      <c r="B91" s="11" t="s">
        <v>436</v>
      </c>
      <c r="C91" s="13"/>
      <c r="D91" s="13"/>
      <c r="E91" s="13"/>
      <c r="F91" s="13"/>
      <c r="G91" s="41"/>
      <c r="H91" s="13"/>
      <c r="I91" s="13"/>
      <c r="J91" s="13"/>
      <c r="K91" s="13"/>
      <c r="L91" s="41"/>
      <c r="M91" s="13"/>
      <c r="N91" s="13"/>
      <c r="O91" s="13"/>
      <c r="P91" s="13"/>
      <c r="Q91" s="41"/>
      <c r="R91" s="13"/>
      <c r="S91" s="13"/>
      <c r="T91" s="13"/>
      <c r="U91" s="13"/>
      <c r="V91" s="41"/>
      <c r="W91" s="13"/>
      <c r="X91" s="13"/>
      <c r="Y91" s="13"/>
      <c r="Z91" s="120">
        <v>0</v>
      </c>
      <c r="AA91" s="154">
        <v>0</v>
      </c>
      <c r="AB91" s="120">
        <v>0</v>
      </c>
      <c r="AC91" s="120">
        <v>0</v>
      </c>
      <c r="AD91" s="120">
        <v>0</v>
      </c>
      <c r="AE91" s="120">
        <v>0</v>
      </c>
      <c r="AF91" s="154">
        <v>0</v>
      </c>
      <c r="AG91" s="120">
        <v>0</v>
      </c>
      <c r="AH91" s="120">
        <v>0</v>
      </c>
      <c r="AI91" s="120">
        <v>1</v>
      </c>
      <c r="AJ91" s="120">
        <v>0</v>
      </c>
      <c r="AK91" s="154">
        <f t="shared" si="19"/>
        <v>1</v>
      </c>
      <c r="AL91" s="120">
        <v>0</v>
      </c>
      <c r="AM91" s="120"/>
      <c r="AN91" s="120"/>
      <c r="AO91" s="120">
        <v>0</v>
      </c>
      <c r="AP91" s="154">
        <f t="shared" si="20"/>
        <v>0</v>
      </c>
      <c r="AQ91" s="120">
        <v>0</v>
      </c>
      <c r="AR91" s="121">
        <v>0</v>
      </c>
      <c r="AS91" s="121">
        <v>0</v>
      </c>
      <c r="AT91" s="120"/>
      <c r="AU91" s="154">
        <f t="shared" si="21"/>
        <v>0</v>
      </c>
      <c r="AV91" s="120"/>
      <c r="AW91" s="120"/>
      <c r="AX91" s="120"/>
      <c r="AY91" s="120"/>
      <c r="AZ91" s="154"/>
      <c r="BA91" s="120"/>
    </row>
    <row r="92" spans="1:72" ht="15" customHeight="1">
      <c r="A92" s="357"/>
      <c r="B92" s="11" t="s">
        <v>470</v>
      </c>
      <c r="C92" s="13"/>
      <c r="D92" s="13"/>
      <c r="E92" s="13"/>
      <c r="F92" s="13"/>
      <c r="G92" s="41"/>
      <c r="H92" s="13"/>
      <c r="I92" s="13"/>
      <c r="J92" s="13"/>
      <c r="K92" s="13"/>
      <c r="L92" s="41"/>
      <c r="M92" s="13"/>
      <c r="N92" s="13"/>
      <c r="O92" s="13"/>
      <c r="P92" s="13"/>
      <c r="Q92" s="41"/>
      <c r="R92" s="13"/>
      <c r="S92" s="13"/>
      <c r="T92" s="13"/>
      <c r="U92" s="13"/>
      <c r="V92" s="41"/>
      <c r="W92" s="13"/>
      <c r="X92" s="13"/>
      <c r="Y92" s="13"/>
      <c r="Z92" s="120">
        <v>125.46834</v>
      </c>
      <c r="AA92" s="154">
        <v>125.46834</v>
      </c>
      <c r="AB92" s="120">
        <v>-35522.371369999193</v>
      </c>
      <c r="AC92" s="120">
        <v>-17253.001980003341</v>
      </c>
      <c r="AD92" s="120">
        <v>11783.979300001312</v>
      </c>
      <c r="AE92" s="120">
        <v>35569.009180000234</v>
      </c>
      <c r="AF92" s="154">
        <v>-5422.3848700009912</v>
      </c>
      <c r="AG92" s="120">
        <v>12143</v>
      </c>
      <c r="AH92" s="120">
        <v>62188</v>
      </c>
      <c r="AI92" s="120">
        <v>94434</v>
      </c>
      <c r="AJ92" s="120">
        <v>108081</v>
      </c>
      <c r="AK92" s="154">
        <f t="shared" si="19"/>
        <v>276846</v>
      </c>
      <c r="AL92" s="120">
        <v>155115</v>
      </c>
      <c r="AM92" s="120">
        <f>AM90+AM91</f>
        <v>181733</v>
      </c>
      <c r="AN92" s="120">
        <f>AN90</f>
        <v>204049</v>
      </c>
      <c r="AO92" s="120">
        <v>187476</v>
      </c>
      <c r="AP92" s="154">
        <f t="shared" si="20"/>
        <v>728373</v>
      </c>
      <c r="AQ92" s="120">
        <v>211281</v>
      </c>
      <c r="AR92" s="121">
        <v>157468</v>
      </c>
      <c r="AS92" s="121">
        <v>145117</v>
      </c>
      <c r="AT92" s="120"/>
      <c r="AU92" s="154">
        <f t="shared" si="21"/>
        <v>513866</v>
      </c>
      <c r="AV92" s="120"/>
      <c r="AW92" s="120"/>
      <c r="AX92" s="120"/>
      <c r="AY92" s="120"/>
      <c r="AZ92" s="154"/>
      <c r="BA92" s="120"/>
      <c r="BB92" s="737"/>
      <c r="BC92" s="737"/>
      <c r="BD92" s="737"/>
      <c r="BE92" s="737"/>
      <c r="BF92" s="737"/>
      <c r="BG92" s="737"/>
      <c r="BH92" s="737"/>
      <c r="BI92" s="737"/>
      <c r="BJ92" s="737"/>
      <c r="BK92" s="737"/>
      <c r="BL92" s="737"/>
      <c r="BM92" s="737"/>
      <c r="BN92" s="737"/>
      <c r="BO92" s="737"/>
      <c r="BP92" s="737"/>
      <c r="BQ92" s="737"/>
      <c r="BR92" s="737"/>
      <c r="BS92" s="737"/>
      <c r="BT92" s="737"/>
    </row>
    <row r="93" spans="1:72">
      <c r="A93" s="357"/>
      <c r="B93" s="11" t="s">
        <v>471</v>
      </c>
      <c r="C93" s="13"/>
      <c r="D93" s="13"/>
      <c r="E93" s="13"/>
      <c r="F93" s="13"/>
      <c r="G93" s="41"/>
      <c r="H93" s="13"/>
      <c r="I93" s="13"/>
      <c r="J93" s="13"/>
      <c r="K93" s="13"/>
      <c r="L93" s="41"/>
      <c r="M93" s="13"/>
      <c r="N93" s="13"/>
      <c r="O93" s="13"/>
      <c r="P93" s="13"/>
      <c r="Q93" s="41"/>
      <c r="R93" s="13"/>
      <c r="S93" s="13"/>
      <c r="T93" s="13"/>
      <c r="U93" s="13"/>
      <c r="V93" s="41"/>
      <c r="W93" s="13"/>
      <c r="X93" s="13"/>
      <c r="Y93" s="13"/>
      <c r="Z93" s="120">
        <v>0</v>
      </c>
      <c r="AA93" s="154">
        <v>0</v>
      </c>
      <c r="AB93" s="120">
        <v>0</v>
      </c>
      <c r="AC93" s="120">
        <v>0</v>
      </c>
      <c r="AD93" s="120">
        <v>0</v>
      </c>
      <c r="AE93" s="120">
        <v>0</v>
      </c>
      <c r="AF93" s="154">
        <v>0</v>
      </c>
      <c r="AG93" s="120">
        <v>0</v>
      </c>
      <c r="AH93" s="120">
        <v>0</v>
      </c>
      <c r="AI93" s="120">
        <v>0</v>
      </c>
      <c r="AJ93" s="120">
        <v>0</v>
      </c>
      <c r="AK93" s="154">
        <f t="shared" si="19"/>
        <v>0</v>
      </c>
      <c r="AL93" s="120">
        <v>0</v>
      </c>
      <c r="AM93" s="120">
        <v>0</v>
      </c>
      <c r="AN93" s="120">
        <v>0</v>
      </c>
      <c r="AO93" s="120">
        <v>0</v>
      </c>
      <c r="AP93" s="154">
        <f t="shared" si="20"/>
        <v>0</v>
      </c>
      <c r="AQ93" s="120">
        <v>0</v>
      </c>
      <c r="AR93" s="121">
        <v>0</v>
      </c>
      <c r="AS93" s="121">
        <v>0</v>
      </c>
      <c r="AT93" s="120"/>
      <c r="AU93" s="154">
        <f t="shared" si="21"/>
        <v>0</v>
      </c>
      <c r="AV93" s="120"/>
      <c r="AW93" s="120"/>
      <c r="AX93" s="120"/>
      <c r="AY93" s="120"/>
      <c r="AZ93" s="154"/>
      <c r="BA93" s="120"/>
      <c r="BB93" s="737"/>
      <c r="BC93" s="737"/>
      <c r="BD93" s="737"/>
      <c r="BE93" s="737"/>
      <c r="BF93" s="737"/>
      <c r="BG93" s="737"/>
      <c r="BH93" s="737"/>
      <c r="BI93" s="737"/>
      <c r="BJ93" s="737"/>
      <c r="BK93" s="737"/>
      <c r="BL93" s="737"/>
      <c r="BM93" s="737"/>
      <c r="BN93" s="737"/>
      <c r="BO93" s="737"/>
      <c r="BP93" s="737"/>
      <c r="BQ93" s="737"/>
      <c r="BR93" s="737"/>
      <c r="BS93" s="737"/>
      <c r="BT93" s="737"/>
    </row>
    <row r="94" spans="1:72" ht="15.75" thickBot="1">
      <c r="A94" s="359"/>
      <c r="B94" s="17" t="s">
        <v>451</v>
      </c>
      <c r="C94" s="18"/>
      <c r="D94" s="18"/>
      <c r="E94" s="18"/>
      <c r="F94" s="18"/>
      <c r="G94" s="48"/>
      <c r="H94" s="18"/>
      <c r="I94" s="18"/>
      <c r="J94" s="18"/>
      <c r="K94" s="18"/>
      <c r="L94" s="48"/>
      <c r="M94" s="18"/>
      <c r="N94" s="18"/>
      <c r="O94" s="18"/>
      <c r="P94" s="18"/>
      <c r="Q94" s="48"/>
      <c r="R94" s="18"/>
      <c r="S94" s="18"/>
      <c r="T94" s="18"/>
      <c r="U94" s="18"/>
      <c r="V94" s="48"/>
      <c r="W94" s="18"/>
      <c r="X94" s="18"/>
      <c r="Y94" s="18"/>
      <c r="Z94" s="18">
        <v>0.6</v>
      </c>
      <c r="AA94" s="48"/>
      <c r="AB94" s="18">
        <v>0.6</v>
      </c>
      <c r="AC94" s="18">
        <v>0.6</v>
      </c>
      <c r="AD94" s="18">
        <v>0.6</v>
      </c>
      <c r="AE94" s="18">
        <v>0.6</v>
      </c>
      <c r="AF94" s="48">
        <v>0.6</v>
      </c>
      <c r="AG94" s="18">
        <v>0.6</v>
      </c>
      <c r="AH94" s="18">
        <v>0.6</v>
      </c>
      <c r="AI94" s="18">
        <v>0.6</v>
      </c>
      <c r="AJ94" s="18">
        <v>0.6</v>
      </c>
      <c r="AK94" s="48">
        <v>0.6</v>
      </c>
      <c r="AL94" s="18">
        <v>0.6</v>
      </c>
      <c r="AM94" s="18">
        <v>0.6</v>
      </c>
      <c r="AN94" s="18">
        <v>0.6</v>
      </c>
      <c r="AO94" s="18">
        <v>0.6</v>
      </c>
      <c r="AP94" s="48">
        <v>0.6</v>
      </c>
      <c r="AQ94" s="18">
        <v>0.6</v>
      </c>
      <c r="AR94" s="18">
        <v>0.6</v>
      </c>
      <c r="AS94" s="18">
        <v>0.6</v>
      </c>
      <c r="AT94" s="18"/>
      <c r="AU94" s="48">
        <v>0.6</v>
      </c>
      <c r="AV94" s="18"/>
      <c r="AW94" s="18"/>
      <c r="AX94" s="18"/>
      <c r="AY94" s="18"/>
      <c r="AZ94" s="48"/>
      <c r="BA94" s="18"/>
    </row>
    <row r="95" spans="1:72" ht="15.75" thickBot="1">
      <c r="A95" s="452"/>
      <c r="AK95" s="8"/>
      <c r="AL95" s="8"/>
      <c r="AM95" s="8"/>
      <c r="AN95" s="8"/>
      <c r="AO95" s="8"/>
      <c r="AP95" s="476"/>
      <c r="AU95" s="476"/>
      <c r="AZ95" s="8"/>
    </row>
    <row r="96" spans="1:72" s="2" customFormat="1">
      <c r="A96" s="670"/>
      <c r="B96" s="625" t="s">
        <v>527</v>
      </c>
      <c r="C96" s="626" t="s">
        <v>224</v>
      </c>
      <c r="D96" s="626" t="s">
        <v>225</v>
      </c>
      <c r="E96" s="626" t="s">
        <v>226</v>
      </c>
      <c r="F96" s="626" t="s">
        <v>227</v>
      </c>
      <c r="G96" s="652">
        <v>2016</v>
      </c>
      <c r="H96" s="626" t="s">
        <v>228</v>
      </c>
      <c r="I96" s="626" t="s">
        <v>229</v>
      </c>
      <c r="J96" s="626" t="s">
        <v>230</v>
      </c>
      <c r="K96" s="626" t="s">
        <v>231</v>
      </c>
      <c r="L96" s="652">
        <v>2017</v>
      </c>
      <c r="M96" s="626" t="s">
        <v>232</v>
      </c>
      <c r="N96" s="626" t="s">
        <v>233</v>
      </c>
      <c r="O96" s="626" t="s">
        <v>234</v>
      </c>
      <c r="P96" s="626" t="s">
        <v>235</v>
      </c>
      <c r="Q96" s="652">
        <v>2018</v>
      </c>
      <c r="R96" s="626" t="s">
        <v>236</v>
      </c>
      <c r="S96" s="626" t="s">
        <v>237</v>
      </c>
      <c r="T96" s="626" t="s">
        <v>238</v>
      </c>
      <c r="U96" s="626" t="s">
        <v>239</v>
      </c>
      <c r="V96" s="652">
        <v>2019</v>
      </c>
      <c r="W96" s="626" t="s">
        <v>240</v>
      </c>
      <c r="X96" s="626" t="s">
        <v>241</v>
      </c>
      <c r="Y96" s="626" t="s">
        <v>242</v>
      </c>
      <c r="Z96" s="626" t="s">
        <v>243</v>
      </c>
      <c r="AA96" s="652">
        <v>2020</v>
      </c>
      <c r="AB96" s="626" t="s">
        <v>244</v>
      </c>
      <c r="AC96" s="626" t="s">
        <v>245</v>
      </c>
      <c r="AD96" s="626" t="s">
        <v>246</v>
      </c>
      <c r="AE96" s="626" t="s">
        <v>247</v>
      </c>
      <c r="AF96" s="652">
        <v>2021</v>
      </c>
      <c r="AG96" s="626" t="s">
        <v>248</v>
      </c>
      <c r="AH96" s="626" t="s">
        <v>249</v>
      </c>
      <c r="AI96" s="626" t="s">
        <v>250</v>
      </c>
      <c r="AJ96" s="626" t="s">
        <v>215</v>
      </c>
      <c r="AK96" s="652">
        <v>2022</v>
      </c>
      <c r="AL96" s="626" t="s">
        <v>252</v>
      </c>
      <c r="AM96" s="626" t="s">
        <v>253</v>
      </c>
      <c r="AN96" s="626" t="s">
        <v>254</v>
      </c>
      <c r="AO96" s="626" t="s">
        <v>219</v>
      </c>
      <c r="AP96" s="652">
        <v>2023</v>
      </c>
      <c r="AQ96" s="626" t="s">
        <v>223</v>
      </c>
      <c r="AR96" s="626" t="s">
        <v>256</v>
      </c>
      <c r="AS96" s="626" t="s">
        <v>357</v>
      </c>
      <c r="AT96" s="626" t="s">
        <v>358</v>
      </c>
      <c r="AU96" s="652">
        <v>2024</v>
      </c>
      <c r="AV96" s="626" t="s">
        <v>359</v>
      </c>
      <c r="AW96" s="626" t="s">
        <v>1115</v>
      </c>
      <c r="AX96" s="626" t="s">
        <v>1116</v>
      </c>
      <c r="AY96" s="626" t="s">
        <v>1117</v>
      </c>
      <c r="AZ96" s="653" t="s">
        <v>1118</v>
      </c>
      <c r="BA96" s="645" t="s">
        <v>1124</v>
      </c>
    </row>
    <row r="97" spans="1:72" s="2" customFormat="1">
      <c r="A97" s="356"/>
      <c r="B97" s="9" t="s">
        <v>456</v>
      </c>
      <c r="C97" s="10"/>
      <c r="D97" s="10"/>
      <c r="E97" s="10"/>
      <c r="F97" s="10"/>
      <c r="G97" s="39"/>
      <c r="H97" s="10"/>
      <c r="I97" s="10"/>
      <c r="J97" s="10"/>
      <c r="K97" s="10"/>
      <c r="L97" s="39"/>
      <c r="M97" s="10"/>
      <c r="N97" s="10"/>
      <c r="O97" s="10"/>
      <c r="P97" s="10"/>
      <c r="Q97" s="39"/>
      <c r="R97" s="10"/>
      <c r="S97" s="10"/>
      <c r="T97" s="10"/>
      <c r="U97" s="10"/>
      <c r="V97" s="39"/>
      <c r="W97" s="10"/>
      <c r="X97" s="10"/>
      <c r="Y97" s="10"/>
      <c r="Z97" s="117">
        <v>0</v>
      </c>
      <c r="AA97" s="118"/>
      <c r="AB97" s="117">
        <v>-261824.08984000009</v>
      </c>
      <c r="AC97" s="117">
        <v>-271179.26688999991</v>
      </c>
      <c r="AD97" s="117">
        <v>-298928.79647999979</v>
      </c>
      <c r="AE97" s="117">
        <v>-300251</v>
      </c>
      <c r="AF97" s="118">
        <v>-1132183.1532099997</v>
      </c>
      <c r="AG97" s="117">
        <v>-311858</v>
      </c>
      <c r="AH97" s="117">
        <v>-327224</v>
      </c>
      <c r="AI97" s="117">
        <v>-361389</v>
      </c>
      <c r="AJ97" s="117">
        <v>-358101</v>
      </c>
      <c r="AK97" s="118">
        <f>SUM(AG97:AJ97)</f>
        <v>-1358572</v>
      </c>
      <c r="AL97" s="117">
        <v>-370935</v>
      </c>
      <c r="AM97" s="117">
        <v>-368645</v>
      </c>
      <c r="AN97" s="117">
        <v>-400954</v>
      </c>
      <c r="AO97" s="117">
        <v>-386638</v>
      </c>
      <c r="AP97" s="118">
        <f>SUM(AL97:AO97)</f>
        <v>-1527172</v>
      </c>
      <c r="AQ97" s="117">
        <v>-401876</v>
      </c>
      <c r="AR97" s="117">
        <v>-422086</v>
      </c>
      <c r="AS97" s="117">
        <v>-453045</v>
      </c>
      <c r="AT97" s="117">
        <v>-440540</v>
      </c>
      <c r="AU97" s="118">
        <f>SUM(AQ97:AT97)</f>
        <v>-1717547</v>
      </c>
      <c r="AV97" s="117">
        <v>-435971</v>
      </c>
      <c r="AW97" s="117">
        <v>-446819</v>
      </c>
      <c r="AX97" s="117">
        <v>-496975</v>
      </c>
      <c r="AY97" s="117">
        <v>-494344</v>
      </c>
      <c r="AZ97" s="118">
        <f>SUM(AV97:AY97)</f>
        <v>-1874109</v>
      </c>
      <c r="BA97" s="117">
        <v>-487893</v>
      </c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</row>
    <row r="98" spans="1:72">
      <c r="A98" s="357"/>
      <c r="B98" s="11" t="s">
        <v>457</v>
      </c>
      <c r="C98" s="12"/>
      <c r="D98" s="12"/>
      <c r="E98" s="12"/>
      <c r="F98" s="12"/>
      <c r="G98" s="40"/>
      <c r="H98" s="12"/>
      <c r="I98" s="12"/>
      <c r="J98" s="12"/>
      <c r="K98" s="12"/>
      <c r="L98" s="40"/>
      <c r="M98" s="12"/>
      <c r="N98" s="12"/>
      <c r="O98" s="12"/>
      <c r="P98" s="12"/>
      <c r="Q98" s="40"/>
      <c r="R98" s="12"/>
      <c r="S98" s="12"/>
      <c r="T98" s="12"/>
      <c r="U98" s="12"/>
      <c r="V98" s="40"/>
      <c r="W98" s="12"/>
      <c r="X98" s="12"/>
      <c r="Y98" s="12"/>
      <c r="Z98" s="153">
        <v>0</v>
      </c>
      <c r="AA98" s="144"/>
      <c r="AB98" s="153">
        <v>0</v>
      </c>
      <c r="AC98" s="153">
        <v>0</v>
      </c>
      <c r="AD98" s="153">
        <v>0</v>
      </c>
      <c r="AE98" s="153">
        <v>0</v>
      </c>
      <c r="AF98" s="144">
        <v>0</v>
      </c>
      <c r="AG98" s="153">
        <v>0</v>
      </c>
      <c r="AH98" s="153">
        <v>0</v>
      </c>
      <c r="AI98" s="153">
        <v>0</v>
      </c>
      <c r="AJ98" s="153">
        <v>0</v>
      </c>
      <c r="AK98" s="144">
        <f t="shared" ref="AK98:AK115" si="24">SUM(AG98:AJ98)</f>
        <v>0</v>
      </c>
      <c r="AL98" s="153">
        <v>0</v>
      </c>
      <c r="AM98" s="153">
        <v>0</v>
      </c>
      <c r="AN98" s="153">
        <v>0</v>
      </c>
      <c r="AO98" s="153">
        <v>0</v>
      </c>
      <c r="AP98" s="144">
        <f t="shared" ref="AP98:AP115" si="25">SUM(AL98:AO98)</f>
        <v>0</v>
      </c>
      <c r="AQ98" s="153">
        <v>0</v>
      </c>
      <c r="AR98" s="121">
        <v>0</v>
      </c>
      <c r="AS98" s="121">
        <v>0</v>
      </c>
      <c r="AT98" s="121">
        <v>0</v>
      </c>
      <c r="AU98" s="144">
        <f t="shared" ref="AU98:AU115" si="26">SUM(AQ98:AT98)</f>
        <v>0</v>
      </c>
      <c r="AV98" s="121">
        <v>0</v>
      </c>
      <c r="AW98" s="121">
        <v>0</v>
      </c>
      <c r="AX98" s="121">
        <v>0</v>
      </c>
      <c r="AY98" s="121">
        <v>0</v>
      </c>
      <c r="AZ98" s="144">
        <f t="shared" ref="AZ98:AZ115" si="27">SUM(AV98:AY98)</f>
        <v>0</v>
      </c>
      <c r="BA98" s="121">
        <v>0</v>
      </c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</row>
    <row r="99" spans="1:72" s="2" customFormat="1">
      <c r="A99" s="356"/>
      <c r="B99" s="9" t="s">
        <v>412</v>
      </c>
      <c r="C99" s="10"/>
      <c r="D99" s="10"/>
      <c r="E99" s="10"/>
      <c r="F99" s="10"/>
      <c r="G99" s="39"/>
      <c r="H99" s="10"/>
      <c r="I99" s="10"/>
      <c r="J99" s="10"/>
      <c r="K99" s="10"/>
      <c r="L99" s="39"/>
      <c r="M99" s="10"/>
      <c r="N99" s="10"/>
      <c r="O99" s="10"/>
      <c r="P99" s="10"/>
      <c r="Q99" s="39"/>
      <c r="R99" s="10"/>
      <c r="S99" s="10"/>
      <c r="T99" s="10"/>
      <c r="U99" s="10"/>
      <c r="V99" s="39"/>
      <c r="W99" s="10"/>
      <c r="X99" s="10"/>
      <c r="Y99" s="10"/>
      <c r="Z99" s="117">
        <v>0</v>
      </c>
      <c r="AA99" s="118">
        <v>0</v>
      </c>
      <c r="AB99" s="117">
        <v>-261824.08983999919</v>
      </c>
      <c r="AC99" s="117">
        <v>-271179.26689000032</v>
      </c>
      <c r="AD99" s="117">
        <v>-298928.79647999711</v>
      </c>
      <c r="AE99" s="117">
        <v>-300251</v>
      </c>
      <c r="AF99" s="118">
        <v>-1132183.1532099966</v>
      </c>
      <c r="AG99" s="117">
        <v>-311858</v>
      </c>
      <c r="AH99" s="117">
        <v>-327224</v>
      </c>
      <c r="AI99" s="117">
        <v>-361389</v>
      </c>
      <c r="AJ99" s="117">
        <v>-358101</v>
      </c>
      <c r="AK99" s="118">
        <f t="shared" si="24"/>
        <v>-1358572</v>
      </c>
      <c r="AL99" s="117">
        <v>-370935</v>
      </c>
      <c r="AM99" s="117">
        <v>-368645</v>
      </c>
      <c r="AN99" s="117">
        <v>-400954</v>
      </c>
      <c r="AO99" s="117">
        <v>-386638</v>
      </c>
      <c r="AP99" s="118">
        <f t="shared" si="25"/>
        <v>-1527172</v>
      </c>
      <c r="AQ99" s="117">
        <v>-401876</v>
      </c>
      <c r="AR99" s="117">
        <v>-422086</v>
      </c>
      <c r="AS99" s="117">
        <v>-453045</v>
      </c>
      <c r="AT99" s="117">
        <v>-440540</v>
      </c>
      <c r="AU99" s="118">
        <f t="shared" si="26"/>
        <v>-1717547</v>
      </c>
      <c r="AV99" s="117">
        <v>-435971</v>
      </c>
      <c r="AW99" s="117">
        <v>-446819</v>
      </c>
      <c r="AX99" s="117">
        <v>-496975</v>
      </c>
      <c r="AY99" s="117">
        <v>-494344</v>
      </c>
      <c r="AZ99" s="118">
        <f t="shared" si="27"/>
        <v>-1874109</v>
      </c>
      <c r="BA99" s="117">
        <v>-487893</v>
      </c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</row>
    <row r="100" spans="1:72" s="106" customFormat="1">
      <c r="A100" s="514"/>
      <c r="B100" s="515" t="s">
        <v>413</v>
      </c>
      <c r="C100" s="222"/>
      <c r="D100" s="222"/>
      <c r="E100" s="222"/>
      <c r="F100" s="222"/>
      <c r="G100" s="516"/>
      <c r="H100" s="222"/>
      <c r="I100" s="222"/>
      <c r="J100" s="222"/>
      <c r="K100" s="222"/>
      <c r="L100" s="516"/>
      <c r="M100" s="222"/>
      <c r="N100" s="222"/>
      <c r="O100" s="222"/>
      <c r="P100" s="222"/>
      <c r="Q100" s="516"/>
      <c r="R100" s="12"/>
      <c r="S100" s="12"/>
      <c r="T100" s="12"/>
      <c r="U100" s="12"/>
      <c r="V100" s="516"/>
      <c r="W100" s="12"/>
      <c r="X100" s="12"/>
      <c r="Y100" s="12"/>
      <c r="Z100" s="153">
        <v>-70.691299999999998</v>
      </c>
      <c r="AA100" s="379">
        <v>-70.691299999999998</v>
      </c>
      <c r="AB100" s="153">
        <v>3574.0562447840639</v>
      </c>
      <c r="AC100" s="153">
        <v>-8119.8058747840405</v>
      </c>
      <c r="AD100" s="153">
        <v>-760.65379000001121</v>
      </c>
      <c r="AE100" s="153">
        <v>-756</v>
      </c>
      <c r="AF100" s="379">
        <v>-6062.4034199999878</v>
      </c>
      <c r="AG100" s="153">
        <v>-2478</v>
      </c>
      <c r="AH100" s="153">
        <v>-4135</v>
      </c>
      <c r="AI100" s="153">
        <v>13834</v>
      </c>
      <c r="AJ100" s="153">
        <v>3112</v>
      </c>
      <c r="AK100" s="379">
        <f t="shared" si="24"/>
        <v>10333</v>
      </c>
      <c r="AL100" s="153">
        <v>-3389</v>
      </c>
      <c r="AM100" s="153">
        <v>-5995</v>
      </c>
      <c r="AN100" s="153">
        <v>8180</v>
      </c>
      <c r="AO100" s="153">
        <v>-38094</v>
      </c>
      <c r="AP100" s="379">
        <f t="shared" si="25"/>
        <v>-39298</v>
      </c>
      <c r="AQ100" s="153">
        <v>-13190</v>
      </c>
      <c r="AR100" s="121">
        <v>-17899</v>
      </c>
      <c r="AS100" s="121">
        <v>-14043</v>
      </c>
      <c r="AT100" s="121">
        <v>-22210</v>
      </c>
      <c r="AU100" s="379">
        <f t="shared" si="26"/>
        <v>-67342</v>
      </c>
      <c r="AV100" s="121">
        <v>-17901</v>
      </c>
      <c r="AW100" s="121">
        <v>-16359</v>
      </c>
      <c r="AX100" s="121">
        <v>-16312</v>
      </c>
      <c r="AY100" s="121">
        <v>-6052</v>
      </c>
      <c r="AZ100" s="379">
        <f t="shared" si="27"/>
        <v>-56624</v>
      </c>
      <c r="BA100" s="121">
        <v>-13770</v>
      </c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</row>
    <row r="101" spans="1:72" s="106" customFormat="1">
      <c r="A101" s="514"/>
      <c r="B101" s="515" t="s">
        <v>414</v>
      </c>
      <c r="C101" s="12"/>
      <c r="D101" s="12"/>
      <c r="E101" s="12"/>
      <c r="F101" s="12"/>
      <c r="G101" s="517"/>
      <c r="H101" s="12"/>
      <c r="I101" s="12"/>
      <c r="J101" s="12"/>
      <c r="K101" s="12"/>
      <c r="L101" s="517"/>
      <c r="M101" s="12"/>
      <c r="N101" s="12"/>
      <c r="O101" s="12"/>
      <c r="P101" s="12"/>
      <c r="Q101" s="517"/>
      <c r="R101" s="12"/>
      <c r="S101" s="12"/>
      <c r="T101" s="12"/>
      <c r="U101" s="12"/>
      <c r="V101" s="517"/>
      <c r="W101" s="12"/>
      <c r="X101" s="12"/>
      <c r="Y101" s="12"/>
      <c r="Z101" s="153">
        <v>-0.14929999999999666</v>
      </c>
      <c r="AA101" s="518">
        <v>-0.14929999999999666</v>
      </c>
      <c r="AB101" s="153">
        <v>-0.52499999999690772</v>
      </c>
      <c r="AC101" s="153">
        <v>-28.700230000011288</v>
      </c>
      <c r="AD101" s="153">
        <v>-58.209459999994579</v>
      </c>
      <c r="AE101" s="153">
        <v>-6922</v>
      </c>
      <c r="AF101" s="518">
        <v>-7009.4346900000028</v>
      </c>
      <c r="AG101" s="153">
        <v>-77</v>
      </c>
      <c r="AH101" s="153">
        <v>-41</v>
      </c>
      <c r="AI101" s="153">
        <v>-52</v>
      </c>
      <c r="AJ101" s="153">
        <v>-40</v>
      </c>
      <c r="AK101" s="518">
        <f t="shared" si="24"/>
        <v>-210</v>
      </c>
      <c r="AL101" s="153">
        <v>-42</v>
      </c>
      <c r="AM101" s="153">
        <v>-74</v>
      </c>
      <c r="AN101" s="153">
        <v>-39</v>
      </c>
      <c r="AO101" s="153">
        <v>-35</v>
      </c>
      <c r="AP101" s="518">
        <f t="shared" si="25"/>
        <v>-190</v>
      </c>
      <c r="AQ101" s="153">
        <v>-81</v>
      </c>
      <c r="AR101" s="121">
        <v>-25</v>
      </c>
      <c r="AS101" s="121">
        <v>-26</v>
      </c>
      <c r="AT101" s="121">
        <v>-57</v>
      </c>
      <c r="AU101" s="518">
        <f t="shared" si="26"/>
        <v>-189</v>
      </c>
      <c r="AV101" s="121">
        <v>-81</v>
      </c>
      <c r="AW101" s="121">
        <v>-74</v>
      </c>
      <c r="AX101" s="121">
        <v>-86</v>
      </c>
      <c r="AY101" s="121">
        <v>-83</v>
      </c>
      <c r="AZ101" s="518">
        <f t="shared" si="27"/>
        <v>-324</v>
      </c>
      <c r="BA101" s="121">
        <v>-81</v>
      </c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</row>
    <row r="102" spans="1:72" s="106" customFormat="1">
      <c r="A102" s="514"/>
      <c r="B102" s="515" t="s">
        <v>415</v>
      </c>
      <c r="C102" s="12"/>
      <c r="D102" s="12"/>
      <c r="E102" s="12"/>
      <c r="F102" s="12"/>
      <c r="G102" s="517"/>
      <c r="H102" s="12"/>
      <c r="I102" s="12"/>
      <c r="J102" s="12"/>
      <c r="K102" s="12"/>
      <c r="L102" s="517"/>
      <c r="M102" s="12"/>
      <c r="N102" s="12"/>
      <c r="O102" s="12"/>
      <c r="P102" s="12"/>
      <c r="Q102" s="517"/>
      <c r="R102" s="12"/>
      <c r="S102" s="12"/>
      <c r="T102" s="12"/>
      <c r="U102" s="12"/>
      <c r="V102" s="517"/>
      <c r="W102" s="12"/>
      <c r="X102" s="12"/>
      <c r="Y102" s="12"/>
      <c r="Z102" s="153">
        <v>0.63403999999999883</v>
      </c>
      <c r="AA102" s="518">
        <v>0.63403999999999883</v>
      </c>
      <c r="AB102" s="153">
        <v>257894.31632521603</v>
      </c>
      <c r="AC102" s="153">
        <v>279337.32189478376</v>
      </c>
      <c r="AD102" s="153">
        <v>299519.28442999977</v>
      </c>
      <c r="AE102" s="153">
        <v>301166</v>
      </c>
      <c r="AF102" s="518">
        <v>1137916.9226499996</v>
      </c>
      <c r="AG102" s="153">
        <v>314853</v>
      </c>
      <c r="AH102" s="153">
        <v>331094</v>
      </c>
      <c r="AI102" s="153">
        <v>346979</v>
      </c>
      <c r="AJ102" s="153">
        <v>354657</v>
      </c>
      <c r="AK102" s="518">
        <f t="shared" si="24"/>
        <v>1347583</v>
      </c>
      <c r="AL102" s="153">
        <v>373840</v>
      </c>
      <c r="AM102" s="153">
        <v>373999</v>
      </c>
      <c r="AN102" s="153">
        <v>392113</v>
      </c>
      <c r="AO102" s="153">
        <v>423860</v>
      </c>
      <c r="AP102" s="518">
        <f t="shared" si="25"/>
        <v>1563812</v>
      </c>
      <c r="AQ102" s="153">
        <v>413796</v>
      </c>
      <c r="AR102" s="121">
        <v>438235</v>
      </c>
      <c r="AS102" s="121">
        <v>465425</v>
      </c>
      <c r="AT102" s="121">
        <v>461499</v>
      </c>
      <c r="AU102" s="518">
        <f t="shared" si="26"/>
        <v>1778955</v>
      </c>
      <c r="AV102" s="121">
        <v>453716</v>
      </c>
      <c r="AW102" s="121">
        <v>460355</v>
      </c>
      <c r="AX102" s="121">
        <v>512584</v>
      </c>
      <c r="AY102" s="121">
        <v>500833</v>
      </c>
      <c r="AZ102" s="518">
        <f t="shared" si="27"/>
        <v>1927488</v>
      </c>
      <c r="BA102" s="121">
        <v>501691</v>
      </c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</row>
    <row r="103" spans="1:72" s="106" customFormat="1">
      <c r="A103" s="514"/>
      <c r="B103" s="515" t="s">
        <v>416</v>
      </c>
      <c r="C103" s="222"/>
      <c r="D103" s="222"/>
      <c r="E103" s="222"/>
      <c r="F103" s="222"/>
      <c r="G103" s="516"/>
      <c r="H103" s="222"/>
      <c r="I103" s="222"/>
      <c r="J103" s="222"/>
      <c r="K103" s="222"/>
      <c r="L103" s="516"/>
      <c r="M103" s="222"/>
      <c r="N103" s="222"/>
      <c r="O103" s="222"/>
      <c r="P103" s="222"/>
      <c r="Q103" s="516"/>
      <c r="R103" s="12"/>
      <c r="S103" s="12"/>
      <c r="T103" s="12"/>
      <c r="U103" s="12"/>
      <c r="V103" s="516"/>
      <c r="W103" s="12"/>
      <c r="X103" s="12"/>
      <c r="Y103" s="12"/>
      <c r="Z103" s="153">
        <v>0</v>
      </c>
      <c r="AA103" s="379">
        <v>0</v>
      </c>
      <c r="AB103" s="153">
        <v>0</v>
      </c>
      <c r="AC103" s="153">
        <v>9.9999999999995925E-6</v>
      </c>
      <c r="AD103" s="153">
        <v>0</v>
      </c>
      <c r="AE103" s="153">
        <v>0</v>
      </c>
      <c r="AF103" s="379">
        <v>9.9999999999995925E-6</v>
      </c>
      <c r="AG103" s="153">
        <v>0</v>
      </c>
      <c r="AH103" s="153">
        <v>0</v>
      </c>
      <c r="AI103" s="153">
        <v>0</v>
      </c>
      <c r="AJ103" s="153">
        <v>0</v>
      </c>
      <c r="AK103" s="379">
        <f t="shared" si="24"/>
        <v>0</v>
      </c>
      <c r="AL103" s="153">
        <v>0</v>
      </c>
      <c r="AM103" s="153">
        <v>0</v>
      </c>
      <c r="AN103" s="153">
        <v>0</v>
      </c>
      <c r="AO103" s="153">
        <v>0</v>
      </c>
      <c r="AP103" s="379">
        <f t="shared" si="25"/>
        <v>0</v>
      </c>
      <c r="AQ103" s="153">
        <v>0</v>
      </c>
      <c r="AR103" s="121">
        <v>0</v>
      </c>
      <c r="AS103" s="121">
        <v>0</v>
      </c>
      <c r="AT103" s="121">
        <v>0</v>
      </c>
      <c r="AU103" s="379">
        <f t="shared" si="26"/>
        <v>0</v>
      </c>
      <c r="AV103" s="121">
        <v>0</v>
      </c>
      <c r="AW103" s="121">
        <v>0</v>
      </c>
      <c r="AX103" s="121">
        <v>0</v>
      </c>
      <c r="AY103" s="121">
        <v>0</v>
      </c>
      <c r="AZ103" s="379">
        <f t="shared" si="27"/>
        <v>0</v>
      </c>
      <c r="BA103" s="121">
        <v>0</v>
      </c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</row>
    <row r="104" spans="1:72" s="2" customFormat="1">
      <c r="A104" s="356"/>
      <c r="B104" s="9" t="s">
        <v>418</v>
      </c>
      <c r="C104" s="10"/>
      <c r="D104" s="10"/>
      <c r="E104" s="10"/>
      <c r="F104" s="10"/>
      <c r="G104" s="39"/>
      <c r="H104" s="10"/>
      <c r="I104" s="10"/>
      <c r="J104" s="10"/>
      <c r="K104" s="10"/>
      <c r="L104" s="39"/>
      <c r="M104" s="10"/>
      <c r="N104" s="10"/>
      <c r="O104" s="10"/>
      <c r="P104" s="10"/>
      <c r="Q104" s="39"/>
      <c r="R104" s="10"/>
      <c r="S104" s="10"/>
      <c r="T104" s="10"/>
      <c r="U104" s="10"/>
      <c r="V104" s="39"/>
      <c r="W104" s="10"/>
      <c r="X104" s="10"/>
      <c r="Y104" s="10"/>
      <c r="Z104" s="117">
        <v>-70.206559999999996</v>
      </c>
      <c r="AA104" s="118">
        <v>-70.206559999999996</v>
      </c>
      <c r="AB104" s="117">
        <v>-356.24226999908569</v>
      </c>
      <c r="AC104" s="117">
        <v>9.5489099994122419</v>
      </c>
      <c r="AD104" s="117">
        <v>-228.3752999973367</v>
      </c>
      <c r="AE104" s="117">
        <v>-6762</v>
      </c>
      <c r="AF104" s="118">
        <v>-7337.0686599970104</v>
      </c>
      <c r="AG104" s="117">
        <v>440</v>
      </c>
      <c r="AH104" s="117">
        <v>-306</v>
      </c>
      <c r="AI104" s="117">
        <v>-628</v>
      </c>
      <c r="AJ104" s="117">
        <v>-372</v>
      </c>
      <c r="AK104" s="118">
        <f t="shared" si="24"/>
        <v>-866</v>
      </c>
      <c r="AL104" s="117">
        <f>SUM(AL99:AL103)</f>
        <v>-526</v>
      </c>
      <c r="AM104" s="117">
        <f>SUM(AM99:AM103)</f>
        <v>-715</v>
      </c>
      <c r="AN104" s="117">
        <f>SUM(AN99:AN103)</f>
        <v>-700</v>
      </c>
      <c r="AO104" s="117">
        <v>-907</v>
      </c>
      <c r="AP104" s="118">
        <f t="shared" si="25"/>
        <v>-2848</v>
      </c>
      <c r="AQ104" s="117">
        <v>-1351</v>
      </c>
      <c r="AR104" s="117">
        <v>-1775</v>
      </c>
      <c r="AS104" s="117">
        <v>-1689</v>
      </c>
      <c r="AT104" s="117">
        <v>-1308</v>
      </c>
      <c r="AU104" s="118">
        <f t="shared" si="26"/>
        <v>-6123</v>
      </c>
      <c r="AV104" s="117">
        <v>-237</v>
      </c>
      <c r="AW104" s="117">
        <v>-2897</v>
      </c>
      <c r="AX104" s="117">
        <v>-789</v>
      </c>
      <c r="AY104" s="117">
        <v>354</v>
      </c>
      <c r="AZ104" s="118">
        <f>SUM(AV104:AY104)</f>
        <v>-3569</v>
      </c>
      <c r="BA104" s="117">
        <v>-53</v>
      </c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</row>
    <row r="105" spans="1:72">
      <c r="A105" s="357"/>
      <c r="B105" s="11" t="s">
        <v>419</v>
      </c>
      <c r="C105" s="13"/>
      <c r="D105" s="13"/>
      <c r="E105" s="13"/>
      <c r="F105" s="13"/>
      <c r="G105" s="41"/>
      <c r="H105" s="13"/>
      <c r="I105" s="13"/>
      <c r="J105" s="13"/>
      <c r="K105" s="13"/>
      <c r="L105" s="41"/>
      <c r="M105" s="13"/>
      <c r="N105" s="13"/>
      <c r="O105" s="13"/>
      <c r="P105" s="13"/>
      <c r="Q105" s="41"/>
      <c r="R105" s="13"/>
      <c r="S105" s="13"/>
      <c r="T105" s="13"/>
      <c r="U105" s="13"/>
      <c r="V105" s="41"/>
      <c r="W105" s="13"/>
      <c r="X105" s="13"/>
      <c r="Y105" s="13"/>
      <c r="Z105" s="153">
        <v>1.2899200000000002</v>
      </c>
      <c r="AA105" s="154">
        <v>1.2899200000000002</v>
      </c>
      <c r="AB105" s="153">
        <v>0</v>
      </c>
      <c r="AC105" s="153">
        <v>0</v>
      </c>
      <c r="AD105" s="153">
        <v>0</v>
      </c>
      <c r="AE105" s="153">
        <v>0</v>
      </c>
      <c r="AF105" s="154">
        <v>0</v>
      </c>
      <c r="AG105" s="153">
        <v>0</v>
      </c>
      <c r="AH105" s="153">
        <v>0</v>
      </c>
      <c r="AI105" s="153">
        <v>0</v>
      </c>
      <c r="AJ105" s="153">
        <v>0</v>
      </c>
      <c r="AK105" s="154">
        <f t="shared" si="24"/>
        <v>0</v>
      </c>
      <c r="AL105" s="153">
        <v>0</v>
      </c>
      <c r="AM105" s="153">
        <v>0</v>
      </c>
      <c r="AN105" s="153">
        <v>0</v>
      </c>
      <c r="AO105" s="153">
        <v>0</v>
      </c>
      <c r="AP105" s="154">
        <f t="shared" si="25"/>
        <v>0</v>
      </c>
      <c r="AQ105" s="153">
        <v>0</v>
      </c>
      <c r="AR105" s="121">
        <v>0</v>
      </c>
      <c r="AS105" s="121">
        <v>0</v>
      </c>
      <c r="AT105" s="121">
        <v>0</v>
      </c>
      <c r="AU105" s="154">
        <f t="shared" si="26"/>
        <v>0</v>
      </c>
      <c r="AV105" s="121">
        <v>0</v>
      </c>
      <c r="AW105" s="121">
        <v>0</v>
      </c>
      <c r="AX105" s="121">
        <v>0</v>
      </c>
      <c r="AY105" s="121">
        <v>0</v>
      </c>
      <c r="AZ105" s="154">
        <f t="shared" si="27"/>
        <v>0</v>
      </c>
      <c r="BA105" s="121">
        <v>0</v>
      </c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</row>
    <row r="106" spans="1:72" s="2" customFormat="1">
      <c r="A106" s="356"/>
      <c r="B106" s="9" t="s">
        <v>420</v>
      </c>
      <c r="C106" s="10"/>
      <c r="D106" s="10"/>
      <c r="E106" s="10"/>
      <c r="F106" s="10"/>
      <c r="G106" s="39"/>
      <c r="H106" s="10"/>
      <c r="I106" s="10"/>
      <c r="J106" s="10"/>
      <c r="K106" s="10"/>
      <c r="L106" s="39"/>
      <c r="M106" s="10"/>
      <c r="N106" s="10"/>
      <c r="O106" s="10"/>
      <c r="P106" s="10"/>
      <c r="Q106" s="39"/>
      <c r="R106" s="10"/>
      <c r="S106" s="10"/>
      <c r="T106" s="10"/>
      <c r="U106" s="10"/>
      <c r="V106" s="39"/>
      <c r="W106" s="10"/>
      <c r="X106" s="10"/>
      <c r="Y106" s="10"/>
      <c r="Z106" s="117">
        <v>-68.916640000000001</v>
      </c>
      <c r="AA106" s="118">
        <v>-68.916640000000001</v>
      </c>
      <c r="AB106" s="117">
        <v>-356.24226999908569</v>
      </c>
      <c r="AC106" s="117">
        <v>9.5489099994122419</v>
      </c>
      <c r="AD106" s="117">
        <v>-228.3752999973367</v>
      </c>
      <c r="AE106" s="117">
        <v>-6762</v>
      </c>
      <c r="AF106" s="118">
        <v>-7337.0686599970104</v>
      </c>
      <c r="AG106" s="117">
        <v>440</v>
      </c>
      <c r="AH106" s="117">
        <v>-306</v>
      </c>
      <c r="AI106" s="117">
        <v>-628</v>
      </c>
      <c r="AJ106" s="117">
        <v>-372</v>
      </c>
      <c r="AK106" s="118">
        <f t="shared" si="24"/>
        <v>-866</v>
      </c>
      <c r="AL106" s="117">
        <f>SUM(AL104:AL105)</f>
        <v>-526</v>
      </c>
      <c r="AM106" s="117">
        <f>SUM(AM104:AM105)</f>
        <v>-715</v>
      </c>
      <c r="AN106" s="117">
        <f>SUM(AN104:AN105)</f>
        <v>-700</v>
      </c>
      <c r="AO106" s="117">
        <v>-907</v>
      </c>
      <c r="AP106" s="118">
        <f t="shared" si="25"/>
        <v>-2848</v>
      </c>
      <c r="AQ106" s="117">
        <v>-1351</v>
      </c>
      <c r="AR106" s="117">
        <v>-1775</v>
      </c>
      <c r="AS106" s="117">
        <v>-1689</v>
      </c>
      <c r="AT106" s="117">
        <v>-1308</v>
      </c>
      <c r="AU106" s="118">
        <f t="shared" si="26"/>
        <v>-6123</v>
      </c>
      <c r="AV106" s="117">
        <v>-237</v>
      </c>
      <c r="AW106" s="117">
        <v>-2897</v>
      </c>
      <c r="AX106" s="117">
        <v>-789</v>
      </c>
      <c r="AY106" s="117">
        <v>354</v>
      </c>
      <c r="AZ106" s="118">
        <f t="shared" si="27"/>
        <v>-3569</v>
      </c>
      <c r="BA106" s="117">
        <v>-53</v>
      </c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1"/>
      <c r="BP106" s="211"/>
      <c r="BQ106" s="211"/>
      <c r="BR106" s="211"/>
      <c r="BS106" s="211"/>
      <c r="BT106" s="211"/>
    </row>
    <row r="107" spans="1:72">
      <c r="A107" s="357"/>
      <c r="B107" s="11" t="s">
        <v>421</v>
      </c>
      <c r="C107" s="13"/>
      <c r="D107" s="13"/>
      <c r="E107" s="13"/>
      <c r="F107" s="13"/>
      <c r="G107" s="41"/>
      <c r="H107" s="13"/>
      <c r="I107" s="13"/>
      <c r="J107" s="13"/>
      <c r="K107" s="13"/>
      <c r="L107" s="41"/>
      <c r="M107" s="13"/>
      <c r="N107" s="13"/>
      <c r="O107" s="13"/>
      <c r="P107" s="13"/>
      <c r="Q107" s="41"/>
      <c r="R107" s="13"/>
      <c r="S107" s="13"/>
      <c r="T107" s="13"/>
      <c r="U107" s="13"/>
      <c r="V107" s="41"/>
      <c r="W107" s="13"/>
      <c r="X107" s="13"/>
      <c r="Y107" s="13"/>
      <c r="Z107" s="153">
        <v>0</v>
      </c>
      <c r="AA107" s="154">
        <v>0</v>
      </c>
      <c r="AB107" s="153">
        <v>1.6370904631912708E-11</v>
      </c>
      <c r="AC107" s="153">
        <v>-1.6370904631912708E-11</v>
      </c>
      <c r="AD107" s="153">
        <v>0</v>
      </c>
      <c r="AE107" s="153">
        <v>-16798</v>
      </c>
      <c r="AF107" s="154">
        <v>-16798</v>
      </c>
      <c r="AG107" s="153">
        <v>-107</v>
      </c>
      <c r="AH107" s="153">
        <v>41</v>
      </c>
      <c r="AI107" s="153">
        <v>65</v>
      </c>
      <c r="AJ107" s="153">
        <v>0</v>
      </c>
      <c r="AK107" s="154">
        <f t="shared" si="24"/>
        <v>-1</v>
      </c>
      <c r="AL107" s="153">
        <v>0</v>
      </c>
      <c r="AM107" s="153">
        <v>0</v>
      </c>
      <c r="AN107" s="153">
        <v>0</v>
      </c>
      <c r="AO107" s="153">
        <v>0</v>
      </c>
      <c r="AP107" s="154">
        <f t="shared" si="25"/>
        <v>0</v>
      </c>
      <c r="AQ107" s="153">
        <v>0</v>
      </c>
      <c r="AR107" s="121">
        <v>0</v>
      </c>
      <c r="AS107" s="121">
        <v>0</v>
      </c>
      <c r="AT107" s="121">
        <v>0</v>
      </c>
      <c r="AU107" s="154">
        <f t="shared" si="26"/>
        <v>0</v>
      </c>
      <c r="AV107" s="121">
        <v>-7</v>
      </c>
      <c r="AW107" s="121">
        <v>7</v>
      </c>
      <c r="AX107" s="121">
        <v>0</v>
      </c>
      <c r="AY107" s="121">
        <v>0</v>
      </c>
      <c r="AZ107" s="154">
        <f t="shared" si="27"/>
        <v>0</v>
      </c>
      <c r="BA107" s="121">
        <v>0</v>
      </c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1"/>
      <c r="BP107" s="211"/>
      <c r="BQ107" s="211"/>
      <c r="BR107" s="211"/>
      <c r="BS107" s="211"/>
      <c r="BT107" s="211"/>
    </row>
    <row r="108" spans="1:72">
      <c r="A108" s="357"/>
      <c r="B108" s="11" t="s">
        <v>422</v>
      </c>
      <c r="C108" s="13"/>
      <c r="D108" s="13"/>
      <c r="E108" s="13"/>
      <c r="F108" s="13"/>
      <c r="G108" s="41"/>
      <c r="H108" s="13"/>
      <c r="I108" s="13"/>
      <c r="J108" s="13"/>
      <c r="K108" s="13"/>
      <c r="L108" s="41"/>
      <c r="M108" s="13"/>
      <c r="N108" s="13"/>
      <c r="O108" s="13"/>
      <c r="P108" s="13"/>
      <c r="Q108" s="41"/>
      <c r="R108" s="13"/>
      <c r="S108" s="13"/>
      <c r="T108" s="13"/>
      <c r="U108" s="13"/>
      <c r="V108" s="41"/>
      <c r="W108" s="13"/>
      <c r="X108" s="13"/>
      <c r="Y108" s="13"/>
      <c r="Z108" s="153">
        <v>0</v>
      </c>
      <c r="AA108" s="154">
        <v>0</v>
      </c>
      <c r="AB108" s="153">
        <v>0</v>
      </c>
      <c r="AC108" s="153">
        <v>1.4551915228366852E-11</v>
      </c>
      <c r="AD108" s="153">
        <v>-5.0931703299283981E-11</v>
      </c>
      <c r="AE108" s="153">
        <v>-6056</v>
      </c>
      <c r="AF108" s="154">
        <v>-6056.0000000000364</v>
      </c>
      <c r="AG108" s="153">
        <v>-40</v>
      </c>
      <c r="AH108" s="153">
        <v>39</v>
      </c>
      <c r="AI108" s="153">
        <v>1</v>
      </c>
      <c r="AJ108" s="153">
        <v>0</v>
      </c>
      <c r="AK108" s="154">
        <f t="shared" si="24"/>
        <v>0</v>
      </c>
      <c r="AL108" s="153">
        <v>0</v>
      </c>
      <c r="AM108" s="153">
        <v>0</v>
      </c>
      <c r="AN108" s="153">
        <v>0</v>
      </c>
      <c r="AO108" s="153">
        <v>0</v>
      </c>
      <c r="AP108" s="154">
        <f t="shared" si="25"/>
        <v>0</v>
      </c>
      <c r="AQ108" s="153">
        <v>0</v>
      </c>
      <c r="AR108" s="121">
        <v>0</v>
      </c>
      <c r="AS108" s="121">
        <v>0</v>
      </c>
      <c r="AT108" s="121">
        <v>0</v>
      </c>
      <c r="AU108" s="154">
        <f t="shared" si="26"/>
        <v>0</v>
      </c>
      <c r="AV108" s="121">
        <v>-4</v>
      </c>
      <c r="AW108" s="121">
        <v>4</v>
      </c>
      <c r="AX108" s="121">
        <v>0</v>
      </c>
      <c r="AY108" s="121">
        <v>0</v>
      </c>
      <c r="AZ108" s="154">
        <f t="shared" si="27"/>
        <v>0</v>
      </c>
      <c r="BA108" s="121">
        <v>0</v>
      </c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</row>
    <row r="109" spans="1:72">
      <c r="A109" s="357"/>
      <c r="B109" s="11" t="s">
        <v>423</v>
      </c>
      <c r="C109" s="13"/>
      <c r="D109" s="13"/>
      <c r="E109" s="13"/>
      <c r="F109" s="13"/>
      <c r="G109" s="41"/>
      <c r="H109" s="13"/>
      <c r="I109" s="13"/>
      <c r="J109" s="13"/>
      <c r="K109" s="13"/>
      <c r="L109" s="41"/>
      <c r="M109" s="13"/>
      <c r="N109" s="13"/>
      <c r="O109" s="13"/>
      <c r="P109" s="13"/>
      <c r="Q109" s="41"/>
      <c r="R109" s="13"/>
      <c r="S109" s="13"/>
      <c r="T109" s="13"/>
      <c r="U109" s="13"/>
      <c r="V109" s="41"/>
      <c r="W109" s="13"/>
      <c r="X109" s="13"/>
      <c r="Y109" s="13"/>
      <c r="Z109" s="153">
        <v>0</v>
      </c>
      <c r="AA109" s="154">
        <v>0</v>
      </c>
      <c r="AB109" s="153">
        <v>0</v>
      </c>
      <c r="AC109" s="153">
        <v>0</v>
      </c>
      <c r="AD109" s="153">
        <v>0</v>
      </c>
      <c r="AE109" s="153">
        <v>0</v>
      </c>
      <c r="AF109" s="154">
        <v>0</v>
      </c>
      <c r="AG109" s="153">
        <v>0</v>
      </c>
      <c r="AH109" s="153">
        <v>0</v>
      </c>
      <c r="AI109" s="153">
        <v>0</v>
      </c>
      <c r="AJ109" s="153">
        <v>0</v>
      </c>
      <c r="AK109" s="154">
        <f t="shared" si="24"/>
        <v>0</v>
      </c>
      <c r="AL109" s="153">
        <v>0</v>
      </c>
      <c r="AM109" s="153">
        <v>0</v>
      </c>
      <c r="AN109" s="153">
        <v>0</v>
      </c>
      <c r="AO109" s="153">
        <v>0</v>
      </c>
      <c r="AP109" s="154">
        <f t="shared" si="25"/>
        <v>0</v>
      </c>
      <c r="AQ109" s="153">
        <v>0</v>
      </c>
      <c r="AR109" s="121">
        <v>0</v>
      </c>
      <c r="AS109" s="121">
        <v>0</v>
      </c>
      <c r="AT109" s="121">
        <v>0</v>
      </c>
      <c r="AU109" s="154">
        <f t="shared" si="26"/>
        <v>0</v>
      </c>
      <c r="AV109" s="121">
        <v>0</v>
      </c>
      <c r="AW109" s="121">
        <v>0</v>
      </c>
      <c r="AX109" s="121">
        <v>0</v>
      </c>
      <c r="AY109" s="121">
        <v>0</v>
      </c>
      <c r="AZ109" s="154">
        <f t="shared" si="27"/>
        <v>0</v>
      </c>
      <c r="BA109" s="121">
        <v>0</v>
      </c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</row>
    <row r="110" spans="1:72">
      <c r="A110" s="357"/>
      <c r="B110" s="11" t="s">
        <v>424</v>
      </c>
      <c r="C110" s="13"/>
      <c r="D110" s="13"/>
      <c r="E110" s="13"/>
      <c r="F110" s="13"/>
      <c r="G110" s="41"/>
      <c r="H110" s="13"/>
      <c r="I110" s="13"/>
      <c r="J110" s="13"/>
      <c r="K110" s="13"/>
      <c r="L110" s="41"/>
      <c r="M110" s="13"/>
      <c r="N110" s="13"/>
      <c r="O110" s="13"/>
      <c r="P110" s="13"/>
      <c r="Q110" s="41"/>
      <c r="R110" s="13"/>
      <c r="S110" s="13"/>
      <c r="T110" s="13"/>
      <c r="U110" s="13"/>
      <c r="V110" s="41"/>
      <c r="W110" s="13"/>
      <c r="X110" s="13"/>
      <c r="Y110" s="13"/>
      <c r="Z110" s="153">
        <v>0</v>
      </c>
      <c r="AA110" s="154">
        <v>0</v>
      </c>
      <c r="AB110" s="153">
        <v>0</v>
      </c>
      <c r="AC110" s="153">
        <v>0</v>
      </c>
      <c r="AD110" s="153">
        <v>0</v>
      </c>
      <c r="AE110" s="153">
        <v>0</v>
      </c>
      <c r="AF110" s="154">
        <v>0</v>
      </c>
      <c r="AG110" s="153">
        <v>0</v>
      </c>
      <c r="AH110" s="153">
        <v>0</v>
      </c>
      <c r="AI110" s="153">
        <v>0</v>
      </c>
      <c r="AJ110" s="153">
        <v>0</v>
      </c>
      <c r="AK110" s="154">
        <f t="shared" si="24"/>
        <v>0</v>
      </c>
      <c r="AL110" s="153">
        <v>0</v>
      </c>
      <c r="AM110" s="153">
        <v>0</v>
      </c>
      <c r="AN110" s="153">
        <v>0</v>
      </c>
      <c r="AO110" s="153">
        <v>0</v>
      </c>
      <c r="AP110" s="154">
        <f t="shared" si="25"/>
        <v>0</v>
      </c>
      <c r="AQ110" s="153">
        <v>0</v>
      </c>
      <c r="AR110" s="121">
        <v>0</v>
      </c>
      <c r="AS110" s="121">
        <v>0</v>
      </c>
      <c r="AT110" s="121">
        <v>0</v>
      </c>
      <c r="AU110" s="154">
        <f t="shared" si="26"/>
        <v>0</v>
      </c>
      <c r="AV110" s="121">
        <v>0</v>
      </c>
      <c r="AW110" s="121">
        <v>0</v>
      </c>
      <c r="AX110" s="121">
        <v>0</v>
      </c>
      <c r="AY110" s="121">
        <v>0</v>
      </c>
      <c r="AZ110" s="154">
        <f t="shared" si="27"/>
        <v>0</v>
      </c>
      <c r="BA110" s="121">
        <v>0</v>
      </c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</row>
    <row r="111" spans="1:72" s="2" customFormat="1">
      <c r="A111" s="358"/>
      <c r="B111" s="15" t="s">
        <v>450</v>
      </c>
      <c r="C111" s="16"/>
      <c r="D111" s="16"/>
      <c r="E111" s="16"/>
      <c r="F111" s="16"/>
      <c r="G111" s="45"/>
      <c r="H111" s="16"/>
      <c r="I111" s="16"/>
      <c r="J111" s="16"/>
      <c r="K111" s="16"/>
      <c r="L111" s="45"/>
      <c r="M111" s="16"/>
      <c r="N111" s="16"/>
      <c r="O111" s="16"/>
      <c r="P111" s="16"/>
      <c r="Q111" s="45"/>
      <c r="R111" s="16"/>
      <c r="S111" s="16"/>
      <c r="T111" s="16"/>
      <c r="U111" s="16"/>
      <c r="V111" s="45"/>
      <c r="W111" s="16"/>
      <c r="X111" s="16"/>
      <c r="Y111" s="16"/>
      <c r="Z111" s="155">
        <v>-68.916640000000001</v>
      </c>
      <c r="AA111" s="156">
        <v>-68.916640000000001</v>
      </c>
      <c r="AB111" s="155">
        <v>-356.24226999906932</v>
      </c>
      <c r="AC111" s="155">
        <v>9.548909999410423</v>
      </c>
      <c r="AD111" s="155">
        <v>-228.37529999738763</v>
      </c>
      <c r="AE111" s="155">
        <v>-29616</v>
      </c>
      <c r="AF111" s="156">
        <v>-30191.068659997047</v>
      </c>
      <c r="AG111" s="155">
        <v>293</v>
      </c>
      <c r="AH111" s="155">
        <v>-226</v>
      </c>
      <c r="AI111" s="155">
        <v>-562</v>
      </c>
      <c r="AJ111" s="155">
        <v>-372</v>
      </c>
      <c r="AK111" s="156">
        <f t="shared" si="24"/>
        <v>-867</v>
      </c>
      <c r="AL111" s="155">
        <f>SUM(AL106:AL110)</f>
        <v>-526</v>
      </c>
      <c r="AM111" s="155">
        <f>SUM(AM106:AM110)</f>
        <v>-715</v>
      </c>
      <c r="AN111" s="155">
        <v>-700</v>
      </c>
      <c r="AO111" s="155">
        <v>-907</v>
      </c>
      <c r="AP111" s="156">
        <f t="shared" si="25"/>
        <v>-2848</v>
      </c>
      <c r="AQ111" s="155">
        <f>SUM(AQ106:AQ110)</f>
        <v>-1351</v>
      </c>
      <c r="AR111" s="155">
        <v>-1775</v>
      </c>
      <c r="AS111" s="155">
        <v>-1689</v>
      </c>
      <c r="AT111" s="155">
        <v>-1308</v>
      </c>
      <c r="AU111" s="156">
        <f t="shared" si="26"/>
        <v>-6123</v>
      </c>
      <c r="AV111" s="155">
        <f>SUM(AV106:AV110)</f>
        <v>-248</v>
      </c>
      <c r="AW111" s="155">
        <v>-2886</v>
      </c>
      <c r="AX111" s="155">
        <v>-789</v>
      </c>
      <c r="AY111" s="155">
        <v>354</v>
      </c>
      <c r="AZ111" s="156">
        <f t="shared" si="27"/>
        <v>-3569</v>
      </c>
      <c r="BA111" s="155">
        <v>-53</v>
      </c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</row>
    <row r="112" spans="1:72">
      <c r="A112" s="357"/>
      <c r="B112" s="11" t="s">
        <v>468</v>
      </c>
      <c r="C112" s="13"/>
      <c r="D112" s="13"/>
      <c r="E112" s="13"/>
      <c r="F112" s="13"/>
      <c r="G112" s="41"/>
      <c r="H112" s="13"/>
      <c r="I112" s="13"/>
      <c r="J112" s="13"/>
      <c r="K112" s="13"/>
      <c r="L112" s="41"/>
      <c r="M112" s="13"/>
      <c r="N112" s="13"/>
      <c r="O112" s="13"/>
      <c r="P112" s="13"/>
      <c r="Q112" s="41"/>
      <c r="R112" s="13"/>
      <c r="S112" s="13"/>
      <c r="T112" s="13"/>
      <c r="U112" s="13"/>
      <c r="V112" s="41"/>
      <c r="W112" s="13"/>
      <c r="X112" s="13"/>
      <c r="Y112" s="13"/>
      <c r="Z112" s="120">
        <v>-68.916640000000001</v>
      </c>
      <c r="AA112" s="154">
        <v>-68.916640000000001</v>
      </c>
      <c r="AB112" s="120">
        <v>-356.24226999906932</v>
      </c>
      <c r="AC112" s="120">
        <v>9.548909999410423</v>
      </c>
      <c r="AD112" s="120">
        <v>-228.37529999738763</v>
      </c>
      <c r="AE112" s="120">
        <v>-29616</v>
      </c>
      <c r="AF112" s="154">
        <v>-30191.068659997047</v>
      </c>
      <c r="AG112" s="120">
        <v>293</v>
      </c>
      <c r="AH112" s="120">
        <v>66</v>
      </c>
      <c r="AI112" s="120">
        <v>-497</v>
      </c>
      <c r="AJ112" s="120">
        <v>-868</v>
      </c>
      <c r="AK112" s="154">
        <f t="shared" si="24"/>
        <v>-1006</v>
      </c>
      <c r="AL112" s="120">
        <v>-526</v>
      </c>
      <c r="AM112" s="120">
        <f>AM111</f>
        <v>-715</v>
      </c>
      <c r="AN112" s="120">
        <v>-700</v>
      </c>
      <c r="AO112" s="120">
        <v>-907</v>
      </c>
      <c r="AP112" s="154">
        <f t="shared" si="25"/>
        <v>-2848</v>
      </c>
      <c r="AQ112" s="120">
        <v>-1351</v>
      </c>
      <c r="AR112" s="121">
        <v>-1775</v>
      </c>
      <c r="AS112" s="121">
        <v>-1690</v>
      </c>
      <c r="AT112" s="121">
        <v>-1308</v>
      </c>
      <c r="AU112" s="154">
        <f t="shared" si="26"/>
        <v>-6124</v>
      </c>
      <c r="AV112" s="121">
        <f>AV111</f>
        <v>-248</v>
      </c>
      <c r="AW112" s="121">
        <f>AW111</f>
        <v>-2886</v>
      </c>
      <c r="AX112" s="121">
        <f t="shared" ref="AX112:AY112" si="28">AX111</f>
        <v>-789</v>
      </c>
      <c r="AY112" s="121">
        <f t="shared" si="28"/>
        <v>354</v>
      </c>
      <c r="AZ112" s="154">
        <f>SUM(AV112:AY112)</f>
        <v>-3569</v>
      </c>
      <c r="BA112" s="121">
        <f>BA111</f>
        <v>-53</v>
      </c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</row>
    <row r="113" spans="1:72">
      <c r="A113" s="357"/>
      <c r="B113" s="11" t="s">
        <v>436</v>
      </c>
      <c r="C113" s="13"/>
      <c r="D113" s="13"/>
      <c r="E113" s="13"/>
      <c r="F113" s="13"/>
      <c r="G113" s="41"/>
      <c r="H113" s="13"/>
      <c r="I113" s="13"/>
      <c r="J113" s="13"/>
      <c r="K113" s="13"/>
      <c r="L113" s="41"/>
      <c r="M113" s="13"/>
      <c r="N113" s="13"/>
      <c r="O113" s="13"/>
      <c r="P113" s="13"/>
      <c r="Q113" s="41"/>
      <c r="R113" s="13"/>
      <c r="S113" s="13"/>
      <c r="T113" s="13"/>
      <c r="U113" s="13"/>
      <c r="V113" s="41"/>
      <c r="W113" s="13"/>
      <c r="X113" s="13"/>
      <c r="Y113" s="13"/>
      <c r="Z113" s="120">
        <v>0</v>
      </c>
      <c r="AA113" s="154">
        <v>0</v>
      </c>
      <c r="AB113" s="120">
        <v>0</v>
      </c>
      <c r="AC113" s="120">
        <v>0</v>
      </c>
      <c r="AD113" s="120">
        <v>0</v>
      </c>
      <c r="AE113" s="120">
        <v>0</v>
      </c>
      <c r="AF113" s="154">
        <v>0</v>
      </c>
      <c r="AG113" s="120">
        <v>0</v>
      </c>
      <c r="AH113" s="120">
        <v>0</v>
      </c>
      <c r="AI113" s="120">
        <v>0</v>
      </c>
      <c r="AJ113" s="120">
        <v>0</v>
      </c>
      <c r="AK113" s="154">
        <f t="shared" si="24"/>
        <v>0</v>
      </c>
      <c r="AL113" s="120">
        <v>0</v>
      </c>
      <c r="AM113" s="120">
        <v>0</v>
      </c>
      <c r="AN113" s="120">
        <v>0</v>
      </c>
      <c r="AO113" s="120">
        <v>0</v>
      </c>
      <c r="AP113" s="154">
        <f t="shared" si="25"/>
        <v>0</v>
      </c>
      <c r="AQ113" s="120">
        <v>0</v>
      </c>
      <c r="AR113" s="121">
        <v>0</v>
      </c>
      <c r="AS113" s="121">
        <v>0</v>
      </c>
      <c r="AT113" s="121">
        <v>0</v>
      </c>
      <c r="AU113" s="154">
        <f t="shared" si="26"/>
        <v>0</v>
      </c>
      <c r="AV113" s="121">
        <v>0</v>
      </c>
      <c r="AW113" s="121">
        <v>0</v>
      </c>
      <c r="AX113" s="121">
        <v>0</v>
      </c>
      <c r="AY113" s="121">
        <v>0</v>
      </c>
      <c r="AZ113" s="154">
        <f t="shared" si="27"/>
        <v>0</v>
      </c>
      <c r="BA113" s="120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</row>
    <row r="114" spans="1:72">
      <c r="A114" s="357"/>
      <c r="B114" s="11" t="s">
        <v>470</v>
      </c>
      <c r="C114" s="13"/>
      <c r="D114" s="13"/>
      <c r="E114" s="13"/>
      <c r="F114" s="13"/>
      <c r="G114" s="41"/>
      <c r="H114" s="13"/>
      <c r="I114" s="13"/>
      <c r="J114" s="13"/>
      <c r="K114" s="13"/>
      <c r="L114" s="41"/>
      <c r="M114" s="13"/>
      <c r="N114" s="13"/>
      <c r="O114" s="13"/>
      <c r="P114" s="13"/>
      <c r="Q114" s="41"/>
      <c r="R114" s="13"/>
      <c r="S114" s="13"/>
      <c r="T114" s="13"/>
      <c r="U114" s="13"/>
      <c r="V114" s="41"/>
      <c r="W114" s="13"/>
      <c r="X114" s="13"/>
      <c r="Y114" s="13"/>
      <c r="Z114" s="120">
        <v>-68.916640000000001</v>
      </c>
      <c r="AA114" s="154">
        <v>-68.916640000000001</v>
      </c>
      <c r="AB114" s="120">
        <v>-356.24226999906932</v>
      </c>
      <c r="AC114" s="120">
        <v>9.548909999410423</v>
      </c>
      <c r="AD114" s="120">
        <v>-228.37529999738763</v>
      </c>
      <c r="AE114" s="120">
        <v>0</v>
      </c>
      <c r="AF114" s="154">
        <v>-575.06865999704655</v>
      </c>
      <c r="AG114" s="120">
        <v>293</v>
      </c>
      <c r="AH114" s="120">
        <v>66</v>
      </c>
      <c r="AI114" s="120">
        <v>-497</v>
      </c>
      <c r="AJ114" s="120">
        <v>-868</v>
      </c>
      <c r="AK114" s="154">
        <f t="shared" si="24"/>
        <v>-1006</v>
      </c>
      <c r="AL114" s="120">
        <v>-526</v>
      </c>
      <c r="AM114" s="120">
        <f>SUM(AM112:AM113)</f>
        <v>-715</v>
      </c>
      <c r="AN114" s="120">
        <v>-700</v>
      </c>
      <c r="AO114" s="120">
        <v>-907</v>
      </c>
      <c r="AP114" s="154">
        <f t="shared" si="25"/>
        <v>-2848</v>
      </c>
      <c r="AQ114" s="120">
        <v>-1351</v>
      </c>
      <c r="AR114" s="121">
        <v>-1775</v>
      </c>
      <c r="AS114" s="121">
        <v>-1690</v>
      </c>
      <c r="AT114" s="121">
        <v>-1308</v>
      </c>
      <c r="AU114" s="154">
        <f t="shared" si="26"/>
        <v>-6124</v>
      </c>
      <c r="AV114" s="121">
        <f>AV113+AV112</f>
        <v>-248</v>
      </c>
      <c r="AW114" s="121">
        <f>AW113+AW112</f>
        <v>-2886</v>
      </c>
      <c r="AX114" s="121">
        <f t="shared" ref="AX114:AY114" si="29">AX113+AX112</f>
        <v>-789</v>
      </c>
      <c r="AY114" s="121">
        <f t="shared" si="29"/>
        <v>354</v>
      </c>
      <c r="AZ114" s="154">
        <f t="shared" si="27"/>
        <v>-3569</v>
      </c>
      <c r="BA114" s="121">
        <f>BA113+BA112</f>
        <v>-53</v>
      </c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</row>
    <row r="115" spans="1:72">
      <c r="A115" s="357"/>
      <c r="B115" s="11" t="s">
        <v>471</v>
      </c>
      <c r="C115" s="13"/>
      <c r="D115" s="13"/>
      <c r="E115" s="13"/>
      <c r="F115" s="13"/>
      <c r="G115" s="41"/>
      <c r="H115" s="13"/>
      <c r="I115" s="13"/>
      <c r="J115" s="13"/>
      <c r="K115" s="13"/>
      <c r="L115" s="41"/>
      <c r="M115" s="13"/>
      <c r="N115" s="13"/>
      <c r="O115" s="13"/>
      <c r="P115" s="13"/>
      <c r="Q115" s="41"/>
      <c r="R115" s="13"/>
      <c r="S115" s="13"/>
      <c r="T115" s="13"/>
      <c r="U115" s="13"/>
      <c r="V115" s="41"/>
      <c r="W115" s="13"/>
      <c r="X115" s="13"/>
      <c r="Y115" s="13"/>
      <c r="Z115" s="120">
        <v>0</v>
      </c>
      <c r="AA115" s="154">
        <v>0</v>
      </c>
      <c r="AB115" s="120">
        <v>0</v>
      </c>
      <c r="AC115" s="120">
        <v>0</v>
      </c>
      <c r="AD115" s="120">
        <v>0</v>
      </c>
      <c r="AE115" s="120">
        <v>0</v>
      </c>
      <c r="AF115" s="154">
        <v>0</v>
      </c>
      <c r="AG115" s="120">
        <v>0</v>
      </c>
      <c r="AH115" s="120">
        <v>0</v>
      </c>
      <c r="AI115" s="120">
        <v>0</v>
      </c>
      <c r="AJ115" s="120">
        <v>0</v>
      </c>
      <c r="AK115" s="154">
        <f t="shared" si="24"/>
        <v>0</v>
      </c>
      <c r="AL115" s="120">
        <v>0</v>
      </c>
      <c r="AM115" s="120">
        <v>0</v>
      </c>
      <c r="AN115" s="120">
        <v>0</v>
      </c>
      <c r="AO115" s="120">
        <v>0</v>
      </c>
      <c r="AP115" s="154">
        <f t="shared" si="25"/>
        <v>0</v>
      </c>
      <c r="AQ115" s="120">
        <v>0</v>
      </c>
      <c r="AR115" s="121">
        <v>0</v>
      </c>
      <c r="AS115" s="121">
        <v>0</v>
      </c>
      <c r="AT115" s="121">
        <v>0</v>
      </c>
      <c r="AU115" s="154">
        <f t="shared" si="26"/>
        <v>0</v>
      </c>
      <c r="AV115" s="121">
        <v>0</v>
      </c>
      <c r="AW115" s="121">
        <v>0</v>
      </c>
      <c r="AX115" s="121">
        <v>0</v>
      </c>
      <c r="AY115" s="121">
        <v>0</v>
      </c>
      <c r="AZ115" s="154">
        <f t="shared" si="27"/>
        <v>0</v>
      </c>
      <c r="BA115" s="120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</row>
    <row r="116" spans="1:72" s="106" customFormat="1" ht="15.75" thickBot="1">
      <c r="A116" s="519"/>
      <c r="B116" s="520" t="s">
        <v>451</v>
      </c>
      <c r="C116" s="521"/>
      <c r="D116" s="521"/>
      <c r="E116" s="521"/>
      <c r="F116" s="521"/>
      <c r="G116" s="522"/>
      <c r="H116" s="521"/>
      <c r="I116" s="521"/>
      <c r="J116" s="521"/>
      <c r="K116" s="521"/>
      <c r="L116" s="522"/>
      <c r="M116" s="521"/>
      <c r="N116" s="521"/>
      <c r="O116" s="521"/>
      <c r="P116" s="521"/>
      <c r="Q116" s="522"/>
      <c r="R116" s="521"/>
      <c r="S116" s="521"/>
      <c r="T116" s="521"/>
      <c r="U116" s="521"/>
      <c r="V116" s="522"/>
      <c r="W116" s="521"/>
      <c r="X116" s="521"/>
      <c r="Y116" s="521"/>
      <c r="Z116" s="521">
        <v>0.6</v>
      </c>
      <c r="AA116" s="522">
        <v>0.6</v>
      </c>
      <c r="AB116" s="521">
        <v>0.6</v>
      </c>
      <c r="AC116" s="521">
        <v>0.6</v>
      </c>
      <c r="AD116" s="521">
        <v>0.6</v>
      </c>
      <c r="AE116" s="521">
        <v>0.6</v>
      </c>
      <c r="AF116" s="522">
        <v>0.6</v>
      </c>
      <c r="AG116" s="521">
        <v>0.6</v>
      </c>
      <c r="AH116" s="521">
        <v>0.6</v>
      </c>
      <c r="AI116" s="521">
        <v>0.6</v>
      </c>
      <c r="AJ116" s="521">
        <v>0.6</v>
      </c>
      <c r="AK116" s="522">
        <v>0.6</v>
      </c>
      <c r="AL116" s="521">
        <v>0.6</v>
      </c>
      <c r="AM116" s="521">
        <v>0.6</v>
      </c>
      <c r="AN116" s="521">
        <v>0.6</v>
      </c>
      <c r="AO116" s="521">
        <v>0.6</v>
      </c>
      <c r="AP116" s="522">
        <v>0.6</v>
      </c>
      <c r="AQ116" s="521">
        <v>0.6</v>
      </c>
      <c r="AR116" s="521">
        <v>0.6</v>
      </c>
      <c r="AS116" s="521">
        <v>0.6</v>
      </c>
      <c r="AT116" s="521">
        <v>0.6</v>
      </c>
      <c r="AU116" s="522">
        <v>0.6</v>
      </c>
      <c r="AV116" s="521">
        <v>0.6</v>
      </c>
      <c r="AW116" s="521">
        <v>0.6</v>
      </c>
      <c r="AX116" s="521">
        <v>0.6</v>
      </c>
      <c r="AY116" s="521">
        <v>0.6</v>
      </c>
      <c r="AZ116" s="522">
        <v>0.6</v>
      </c>
      <c r="BA116" s="521">
        <v>0.6</v>
      </c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</row>
    <row r="117" spans="1:72">
      <c r="A117" s="452"/>
      <c r="AK117" s="8"/>
      <c r="AL117" s="8"/>
      <c r="AM117" s="8"/>
      <c r="AN117" s="8"/>
      <c r="AO117" s="8"/>
      <c r="AP117" s="476"/>
      <c r="AU117" s="476"/>
      <c r="AZ117" s="8"/>
    </row>
    <row r="118" spans="1:72" s="103" customFormat="1" ht="23.25">
      <c r="A118" s="355"/>
      <c r="B118" s="74" t="s">
        <v>94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</row>
    <row r="119" spans="1:72" ht="15.75" thickBot="1"/>
    <row r="120" spans="1:72" s="2" customFormat="1">
      <c r="A120" s="670"/>
      <c r="B120" s="625" t="s">
        <v>528</v>
      </c>
      <c r="C120" s="626" t="s">
        <v>224</v>
      </c>
      <c r="D120" s="626" t="s">
        <v>225</v>
      </c>
      <c r="E120" s="626" t="s">
        <v>226</v>
      </c>
      <c r="F120" s="626" t="s">
        <v>227</v>
      </c>
      <c r="G120" s="652">
        <v>2016</v>
      </c>
      <c r="H120" s="626" t="s">
        <v>228</v>
      </c>
      <c r="I120" s="626" t="s">
        <v>229</v>
      </c>
      <c r="J120" s="626" t="s">
        <v>230</v>
      </c>
      <c r="K120" s="626" t="s">
        <v>231</v>
      </c>
      <c r="L120" s="652">
        <v>2017</v>
      </c>
      <c r="M120" s="626" t="s">
        <v>232</v>
      </c>
      <c r="N120" s="626" t="s">
        <v>233</v>
      </c>
      <c r="O120" s="626" t="s">
        <v>234</v>
      </c>
      <c r="P120" s="626" t="s">
        <v>235</v>
      </c>
      <c r="Q120" s="652">
        <v>2018</v>
      </c>
      <c r="R120" s="626" t="s">
        <v>236</v>
      </c>
      <c r="S120" s="626" t="s">
        <v>237</v>
      </c>
      <c r="T120" s="626" t="s">
        <v>238</v>
      </c>
      <c r="U120" s="626" t="s">
        <v>239</v>
      </c>
      <c r="V120" s="652">
        <v>2019</v>
      </c>
      <c r="W120" s="626" t="s">
        <v>240</v>
      </c>
      <c r="X120" s="626" t="s">
        <v>241</v>
      </c>
      <c r="Y120" s="626" t="s">
        <v>242</v>
      </c>
      <c r="Z120" s="626" t="s">
        <v>243</v>
      </c>
      <c r="AA120" s="652">
        <v>2020</v>
      </c>
      <c r="AB120" s="626" t="s">
        <v>244</v>
      </c>
      <c r="AC120" s="626" t="s">
        <v>245</v>
      </c>
      <c r="AD120" s="626" t="s">
        <v>246</v>
      </c>
      <c r="AE120" s="626" t="s">
        <v>247</v>
      </c>
      <c r="AF120" s="652">
        <v>2021</v>
      </c>
      <c r="AG120" s="626" t="s">
        <v>248</v>
      </c>
      <c r="AH120" s="626" t="s">
        <v>249</v>
      </c>
      <c r="AI120" s="626" t="s">
        <v>250</v>
      </c>
      <c r="AJ120" s="626" t="s">
        <v>215</v>
      </c>
      <c r="AK120" s="652">
        <v>2022</v>
      </c>
      <c r="AL120" s="626" t="s">
        <v>252</v>
      </c>
      <c r="AM120" s="626" t="s">
        <v>253</v>
      </c>
      <c r="AN120" s="626" t="s">
        <v>254</v>
      </c>
      <c r="AO120" s="626" t="s">
        <v>219</v>
      </c>
      <c r="AP120" s="652">
        <v>2023</v>
      </c>
      <c r="AQ120" s="626" t="s">
        <v>223</v>
      </c>
      <c r="AR120" s="626" t="s">
        <v>256</v>
      </c>
      <c r="AS120" s="626" t="s">
        <v>357</v>
      </c>
      <c r="AT120" s="626" t="s">
        <v>358</v>
      </c>
      <c r="AU120" s="652">
        <v>2024</v>
      </c>
      <c r="AV120" s="626" t="s">
        <v>359</v>
      </c>
      <c r="AW120" s="626" t="s">
        <v>1115</v>
      </c>
      <c r="AX120" s="626" t="s">
        <v>1116</v>
      </c>
      <c r="AY120" s="626" t="s">
        <v>1117</v>
      </c>
      <c r="AZ120" s="653" t="s">
        <v>1118</v>
      </c>
      <c r="BA120" s="645" t="s">
        <v>1124</v>
      </c>
    </row>
    <row r="121" spans="1:72" s="2" customFormat="1" ht="15" customHeight="1">
      <c r="A121" s="356"/>
      <c r="B121" s="9" t="s">
        <v>529</v>
      </c>
      <c r="C121" s="10"/>
      <c r="D121" s="10"/>
      <c r="E121" s="10"/>
      <c r="F121" s="10"/>
      <c r="G121" s="39"/>
      <c r="H121" s="10"/>
      <c r="I121" s="10"/>
      <c r="J121" s="10"/>
      <c r="K121" s="10"/>
      <c r="L121" s="39"/>
      <c r="M121" s="39"/>
      <c r="N121" s="39"/>
      <c r="O121" s="39"/>
      <c r="P121" s="39"/>
      <c r="Q121" s="39"/>
      <c r="R121" s="10"/>
      <c r="S121" s="10"/>
      <c r="T121" s="10"/>
      <c r="U121" s="10"/>
      <c r="V121" s="39"/>
      <c r="W121" s="10"/>
      <c r="X121" s="10"/>
      <c r="Y121" s="10"/>
      <c r="Z121" s="117">
        <v>0</v>
      </c>
      <c r="AA121" s="118">
        <v>0</v>
      </c>
      <c r="AB121" s="117">
        <v>82161.747060000009</v>
      </c>
      <c r="AC121" s="117">
        <v>159939.70178</v>
      </c>
      <c r="AD121" s="117">
        <v>193476.55195999998</v>
      </c>
      <c r="AE121" s="117">
        <v>224234.03988999999</v>
      </c>
      <c r="AF121" s="118">
        <v>659812.04069000005</v>
      </c>
      <c r="AG121" s="117">
        <v>222646</v>
      </c>
      <c r="AH121" s="117">
        <v>259368</v>
      </c>
      <c r="AI121" s="117">
        <v>318690</v>
      </c>
      <c r="AJ121" s="117">
        <v>312858</v>
      </c>
      <c r="AK121" s="118">
        <f>SUM(AG121:AJ121)</f>
        <v>1113562</v>
      </c>
      <c r="AL121" s="117">
        <v>323789</v>
      </c>
      <c r="AM121" s="117">
        <v>362316</v>
      </c>
      <c r="AN121" s="117">
        <v>403398</v>
      </c>
      <c r="AO121" s="117">
        <v>434619</v>
      </c>
      <c r="AP121" s="118">
        <f>SUM(AL121:AO121)</f>
        <v>1524122</v>
      </c>
      <c r="AQ121" s="117">
        <v>459871</v>
      </c>
      <c r="AR121" s="117">
        <v>513449</v>
      </c>
      <c r="AS121" s="117">
        <v>566149</v>
      </c>
      <c r="AT121" s="117">
        <v>600078</v>
      </c>
      <c r="AU121" s="118">
        <f>SUM(AQ121:AT121)</f>
        <v>2139547</v>
      </c>
      <c r="AV121" s="117">
        <v>650254</v>
      </c>
      <c r="AW121" s="117">
        <v>692062</v>
      </c>
      <c r="AX121" s="117">
        <v>752909</v>
      </c>
      <c r="AY121" s="117">
        <v>777812</v>
      </c>
      <c r="AZ121" s="118">
        <f>SUM(AV121:AY121)</f>
        <v>2873037</v>
      </c>
      <c r="BA121" s="117">
        <v>808778</v>
      </c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1"/>
      <c r="BN121" s="211"/>
      <c r="BO121" s="211"/>
      <c r="BP121" s="211"/>
      <c r="BQ121" s="211"/>
      <c r="BR121" s="211"/>
      <c r="BS121" s="211"/>
      <c r="BT121" s="211"/>
    </row>
    <row r="122" spans="1:72">
      <c r="A122" s="357"/>
      <c r="B122" s="11" t="s">
        <v>443</v>
      </c>
      <c r="C122" s="8"/>
      <c r="D122" s="8"/>
      <c r="E122" s="8"/>
      <c r="F122" s="8"/>
      <c r="G122" s="40"/>
      <c r="H122" s="8"/>
      <c r="I122" s="8"/>
      <c r="J122" s="8"/>
      <c r="K122" s="8"/>
      <c r="L122" s="40"/>
      <c r="M122" s="8"/>
      <c r="N122" s="8"/>
      <c r="O122" s="8"/>
      <c r="P122" s="8"/>
      <c r="Q122" s="40"/>
      <c r="R122" s="12"/>
      <c r="S122" s="12"/>
      <c r="T122" s="12"/>
      <c r="U122" s="12"/>
      <c r="V122" s="40"/>
      <c r="W122" s="12"/>
      <c r="X122" s="12"/>
      <c r="Y122" s="12"/>
      <c r="Z122" s="153">
        <v>0</v>
      </c>
      <c r="AA122" s="144">
        <v>0</v>
      </c>
      <c r="AB122" s="153">
        <v>-77748.690019999995</v>
      </c>
      <c r="AC122" s="153">
        <v>-122172.37591</v>
      </c>
      <c r="AD122" s="153">
        <v>-104414.50029</v>
      </c>
      <c r="AE122" s="153">
        <v>-86716.595480000004</v>
      </c>
      <c r="AF122" s="144">
        <v>-391052.1617</v>
      </c>
      <c r="AG122" s="153">
        <v>-44316</v>
      </c>
      <c r="AH122" s="153">
        <v>-49137</v>
      </c>
      <c r="AI122" s="153">
        <v>-70099</v>
      </c>
      <c r="AJ122" s="121">
        <v>-28557</v>
      </c>
      <c r="AK122" s="144">
        <f t="shared" ref="AK122:AK144" si="30">SUM(AG122:AJ122)</f>
        <v>-192109</v>
      </c>
      <c r="AL122" s="153">
        <v>-15576</v>
      </c>
      <c r="AM122" s="153">
        <v>-20041</v>
      </c>
      <c r="AN122" s="153">
        <v>-31679</v>
      </c>
      <c r="AO122" s="153">
        <v>-27243</v>
      </c>
      <c r="AP122" s="144">
        <f t="shared" ref="AP122:AP145" si="31">SUM(AL122:AO122)</f>
        <v>-94539</v>
      </c>
      <c r="AQ122" s="153">
        <v>-25439</v>
      </c>
      <c r="AR122" s="121">
        <v>-36686</v>
      </c>
      <c r="AS122" s="121">
        <v>-37617</v>
      </c>
      <c r="AT122" s="121">
        <v>-36492</v>
      </c>
      <c r="AU122" s="144">
        <f t="shared" ref="AU122:AU145" si="32">SUM(AQ122:AT122)</f>
        <v>-136234</v>
      </c>
      <c r="AV122" s="121">
        <v>-56825</v>
      </c>
      <c r="AW122" s="121">
        <v>-57353</v>
      </c>
      <c r="AX122" s="121">
        <v>-70575</v>
      </c>
      <c r="AY122" s="121">
        <v>-52239</v>
      </c>
      <c r="AZ122" s="144">
        <f t="shared" ref="AZ122:AZ145" si="33">SUM(AV122:AY122)</f>
        <v>-236992</v>
      </c>
      <c r="BA122" s="123">
        <v>-26956</v>
      </c>
      <c r="BB122" s="746"/>
      <c r="BC122" s="746"/>
      <c r="BD122" s="746"/>
      <c r="BE122" s="746"/>
      <c r="BF122" s="746"/>
      <c r="BG122" s="746"/>
      <c r="BH122" s="746"/>
      <c r="BI122" s="746"/>
      <c r="BJ122" s="746"/>
      <c r="BK122" s="746"/>
      <c r="BL122" s="746"/>
      <c r="BM122" s="746"/>
      <c r="BN122" s="746"/>
      <c r="BO122" s="746"/>
      <c r="BP122" s="746"/>
      <c r="BQ122" s="746"/>
      <c r="BR122" s="746"/>
      <c r="BS122" s="746"/>
      <c r="BT122" s="746"/>
    </row>
    <row r="123" spans="1:72" s="2" customFormat="1">
      <c r="A123" s="356"/>
      <c r="B123" s="9" t="s">
        <v>475</v>
      </c>
      <c r="C123" s="10"/>
      <c r="D123" s="10"/>
      <c r="E123" s="10"/>
      <c r="F123" s="10"/>
      <c r="G123" s="39"/>
      <c r="H123" s="10"/>
      <c r="I123" s="10"/>
      <c r="J123" s="10"/>
      <c r="K123" s="10"/>
      <c r="L123" s="39"/>
      <c r="M123" s="10"/>
      <c r="N123" s="10"/>
      <c r="O123" s="10"/>
      <c r="P123" s="10"/>
      <c r="Q123" s="39"/>
      <c r="R123" s="10"/>
      <c r="S123" s="10"/>
      <c r="T123" s="10"/>
      <c r="U123" s="10"/>
      <c r="V123" s="39"/>
      <c r="W123" s="10"/>
      <c r="X123" s="10"/>
      <c r="Y123" s="10"/>
      <c r="Z123" s="117">
        <v>0</v>
      </c>
      <c r="AA123" s="118">
        <v>0</v>
      </c>
      <c r="AB123" s="117">
        <v>4413.0570400000142</v>
      </c>
      <c r="AC123" s="117">
        <v>37767.325870000001</v>
      </c>
      <c r="AD123" s="117">
        <v>89062.051669999986</v>
      </c>
      <c r="AE123" s="117">
        <v>137517.44441000003</v>
      </c>
      <c r="AF123" s="118">
        <v>268759.87899</v>
      </c>
      <c r="AG123" s="117">
        <f>SUM(AG121:AG122)</f>
        <v>178330</v>
      </c>
      <c r="AH123" s="117">
        <f>SUM(AH121:AH122)</f>
        <v>210231</v>
      </c>
      <c r="AI123" s="117">
        <f>SUM(AI121:AI122)</f>
        <v>248591</v>
      </c>
      <c r="AJ123" s="117">
        <f>SUM(AJ121:AJ122)</f>
        <v>284301</v>
      </c>
      <c r="AK123" s="118">
        <f t="shared" si="30"/>
        <v>921453</v>
      </c>
      <c r="AL123" s="117">
        <f>SUM(AL121:AL122)</f>
        <v>308213</v>
      </c>
      <c r="AM123" s="117">
        <f>SUM(AM121:AM122)</f>
        <v>342275</v>
      </c>
      <c r="AN123" s="117">
        <f>SUM(AN121:AN122)</f>
        <v>371719</v>
      </c>
      <c r="AO123" s="117">
        <v>407376</v>
      </c>
      <c r="AP123" s="118">
        <f t="shared" si="31"/>
        <v>1429583</v>
      </c>
      <c r="AQ123" s="117">
        <f>SUM(AQ121:AQ122)</f>
        <v>434432</v>
      </c>
      <c r="AR123" s="117">
        <f t="shared" ref="AR123:AW123" si="34">SUM(AR121:AR122)</f>
        <v>476763</v>
      </c>
      <c r="AS123" s="117">
        <f t="shared" si="34"/>
        <v>528532</v>
      </c>
      <c r="AT123" s="117">
        <f t="shared" si="34"/>
        <v>563586</v>
      </c>
      <c r="AU123" s="118">
        <f t="shared" si="32"/>
        <v>2003313</v>
      </c>
      <c r="AV123" s="117">
        <f t="shared" si="34"/>
        <v>593429</v>
      </c>
      <c r="AW123" s="117">
        <f t="shared" si="34"/>
        <v>634709</v>
      </c>
      <c r="AX123" s="117">
        <f>SUM(AX121:AX122)</f>
        <v>682334</v>
      </c>
      <c r="AY123" s="117">
        <f>SUM(AY121:AY122)</f>
        <v>725573</v>
      </c>
      <c r="AZ123" s="118">
        <f t="shared" si="33"/>
        <v>2636045</v>
      </c>
      <c r="BA123" s="117">
        <f t="shared" ref="BA123" si="35">SUM(BA121:BA122)</f>
        <v>781822</v>
      </c>
      <c r="BB123" s="211"/>
      <c r="BC123" s="211"/>
      <c r="BD123" s="211"/>
      <c r="BE123" s="211"/>
      <c r="BF123" s="211"/>
      <c r="BG123" s="211"/>
      <c r="BH123" s="211"/>
      <c r="BI123" s="211"/>
      <c r="BJ123" s="211"/>
      <c r="BK123" s="211"/>
      <c r="BL123" s="211"/>
      <c r="BM123" s="211"/>
      <c r="BN123" s="211"/>
      <c r="BO123" s="211"/>
      <c r="BP123" s="211"/>
      <c r="BQ123" s="211"/>
      <c r="BR123" s="211"/>
      <c r="BS123" s="211"/>
      <c r="BT123" s="211"/>
    </row>
    <row r="124" spans="1:72">
      <c r="A124" s="357"/>
      <c r="B124" s="11" t="s">
        <v>476</v>
      </c>
      <c r="C124" s="13"/>
      <c r="D124" s="13"/>
      <c r="E124" s="13"/>
      <c r="F124" s="13"/>
      <c r="G124" s="41"/>
      <c r="H124" s="13"/>
      <c r="I124" s="13"/>
      <c r="J124" s="13"/>
      <c r="K124" s="13"/>
      <c r="L124" s="41"/>
      <c r="M124" s="13"/>
      <c r="N124" s="13"/>
      <c r="O124" s="13"/>
      <c r="P124" s="13"/>
      <c r="Q124" s="41"/>
      <c r="R124" s="13"/>
      <c r="S124" s="13"/>
      <c r="T124" s="13"/>
      <c r="U124" s="13"/>
      <c r="V124" s="41"/>
      <c r="W124" s="13"/>
      <c r="X124" s="13"/>
      <c r="Y124" s="13"/>
      <c r="Z124" s="120"/>
      <c r="AA124" s="154"/>
      <c r="AB124" s="120">
        <v>0</v>
      </c>
      <c r="AC124" s="120">
        <v>0</v>
      </c>
      <c r="AD124" s="120">
        <v>0</v>
      </c>
      <c r="AE124" s="120">
        <v>0</v>
      </c>
      <c r="AF124" s="154">
        <v>0</v>
      </c>
      <c r="AG124" s="120">
        <v>0</v>
      </c>
      <c r="AH124" s="120">
        <v>0</v>
      </c>
      <c r="AI124" s="120">
        <v>0</v>
      </c>
      <c r="AJ124" s="120">
        <v>0</v>
      </c>
      <c r="AK124" s="154">
        <f t="shared" si="30"/>
        <v>0</v>
      </c>
      <c r="AL124" s="120">
        <v>0</v>
      </c>
      <c r="AM124" s="120">
        <v>0</v>
      </c>
      <c r="AN124" s="120">
        <v>0</v>
      </c>
      <c r="AO124" s="120">
        <v>0</v>
      </c>
      <c r="AP124" s="154">
        <f t="shared" si="31"/>
        <v>0</v>
      </c>
      <c r="AQ124" s="120">
        <v>0</v>
      </c>
      <c r="AR124" s="121">
        <v>0</v>
      </c>
      <c r="AS124" s="121">
        <v>0</v>
      </c>
      <c r="AT124" s="121">
        <v>0</v>
      </c>
      <c r="AU124" s="154">
        <f t="shared" si="32"/>
        <v>0</v>
      </c>
      <c r="AV124" s="121">
        <v>0</v>
      </c>
      <c r="AW124" s="121">
        <v>0</v>
      </c>
      <c r="AX124" s="121">
        <v>0</v>
      </c>
      <c r="AY124" s="121">
        <v>0</v>
      </c>
      <c r="AZ124" s="154">
        <f t="shared" si="33"/>
        <v>0</v>
      </c>
      <c r="BA124" s="120">
        <v>0</v>
      </c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</row>
    <row r="125" spans="1:72">
      <c r="A125" s="357"/>
      <c r="B125" s="11" t="s">
        <v>477</v>
      </c>
      <c r="C125" s="13"/>
      <c r="D125" s="13"/>
      <c r="E125" s="13"/>
      <c r="F125" s="13"/>
      <c r="G125" s="41"/>
      <c r="H125" s="13"/>
      <c r="I125" s="13"/>
      <c r="J125" s="13"/>
      <c r="K125" s="13"/>
      <c r="L125" s="41"/>
      <c r="M125" s="13"/>
      <c r="N125" s="13"/>
      <c r="O125" s="13"/>
      <c r="P125" s="13"/>
      <c r="Q125" s="41"/>
      <c r="R125" s="13"/>
      <c r="S125" s="13"/>
      <c r="T125" s="13"/>
      <c r="U125" s="13"/>
      <c r="V125" s="41"/>
      <c r="W125" s="13"/>
      <c r="X125" s="13"/>
      <c r="Y125" s="13"/>
      <c r="Z125" s="120">
        <v>0</v>
      </c>
      <c r="AA125" s="154">
        <v>0</v>
      </c>
      <c r="AB125" s="120">
        <v>-749.11829</v>
      </c>
      <c r="AC125" s="120">
        <v>-8817.1358</v>
      </c>
      <c r="AD125" s="120">
        <v>-14556.888139999999</v>
      </c>
      <c r="AE125" s="120">
        <v>-29619.537810000002</v>
      </c>
      <c r="AF125" s="154">
        <v>-53742.680039999999</v>
      </c>
      <c r="AG125" s="120">
        <v>-33741</v>
      </c>
      <c r="AH125" s="120">
        <v>-21845</v>
      </c>
      <c r="AI125" s="120">
        <v>-35501</v>
      </c>
      <c r="AJ125" s="120">
        <v>-46164</v>
      </c>
      <c r="AK125" s="154">
        <f t="shared" si="30"/>
        <v>-137251</v>
      </c>
      <c r="AL125" s="120">
        <v>-41378</v>
      </c>
      <c r="AM125" s="120">
        <v>-48031</v>
      </c>
      <c r="AN125" s="120">
        <v>-49571</v>
      </c>
      <c r="AO125" s="120">
        <v>-64200</v>
      </c>
      <c r="AP125" s="154">
        <f t="shared" si="31"/>
        <v>-203180</v>
      </c>
      <c r="AQ125" s="121">
        <v>-75173.440000000002</v>
      </c>
      <c r="AR125" s="214">
        <v>-300391</v>
      </c>
      <c r="AS125" s="214">
        <v>14035</v>
      </c>
      <c r="AT125" s="121">
        <v>-97619</v>
      </c>
      <c r="AU125" s="154">
        <f t="shared" si="32"/>
        <v>-459148.44</v>
      </c>
      <c r="AV125" s="121">
        <v>-87738</v>
      </c>
      <c r="AW125" s="121">
        <v>-121570</v>
      </c>
      <c r="AX125" s="121">
        <v>-118614</v>
      </c>
      <c r="AY125" s="121">
        <v>-125823</v>
      </c>
      <c r="AZ125" s="154">
        <f t="shared" si="33"/>
        <v>-453745</v>
      </c>
      <c r="BA125" s="120">
        <v>-131764</v>
      </c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</row>
    <row r="126" spans="1:72">
      <c r="A126" s="499"/>
      <c r="B126" s="11" t="s">
        <v>478</v>
      </c>
      <c r="C126" s="8"/>
      <c r="D126" s="8"/>
      <c r="E126" s="8"/>
      <c r="F126" s="8"/>
      <c r="G126" s="40"/>
      <c r="H126" s="8"/>
      <c r="I126" s="8"/>
      <c r="J126" s="8"/>
      <c r="K126" s="8"/>
      <c r="L126" s="40"/>
      <c r="M126" s="8"/>
      <c r="N126" s="8"/>
      <c r="O126" s="8"/>
      <c r="P126" s="8"/>
      <c r="Q126" s="40"/>
      <c r="R126" s="12"/>
      <c r="S126" s="12"/>
      <c r="T126" s="12"/>
      <c r="U126" s="12"/>
      <c r="V126" s="40"/>
      <c r="W126" s="12"/>
      <c r="X126" s="12"/>
      <c r="Y126" s="12"/>
      <c r="Z126" s="153">
        <v>0</v>
      </c>
      <c r="AA126" s="144">
        <v>0</v>
      </c>
      <c r="AB126" s="153">
        <v>-1479.1167100000009</v>
      </c>
      <c r="AC126" s="153">
        <v>-11225.57252</v>
      </c>
      <c r="AD126" s="153">
        <v>-26177.070510000005</v>
      </c>
      <c r="AE126" s="153">
        <v>-39928.277159999998</v>
      </c>
      <c r="AF126" s="144">
        <v>-78810.036900000006</v>
      </c>
      <c r="AG126" s="157">
        <v>-51383</v>
      </c>
      <c r="AH126" s="157">
        <v>-59934</v>
      </c>
      <c r="AI126" s="157">
        <v>-69826</v>
      </c>
      <c r="AJ126" s="157">
        <v>-78624</v>
      </c>
      <c r="AK126" s="144">
        <f t="shared" si="30"/>
        <v>-259767</v>
      </c>
      <c r="AL126" s="157">
        <v>-84559</v>
      </c>
      <c r="AM126" s="157">
        <v>-93397</v>
      </c>
      <c r="AN126" s="157">
        <v>-98133</v>
      </c>
      <c r="AO126" s="157">
        <v>-105956</v>
      </c>
      <c r="AP126" s="144">
        <f t="shared" si="31"/>
        <v>-382045</v>
      </c>
      <c r="AQ126" s="157">
        <v>-111660</v>
      </c>
      <c r="AR126" s="157">
        <v>-120975</v>
      </c>
      <c r="AS126" s="157">
        <v>-132074</v>
      </c>
      <c r="AT126" s="157">
        <v>-140271</v>
      </c>
      <c r="AU126" s="144">
        <f t="shared" si="32"/>
        <v>-504980</v>
      </c>
      <c r="AV126" s="157">
        <v>-147677</v>
      </c>
      <c r="AW126" s="157">
        <v>-157934</v>
      </c>
      <c r="AX126" s="157">
        <v>-169977</v>
      </c>
      <c r="AY126" s="157">
        <v>-180475</v>
      </c>
      <c r="AZ126" s="144">
        <f t="shared" si="33"/>
        <v>-656063</v>
      </c>
      <c r="BA126" s="121">
        <v>-193930</v>
      </c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</row>
    <row r="127" spans="1:72">
      <c r="A127" s="499"/>
      <c r="B127" s="11" t="s">
        <v>479</v>
      </c>
      <c r="C127" s="13"/>
      <c r="D127" s="13"/>
      <c r="E127" s="13"/>
      <c r="F127" s="13"/>
      <c r="G127" s="41"/>
      <c r="H127" s="13"/>
      <c r="I127" s="13"/>
      <c r="J127" s="13"/>
      <c r="K127" s="13"/>
      <c r="L127" s="41"/>
      <c r="M127" s="13"/>
      <c r="N127" s="13"/>
      <c r="O127" s="13"/>
      <c r="P127" s="13"/>
      <c r="Q127" s="41"/>
      <c r="R127" s="13"/>
      <c r="S127" s="13"/>
      <c r="T127" s="13"/>
      <c r="U127" s="13"/>
      <c r="V127" s="41"/>
      <c r="W127" s="13"/>
      <c r="X127" s="13"/>
      <c r="Y127" s="13"/>
      <c r="Z127" s="120">
        <v>0</v>
      </c>
      <c r="AA127" s="154">
        <v>0</v>
      </c>
      <c r="AB127" s="120">
        <v>-584.87754000000007</v>
      </c>
      <c r="AC127" s="120">
        <v>-1007.3973300000001</v>
      </c>
      <c r="AD127" s="120">
        <v>-1285.4003400000001</v>
      </c>
      <c r="AE127" s="120">
        <v>-1572.5620200000001</v>
      </c>
      <c r="AF127" s="154">
        <v>-4450.2372300000006</v>
      </c>
      <c r="AG127" s="120">
        <v>-1993</v>
      </c>
      <c r="AH127" s="120">
        <v>-1699</v>
      </c>
      <c r="AI127" s="120">
        <v>-1783</v>
      </c>
      <c r="AJ127" s="120">
        <v>-3033</v>
      </c>
      <c r="AK127" s="154">
        <f t="shared" si="30"/>
        <v>-8508</v>
      </c>
      <c r="AL127" s="120">
        <v>-1948</v>
      </c>
      <c r="AM127" s="120">
        <v>-122</v>
      </c>
      <c r="AN127" s="120">
        <v>-2116</v>
      </c>
      <c r="AO127" s="120">
        <v>-2120</v>
      </c>
      <c r="AP127" s="154">
        <f t="shared" si="31"/>
        <v>-6306</v>
      </c>
      <c r="AQ127" s="120">
        <v>-2249</v>
      </c>
      <c r="AR127" s="157">
        <v>-2729</v>
      </c>
      <c r="AS127" s="157">
        <v>-2297</v>
      </c>
      <c r="AT127" s="157">
        <v>-2195</v>
      </c>
      <c r="AU127" s="154">
        <f t="shared" si="32"/>
        <v>-9470</v>
      </c>
      <c r="AV127" s="157">
        <v>-2608</v>
      </c>
      <c r="AW127" s="157">
        <v>-3163</v>
      </c>
      <c r="AX127" s="157">
        <v>-3318</v>
      </c>
      <c r="AY127" s="157">
        <v>-3544</v>
      </c>
      <c r="AZ127" s="154">
        <f t="shared" si="33"/>
        <v>-12633</v>
      </c>
      <c r="BA127" s="120">
        <v>-3681</v>
      </c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</row>
    <row r="128" spans="1:72">
      <c r="A128" s="499"/>
      <c r="B128" s="11" t="s">
        <v>530</v>
      </c>
      <c r="C128" s="13"/>
      <c r="D128" s="13"/>
      <c r="E128" s="13"/>
      <c r="F128" s="13"/>
      <c r="G128" s="41"/>
      <c r="H128" s="13"/>
      <c r="I128" s="13"/>
      <c r="J128" s="13"/>
      <c r="K128" s="13"/>
      <c r="L128" s="41"/>
      <c r="M128" s="13"/>
      <c r="N128" s="13"/>
      <c r="O128" s="13"/>
      <c r="P128" s="13"/>
      <c r="Q128" s="41"/>
      <c r="R128" s="13"/>
      <c r="S128" s="13"/>
      <c r="T128" s="13"/>
      <c r="U128" s="13"/>
      <c r="V128" s="41"/>
      <c r="W128" s="13"/>
      <c r="X128" s="13"/>
      <c r="Y128" s="13"/>
      <c r="Z128" s="120">
        <v>0</v>
      </c>
      <c r="AA128" s="154">
        <v>0</v>
      </c>
      <c r="AB128" s="120">
        <v>-373.66856000000001</v>
      </c>
      <c r="AC128" s="120">
        <v>-506.04656000000006</v>
      </c>
      <c r="AD128" s="120">
        <v>-642.67495999999994</v>
      </c>
      <c r="AE128" s="120">
        <v>-774.4588</v>
      </c>
      <c r="AF128" s="154">
        <v>-2296.84888</v>
      </c>
      <c r="AG128" s="120">
        <v>-831</v>
      </c>
      <c r="AH128" s="120">
        <v>-1421</v>
      </c>
      <c r="AI128" s="120">
        <v>-1588</v>
      </c>
      <c r="AJ128" s="120">
        <v>-1740</v>
      </c>
      <c r="AK128" s="154">
        <f t="shared" si="30"/>
        <v>-5580</v>
      </c>
      <c r="AL128" s="120">
        <v>-1852</v>
      </c>
      <c r="AM128" s="120">
        <v>-1908</v>
      </c>
      <c r="AN128" s="120">
        <v>-1824</v>
      </c>
      <c r="AO128" s="120">
        <v>-1730</v>
      </c>
      <c r="AP128" s="154">
        <f t="shared" si="31"/>
        <v>-7314</v>
      </c>
      <c r="AQ128" s="120">
        <v>-1774</v>
      </c>
      <c r="AR128" s="157">
        <v>185143</v>
      </c>
      <c r="AS128" s="157">
        <v>-107218</v>
      </c>
      <c r="AT128" s="157">
        <v>-10572</v>
      </c>
      <c r="AU128" s="154">
        <f t="shared" si="32"/>
        <v>65579</v>
      </c>
      <c r="AV128" s="157">
        <v>-12561.529</v>
      </c>
      <c r="AW128" s="157">
        <v>-443</v>
      </c>
      <c r="AX128" s="157">
        <v>-2187</v>
      </c>
      <c r="AY128" s="157">
        <v>-4014</v>
      </c>
      <c r="AZ128" s="154">
        <f t="shared" si="33"/>
        <v>-19205.529000000002</v>
      </c>
      <c r="BA128" s="120">
        <v>-330</v>
      </c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</row>
    <row r="129" spans="1:72" s="2" customFormat="1">
      <c r="A129" s="356"/>
      <c r="B129" s="9" t="s">
        <v>412</v>
      </c>
      <c r="C129" s="10"/>
      <c r="D129" s="10"/>
      <c r="E129" s="10"/>
      <c r="F129" s="10"/>
      <c r="G129" s="39"/>
      <c r="H129" s="10"/>
      <c r="I129" s="10"/>
      <c r="J129" s="10"/>
      <c r="K129" s="10"/>
      <c r="L129" s="39"/>
      <c r="M129" s="10"/>
      <c r="N129" s="10"/>
      <c r="O129" s="10"/>
      <c r="P129" s="10"/>
      <c r="Q129" s="39"/>
      <c r="R129" s="10"/>
      <c r="S129" s="10"/>
      <c r="T129" s="10"/>
      <c r="U129" s="10"/>
      <c r="V129" s="39"/>
      <c r="W129" s="10"/>
      <c r="X129" s="10"/>
      <c r="Y129" s="10"/>
      <c r="Z129" s="117">
        <v>0</v>
      </c>
      <c r="AA129" s="118">
        <v>0</v>
      </c>
      <c r="AB129" s="117">
        <v>1226.2759400000136</v>
      </c>
      <c r="AC129" s="117">
        <v>16211.173660000002</v>
      </c>
      <c r="AD129" s="117">
        <v>46400.017719999989</v>
      </c>
      <c r="AE129" s="117">
        <v>65623</v>
      </c>
      <c r="AF129" s="118">
        <v>129460.46732</v>
      </c>
      <c r="AG129" s="117">
        <f>SUM(AG123:AG128)</f>
        <v>90382</v>
      </c>
      <c r="AH129" s="117">
        <f>SUM(AH123:AH128)</f>
        <v>125332</v>
      </c>
      <c r="AI129" s="117">
        <f>SUM(AI123:AI128)</f>
        <v>139893</v>
      </c>
      <c r="AJ129" s="117">
        <f>SUM(AJ123:AJ128)</f>
        <v>154740</v>
      </c>
      <c r="AK129" s="118">
        <f t="shared" si="30"/>
        <v>510347</v>
      </c>
      <c r="AL129" s="117">
        <f>SUM(AL123:AL128)</f>
        <v>178476</v>
      </c>
      <c r="AM129" s="117">
        <f>SUM(AM123:AM128)</f>
        <v>198817</v>
      </c>
      <c r="AN129" s="117">
        <f>SUM(AN123:AN128)</f>
        <v>220075</v>
      </c>
      <c r="AO129" s="117">
        <v>233370</v>
      </c>
      <c r="AP129" s="118">
        <f t="shared" si="31"/>
        <v>830738</v>
      </c>
      <c r="AQ129" s="117">
        <f>SUM(AQ123:AQ128)</f>
        <v>243575.56</v>
      </c>
      <c r="AR129" s="117">
        <f t="shared" ref="AR129:AW129" si="36">SUM(AR123:AR128)</f>
        <v>237811</v>
      </c>
      <c r="AS129" s="117">
        <f t="shared" si="36"/>
        <v>300978</v>
      </c>
      <c r="AT129" s="117">
        <f t="shared" si="36"/>
        <v>312929</v>
      </c>
      <c r="AU129" s="118">
        <f t="shared" si="32"/>
        <v>1095293.56</v>
      </c>
      <c r="AV129" s="117">
        <f t="shared" si="36"/>
        <v>342844.47100000002</v>
      </c>
      <c r="AW129" s="117">
        <f t="shared" si="36"/>
        <v>351599</v>
      </c>
      <c r="AX129" s="117">
        <f>SUM(AX123:AX128)</f>
        <v>388238</v>
      </c>
      <c r="AY129" s="117">
        <f>SUM(AY123:AY128)</f>
        <v>411717</v>
      </c>
      <c r="AZ129" s="118">
        <f t="shared" si="33"/>
        <v>1494398.4709999999</v>
      </c>
      <c r="BA129" s="117">
        <f t="shared" ref="BA129" si="37">SUM(BA123:BA128)</f>
        <v>452117</v>
      </c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</row>
    <row r="130" spans="1:72">
      <c r="A130" s="357"/>
      <c r="B130" s="11" t="s">
        <v>413</v>
      </c>
      <c r="C130" s="8"/>
      <c r="D130" s="8"/>
      <c r="E130" s="8"/>
      <c r="F130" s="8"/>
      <c r="G130" s="40"/>
      <c r="H130" s="8"/>
      <c r="I130" s="8"/>
      <c r="J130" s="8"/>
      <c r="K130" s="8"/>
      <c r="L130" s="40"/>
      <c r="M130" s="8"/>
      <c r="N130" s="8"/>
      <c r="O130" s="8"/>
      <c r="P130" s="8"/>
      <c r="Q130" s="40"/>
      <c r="R130" s="12"/>
      <c r="S130" s="12"/>
      <c r="T130" s="12"/>
      <c r="U130" s="12"/>
      <c r="V130" s="40"/>
      <c r="W130" s="12"/>
      <c r="X130" s="12"/>
      <c r="Y130" s="12"/>
      <c r="Z130" s="153">
        <v>-15</v>
      </c>
      <c r="AA130" s="144">
        <v>-15</v>
      </c>
      <c r="AB130" s="153">
        <v>-58412.57129</v>
      </c>
      <c r="AC130" s="153">
        <v>-50030.331720000002</v>
      </c>
      <c r="AD130" s="153">
        <v>-49966.241139999998</v>
      </c>
      <c r="AE130" s="153">
        <v>-44589</v>
      </c>
      <c r="AF130" s="144">
        <v>-202998.14415000001</v>
      </c>
      <c r="AG130" s="153">
        <v>-46178</v>
      </c>
      <c r="AH130" s="153">
        <v>-44346</v>
      </c>
      <c r="AI130" s="121">
        <v>-50560</v>
      </c>
      <c r="AJ130" s="153">
        <v>-58423</v>
      </c>
      <c r="AK130" s="144">
        <f t="shared" si="30"/>
        <v>-199507</v>
      </c>
      <c r="AL130" s="153">
        <v>-59168</v>
      </c>
      <c r="AM130" s="153">
        <v>-60595</v>
      </c>
      <c r="AN130" s="153">
        <v>-56026</v>
      </c>
      <c r="AO130" s="153">
        <v>-63623</v>
      </c>
      <c r="AP130" s="144">
        <f t="shared" si="31"/>
        <v>-239412</v>
      </c>
      <c r="AQ130" s="153">
        <v>-59919</v>
      </c>
      <c r="AR130" s="153">
        <v>-59599</v>
      </c>
      <c r="AS130" s="153">
        <v>-72426</v>
      </c>
      <c r="AT130" s="121">
        <v>-81599</v>
      </c>
      <c r="AU130" s="144">
        <f t="shared" si="32"/>
        <v>-273543</v>
      </c>
      <c r="AV130" s="121">
        <v>-68918</v>
      </c>
      <c r="AW130" s="121">
        <v>-65978</v>
      </c>
      <c r="AX130" s="121">
        <v>-71074.477999999988</v>
      </c>
      <c r="AY130" s="121">
        <v>-101987.451</v>
      </c>
      <c r="AZ130" s="144">
        <f t="shared" si="33"/>
        <v>-307957.929</v>
      </c>
      <c r="BA130" s="121">
        <v>-75433</v>
      </c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</row>
    <row r="131" spans="1:72">
      <c r="A131" s="357"/>
      <c r="B131" s="11" t="s">
        <v>414</v>
      </c>
      <c r="C131" s="13"/>
      <c r="D131" s="13"/>
      <c r="E131" s="13"/>
      <c r="F131" s="13"/>
      <c r="G131" s="41"/>
      <c r="H131" s="13"/>
      <c r="I131" s="13"/>
      <c r="J131" s="13"/>
      <c r="K131" s="13"/>
      <c r="L131" s="41"/>
      <c r="M131" s="13"/>
      <c r="N131" s="13"/>
      <c r="O131" s="13"/>
      <c r="P131" s="13"/>
      <c r="Q131" s="41"/>
      <c r="R131" s="13"/>
      <c r="S131" s="13"/>
      <c r="T131" s="13"/>
      <c r="U131" s="13"/>
      <c r="V131" s="41"/>
      <c r="W131" s="13"/>
      <c r="X131" s="13"/>
      <c r="Y131" s="13"/>
      <c r="Z131" s="120">
        <v>-16</v>
      </c>
      <c r="AA131" s="154">
        <v>-16</v>
      </c>
      <c r="AB131" s="153">
        <v>-199.43283</v>
      </c>
      <c r="AC131" s="153">
        <v>-1749.2623000000001</v>
      </c>
      <c r="AD131" s="153">
        <v>-4099.5048499999994</v>
      </c>
      <c r="AE131" s="153">
        <v>-6412</v>
      </c>
      <c r="AF131" s="154">
        <v>-12460.199979999999</v>
      </c>
      <c r="AG131" s="153">
        <v>-8286</v>
      </c>
      <c r="AH131" s="153">
        <v>-9814</v>
      </c>
      <c r="AI131" s="121">
        <v>-11594</v>
      </c>
      <c r="AJ131" s="153">
        <v>-13274</v>
      </c>
      <c r="AK131" s="154">
        <f t="shared" si="30"/>
        <v>-42968</v>
      </c>
      <c r="AL131" s="153">
        <v>-14691</v>
      </c>
      <c r="AM131" s="153">
        <v>-16277</v>
      </c>
      <c r="AN131" s="153">
        <v>-17597</v>
      </c>
      <c r="AO131" s="153">
        <v>-18371</v>
      </c>
      <c r="AP131" s="154">
        <f t="shared" si="31"/>
        <v>-66936</v>
      </c>
      <c r="AQ131" s="153">
        <v>-19907</v>
      </c>
      <c r="AR131" s="153">
        <v>-20647</v>
      </c>
      <c r="AS131" s="153">
        <v>-22169</v>
      </c>
      <c r="AT131" s="121">
        <v>-25341</v>
      </c>
      <c r="AU131" s="154">
        <f t="shared" si="32"/>
        <v>-88064</v>
      </c>
      <c r="AV131" s="121">
        <v>-26599</v>
      </c>
      <c r="AW131" s="121">
        <v>-28531</v>
      </c>
      <c r="AX131" s="121">
        <v>-32197</v>
      </c>
      <c r="AY131" s="121">
        <v>-33600</v>
      </c>
      <c r="AZ131" s="526">
        <f t="shared" si="33"/>
        <v>-120927</v>
      </c>
      <c r="BA131" s="121">
        <v>-34977</v>
      </c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</row>
    <row r="132" spans="1:72">
      <c r="A132" s="357"/>
      <c r="B132" s="11" t="s">
        <v>415</v>
      </c>
      <c r="C132" s="13"/>
      <c r="D132" s="13"/>
      <c r="E132" s="13"/>
      <c r="F132" s="13"/>
      <c r="G132" s="41"/>
      <c r="H132" s="13"/>
      <c r="I132" s="13"/>
      <c r="J132" s="13"/>
      <c r="K132" s="13"/>
      <c r="L132" s="41"/>
      <c r="M132" s="13"/>
      <c r="N132" s="13"/>
      <c r="O132" s="13"/>
      <c r="P132" s="13"/>
      <c r="Q132" s="41"/>
      <c r="R132" s="13"/>
      <c r="S132" s="13"/>
      <c r="T132" s="13"/>
      <c r="U132" s="13"/>
      <c r="V132" s="41"/>
      <c r="W132" s="13"/>
      <c r="X132" s="13"/>
      <c r="Y132" s="13"/>
      <c r="Z132" s="120">
        <v>348</v>
      </c>
      <c r="AA132" s="154">
        <v>348</v>
      </c>
      <c r="AB132" s="153">
        <v>123.51067999999999</v>
      </c>
      <c r="AC132" s="153">
        <v>1465.19571</v>
      </c>
      <c r="AD132" s="153">
        <v>3644.0989500000001</v>
      </c>
      <c r="AE132" s="153">
        <v>7454</v>
      </c>
      <c r="AF132" s="154">
        <v>12686.805339999999</v>
      </c>
      <c r="AG132" s="153">
        <v>12008</v>
      </c>
      <c r="AH132" s="153">
        <v>14955</v>
      </c>
      <c r="AI132" s="121">
        <v>20743</v>
      </c>
      <c r="AJ132" s="153">
        <v>24510</v>
      </c>
      <c r="AK132" s="154">
        <f t="shared" si="30"/>
        <v>72216</v>
      </c>
      <c r="AL132" s="153">
        <v>28166</v>
      </c>
      <c r="AM132" s="153">
        <v>26753</v>
      </c>
      <c r="AN132" s="153">
        <v>31533</v>
      </c>
      <c r="AO132" s="153">
        <v>29168</v>
      </c>
      <c r="AP132" s="154">
        <f t="shared" si="31"/>
        <v>115620</v>
      </c>
      <c r="AQ132" s="153">
        <v>31202</v>
      </c>
      <c r="AR132" s="153">
        <v>26765</v>
      </c>
      <c r="AS132" s="153">
        <v>32357</v>
      </c>
      <c r="AT132" s="121">
        <v>38751</v>
      </c>
      <c r="AU132" s="154">
        <f t="shared" si="32"/>
        <v>129075</v>
      </c>
      <c r="AV132" s="121">
        <v>41833</v>
      </c>
      <c r="AW132" s="121">
        <v>43878</v>
      </c>
      <c r="AX132" s="121">
        <v>51044</v>
      </c>
      <c r="AY132" s="121">
        <v>60922</v>
      </c>
      <c r="AZ132" s="154">
        <f t="shared" si="33"/>
        <v>197677</v>
      </c>
      <c r="BA132" s="120">
        <v>49572</v>
      </c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</row>
    <row r="133" spans="1:72">
      <c r="A133" s="357"/>
      <c r="B133" s="11" t="s">
        <v>416</v>
      </c>
      <c r="C133" s="8"/>
      <c r="D133" s="8"/>
      <c r="E133" s="8"/>
      <c r="F133" s="8"/>
      <c r="G133" s="40"/>
      <c r="H133" s="8"/>
      <c r="I133" s="8"/>
      <c r="J133" s="8"/>
      <c r="K133" s="8"/>
      <c r="L133" s="40"/>
      <c r="M133" s="8"/>
      <c r="N133" s="8"/>
      <c r="O133" s="8"/>
      <c r="P133" s="8"/>
      <c r="Q133" s="40"/>
      <c r="R133" s="12"/>
      <c r="S133" s="12"/>
      <c r="T133" s="12"/>
      <c r="U133" s="12"/>
      <c r="V133" s="40"/>
      <c r="W133" s="12"/>
      <c r="X133" s="12"/>
      <c r="Y133" s="12"/>
      <c r="Z133" s="153">
        <v>0</v>
      </c>
      <c r="AA133" s="144">
        <v>0</v>
      </c>
      <c r="AB133" s="153">
        <v>0</v>
      </c>
      <c r="AC133" s="153">
        <v>0</v>
      </c>
      <c r="AD133" s="153">
        <v>0</v>
      </c>
      <c r="AE133" s="153">
        <v>0</v>
      </c>
      <c r="AF133" s="144">
        <v>0</v>
      </c>
      <c r="AG133" s="153">
        <v>0</v>
      </c>
      <c r="AH133" s="153">
        <v>0</v>
      </c>
      <c r="AI133" s="121">
        <v>0</v>
      </c>
      <c r="AJ133" s="153">
        <v>0</v>
      </c>
      <c r="AK133" s="144">
        <f t="shared" si="30"/>
        <v>0</v>
      </c>
      <c r="AL133" s="153">
        <v>0</v>
      </c>
      <c r="AM133" s="153">
        <v>0</v>
      </c>
      <c r="AN133" s="153">
        <v>0</v>
      </c>
      <c r="AO133" s="153">
        <v>0</v>
      </c>
      <c r="AP133" s="144">
        <f t="shared" si="31"/>
        <v>0</v>
      </c>
      <c r="AQ133" s="153">
        <v>0</v>
      </c>
      <c r="AR133" s="153">
        <v>0</v>
      </c>
      <c r="AS133" s="153">
        <v>0</v>
      </c>
      <c r="AT133" s="121">
        <v>0</v>
      </c>
      <c r="AU133" s="144">
        <f t="shared" si="32"/>
        <v>0</v>
      </c>
      <c r="AV133" s="121">
        <v>0</v>
      </c>
      <c r="AW133" s="121">
        <v>0</v>
      </c>
      <c r="AX133" s="121">
        <v>0</v>
      </c>
      <c r="AY133" s="121">
        <v>0</v>
      </c>
      <c r="AZ133" s="144">
        <f t="shared" si="33"/>
        <v>0</v>
      </c>
      <c r="BA133" s="123">
        <v>0</v>
      </c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</row>
    <row r="134" spans="1:72" s="2" customFormat="1">
      <c r="A134" s="356"/>
      <c r="B134" s="9" t="s">
        <v>418</v>
      </c>
      <c r="C134" s="10"/>
      <c r="D134" s="10"/>
      <c r="E134" s="10"/>
      <c r="F134" s="10"/>
      <c r="G134" s="39"/>
      <c r="H134" s="10"/>
      <c r="I134" s="10"/>
      <c r="J134" s="10"/>
      <c r="K134" s="10"/>
      <c r="L134" s="39"/>
      <c r="M134" s="10"/>
      <c r="N134" s="10"/>
      <c r="O134" s="10"/>
      <c r="P134" s="10"/>
      <c r="Q134" s="39"/>
      <c r="R134" s="10"/>
      <c r="S134" s="10"/>
      <c r="T134" s="10"/>
      <c r="U134" s="10"/>
      <c r="V134" s="39"/>
      <c r="W134" s="10"/>
      <c r="X134" s="10"/>
      <c r="Y134" s="10"/>
      <c r="Z134" s="117">
        <v>317</v>
      </c>
      <c r="AA134" s="118">
        <v>317</v>
      </c>
      <c r="AB134" s="117">
        <v>-57262.217499999984</v>
      </c>
      <c r="AC134" s="117">
        <v>-34103.224650000004</v>
      </c>
      <c r="AD134" s="117">
        <v>-4021.6293200000086</v>
      </c>
      <c r="AE134" s="117">
        <v>22076</v>
      </c>
      <c r="AF134" s="118">
        <v>-73311.071469999995</v>
      </c>
      <c r="AG134" s="117">
        <f>SUM(AG129:AG133)</f>
        <v>47926</v>
      </c>
      <c r="AH134" s="117">
        <f>SUM(AH129:AH133)</f>
        <v>86127</v>
      </c>
      <c r="AI134" s="117">
        <f>SUM(AI129:AI133)</f>
        <v>98482</v>
      </c>
      <c r="AJ134" s="117">
        <f>SUM(AJ129:AJ133)</f>
        <v>107553</v>
      </c>
      <c r="AK134" s="118">
        <f t="shared" si="30"/>
        <v>340088</v>
      </c>
      <c r="AL134" s="117">
        <f>SUM(AL129:AL133)</f>
        <v>132783</v>
      </c>
      <c r="AM134" s="117">
        <f>SUM(AM129:AM133)</f>
        <v>148698</v>
      </c>
      <c r="AN134" s="117">
        <f>SUM(AN129:AN133)</f>
        <v>177985</v>
      </c>
      <c r="AO134" s="117">
        <v>180544</v>
      </c>
      <c r="AP134" s="118">
        <f t="shared" si="31"/>
        <v>640010</v>
      </c>
      <c r="AQ134" s="117">
        <f>SUM(AQ129:AQ133)</f>
        <v>194951.56</v>
      </c>
      <c r="AR134" s="117">
        <f t="shared" ref="AR134:AW134" si="38">SUM(AR129:AR133)</f>
        <v>184330</v>
      </c>
      <c r="AS134" s="117">
        <f t="shared" si="38"/>
        <v>238740</v>
      </c>
      <c r="AT134" s="117">
        <f t="shared" si="38"/>
        <v>244740</v>
      </c>
      <c r="AU134" s="118">
        <f t="shared" si="32"/>
        <v>862761.56</v>
      </c>
      <c r="AV134" s="117">
        <f t="shared" si="38"/>
        <v>289160.47100000002</v>
      </c>
      <c r="AW134" s="117">
        <f t="shared" si="38"/>
        <v>300968</v>
      </c>
      <c r="AX134" s="117">
        <f>SUM(AX129:AX133)</f>
        <v>336010.522</v>
      </c>
      <c r="AY134" s="117">
        <f>SUM(AY129:AY133)</f>
        <v>337051.549</v>
      </c>
      <c r="AZ134" s="118">
        <f t="shared" si="33"/>
        <v>1263190.5419999999</v>
      </c>
      <c r="BA134" s="117">
        <f>SUM(BA129:BA133)</f>
        <v>391279</v>
      </c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</row>
    <row r="135" spans="1:72">
      <c r="A135" s="357"/>
      <c r="B135" s="11" t="s">
        <v>419</v>
      </c>
      <c r="C135" s="13"/>
      <c r="D135" s="13"/>
      <c r="E135" s="13"/>
      <c r="F135" s="13"/>
      <c r="G135" s="41"/>
      <c r="H135" s="13"/>
      <c r="I135" s="13"/>
      <c r="J135" s="13"/>
      <c r="K135" s="13"/>
      <c r="L135" s="41"/>
      <c r="M135" s="13"/>
      <c r="N135" s="13"/>
      <c r="O135" s="13"/>
      <c r="P135" s="13"/>
      <c r="Q135" s="41"/>
      <c r="R135" s="13"/>
      <c r="S135" s="13"/>
      <c r="T135" s="13"/>
      <c r="U135" s="13"/>
      <c r="V135" s="41"/>
      <c r="W135" s="13"/>
      <c r="X135" s="13"/>
      <c r="Y135" s="13"/>
      <c r="Z135" s="120">
        <v>0</v>
      </c>
      <c r="AA135" s="154">
        <v>0</v>
      </c>
      <c r="AB135" s="153">
        <v>0</v>
      </c>
      <c r="AC135" s="153">
        <v>0</v>
      </c>
      <c r="AD135" s="153">
        <v>0</v>
      </c>
      <c r="AE135" s="153">
        <v>0</v>
      </c>
      <c r="AF135" s="154">
        <v>0</v>
      </c>
      <c r="AG135" s="153">
        <v>0</v>
      </c>
      <c r="AH135" s="153">
        <v>0</v>
      </c>
      <c r="AI135" s="153">
        <v>0</v>
      </c>
      <c r="AJ135" s="153">
        <v>0</v>
      </c>
      <c r="AK135" s="154">
        <f t="shared" si="30"/>
        <v>0</v>
      </c>
      <c r="AL135" s="153">
        <v>0</v>
      </c>
      <c r="AM135" s="153">
        <v>0</v>
      </c>
      <c r="AN135" s="153">
        <v>0</v>
      </c>
      <c r="AO135" s="153">
        <v>0</v>
      </c>
      <c r="AP135" s="154">
        <f t="shared" si="31"/>
        <v>0</v>
      </c>
      <c r="AQ135" s="153">
        <v>0</v>
      </c>
      <c r="AR135" s="153">
        <v>0</v>
      </c>
      <c r="AS135" s="153">
        <v>0</v>
      </c>
      <c r="AT135" s="121">
        <v>0</v>
      </c>
      <c r="AU135" s="154">
        <f t="shared" si="32"/>
        <v>0</v>
      </c>
      <c r="AV135" s="121">
        <v>0</v>
      </c>
      <c r="AW135" s="121">
        <v>0</v>
      </c>
      <c r="AX135" s="121">
        <v>0</v>
      </c>
      <c r="AY135" s="121">
        <v>0</v>
      </c>
      <c r="AZ135" s="154">
        <f t="shared" si="33"/>
        <v>0</v>
      </c>
      <c r="BA135" s="120">
        <v>0</v>
      </c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</row>
    <row r="136" spans="1:72" s="2" customFormat="1">
      <c r="A136" s="356"/>
      <c r="B136" s="9" t="s">
        <v>420</v>
      </c>
      <c r="C136" s="10"/>
      <c r="D136" s="10"/>
      <c r="E136" s="10"/>
      <c r="F136" s="10"/>
      <c r="G136" s="39"/>
      <c r="H136" s="10"/>
      <c r="I136" s="10"/>
      <c r="J136" s="10"/>
      <c r="K136" s="10"/>
      <c r="L136" s="39"/>
      <c r="M136" s="10"/>
      <c r="N136" s="10"/>
      <c r="O136" s="10"/>
      <c r="P136" s="10"/>
      <c r="Q136" s="39"/>
      <c r="R136" s="10"/>
      <c r="S136" s="10"/>
      <c r="T136" s="10"/>
      <c r="U136" s="10"/>
      <c r="V136" s="39"/>
      <c r="W136" s="10"/>
      <c r="X136" s="10"/>
      <c r="Y136" s="10"/>
      <c r="Z136" s="117">
        <v>317</v>
      </c>
      <c r="AA136" s="118">
        <v>317</v>
      </c>
      <c r="AB136" s="117">
        <v>-57262.217499999984</v>
      </c>
      <c r="AC136" s="117">
        <v>-34103.224650000004</v>
      </c>
      <c r="AD136" s="117">
        <v>-4021.6293200000086</v>
      </c>
      <c r="AE136" s="117">
        <v>22076</v>
      </c>
      <c r="AF136" s="118">
        <v>-73311.071469999995</v>
      </c>
      <c r="AG136" s="117">
        <f>AG134+AG135</f>
        <v>47926</v>
      </c>
      <c r="AH136" s="117">
        <f>AH134+AH135</f>
        <v>86127</v>
      </c>
      <c r="AI136" s="117">
        <f>AI134+AI135</f>
        <v>98482</v>
      </c>
      <c r="AJ136" s="117">
        <f>AJ134+AJ135</f>
        <v>107553</v>
      </c>
      <c r="AK136" s="118">
        <f t="shared" si="30"/>
        <v>340088</v>
      </c>
      <c r="AL136" s="117">
        <f>AL134+AL135</f>
        <v>132783</v>
      </c>
      <c r="AM136" s="117">
        <f>AM134+AM135</f>
        <v>148698</v>
      </c>
      <c r="AN136" s="117">
        <f>AN134+AN135</f>
        <v>177985</v>
      </c>
      <c r="AO136" s="117">
        <v>180544</v>
      </c>
      <c r="AP136" s="118">
        <f t="shared" si="31"/>
        <v>640010</v>
      </c>
      <c r="AQ136" s="117">
        <f>AQ134+AQ135</f>
        <v>194951.56</v>
      </c>
      <c r="AR136" s="117">
        <f t="shared" ref="AR136:AW136" si="39">AR134+AR135</f>
        <v>184330</v>
      </c>
      <c r="AS136" s="117">
        <f t="shared" si="39"/>
        <v>238740</v>
      </c>
      <c r="AT136" s="117">
        <f t="shared" si="39"/>
        <v>244740</v>
      </c>
      <c r="AU136" s="118">
        <f t="shared" si="32"/>
        <v>862761.56</v>
      </c>
      <c r="AV136" s="117">
        <f t="shared" si="39"/>
        <v>289160.47100000002</v>
      </c>
      <c r="AW136" s="117">
        <f t="shared" si="39"/>
        <v>300968</v>
      </c>
      <c r="AX136" s="117">
        <f>AX134+AX135</f>
        <v>336010.522</v>
      </c>
      <c r="AY136" s="117">
        <f>AY134+AY135</f>
        <v>337051.549</v>
      </c>
      <c r="AZ136" s="118">
        <f t="shared" si="33"/>
        <v>1263190.5419999999</v>
      </c>
      <c r="BA136" s="117">
        <f t="shared" ref="BA136" si="40">BA134+BA135</f>
        <v>391279</v>
      </c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</row>
    <row r="137" spans="1:72">
      <c r="A137" s="357"/>
      <c r="B137" s="11" t="s">
        <v>421</v>
      </c>
      <c r="C137" s="13"/>
      <c r="D137" s="13"/>
      <c r="E137" s="13"/>
      <c r="F137" s="13"/>
      <c r="G137" s="41"/>
      <c r="H137" s="13"/>
      <c r="I137" s="13"/>
      <c r="J137" s="13"/>
      <c r="K137" s="13"/>
      <c r="L137" s="41"/>
      <c r="M137" s="13"/>
      <c r="N137" s="13"/>
      <c r="O137" s="13"/>
      <c r="P137" s="13"/>
      <c r="Q137" s="41"/>
      <c r="R137" s="13"/>
      <c r="S137" s="13"/>
      <c r="T137" s="13"/>
      <c r="U137" s="13"/>
      <c r="V137" s="41"/>
      <c r="W137" s="13"/>
      <c r="X137" s="13"/>
      <c r="Y137" s="13"/>
      <c r="Z137" s="120">
        <v>-69</v>
      </c>
      <c r="AA137" s="154">
        <v>-69</v>
      </c>
      <c r="AB137" s="153">
        <v>14424.48954</v>
      </c>
      <c r="AC137" s="153">
        <v>8695.2150099999999</v>
      </c>
      <c r="AD137" s="153">
        <v>360.94778000000014</v>
      </c>
      <c r="AE137" s="153">
        <v>-5655</v>
      </c>
      <c r="AF137" s="154">
        <v>17825.652330000001</v>
      </c>
      <c r="AG137" s="153">
        <v>-12133</v>
      </c>
      <c r="AH137" s="153">
        <v>-21708</v>
      </c>
      <c r="AI137" s="121">
        <v>-24923</v>
      </c>
      <c r="AJ137" s="153">
        <v>-27178</v>
      </c>
      <c r="AK137" s="154">
        <f t="shared" si="30"/>
        <v>-85942</v>
      </c>
      <c r="AL137" s="153">
        <v>-32839</v>
      </c>
      <c r="AM137" s="153">
        <v>-38280</v>
      </c>
      <c r="AN137" s="153">
        <v>-44532</v>
      </c>
      <c r="AO137" s="153">
        <v>-45103</v>
      </c>
      <c r="AP137" s="154">
        <f t="shared" si="31"/>
        <v>-160754</v>
      </c>
      <c r="AQ137" s="153">
        <v>-48968</v>
      </c>
      <c r="AR137" s="153">
        <v>-46658.983</v>
      </c>
      <c r="AS137" s="153">
        <v>-56672</v>
      </c>
      <c r="AT137" s="121">
        <v>-57986</v>
      </c>
      <c r="AU137" s="154">
        <f t="shared" si="32"/>
        <v>-210284.98300000001</v>
      </c>
      <c r="AV137" s="121">
        <v>-72978</v>
      </c>
      <c r="AW137" s="121">
        <v>-76480</v>
      </c>
      <c r="AX137" s="121">
        <v>-85143</v>
      </c>
      <c r="AY137" s="121">
        <v>-73870</v>
      </c>
      <c r="AZ137" s="526">
        <f t="shared" si="33"/>
        <v>-308471</v>
      </c>
      <c r="BA137" s="136">
        <v>-98043</v>
      </c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</row>
    <row r="138" spans="1:72">
      <c r="A138" s="357"/>
      <c r="B138" s="11" t="s">
        <v>422</v>
      </c>
      <c r="C138" s="13"/>
      <c r="D138" s="13"/>
      <c r="E138" s="13"/>
      <c r="F138" s="13"/>
      <c r="G138" s="41"/>
      <c r="H138" s="13"/>
      <c r="I138" s="13"/>
      <c r="J138" s="13"/>
      <c r="K138" s="13"/>
      <c r="L138" s="41"/>
      <c r="M138" s="13"/>
      <c r="N138" s="13"/>
      <c r="O138" s="13"/>
      <c r="P138" s="13"/>
      <c r="Q138" s="41"/>
      <c r="R138" s="13"/>
      <c r="S138" s="13"/>
      <c r="T138" s="13"/>
      <c r="U138" s="13"/>
      <c r="V138" s="41"/>
      <c r="W138" s="13"/>
      <c r="X138" s="13"/>
      <c r="Y138" s="13"/>
      <c r="Z138" s="120">
        <v>-48</v>
      </c>
      <c r="AA138" s="154">
        <v>-48</v>
      </c>
      <c r="AB138" s="153">
        <v>8696.4356199999984</v>
      </c>
      <c r="AC138" s="153">
        <v>5259.3724299999994</v>
      </c>
      <c r="AD138" s="153">
        <v>311.45294000000001</v>
      </c>
      <c r="AE138" s="153">
        <v>-3327</v>
      </c>
      <c r="AF138" s="154">
        <v>10940.260989999997</v>
      </c>
      <c r="AG138" s="153">
        <v>-7209</v>
      </c>
      <c r="AH138" s="153">
        <v>-12973</v>
      </c>
      <c r="AI138" s="121">
        <v>-15444</v>
      </c>
      <c r="AJ138" s="153">
        <v>-17242</v>
      </c>
      <c r="AK138" s="154">
        <f t="shared" si="30"/>
        <v>-52868</v>
      </c>
      <c r="AL138" s="153">
        <v>-19268</v>
      </c>
      <c r="AM138" s="153">
        <v>-22859</v>
      </c>
      <c r="AN138" s="153">
        <v>-26973</v>
      </c>
      <c r="AO138" s="153">
        <v>-27900</v>
      </c>
      <c r="AP138" s="154">
        <f t="shared" si="31"/>
        <v>-97000</v>
      </c>
      <c r="AQ138" s="153">
        <v>-29273</v>
      </c>
      <c r="AR138" s="153">
        <v>-27878.553</v>
      </c>
      <c r="AS138" s="153">
        <v>-36836</v>
      </c>
      <c r="AT138" s="121">
        <v>-37801</v>
      </c>
      <c r="AU138" s="154">
        <f t="shared" si="32"/>
        <v>-131788.55300000001</v>
      </c>
      <c r="AV138" s="121">
        <v>-43968</v>
      </c>
      <c r="AW138" s="121">
        <v>-45448</v>
      </c>
      <c r="AX138" s="121">
        <v>-50887</v>
      </c>
      <c r="AY138" s="121">
        <v>-53602</v>
      </c>
      <c r="AZ138" s="526">
        <f t="shared" si="33"/>
        <v>-193905</v>
      </c>
      <c r="BA138" s="136">
        <v>-59841</v>
      </c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</row>
    <row r="139" spans="1:72">
      <c r="A139" s="357"/>
      <c r="B139" s="11" t="s">
        <v>423</v>
      </c>
      <c r="C139" s="13"/>
      <c r="D139" s="13"/>
      <c r="E139" s="13"/>
      <c r="F139" s="13"/>
      <c r="G139" s="41"/>
      <c r="H139" s="13"/>
      <c r="I139" s="13"/>
      <c r="J139" s="13"/>
      <c r="K139" s="13"/>
      <c r="L139" s="41"/>
      <c r="M139" s="13"/>
      <c r="N139" s="13"/>
      <c r="O139" s="13"/>
      <c r="P139" s="13"/>
      <c r="Q139" s="41"/>
      <c r="R139" s="13"/>
      <c r="S139" s="13"/>
      <c r="T139" s="13"/>
      <c r="U139" s="13"/>
      <c r="V139" s="41"/>
      <c r="W139" s="13"/>
      <c r="X139" s="13"/>
      <c r="Y139" s="13"/>
      <c r="Z139" s="120">
        <v>0</v>
      </c>
      <c r="AA139" s="154">
        <v>0</v>
      </c>
      <c r="AB139" s="153">
        <v>-716.64594999999997</v>
      </c>
      <c r="AC139" s="153">
        <v>-1039.4422400000001</v>
      </c>
      <c r="AD139" s="153">
        <v>1756.0881899999999</v>
      </c>
      <c r="AE139" s="153">
        <v>0</v>
      </c>
      <c r="AF139" s="154">
        <v>0</v>
      </c>
      <c r="AG139" s="153">
        <v>0</v>
      </c>
      <c r="AH139" s="153">
        <v>0</v>
      </c>
      <c r="AI139" s="121">
        <v>0</v>
      </c>
      <c r="AJ139" s="153">
        <v>0</v>
      </c>
      <c r="AK139" s="154">
        <f t="shared" si="30"/>
        <v>0</v>
      </c>
      <c r="AL139" s="153">
        <v>0</v>
      </c>
      <c r="AM139" s="153">
        <v>0</v>
      </c>
      <c r="AN139" s="153">
        <v>0</v>
      </c>
      <c r="AO139" s="153">
        <v>0</v>
      </c>
      <c r="AP139" s="154">
        <f t="shared" si="31"/>
        <v>0</v>
      </c>
      <c r="AQ139" s="153">
        <v>0</v>
      </c>
      <c r="AR139" s="153">
        <v>0</v>
      </c>
      <c r="AS139" s="153">
        <v>0</v>
      </c>
      <c r="AT139" s="121">
        <v>0</v>
      </c>
      <c r="AU139" s="154">
        <f t="shared" si="32"/>
        <v>0</v>
      </c>
      <c r="AV139" s="121">
        <v>0</v>
      </c>
      <c r="AW139" s="121">
        <v>0</v>
      </c>
      <c r="AX139" s="121">
        <v>0</v>
      </c>
      <c r="AY139" s="121">
        <v>0</v>
      </c>
      <c r="AZ139" s="154">
        <f t="shared" si="33"/>
        <v>0</v>
      </c>
      <c r="BA139" s="120">
        <v>0</v>
      </c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</row>
    <row r="140" spans="1:72">
      <c r="A140" s="357"/>
      <c r="B140" s="11" t="s">
        <v>424</v>
      </c>
      <c r="C140" s="13"/>
      <c r="D140" s="13"/>
      <c r="E140" s="13"/>
      <c r="F140" s="13"/>
      <c r="G140" s="41"/>
      <c r="H140" s="13"/>
      <c r="I140" s="13"/>
      <c r="J140" s="13"/>
      <c r="K140" s="13"/>
      <c r="L140" s="41"/>
      <c r="M140" s="13"/>
      <c r="N140" s="13"/>
      <c r="O140" s="13"/>
      <c r="P140" s="13"/>
      <c r="Q140" s="41"/>
      <c r="R140" s="13"/>
      <c r="S140" s="13"/>
      <c r="T140" s="13"/>
      <c r="U140" s="13"/>
      <c r="V140" s="41"/>
      <c r="W140" s="13"/>
      <c r="X140" s="13"/>
      <c r="Y140" s="13"/>
      <c r="Z140" s="120">
        <v>0</v>
      </c>
      <c r="AA140" s="154">
        <v>0</v>
      </c>
      <c r="AB140" s="120">
        <v>0</v>
      </c>
      <c r="AC140" s="120">
        <v>0</v>
      </c>
      <c r="AD140" s="120">
        <v>0</v>
      </c>
      <c r="AE140" s="120">
        <v>0</v>
      </c>
      <c r="AF140" s="154">
        <v>0</v>
      </c>
      <c r="AG140" s="120">
        <v>0</v>
      </c>
      <c r="AH140" s="120">
        <v>0</v>
      </c>
      <c r="AI140" s="120">
        <v>0</v>
      </c>
      <c r="AJ140" s="121">
        <v>0</v>
      </c>
      <c r="AK140" s="154">
        <f t="shared" si="30"/>
        <v>0</v>
      </c>
      <c r="AL140" s="120">
        <v>0</v>
      </c>
      <c r="AM140" s="120">
        <v>0</v>
      </c>
      <c r="AN140" s="120">
        <v>0</v>
      </c>
      <c r="AO140" s="120">
        <v>0</v>
      </c>
      <c r="AP140" s="154">
        <f t="shared" si="31"/>
        <v>0</v>
      </c>
      <c r="AQ140" s="120">
        <v>0</v>
      </c>
      <c r="AR140" s="121">
        <v>0</v>
      </c>
      <c r="AS140" s="121">
        <v>0</v>
      </c>
      <c r="AT140" s="121">
        <v>0</v>
      </c>
      <c r="AU140" s="154">
        <f t="shared" si="32"/>
        <v>0</v>
      </c>
      <c r="AV140" s="121">
        <v>0</v>
      </c>
      <c r="AW140" s="121">
        <v>0</v>
      </c>
      <c r="AX140" s="121">
        <v>0</v>
      </c>
      <c r="AY140" s="121">
        <v>0</v>
      </c>
      <c r="AZ140" s="154">
        <f t="shared" si="33"/>
        <v>0</v>
      </c>
      <c r="BA140" s="120">
        <v>0</v>
      </c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</row>
    <row r="141" spans="1:72" s="2" customFormat="1">
      <c r="A141" s="358"/>
      <c r="B141" s="15" t="s">
        <v>450</v>
      </c>
      <c r="C141" s="16"/>
      <c r="D141" s="16"/>
      <c r="E141" s="16"/>
      <c r="F141" s="16"/>
      <c r="G141" s="45"/>
      <c r="H141" s="16"/>
      <c r="I141" s="16"/>
      <c r="J141" s="16"/>
      <c r="K141" s="16"/>
      <c r="L141" s="45"/>
      <c r="M141" s="16"/>
      <c r="N141" s="16"/>
      <c r="O141" s="16"/>
      <c r="P141" s="16"/>
      <c r="Q141" s="45"/>
      <c r="R141" s="16"/>
      <c r="S141" s="16"/>
      <c r="T141" s="16"/>
      <c r="U141" s="16"/>
      <c r="V141" s="45"/>
      <c r="W141" s="16"/>
      <c r="X141" s="16"/>
      <c r="Y141" s="16"/>
      <c r="Z141" s="155">
        <v>200</v>
      </c>
      <c r="AA141" s="156">
        <v>200</v>
      </c>
      <c r="AB141" s="155">
        <v>-34857.938289999984</v>
      </c>
      <c r="AC141" s="155">
        <v>-21188.079450000005</v>
      </c>
      <c r="AD141" s="155">
        <v>-1593.1404100000086</v>
      </c>
      <c r="AE141" s="155">
        <v>13094</v>
      </c>
      <c r="AF141" s="156">
        <v>-44545.158149999996</v>
      </c>
      <c r="AG141" s="155">
        <f>SUM(AG136:AG140)</f>
        <v>28584</v>
      </c>
      <c r="AH141" s="155">
        <f>SUM(AH136:AH140)</f>
        <v>51446</v>
      </c>
      <c r="AI141" s="155">
        <f>SUM(AI136:AI140)</f>
        <v>58115</v>
      </c>
      <c r="AJ141" s="155">
        <f>SUM(AJ136:AJ140)</f>
        <v>63133</v>
      </c>
      <c r="AK141" s="156">
        <f t="shared" si="30"/>
        <v>201278</v>
      </c>
      <c r="AL141" s="155">
        <f>SUM(AL136:AL140)</f>
        <v>80676</v>
      </c>
      <c r="AM141" s="155">
        <f>SUM(AM136:AM140)</f>
        <v>87559</v>
      </c>
      <c r="AN141" s="155">
        <f>SUM(AN136:AN140)</f>
        <v>106480</v>
      </c>
      <c r="AO141" s="155">
        <v>107540</v>
      </c>
      <c r="AP141" s="156">
        <f t="shared" si="31"/>
        <v>382255</v>
      </c>
      <c r="AQ141" s="155">
        <f>SUM(AQ136:AQ140)</f>
        <v>116710.56</v>
      </c>
      <c r="AR141" s="155">
        <f t="shared" ref="AR141:AW141" si="41">SUM(AR136:AR140)</f>
        <v>109792.46399999999</v>
      </c>
      <c r="AS141" s="155">
        <f t="shared" si="41"/>
        <v>145232</v>
      </c>
      <c r="AT141" s="155">
        <f t="shared" si="41"/>
        <v>148953</v>
      </c>
      <c r="AU141" s="156">
        <f t="shared" si="32"/>
        <v>520688.02399999998</v>
      </c>
      <c r="AV141" s="155">
        <f t="shared" si="41"/>
        <v>172214.47100000002</v>
      </c>
      <c r="AW141" s="155">
        <f t="shared" si="41"/>
        <v>179040</v>
      </c>
      <c r="AX141" s="155">
        <f>SUM(AX136:AX140)</f>
        <v>199980.522</v>
      </c>
      <c r="AY141" s="155">
        <f>SUM(AY136:AY140)</f>
        <v>209579.549</v>
      </c>
      <c r="AZ141" s="156">
        <f t="shared" si="33"/>
        <v>760814.54200000002</v>
      </c>
      <c r="BA141" s="155">
        <f t="shared" ref="BA141" si="42">SUM(BA136:BA140)</f>
        <v>233395</v>
      </c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</row>
    <row r="142" spans="1:72">
      <c r="A142" s="357"/>
      <c r="B142" s="11" t="s">
        <v>468</v>
      </c>
      <c r="C142" s="13"/>
      <c r="D142" s="13"/>
      <c r="E142" s="13"/>
      <c r="F142" s="13"/>
      <c r="G142" s="41"/>
      <c r="H142" s="13"/>
      <c r="I142" s="13"/>
      <c r="J142" s="13"/>
      <c r="K142" s="13"/>
      <c r="L142" s="41"/>
      <c r="M142" s="13"/>
      <c r="N142" s="13"/>
      <c r="O142" s="13"/>
      <c r="P142" s="13"/>
      <c r="Q142" s="41"/>
      <c r="R142" s="13"/>
      <c r="S142" s="13"/>
      <c r="T142" s="13"/>
      <c r="U142" s="13"/>
      <c r="V142" s="41"/>
      <c r="W142" s="13"/>
      <c r="X142" s="13"/>
      <c r="Y142" s="13"/>
      <c r="Z142" s="120">
        <v>200</v>
      </c>
      <c r="AA142" s="154">
        <v>200</v>
      </c>
      <c r="AB142" s="120">
        <v>-34857.938289999984</v>
      </c>
      <c r="AC142" s="120">
        <v>-21188.079450000005</v>
      </c>
      <c r="AD142" s="120">
        <v>-1593.1404100000086</v>
      </c>
      <c r="AE142" s="120">
        <v>13094</v>
      </c>
      <c r="AF142" s="154">
        <v>-44545.158149999996</v>
      </c>
      <c r="AG142" s="120">
        <v>28584</v>
      </c>
      <c r="AH142" s="121">
        <v>51446</v>
      </c>
      <c r="AI142" s="120">
        <v>58120</v>
      </c>
      <c r="AJ142" s="120">
        <f>AJ141</f>
        <v>63133</v>
      </c>
      <c r="AK142" s="154">
        <f t="shared" si="30"/>
        <v>201283</v>
      </c>
      <c r="AL142" s="120">
        <v>80676</v>
      </c>
      <c r="AM142" s="120">
        <v>87559</v>
      </c>
      <c r="AN142" s="120">
        <v>106480</v>
      </c>
      <c r="AO142" s="120">
        <v>107540</v>
      </c>
      <c r="AP142" s="154">
        <f t="shared" si="31"/>
        <v>382255</v>
      </c>
      <c r="AQ142" s="120">
        <f>AQ141</f>
        <v>116710.56</v>
      </c>
      <c r="AR142" s="121">
        <v>109792.5</v>
      </c>
      <c r="AS142" s="121">
        <v>145233</v>
      </c>
      <c r="AT142" s="121">
        <v>148953</v>
      </c>
      <c r="AU142" s="154">
        <f t="shared" si="32"/>
        <v>520689.06</v>
      </c>
      <c r="AV142" s="121">
        <f>AV141</f>
        <v>172214.47100000002</v>
      </c>
      <c r="AW142" s="121">
        <f>AW141</f>
        <v>179040</v>
      </c>
      <c r="AX142" s="121">
        <f>AX141</f>
        <v>199980.522</v>
      </c>
      <c r="AY142" s="121">
        <f>AY141</f>
        <v>209579.549</v>
      </c>
      <c r="AZ142" s="154">
        <f t="shared" si="33"/>
        <v>760814.54200000002</v>
      </c>
      <c r="BA142" s="120">
        <v>233395</v>
      </c>
      <c r="BB142" s="746"/>
      <c r="BC142" s="746"/>
      <c r="BD142" s="746"/>
      <c r="BE142" s="746"/>
      <c r="BF142" s="746"/>
      <c r="BG142" s="746"/>
      <c r="BH142" s="746"/>
      <c r="BI142" s="746"/>
      <c r="BJ142" s="746"/>
      <c r="BK142" s="746"/>
      <c r="BL142" s="746"/>
      <c r="BM142" s="746"/>
      <c r="BN142" s="746"/>
      <c r="BO142" s="746"/>
      <c r="BP142" s="746"/>
      <c r="BQ142" s="746"/>
      <c r="BR142" s="746"/>
      <c r="BS142" s="746"/>
      <c r="BT142" s="746"/>
    </row>
    <row r="143" spans="1:72">
      <c r="A143" s="357"/>
      <c r="B143" s="11" t="s">
        <v>436</v>
      </c>
      <c r="C143" s="13"/>
      <c r="D143" s="13"/>
      <c r="E143" s="13"/>
      <c r="F143" s="13"/>
      <c r="G143" s="41"/>
      <c r="H143" s="13"/>
      <c r="I143" s="13"/>
      <c r="J143" s="13"/>
      <c r="K143" s="13"/>
      <c r="L143" s="41"/>
      <c r="M143" s="13"/>
      <c r="N143" s="13"/>
      <c r="O143" s="13"/>
      <c r="P143" s="13"/>
      <c r="Q143" s="41"/>
      <c r="R143" s="13"/>
      <c r="S143" s="13"/>
      <c r="T143" s="13"/>
      <c r="U143" s="13"/>
      <c r="V143" s="41"/>
      <c r="W143" s="13"/>
      <c r="X143" s="13"/>
      <c r="Y143" s="13"/>
      <c r="Z143" s="120">
        <v>0</v>
      </c>
      <c r="AA143" s="154">
        <v>0</v>
      </c>
      <c r="AB143" s="120">
        <v>0</v>
      </c>
      <c r="AC143" s="120">
        <v>0</v>
      </c>
      <c r="AD143" s="120">
        <v>0</v>
      </c>
      <c r="AE143" s="120">
        <v>0</v>
      </c>
      <c r="AF143" s="154">
        <v>0</v>
      </c>
      <c r="AG143" s="120">
        <v>0</v>
      </c>
      <c r="AH143" s="120">
        <v>0</v>
      </c>
      <c r="AI143" s="120">
        <v>0</v>
      </c>
      <c r="AJ143" s="120">
        <v>0</v>
      </c>
      <c r="AK143" s="154">
        <f t="shared" si="30"/>
        <v>0</v>
      </c>
      <c r="AL143" s="120">
        <v>0</v>
      </c>
      <c r="AM143" s="120">
        <v>1</v>
      </c>
      <c r="AN143" s="120">
        <v>0</v>
      </c>
      <c r="AO143" s="120">
        <v>0</v>
      </c>
      <c r="AP143" s="154">
        <f t="shared" si="31"/>
        <v>1</v>
      </c>
      <c r="AQ143" s="120">
        <v>0</v>
      </c>
      <c r="AR143" s="121">
        <v>0</v>
      </c>
      <c r="AS143" s="121">
        <v>0</v>
      </c>
      <c r="AT143" s="121">
        <v>0</v>
      </c>
      <c r="AU143" s="154">
        <f t="shared" si="32"/>
        <v>0</v>
      </c>
      <c r="AV143" s="121">
        <v>0</v>
      </c>
      <c r="AW143" s="121">
        <v>0</v>
      </c>
      <c r="AX143" s="121">
        <v>0</v>
      </c>
      <c r="AY143" s="121">
        <v>0</v>
      </c>
      <c r="AZ143" s="154">
        <f t="shared" si="33"/>
        <v>0</v>
      </c>
      <c r="BA143" s="120">
        <v>0</v>
      </c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</row>
    <row r="144" spans="1:72">
      <c r="A144" s="357"/>
      <c r="B144" s="11" t="s">
        <v>470</v>
      </c>
      <c r="C144" s="13"/>
      <c r="D144" s="13"/>
      <c r="E144" s="13"/>
      <c r="F144" s="13"/>
      <c r="G144" s="41"/>
      <c r="H144" s="13"/>
      <c r="I144" s="13"/>
      <c r="J144" s="13"/>
      <c r="K144" s="13"/>
      <c r="L144" s="41"/>
      <c r="M144" s="13"/>
      <c r="N144" s="13"/>
      <c r="O144" s="13"/>
      <c r="P144" s="13"/>
      <c r="Q144" s="41"/>
      <c r="R144" s="13"/>
      <c r="S144" s="13"/>
      <c r="T144" s="13"/>
      <c r="U144" s="13"/>
      <c r="V144" s="41"/>
      <c r="W144" s="13"/>
      <c r="X144" s="13"/>
      <c r="Y144" s="13"/>
      <c r="Z144" s="120">
        <v>200</v>
      </c>
      <c r="AA144" s="154">
        <v>200</v>
      </c>
      <c r="AB144" s="120">
        <v>-34857.938289999984</v>
      </c>
      <c r="AC144" s="120">
        <v>-21188.079450000005</v>
      </c>
      <c r="AD144" s="120">
        <v>-1593.1404100000086</v>
      </c>
      <c r="AE144" s="120">
        <v>13094</v>
      </c>
      <c r="AF144" s="154">
        <v>-44545.158149999996</v>
      </c>
      <c r="AG144" s="120">
        <v>28584</v>
      </c>
      <c r="AH144" s="120">
        <v>51446</v>
      </c>
      <c r="AI144" s="120">
        <v>58120</v>
      </c>
      <c r="AJ144" s="120">
        <f>AJ141</f>
        <v>63133</v>
      </c>
      <c r="AK144" s="154">
        <f t="shared" si="30"/>
        <v>201283</v>
      </c>
      <c r="AL144" s="120">
        <v>80676</v>
      </c>
      <c r="AM144" s="120">
        <v>87560</v>
      </c>
      <c r="AN144" s="120">
        <v>106480</v>
      </c>
      <c r="AO144" s="120">
        <v>107540</v>
      </c>
      <c r="AP144" s="154">
        <f t="shared" si="31"/>
        <v>382256</v>
      </c>
      <c r="AQ144" s="120">
        <f>AQ141</f>
        <v>116710.56</v>
      </c>
      <c r="AR144" s="121">
        <v>109792.5</v>
      </c>
      <c r="AS144" s="121">
        <v>145233</v>
      </c>
      <c r="AT144" s="121">
        <v>148953</v>
      </c>
      <c r="AU144" s="154">
        <f t="shared" si="32"/>
        <v>520689.06</v>
      </c>
      <c r="AV144" s="121">
        <f>AV143+AV142</f>
        <v>172214.47100000002</v>
      </c>
      <c r="AW144" s="121">
        <f>AW143+AW142</f>
        <v>179040</v>
      </c>
      <c r="AX144" s="121">
        <f>AX143+AX142</f>
        <v>199980.522</v>
      </c>
      <c r="AY144" s="121">
        <f>AY143+AY142</f>
        <v>209579.549</v>
      </c>
      <c r="AZ144" s="154">
        <f t="shared" si="33"/>
        <v>760814.54200000002</v>
      </c>
      <c r="BA144" s="120">
        <v>233395</v>
      </c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</row>
    <row r="145" spans="1:72">
      <c r="A145" s="357"/>
      <c r="B145" s="11" t="s">
        <v>471</v>
      </c>
      <c r="C145" s="13"/>
      <c r="D145" s="13"/>
      <c r="E145" s="13"/>
      <c r="F145" s="13"/>
      <c r="G145" s="41"/>
      <c r="H145" s="13"/>
      <c r="I145" s="13"/>
      <c r="J145" s="13"/>
      <c r="K145" s="13"/>
      <c r="L145" s="41"/>
      <c r="M145" s="13"/>
      <c r="N145" s="13"/>
      <c r="O145" s="13"/>
      <c r="P145" s="13"/>
      <c r="Q145" s="41"/>
      <c r="R145" s="13"/>
      <c r="S145" s="13"/>
      <c r="T145" s="13"/>
      <c r="U145" s="13"/>
      <c r="V145" s="41"/>
      <c r="W145" s="13"/>
      <c r="X145" s="13"/>
      <c r="Y145" s="13"/>
      <c r="Z145" s="120">
        <v>0</v>
      </c>
      <c r="AA145" s="154">
        <v>0</v>
      </c>
      <c r="AB145" s="120">
        <v>0</v>
      </c>
      <c r="AC145" s="120">
        <v>0</v>
      </c>
      <c r="AD145" s="120">
        <v>0</v>
      </c>
      <c r="AE145" s="120">
        <v>0</v>
      </c>
      <c r="AF145" s="154">
        <v>0</v>
      </c>
      <c r="AG145" s="120">
        <v>0</v>
      </c>
      <c r="AH145" s="120">
        <v>0</v>
      </c>
      <c r="AI145" s="120">
        <v>0</v>
      </c>
      <c r="AJ145" s="120">
        <v>0</v>
      </c>
      <c r="AK145" s="154">
        <f>SUM(AG145:AJ145)</f>
        <v>0</v>
      </c>
      <c r="AL145" s="120">
        <v>0</v>
      </c>
      <c r="AM145" s="120">
        <v>0</v>
      </c>
      <c r="AN145" s="120">
        <v>0</v>
      </c>
      <c r="AO145" s="120">
        <v>0</v>
      </c>
      <c r="AP145" s="154">
        <f t="shared" si="31"/>
        <v>0</v>
      </c>
      <c r="AQ145" s="120">
        <v>0</v>
      </c>
      <c r="AR145" s="121">
        <v>0</v>
      </c>
      <c r="AS145" s="121">
        <v>0</v>
      </c>
      <c r="AT145" s="121">
        <v>0</v>
      </c>
      <c r="AU145" s="154">
        <f t="shared" si="32"/>
        <v>0</v>
      </c>
      <c r="AV145" s="121">
        <v>0</v>
      </c>
      <c r="AW145" s="121">
        <v>0</v>
      </c>
      <c r="AX145" s="121">
        <v>0</v>
      </c>
      <c r="AY145" s="121">
        <v>0</v>
      </c>
      <c r="AZ145" s="154">
        <f t="shared" si="33"/>
        <v>0</v>
      </c>
      <c r="BA145" s="120">
        <v>0</v>
      </c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</row>
    <row r="146" spans="1:72" ht="15.75" thickBot="1">
      <c r="A146" s="359"/>
      <c r="B146" s="17" t="s">
        <v>451</v>
      </c>
      <c r="C146" s="18"/>
      <c r="D146" s="18"/>
      <c r="E146" s="18"/>
      <c r="F146" s="18"/>
      <c r="G146" s="48"/>
      <c r="H146" s="18"/>
      <c r="I146" s="18"/>
      <c r="J146" s="18"/>
      <c r="K146" s="18"/>
      <c r="L146" s="48"/>
      <c r="M146" s="18"/>
      <c r="N146" s="18"/>
      <c r="O146" s="18"/>
      <c r="P146" s="18"/>
      <c r="Q146" s="48"/>
      <c r="R146" s="18"/>
      <c r="S146" s="18"/>
      <c r="T146" s="18"/>
      <c r="U146" s="18"/>
      <c r="V146" s="48"/>
      <c r="W146" s="18"/>
      <c r="X146" s="18"/>
      <c r="Y146" s="18"/>
      <c r="Z146" s="18">
        <v>1</v>
      </c>
      <c r="AA146" s="48">
        <v>1</v>
      </c>
      <c r="AB146" s="18">
        <v>0.75</v>
      </c>
      <c r="AC146" s="18">
        <v>0.75</v>
      </c>
      <c r="AD146" s="18">
        <v>0.75</v>
      </c>
      <c r="AE146" s="18">
        <v>0.75</v>
      </c>
      <c r="AF146" s="48">
        <v>0.75</v>
      </c>
      <c r="AG146" s="18">
        <v>0.75</v>
      </c>
      <c r="AH146" s="18">
        <v>0.75</v>
      </c>
      <c r="AI146" s="18">
        <v>0.75</v>
      </c>
      <c r="AJ146" s="18">
        <v>0.75</v>
      </c>
      <c r="AK146" s="48">
        <v>0.75</v>
      </c>
      <c r="AL146" s="18">
        <v>0.75</v>
      </c>
      <c r="AM146" s="18">
        <v>0.75</v>
      </c>
      <c r="AN146" s="18">
        <v>0.74996305600709301</v>
      </c>
      <c r="AO146" s="18">
        <v>0.75</v>
      </c>
      <c r="AP146" s="48">
        <v>0.75</v>
      </c>
      <c r="AQ146" s="18">
        <v>0.75</v>
      </c>
      <c r="AR146" s="18">
        <v>0.75</v>
      </c>
      <c r="AS146" s="18">
        <v>0.75</v>
      </c>
      <c r="AT146" s="18">
        <v>0.75</v>
      </c>
      <c r="AU146" s="48">
        <v>0.75</v>
      </c>
      <c r="AV146" s="18">
        <v>0.75</v>
      </c>
      <c r="AW146" s="18">
        <v>0.75</v>
      </c>
      <c r="AX146" s="18">
        <v>0.74996305600709301</v>
      </c>
      <c r="AY146" s="18">
        <v>0.75</v>
      </c>
      <c r="AZ146" s="48">
        <v>0.75</v>
      </c>
      <c r="BA146" s="18">
        <v>0.75</v>
      </c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</row>
    <row r="147" spans="1:72">
      <c r="A147" s="452"/>
      <c r="AH147" s="49"/>
      <c r="AI147" s="49"/>
      <c r="AJ147" s="49"/>
      <c r="AK147" s="8"/>
      <c r="AL147" s="525"/>
      <c r="AM147" s="525"/>
      <c r="AN147" s="525"/>
      <c r="AO147" s="525"/>
      <c r="AP147" s="525"/>
      <c r="AQ147" s="525"/>
      <c r="AR147" s="49"/>
      <c r="AS147" s="49"/>
      <c r="AT147" s="49"/>
      <c r="AU147" s="525"/>
      <c r="AV147" s="49"/>
      <c r="AW147" s="49"/>
      <c r="AX147" s="49"/>
      <c r="AY147" s="49"/>
      <c r="AZ147" s="8"/>
    </row>
    <row r="148" spans="1:72" s="103" customFormat="1" ht="23.25">
      <c r="A148" s="355"/>
      <c r="B148" s="74" t="s">
        <v>105</v>
      </c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</row>
    <row r="149" spans="1:72" ht="15.75" thickBot="1">
      <c r="AG149">
        <f>AG153/AG152</f>
        <v>-0.53244305976055573</v>
      </c>
      <c r="AH149">
        <f>AH153/AH152</f>
        <v>-0.6420121560056975</v>
      </c>
    </row>
    <row r="150" spans="1:72" s="2" customFormat="1">
      <c r="A150" s="670"/>
      <c r="B150" s="625" t="s">
        <v>531</v>
      </c>
      <c r="C150" s="626" t="s">
        <v>224</v>
      </c>
      <c r="D150" s="626" t="s">
        <v>225</v>
      </c>
      <c r="E150" s="626" t="s">
        <v>226</v>
      </c>
      <c r="F150" s="626" t="s">
        <v>227</v>
      </c>
      <c r="G150" s="652">
        <v>2016</v>
      </c>
      <c r="H150" s="626" t="s">
        <v>228</v>
      </c>
      <c r="I150" s="626" t="s">
        <v>229</v>
      </c>
      <c r="J150" s="626" t="s">
        <v>230</v>
      </c>
      <c r="K150" s="626" t="s">
        <v>231</v>
      </c>
      <c r="L150" s="652">
        <v>2017</v>
      </c>
      <c r="M150" s="626" t="s">
        <v>232</v>
      </c>
      <c r="N150" s="626" t="s">
        <v>233</v>
      </c>
      <c r="O150" s="626" t="s">
        <v>234</v>
      </c>
      <c r="P150" s="626" t="s">
        <v>235</v>
      </c>
      <c r="Q150" s="652">
        <v>2018</v>
      </c>
      <c r="R150" s="626" t="s">
        <v>236</v>
      </c>
      <c r="S150" s="626" t="s">
        <v>237</v>
      </c>
      <c r="T150" s="626" t="s">
        <v>238</v>
      </c>
      <c r="U150" s="626" t="s">
        <v>239</v>
      </c>
      <c r="V150" s="652">
        <v>2019</v>
      </c>
      <c r="W150" s="626" t="s">
        <v>240</v>
      </c>
      <c r="X150" s="626" t="s">
        <v>241</v>
      </c>
      <c r="Y150" s="626" t="s">
        <v>242</v>
      </c>
      <c r="Z150" s="626" t="s">
        <v>243</v>
      </c>
      <c r="AA150" s="652">
        <v>2020</v>
      </c>
      <c r="AB150" s="626" t="s">
        <v>244</v>
      </c>
      <c r="AC150" s="626" t="s">
        <v>245</v>
      </c>
      <c r="AD150" s="626" t="s">
        <v>246</v>
      </c>
      <c r="AE150" s="626" t="s">
        <v>247</v>
      </c>
      <c r="AF150" s="652">
        <v>2021</v>
      </c>
      <c r="AG150" s="626" t="s">
        <v>248</v>
      </c>
      <c r="AH150" s="626" t="s">
        <v>249</v>
      </c>
      <c r="AI150" s="626" t="s">
        <v>250</v>
      </c>
      <c r="AJ150" s="626" t="s">
        <v>215</v>
      </c>
      <c r="AK150" s="652">
        <v>2022</v>
      </c>
      <c r="AL150" s="626" t="s">
        <v>252</v>
      </c>
      <c r="AM150" s="626" t="s">
        <v>253</v>
      </c>
      <c r="AN150" s="626" t="s">
        <v>254</v>
      </c>
      <c r="AO150" s="626" t="s">
        <v>219</v>
      </c>
      <c r="AP150" s="652">
        <v>2023</v>
      </c>
      <c r="AQ150" s="626" t="s">
        <v>223</v>
      </c>
      <c r="AR150" s="626" t="s">
        <v>256</v>
      </c>
      <c r="AS150" s="626" t="s">
        <v>357</v>
      </c>
      <c r="AT150" s="626" t="s">
        <v>358</v>
      </c>
      <c r="AU150" s="652">
        <v>2024</v>
      </c>
      <c r="AV150" s="626" t="s">
        <v>359</v>
      </c>
      <c r="AW150" s="626" t="s">
        <v>1115</v>
      </c>
      <c r="AX150" s="626" t="s">
        <v>1116</v>
      </c>
      <c r="AY150" s="626" t="s">
        <v>1117</v>
      </c>
      <c r="AZ150" s="653" t="s">
        <v>1118</v>
      </c>
      <c r="BA150" s="645" t="s">
        <v>1124</v>
      </c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</row>
    <row r="151" spans="1:72" s="2" customFormat="1">
      <c r="A151" s="356"/>
      <c r="B151" s="9" t="s">
        <v>497</v>
      </c>
      <c r="C151" s="10"/>
      <c r="D151" s="10"/>
      <c r="E151" s="10"/>
      <c r="F151" s="10"/>
      <c r="G151" s="39"/>
      <c r="H151" s="10"/>
      <c r="I151" s="10"/>
      <c r="J151" s="10"/>
      <c r="K151" s="10"/>
      <c r="L151" s="39"/>
      <c r="M151" s="10"/>
      <c r="N151" s="10"/>
      <c r="O151" s="10"/>
      <c r="P151" s="10"/>
      <c r="Q151" s="39"/>
      <c r="R151" s="10"/>
      <c r="S151" s="10"/>
      <c r="T151" s="10"/>
      <c r="U151" s="10"/>
      <c r="V151" s="39"/>
      <c r="W151" s="10"/>
      <c r="X151" s="10"/>
      <c r="Y151" s="10"/>
      <c r="Z151" s="117"/>
      <c r="AA151" s="118"/>
      <c r="AB151" s="117"/>
      <c r="AC151" s="117">
        <v>0.51716000000000006</v>
      </c>
      <c r="AD151" s="117">
        <v>22393.514170000002</v>
      </c>
      <c r="AE151" s="117">
        <v>36193.15836999999</v>
      </c>
      <c r="AF151" s="118">
        <v>58587.189699999988</v>
      </c>
      <c r="AG151" s="125">
        <v>37218</v>
      </c>
      <c r="AH151" s="125">
        <v>65849</v>
      </c>
      <c r="AI151" s="125">
        <f>SUM(AI152:AI153)</f>
        <v>97917</v>
      </c>
      <c r="AJ151" s="125">
        <v>86460</v>
      </c>
      <c r="AK151" s="118">
        <f>SUM(AG151:AJ151)</f>
        <v>287444</v>
      </c>
      <c r="AL151" s="125">
        <v>110229</v>
      </c>
      <c r="AM151" s="125">
        <v>106445</v>
      </c>
      <c r="AN151" s="125">
        <v>133021</v>
      </c>
      <c r="AO151" s="125">
        <v>132277</v>
      </c>
      <c r="AP151" s="118">
        <f>SUM(AL151:AO151)</f>
        <v>481972</v>
      </c>
      <c r="AQ151" s="125">
        <v>125991</v>
      </c>
      <c r="AR151" s="125">
        <f>AR152+AR153</f>
        <v>124455</v>
      </c>
      <c r="AS151" s="125">
        <f>AS152+AS153</f>
        <v>139294</v>
      </c>
      <c r="AT151" s="125">
        <f>AT152+AT153</f>
        <v>143472</v>
      </c>
      <c r="AU151" s="118">
        <f>SUM(AQ151:AT151)</f>
        <v>533212</v>
      </c>
      <c r="AV151" s="125">
        <f>AV152+AV153</f>
        <v>150206.49000000005</v>
      </c>
      <c r="AW151" s="125">
        <f>AW152+AW153</f>
        <v>150006.34700000001</v>
      </c>
      <c r="AX151" s="125">
        <f>AX152+AX153</f>
        <v>161621.02000000002</v>
      </c>
      <c r="AY151" s="125">
        <f>AY152+AY153</f>
        <v>165098</v>
      </c>
      <c r="AZ151" s="118">
        <f>SUM(AV151:AY151)</f>
        <v>626931.85700000008</v>
      </c>
      <c r="BA151" s="337">
        <v>163938</v>
      </c>
      <c r="BB151" s="462"/>
      <c r="BC151" s="462"/>
      <c r="BD151" s="462"/>
      <c r="BE151" s="462"/>
      <c r="BF151" s="462"/>
      <c r="BG151" s="462"/>
      <c r="BH151" s="462"/>
      <c r="BI151" s="462"/>
      <c r="BJ151" s="462"/>
      <c r="BK151" s="462"/>
      <c r="BL151" s="462"/>
      <c r="BM151" s="462"/>
      <c r="BN151" s="462"/>
      <c r="BO151" s="462"/>
      <c r="BP151" s="462"/>
      <c r="BQ151" s="462"/>
      <c r="BR151" s="462"/>
      <c r="BS151" s="462"/>
      <c r="BT151" s="462"/>
    </row>
    <row r="152" spans="1:72">
      <c r="A152" s="357"/>
      <c r="B152" s="11" t="s">
        <v>498</v>
      </c>
      <c r="C152" s="8"/>
      <c r="D152" s="8"/>
      <c r="E152" s="8"/>
      <c r="F152" s="8"/>
      <c r="G152" s="40"/>
      <c r="H152" s="12"/>
      <c r="I152" s="12"/>
      <c r="J152" s="12"/>
      <c r="K152" s="12"/>
      <c r="L152" s="40"/>
      <c r="M152" s="12"/>
      <c r="N152" s="12"/>
      <c r="O152" s="12"/>
      <c r="P152" s="12"/>
      <c r="Q152" s="40"/>
      <c r="R152" s="12"/>
      <c r="S152" s="12"/>
      <c r="T152" s="12"/>
      <c r="U152" s="12"/>
      <c r="V152" s="40"/>
      <c r="W152" s="12"/>
      <c r="X152" s="12"/>
      <c r="Y152" s="12"/>
      <c r="Z152" s="153"/>
      <c r="AA152" s="144"/>
      <c r="AB152" s="153"/>
      <c r="AC152" s="153">
        <v>0.88</v>
      </c>
      <c r="AD152" s="153">
        <v>86687.47</v>
      </c>
      <c r="AE152" s="153">
        <v>102166.42866999999</v>
      </c>
      <c r="AF152" s="144">
        <v>188854.77867</v>
      </c>
      <c r="AG152" s="136">
        <v>79601</v>
      </c>
      <c r="AH152" s="136">
        <v>183942</v>
      </c>
      <c r="AI152" s="214">
        <v>278422</v>
      </c>
      <c r="AJ152" s="136">
        <v>189002</v>
      </c>
      <c r="AK152" s="144">
        <f t="shared" ref="AK152:AK175" si="43">SUM(AG152:AJ152)</f>
        <v>730967</v>
      </c>
      <c r="AL152" s="136">
        <v>298204</v>
      </c>
      <c r="AM152" s="136">
        <v>311202</v>
      </c>
      <c r="AN152" s="136">
        <v>406070</v>
      </c>
      <c r="AO152" s="136">
        <v>392150</v>
      </c>
      <c r="AP152" s="144">
        <f t="shared" ref="AP152:AP175" si="44">SUM(AL152:AO152)</f>
        <v>1407626</v>
      </c>
      <c r="AQ152" s="136">
        <v>389282</v>
      </c>
      <c r="AR152" s="136">
        <v>332183</v>
      </c>
      <c r="AS152" s="136">
        <v>364035</v>
      </c>
      <c r="AT152" s="214">
        <v>383173</v>
      </c>
      <c r="AU152" s="144">
        <f t="shared" ref="AU152:AU175" si="45">SUM(AQ152:AT152)</f>
        <v>1468673</v>
      </c>
      <c r="AV152" s="214">
        <v>423001.24200000003</v>
      </c>
      <c r="AW152" s="214">
        <v>436776.092</v>
      </c>
      <c r="AX152" s="214">
        <v>485371.766</v>
      </c>
      <c r="AY152" s="214">
        <v>521696</v>
      </c>
      <c r="AZ152" s="144">
        <f t="shared" ref="AZ152:AZ175" si="46">SUM(AV152:AY152)</f>
        <v>1866845.1</v>
      </c>
      <c r="BA152" s="214">
        <v>542785</v>
      </c>
      <c r="BB152" s="462"/>
      <c r="BC152" s="462"/>
      <c r="BD152" s="462"/>
      <c r="BE152" s="462"/>
      <c r="BF152" s="462"/>
      <c r="BG152" s="462"/>
      <c r="BH152" s="462"/>
      <c r="BI152" s="462"/>
      <c r="BJ152" s="462"/>
      <c r="BK152" s="462"/>
      <c r="BL152" s="462"/>
      <c r="BM152" s="462"/>
      <c r="BN152" s="462"/>
      <c r="BO152" s="462"/>
      <c r="BP152" s="462"/>
      <c r="BQ152" s="462"/>
      <c r="BR152" s="462"/>
      <c r="BS152" s="462"/>
      <c r="BT152" s="462"/>
    </row>
    <row r="153" spans="1:72">
      <c r="A153" s="357"/>
      <c r="B153" s="11" t="s">
        <v>499</v>
      </c>
      <c r="C153" s="8"/>
      <c r="D153" s="8"/>
      <c r="E153" s="8"/>
      <c r="F153" s="8"/>
      <c r="G153" s="40"/>
      <c r="H153" s="12"/>
      <c r="I153" s="12"/>
      <c r="J153" s="12"/>
      <c r="K153" s="12"/>
      <c r="L153" s="40"/>
      <c r="M153" s="12"/>
      <c r="N153" s="12"/>
      <c r="O153" s="12"/>
      <c r="P153" s="12"/>
      <c r="Q153" s="40"/>
      <c r="R153" s="12"/>
      <c r="S153" s="12"/>
      <c r="T153" s="12"/>
      <c r="U153" s="12"/>
      <c r="V153" s="40"/>
      <c r="W153" s="12"/>
      <c r="X153" s="12"/>
      <c r="Y153" s="12"/>
      <c r="Z153" s="153"/>
      <c r="AA153" s="144"/>
      <c r="AB153" s="153"/>
      <c r="AC153" s="153">
        <v>-0.36284</v>
      </c>
      <c r="AD153" s="153">
        <v>-64293.955829999999</v>
      </c>
      <c r="AE153" s="153">
        <v>-65973.270300000004</v>
      </c>
      <c r="AF153" s="144">
        <v>-130267.58897000001</v>
      </c>
      <c r="AG153" s="136">
        <v>-42383</v>
      </c>
      <c r="AH153" s="136">
        <v>-118093</v>
      </c>
      <c r="AI153" s="136">
        <v>-180505</v>
      </c>
      <c r="AJ153" s="136">
        <v>-102542</v>
      </c>
      <c r="AK153" s="144">
        <f t="shared" si="43"/>
        <v>-443523</v>
      </c>
      <c r="AL153" s="136">
        <v>-187975</v>
      </c>
      <c r="AM153" s="136">
        <v>-204757</v>
      </c>
      <c r="AN153" s="136">
        <v>-273049</v>
      </c>
      <c r="AO153" s="136">
        <v>-259873</v>
      </c>
      <c r="AP153" s="144">
        <f t="shared" si="44"/>
        <v>-925654</v>
      </c>
      <c r="AQ153" s="136">
        <v>-263291</v>
      </c>
      <c r="AR153" s="136">
        <v>-207728</v>
      </c>
      <c r="AS153" s="136">
        <v>-224741</v>
      </c>
      <c r="AT153" s="214">
        <v>-239701</v>
      </c>
      <c r="AU153" s="144">
        <f t="shared" si="45"/>
        <v>-935461</v>
      </c>
      <c r="AV153" s="214">
        <v>-272794.75199999998</v>
      </c>
      <c r="AW153" s="214">
        <v>-286769.745</v>
      </c>
      <c r="AX153" s="214">
        <v>-323750.74599999998</v>
      </c>
      <c r="AY153" s="214">
        <v>-356598</v>
      </c>
      <c r="AZ153" s="144">
        <f>SUM(AV153:AY153)</f>
        <v>-1239913.243</v>
      </c>
      <c r="BA153" s="214">
        <v>-378847</v>
      </c>
      <c r="BB153" s="462"/>
      <c r="BC153" s="462"/>
      <c r="BD153" s="462"/>
      <c r="BE153" s="462"/>
      <c r="BF153" s="462"/>
      <c r="BG153" s="462"/>
      <c r="BH153" s="462"/>
      <c r="BI153" s="462"/>
      <c r="BJ153" s="462"/>
      <c r="BK153" s="462"/>
      <c r="BL153" s="462"/>
      <c r="BM153" s="462"/>
      <c r="BN153" s="462"/>
      <c r="BO153" s="462"/>
      <c r="BP153" s="462"/>
      <c r="BQ153" s="462"/>
      <c r="BR153" s="462"/>
      <c r="BS153" s="462"/>
      <c r="BT153" s="462"/>
    </row>
    <row r="154" spans="1:72">
      <c r="A154" s="360"/>
      <c r="B154" s="73" t="s">
        <v>500</v>
      </c>
      <c r="C154" s="8"/>
      <c r="D154" s="8"/>
      <c r="E154" s="8"/>
      <c r="F154" s="8"/>
      <c r="G154" s="40"/>
      <c r="H154" s="12"/>
      <c r="I154" s="12"/>
      <c r="J154" s="12"/>
      <c r="K154" s="12"/>
      <c r="L154" s="40"/>
      <c r="M154" s="12"/>
      <c r="N154" s="12"/>
      <c r="O154" s="12"/>
      <c r="P154" s="12"/>
      <c r="Q154" s="40"/>
      <c r="R154" s="12"/>
      <c r="S154" s="12"/>
      <c r="T154" s="12"/>
      <c r="U154" s="12"/>
      <c r="V154" s="40"/>
      <c r="W154" s="12"/>
      <c r="X154" s="12"/>
      <c r="Y154" s="12"/>
      <c r="Z154" s="153"/>
      <c r="AA154" s="144"/>
      <c r="AB154" s="153"/>
      <c r="AC154" s="121">
        <v>-2.9610000000000001E-2</v>
      </c>
      <c r="AD154" s="121">
        <v>-1253.8082899999997</v>
      </c>
      <c r="AE154" s="153">
        <v>-1066.2886000000001</v>
      </c>
      <c r="AF154" s="144">
        <v>-2320.1264999999999</v>
      </c>
      <c r="AG154" s="136">
        <v>2320</v>
      </c>
      <c r="AH154" s="136">
        <v>0</v>
      </c>
      <c r="AI154" s="136">
        <v>0</v>
      </c>
      <c r="AJ154" s="136">
        <v>0</v>
      </c>
      <c r="AK154" s="144">
        <f t="shared" si="43"/>
        <v>2320</v>
      </c>
      <c r="AL154" s="136">
        <v>0</v>
      </c>
      <c r="AM154" s="136">
        <v>0</v>
      </c>
      <c r="AN154" s="136">
        <v>0</v>
      </c>
      <c r="AO154" s="136">
        <v>0</v>
      </c>
      <c r="AP154" s="144">
        <f t="shared" si="44"/>
        <v>0</v>
      </c>
      <c r="AQ154" s="136">
        <v>0</v>
      </c>
      <c r="AR154" s="136">
        <v>0</v>
      </c>
      <c r="AS154" s="136">
        <v>0</v>
      </c>
      <c r="AT154" s="214">
        <v>0</v>
      </c>
      <c r="AU154" s="144">
        <f t="shared" si="45"/>
        <v>0</v>
      </c>
      <c r="AV154" s="214">
        <v>0</v>
      </c>
      <c r="AW154" s="214">
        <v>0</v>
      </c>
      <c r="AX154" s="214">
        <v>0</v>
      </c>
      <c r="AY154" s="214">
        <v>0</v>
      </c>
      <c r="AZ154" s="144">
        <f t="shared" si="46"/>
        <v>0</v>
      </c>
      <c r="BA154" s="214">
        <v>0</v>
      </c>
      <c r="BB154" s="462"/>
      <c r="BC154" s="462"/>
      <c r="BD154" s="462"/>
      <c r="BE154" s="462"/>
      <c r="BF154" s="462"/>
      <c r="BG154" s="462"/>
      <c r="BH154" s="462"/>
      <c r="BI154" s="462"/>
      <c r="BJ154" s="462"/>
      <c r="BK154" s="462"/>
      <c r="BL154" s="462"/>
      <c r="BM154" s="462"/>
      <c r="BN154" s="462"/>
      <c r="BO154" s="462"/>
      <c r="BP154" s="462"/>
      <c r="BQ154" s="462"/>
      <c r="BR154" s="462"/>
      <c r="BS154" s="462"/>
      <c r="BT154" s="462"/>
    </row>
    <row r="155" spans="1:72">
      <c r="A155" s="360"/>
      <c r="B155" s="73" t="s">
        <v>501</v>
      </c>
      <c r="C155" s="8"/>
      <c r="D155" s="8"/>
      <c r="E155" s="8"/>
      <c r="F155" s="8"/>
      <c r="G155" s="40"/>
      <c r="H155" s="12"/>
      <c r="I155" s="12"/>
      <c r="J155" s="12"/>
      <c r="K155" s="12"/>
      <c r="L155" s="40"/>
      <c r="M155" s="12"/>
      <c r="N155" s="12"/>
      <c r="O155" s="12"/>
      <c r="P155" s="12"/>
      <c r="Q155" s="40"/>
      <c r="R155" s="12"/>
      <c r="S155" s="12"/>
      <c r="T155" s="12"/>
      <c r="U155" s="12"/>
      <c r="V155" s="40"/>
      <c r="W155" s="12"/>
      <c r="X155" s="12"/>
      <c r="Y155" s="12"/>
      <c r="Z155" s="153"/>
      <c r="AA155" s="144"/>
      <c r="AB155" s="153"/>
      <c r="AC155" s="121">
        <v>-1.5650000000000001E-2</v>
      </c>
      <c r="AD155" s="121">
        <v>-1660.9981300000002</v>
      </c>
      <c r="AE155" s="153">
        <v>-1919.2341399999998</v>
      </c>
      <c r="AF155" s="144">
        <v>-3580.2479199999998</v>
      </c>
      <c r="AG155" s="136">
        <v>-1378</v>
      </c>
      <c r="AH155" s="136">
        <v>-3330</v>
      </c>
      <c r="AI155" s="136">
        <v>-4519</v>
      </c>
      <c r="AJ155" s="136">
        <v>-3035</v>
      </c>
      <c r="AK155" s="144">
        <f t="shared" si="43"/>
        <v>-12262</v>
      </c>
      <c r="AL155" s="136">
        <v>-4899</v>
      </c>
      <c r="AM155" s="136">
        <v>-5060</v>
      </c>
      <c r="AN155" s="136">
        <v>-6173</v>
      </c>
      <c r="AO155" s="136">
        <v>-6270</v>
      </c>
      <c r="AP155" s="144">
        <f t="shared" si="44"/>
        <v>-22402</v>
      </c>
      <c r="AQ155" s="136">
        <v>-5345</v>
      </c>
      <c r="AR155" s="136">
        <v>-4620</v>
      </c>
      <c r="AS155" s="136">
        <v>-5211</v>
      </c>
      <c r="AT155" s="214">
        <v>-4528</v>
      </c>
      <c r="AU155" s="144">
        <f t="shared" si="45"/>
        <v>-19704</v>
      </c>
      <c r="AV155" s="214">
        <v>-5424</v>
      </c>
      <c r="AW155" s="214">
        <v>-4470</v>
      </c>
      <c r="AX155" s="214">
        <v>-5440</v>
      </c>
      <c r="AY155" s="214">
        <v>-4859</v>
      </c>
      <c r="AZ155" s="144">
        <f t="shared" si="46"/>
        <v>-20193</v>
      </c>
      <c r="BA155" s="214">
        <v>-1991</v>
      </c>
      <c r="BB155" s="462"/>
      <c r="BC155" s="462"/>
      <c r="BD155" s="462"/>
      <c r="BE155" s="462"/>
      <c r="BF155" s="462"/>
      <c r="BG155" s="462"/>
      <c r="BH155" s="462"/>
      <c r="BI155" s="462"/>
      <c r="BJ155" s="462"/>
      <c r="BK155" s="462"/>
      <c r="BL155" s="462"/>
      <c r="BM155" s="462"/>
      <c r="BN155" s="462"/>
      <c r="BO155" s="462"/>
      <c r="BP155" s="462"/>
      <c r="BQ155" s="462"/>
      <c r="BR155" s="462"/>
      <c r="BS155" s="462"/>
      <c r="BT155" s="462"/>
    </row>
    <row r="156" spans="1:72">
      <c r="A156" s="360"/>
      <c r="B156" s="73" t="s">
        <v>478</v>
      </c>
      <c r="C156" s="8"/>
      <c r="D156" s="8"/>
      <c r="E156" s="8"/>
      <c r="F156" s="8"/>
      <c r="G156" s="40"/>
      <c r="H156" s="12"/>
      <c r="I156" s="12"/>
      <c r="J156" s="12"/>
      <c r="K156" s="12"/>
      <c r="L156" s="40"/>
      <c r="M156" s="12"/>
      <c r="N156" s="12"/>
      <c r="O156" s="12"/>
      <c r="P156" s="12"/>
      <c r="Q156" s="40"/>
      <c r="R156" s="12"/>
      <c r="S156" s="12"/>
      <c r="T156" s="12"/>
      <c r="U156" s="12"/>
      <c r="V156" s="40"/>
      <c r="W156" s="12"/>
      <c r="X156" s="12"/>
      <c r="Y156" s="12"/>
      <c r="Z156" s="153"/>
      <c r="AA156" s="144"/>
      <c r="AB156" s="153"/>
      <c r="AC156" s="121">
        <v>-6.4240000000000005E-2</v>
      </c>
      <c r="AD156" s="121">
        <v>-5838.746689999999</v>
      </c>
      <c r="AE156" s="153">
        <v>-7961.4880400000011</v>
      </c>
      <c r="AF156" s="144">
        <v>-13800.29897</v>
      </c>
      <c r="AG156" s="136">
        <v>-5652</v>
      </c>
      <c r="AH156" s="136">
        <v>-13467</v>
      </c>
      <c r="AI156" s="136">
        <v>-20913</v>
      </c>
      <c r="AJ156" s="136">
        <v>-16780</v>
      </c>
      <c r="AK156" s="144">
        <f t="shared" si="43"/>
        <v>-56812</v>
      </c>
      <c r="AL156" s="136">
        <v>-21970</v>
      </c>
      <c r="AM156" s="136">
        <v>-23499</v>
      </c>
      <c r="AN156" s="136">
        <v>-31790</v>
      </c>
      <c r="AO156" s="136">
        <v>-31558</v>
      </c>
      <c r="AP156" s="144">
        <f t="shared" si="44"/>
        <v>-108817</v>
      </c>
      <c r="AQ156" s="136">
        <v>-29041</v>
      </c>
      <c r="AR156" s="136">
        <v>-24964</v>
      </c>
      <c r="AS156" s="136">
        <v>-27477</v>
      </c>
      <c r="AT156" s="214">
        <v>-31551</v>
      </c>
      <c r="AU156" s="144">
        <f t="shared" si="45"/>
        <v>-113033</v>
      </c>
      <c r="AV156" s="214">
        <v>-30946</v>
      </c>
      <c r="AW156" s="214">
        <v>-32826</v>
      </c>
      <c r="AX156" s="214">
        <v>-39766</v>
      </c>
      <c r="AY156" s="214">
        <v>-42173</v>
      </c>
      <c r="AZ156" s="144">
        <f t="shared" si="46"/>
        <v>-145711</v>
      </c>
      <c r="BA156" s="214">
        <v>-41857</v>
      </c>
      <c r="BB156" s="462"/>
      <c r="BC156" s="462"/>
      <c r="BD156" s="462"/>
      <c r="BE156" s="462"/>
      <c r="BF156" s="462"/>
      <c r="BG156" s="462"/>
      <c r="BH156" s="462"/>
      <c r="BI156" s="462"/>
      <c r="BJ156" s="462"/>
      <c r="BK156" s="462"/>
      <c r="BL156" s="462"/>
      <c r="BM156" s="462"/>
      <c r="BN156" s="462"/>
      <c r="BO156" s="462"/>
      <c r="BP156" s="462"/>
      <c r="BQ156" s="462"/>
      <c r="BR156" s="462"/>
      <c r="BS156" s="462"/>
      <c r="BT156" s="462"/>
    </row>
    <row r="157" spans="1:72">
      <c r="A157" s="360"/>
      <c r="B157" s="73" t="s">
        <v>502</v>
      </c>
      <c r="C157" s="8"/>
      <c r="D157" s="8"/>
      <c r="E157" s="8"/>
      <c r="F157" s="8"/>
      <c r="G157" s="40"/>
      <c r="H157" s="12"/>
      <c r="I157" s="12"/>
      <c r="J157" s="12"/>
      <c r="K157" s="12"/>
      <c r="L157" s="40"/>
      <c r="M157" s="12"/>
      <c r="N157" s="12"/>
      <c r="O157" s="12"/>
      <c r="P157" s="12"/>
      <c r="Q157" s="40"/>
      <c r="R157" s="12"/>
      <c r="S157" s="12"/>
      <c r="T157" s="12"/>
      <c r="U157" s="12"/>
      <c r="V157" s="40"/>
      <c r="W157" s="12"/>
      <c r="X157" s="12"/>
      <c r="Y157" s="12"/>
      <c r="Z157" s="153"/>
      <c r="AA157" s="144"/>
      <c r="AB157" s="153"/>
      <c r="AC157" s="121">
        <v>0</v>
      </c>
      <c r="AD157" s="121">
        <v>0</v>
      </c>
      <c r="AE157" s="153">
        <v>0</v>
      </c>
      <c r="AF157" s="144">
        <v>0</v>
      </c>
      <c r="AG157" s="136">
        <v>0</v>
      </c>
      <c r="AH157" s="136">
        <v>0</v>
      </c>
      <c r="AI157" s="136">
        <v>0</v>
      </c>
      <c r="AJ157" s="136">
        <v>0</v>
      </c>
      <c r="AK157" s="144">
        <f t="shared" si="43"/>
        <v>0</v>
      </c>
      <c r="AL157" s="136">
        <v>0</v>
      </c>
      <c r="AM157" s="136">
        <v>0</v>
      </c>
      <c r="AN157" s="136">
        <v>0</v>
      </c>
      <c r="AO157" s="136">
        <v>0</v>
      </c>
      <c r="AP157" s="144">
        <f t="shared" si="44"/>
        <v>0</v>
      </c>
      <c r="AQ157" s="136">
        <v>0</v>
      </c>
      <c r="AR157" s="136">
        <v>0</v>
      </c>
      <c r="AS157" s="136">
        <v>0</v>
      </c>
      <c r="AT157" s="214">
        <v>0</v>
      </c>
      <c r="AU157" s="144">
        <f t="shared" si="45"/>
        <v>0</v>
      </c>
      <c r="AV157" s="214">
        <v>0</v>
      </c>
      <c r="AW157" s="214">
        <v>0</v>
      </c>
      <c r="AX157" s="214">
        <v>0</v>
      </c>
      <c r="AY157" s="214">
        <v>0</v>
      </c>
      <c r="AZ157" s="144">
        <f t="shared" si="46"/>
        <v>0</v>
      </c>
      <c r="BA157" s="214">
        <v>0</v>
      </c>
      <c r="BB157" s="462"/>
      <c r="BC157" s="462"/>
      <c r="BD157" s="462"/>
      <c r="BE157" s="462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</row>
    <row r="158" spans="1:72">
      <c r="A158" s="360"/>
      <c r="B158" s="73" t="s">
        <v>479</v>
      </c>
      <c r="C158" s="8"/>
      <c r="D158" s="8"/>
      <c r="E158" s="8"/>
      <c r="F158" s="8"/>
      <c r="G158" s="40"/>
      <c r="H158" s="12"/>
      <c r="I158" s="12"/>
      <c r="J158" s="12"/>
      <c r="K158" s="12"/>
      <c r="L158" s="40"/>
      <c r="M158" s="12"/>
      <c r="N158" s="12"/>
      <c r="O158" s="12"/>
      <c r="P158" s="12"/>
      <c r="Q158" s="40"/>
      <c r="R158" s="12"/>
      <c r="S158" s="12"/>
      <c r="T158" s="12"/>
      <c r="U158" s="12"/>
      <c r="V158" s="40"/>
      <c r="W158" s="12"/>
      <c r="X158" s="12"/>
      <c r="Y158" s="12"/>
      <c r="Z158" s="153"/>
      <c r="AA158" s="144"/>
      <c r="AB158" s="153"/>
      <c r="AC158" s="121">
        <v>0</v>
      </c>
      <c r="AD158" s="121">
        <v>0</v>
      </c>
      <c r="AE158" s="153">
        <v>-2505.9380999999998</v>
      </c>
      <c r="AF158" s="144">
        <v>-2505.9380999999998</v>
      </c>
      <c r="AG158" s="136">
        <v>-2056</v>
      </c>
      <c r="AH158" s="136">
        <v>-7281</v>
      </c>
      <c r="AI158" s="136">
        <v>-10910</v>
      </c>
      <c r="AJ158" s="136">
        <v>-10653</v>
      </c>
      <c r="AK158" s="144">
        <f t="shared" si="43"/>
        <v>-30900</v>
      </c>
      <c r="AL158" s="136">
        <v>-14702</v>
      </c>
      <c r="AM158" s="136">
        <v>-15890</v>
      </c>
      <c r="AN158" s="136">
        <v>-20572</v>
      </c>
      <c r="AO158" s="136">
        <v>-19632</v>
      </c>
      <c r="AP158" s="144">
        <f t="shared" si="44"/>
        <v>-70796</v>
      </c>
      <c r="AQ158" s="136">
        <v>-20668</v>
      </c>
      <c r="AR158" s="136">
        <v>-19213</v>
      </c>
      <c r="AS158" s="136">
        <v>-19868</v>
      </c>
      <c r="AT158" s="214">
        <v>-21797</v>
      </c>
      <c r="AU158" s="144">
        <f t="shared" si="45"/>
        <v>-81546</v>
      </c>
      <c r="AV158" s="214">
        <v>-21124</v>
      </c>
      <c r="AW158" s="214">
        <v>-22103</v>
      </c>
      <c r="AX158" s="214">
        <v>-24038</v>
      </c>
      <c r="AY158" s="214">
        <v>-25444</v>
      </c>
      <c r="AZ158" s="144">
        <f t="shared" si="46"/>
        <v>-92709</v>
      </c>
      <c r="BA158" s="214">
        <v>-20765</v>
      </c>
      <c r="BB158" s="462"/>
      <c r="BC158" s="462"/>
      <c r="BD158" s="462"/>
      <c r="BE158" s="462"/>
      <c r="BF158" s="462"/>
      <c r="BG158" s="462"/>
      <c r="BH158" s="462"/>
      <c r="BI158" s="462"/>
      <c r="BJ158" s="462"/>
      <c r="BK158" s="462"/>
      <c r="BL158" s="462"/>
      <c r="BM158" s="462"/>
      <c r="BN158" s="462"/>
      <c r="BO158" s="462"/>
      <c r="BP158" s="462"/>
      <c r="BQ158" s="462"/>
      <c r="BR158" s="462"/>
      <c r="BS158" s="462"/>
      <c r="BT158" s="462"/>
    </row>
    <row r="159" spans="1:72" s="2" customFormat="1">
      <c r="A159" s="356"/>
      <c r="B159" s="9" t="s">
        <v>412</v>
      </c>
      <c r="C159" s="10"/>
      <c r="D159" s="10"/>
      <c r="E159" s="10"/>
      <c r="F159" s="10"/>
      <c r="G159" s="39"/>
      <c r="H159" s="10"/>
      <c r="I159" s="10"/>
      <c r="J159" s="10"/>
      <c r="K159" s="10"/>
      <c r="L159" s="39"/>
      <c r="M159" s="10"/>
      <c r="N159" s="10"/>
      <c r="O159" s="10"/>
      <c r="P159" s="10"/>
      <c r="Q159" s="39"/>
      <c r="R159" s="10"/>
      <c r="S159" s="10"/>
      <c r="T159" s="10"/>
      <c r="U159" s="10"/>
      <c r="V159" s="39"/>
      <c r="W159" s="10"/>
      <c r="X159" s="10"/>
      <c r="Y159" s="10"/>
      <c r="Z159" s="117">
        <v>0</v>
      </c>
      <c r="AA159" s="118">
        <v>0</v>
      </c>
      <c r="AB159" s="117">
        <v>0</v>
      </c>
      <c r="AC159" s="117">
        <v>0.40766000000000002</v>
      </c>
      <c r="AD159" s="117">
        <v>13639.961060000001</v>
      </c>
      <c r="AE159" s="117">
        <v>22740.20948999999</v>
      </c>
      <c r="AF159" s="118">
        <v>36380.578209999992</v>
      </c>
      <c r="AG159" s="125">
        <f>SUM(AG152:AG158)</f>
        <v>30452</v>
      </c>
      <c r="AH159" s="125">
        <f>SUM(AH152:AH158)</f>
        <v>41771</v>
      </c>
      <c r="AI159" s="125">
        <f>SUM(AI152:AI158)</f>
        <v>61575</v>
      </c>
      <c r="AJ159" s="125">
        <f>SUM(AJ152:AJ158)</f>
        <v>55992</v>
      </c>
      <c r="AK159" s="118">
        <f t="shared" si="43"/>
        <v>189790</v>
      </c>
      <c r="AL159" s="125">
        <f>SUM(AL152:AL158)</f>
        <v>68658</v>
      </c>
      <c r="AM159" s="125">
        <f>SUM(AM152:AM158)</f>
        <v>61996</v>
      </c>
      <c r="AN159" s="125">
        <f>SUM(AN152:AN158)</f>
        <v>74486</v>
      </c>
      <c r="AO159" s="125">
        <v>74817</v>
      </c>
      <c r="AP159" s="118">
        <f t="shared" si="44"/>
        <v>279957</v>
      </c>
      <c r="AQ159" s="125">
        <f>SUM(AQ152:AQ158)</f>
        <v>70937</v>
      </c>
      <c r="AR159" s="125">
        <f t="shared" ref="AR159:AT159" si="47">SUM(AR152:AR158)</f>
        <v>75658</v>
      </c>
      <c r="AS159" s="125">
        <f t="shared" si="47"/>
        <v>86738</v>
      </c>
      <c r="AT159" s="125">
        <f t="shared" si="47"/>
        <v>85596</v>
      </c>
      <c r="AU159" s="118">
        <f t="shared" si="45"/>
        <v>318929</v>
      </c>
      <c r="AV159" s="125">
        <f>SUM(AV152:AV158)</f>
        <v>92712.490000000049</v>
      </c>
      <c r="AW159" s="125">
        <f>SUM(AW152:AW158)</f>
        <v>90607.347000000009</v>
      </c>
      <c r="AX159" s="125">
        <f>SUM(AX152:AX158)</f>
        <v>92377.020000000019</v>
      </c>
      <c r="AY159" s="125">
        <f>SUM(AY152:AY158)</f>
        <v>92622</v>
      </c>
      <c r="AZ159" s="118">
        <f t="shared" si="46"/>
        <v>368318.85700000008</v>
      </c>
      <c r="BA159" s="125">
        <f>SUM(BA152:BA158)</f>
        <v>99325</v>
      </c>
      <c r="BB159" s="462"/>
      <c r="BC159" s="462"/>
      <c r="BD159" s="462"/>
      <c r="BE159" s="462"/>
      <c r="BF159" s="462"/>
      <c r="BG159" s="462"/>
      <c r="BH159" s="462"/>
      <c r="BI159" s="462"/>
      <c r="BJ159" s="462"/>
      <c r="BK159" s="462"/>
      <c r="BL159" s="462"/>
      <c r="BM159" s="462"/>
      <c r="BN159" s="462"/>
      <c r="BO159" s="462"/>
      <c r="BP159" s="462"/>
      <c r="BQ159" s="462"/>
      <c r="BR159" s="462"/>
      <c r="BS159" s="462"/>
      <c r="BT159" s="462"/>
    </row>
    <row r="160" spans="1:72">
      <c r="A160" s="499"/>
      <c r="B160" s="11" t="s">
        <v>413</v>
      </c>
      <c r="C160" s="8"/>
      <c r="D160" s="8"/>
      <c r="E160" s="8"/>
      <c r="F160" s="8"/>
      <c r="G160" s="40"/>
      <c r="H160" s="8"/>
      <c r="I160" s="8"/>
      <c r="J160" s="8"/>
      <c r="K160" s="8"/>
      <c r="L160" s="40"/>
      <c r="M160" s="8"/>
      <c r="N160" s="8"/>
      <c r="O160" s="8"/>
      <c r="P160" s="8"/>
      <c r="Q160" s="40"/>
      <c r="R160" s="12"/>
      <c r="S160" s="12"/>
      <c r="T160" s="12"/>
      <c r="U160" s="12"/>
      <c r="V160" s="40"/>
      <c r="W160" s="12"/>
      <c r="X160" s="12"/>
      <c r="Y160" s="12"/>
      <c r="Z160" s="153">
        <v>-11</v>
      </c>
      <c r="AA160" s="144">
        <v>-11</v>
      </c>
      <c r="AB160" s="153">
        <v>-1.44936</v>
      </c>
      <c r="AC160" s="153">
        <v>-1406.66616</v>
      </c>
      <c r="AD160" s="153">
        <v>-8025.1655299999993</v>
      </c>
      <c r="AE160" s="153">
        <v>-19706.864850000002</v>
      </c>
      <c r="AF160" s="144">
        <v>-29140.145900000003</v>
      </c>
      <c r="AG160" s="136">
        <v>-6585</v>
      </c>
      <c r="AH160" s="212">
        <v>-8294</v>
      </c>
      <c r="AI160" s="212">
        <v>-8497</v>
      </c>
      <c r="AJ160" s="136">
        <v>-10076</v>
      </c>
      <c r="AK160" s="144">
        <f t="shared" si="43"/>
        <v>-33452</v>
      </c>
      <c r="AL160" s="136">
        <v>-8357.759</v>
      </c>
      <c r="AM160" s="136">
        <v>-10989</v>
      </c>
      <c r="AN160" s="136">
        <v>-9855</v>
      </c>
      <c r="AO160" s="136">
        <v>-12081</v>
      </c>
      <c r="AP160" s="144">
        <f t="shared" si="44"/>
        <v>-41282.758999999998</v>
      </c>
      <c r="AQ160" s="136">
        <v>-10360</v>
      </c>
      <c r="AR160" s="212">
        <v>-11125</v>
      </c>
      <c r="AS160" s="212">
        <v>-12840</v>
      </c>
      <c r="AT160" s="136">
        <v>-15338</v>
      </c>
      <c r="AU160" s="144">
        <f t="shared" si="45"/>
        <v>-49663</v>
      </c>
      <c r="AV160" s="136">
        <v>-11815.883</v>
      </c>
      <c r="AW160" s="136">
        <v>-14497.482</v>
      </c>
      <c r="AX160" s="136">
        <v>-13972.204</v>
      </c>
      <c r="AY160" s="136">
        <v>-20753</v>
      </c>
      <c r="AZ160" s="144">
        <f t="shared" si="46"/>
        <v>-61038.568999999996</v>
      </c>
      <c r="BA160" s="214">
        <v>-14456</v>
      </c>
      <c r="BB160" s="462"/>
      <c r="BC160" s="462"/>
      <c r="BD160" s="462"/>
      <c r="BE160" s="462"/>
      <c r="BF160" s="462"/>
      <c r="BG160" s="462"/>
      <c r="BH160" s="462"/>
      <c r="BI160" s="462"/>
      <c r="BJ160" s="462"/>
      <c r="BK160" s="462"/>
      <c r="BL160" s="462"/>
      <c r="BM160" s="462"/>
      <c r="BN160" s="462"/>
      <c r="BO160" s="462"/>
      <c r="BP160" s="462"/>
      <c r="BQ160" s="462"/>
      <c r="BR160" s="462"/>
      <c r="BS160" s="462"/>
      <c r="BT160" s="462"/>
    </row>
    <row r="161" spans="1:72">
      <c r="A161" s="499"/>
      <c r="B161" s="11" t="s">
        <v>414</v>
      </c>
      <c r="C161" s="13"/>
      <c r="D161" s="13"/>
      <c r="E161" s="13"/>
      <c r="F161" s="13"/>
      <c r="G161" s="41"/>
      <c r="H161" s="13"/>
      <c r="I161" s="13"/>
      <c r="J161" s="13"/>
      <c r="K161" s="13"/>
      <c r="L161" s="41"/>
      <c r="M161" s="13"/>
      <c r="N161" s="13"/>
      <c r="O161" s="13"/>
      <c r="P161" s="13"/>
      <c r="Q161" s="41"/>
      <c r="R161" s="13"/>
      <c r="S161" s="13"/>
      <c r="T161" s="13"/>
      <c r="U161" s="13"/>
      <c r="V161" s="41"/>
      <c r="W161" s="13"/>
      <c r="X161" s="13"/>
      <c r="Y161" s="13"/>
      <c r="Z161" s="120">
        <v>-18</v>
      </c>
      <c r="AA161" s="154">
        <v>-18</v>
      </c>
      <c r="AB161" s="120">
        <v>-3.0232700000000001</v>
      </c>
      <c r="AC161" s="120">
        <v>-34.381720000000001</v>
      </c>
      <c r="AD161" s="153">
        <v>-1149.34096</v>
      </c>
      <c r="AE161" s="153">
        <v>-1695.7794099999999</v>
      </c>
      <c r="AF161" s="154">
        <v>-2882.5253599999996</v>
      </c>
      <c r="AG161" s="136">
        <v>-2011</v>
      </c>
      <c r="AH161" s="136">
        <v>-3260</v>
      </c>
      <c r="AI161" s="136">
        <v>-4760</v>
      </c>
      <c r="AJ161" s="136">
        <v>-4368</v>
      </c>
      <c r="AK161" s="154">
        <f t="shared" si="43"/>
        <v>-14399</v>
      </c>
      <c r="AL161" s="136">
        <v>-5526</v>
      </c>
      <c r="AM161" s="136">
        <v>-5349</v>
      </c>
      <c r="AN161" s="136">
        <v>-6575</v>
      </c>
      <c r="AO161" s="136">
        <v>-6528</v>
      </c>
      <c r="AP161" s="154">
        <f t="shared" si="44"/>
        <v>-23978</v>
      </c>
      <c r="AQ161" s="136">
        <v>-6407</v>
      </c>
      <c r="AR161" s="136">
        <v>-6556</v>
      </c>
      <c r="AS161" s="136">
        <v>-7156</v>
      </c>
      <c r="AT161" s="136">
        <v>-7374</v>
      </c>
      <c r="AU161" s="154">
        <f t="shared" si="45"/>
        <v>-27493</v>
      </c>
      <c r="AV161" s="136">
        <v>-7762</v>
      </c>
      <c r="AW161" s="136">
        <v>-7843</v>
      </c>
      <c r="AX161" s="136">
        <v>-8406</v>
      </c>
      <c r="AY161" s="136">
        <v>-8640</v>
      </c>
      <c r="AZ161" s="154">
        <f t="shared" si="46"/>
        <v>-32651</v>
      </c>
      <c r="BA161" s="214">
        <v>-9066</v>
      </c>
      <c r="BB161" s="462"/>
      <c r="BC161" s="462"/>
      <c r="BD161" s="462"/>
      <c r="BE161" s="462"/>
      <c r="BF161" s="462"/>
      <c r="BG161" s="462"/>
      <c r="BH161" s="462"/>
      <c r="BI161" s="462"/>
      <c r="BJ161" s="462"/>
      <c r="BK161" s="462"/>
      <c r="BL161" s="462"/>
      <c r="BM161" s="462"/>
      <c r="BN161" s="462"/>
      <c r="BO161" s="462"/>
      <c r="BP161" s="462"/>
      <c r="BQ161" s="462"/>
      <c r="BR161" s="462"/>
      <c r="BS161" s="462"/>
      <c r="BT161" s="462"/>
    </row>
    <row r="162" spans="1:72">
      <c r="A162" s="499"/>
      <c r="B162" s="11" t="s">
        <v>415</v>
      </c>
      <c r="C162" s="13"/>
      <c r="D162" s="13"/>
      <c r="E162" s="13"/>
      <c r="F162" s="13"/>
      <c r="G162" s="41"/>
      <c r="H162" s="13"/>
      <c r="I162" s="13"/>
      <c r="J162" s="13"/>
      <c r="K162" s="13"/>
      <c r="L162" s="41"/>
      <c r="M162" s="13"/>
      <c r="N162" s="13"/>
      <c r="O162" s="13"/>
      <c r="P162" s="13"/>
      <c r="Q162" s="41"/>
      <c r="R162" s="13"/>
      <c r="S162" s="13"/>
      <c r="T162" s="13"/>
      <c r="U162" s="13"/>
      <c r="V162" s="41"/>
      <c r="W162" s="13"/>
      <c r="X162" s="13"/>
      <c r="Y162" s="13"/>
      <c r="Z162" s="120">
        <v>390</v>
      </c>
      <c r="AA162" s="154">
        <v>390</v>
      </c>
      <c r="AB162" s="120">
        <v>65.016469999999998</v>
      </c>
      <c r="AC162" s="120">
        <v>484.68316999999996</v>
      </c>
      <c r="AD162" s="157">
        <v>2340.7322999999997</v>
      </c>
      <c r="AE162" s="157">
        <v>465.01650000000046</v>
      </c>
      <c r="AF162" s="154">
        <v>3355.4484400000001</v>
      </c>
      <c r="AG162" s="212">
        <v>3826</v>
      </c>
      <c r="AH162" s="212">
        <v>5370</v>
      </c>
      <c r="AI162" s="212">
        <v>9595</v>
      </c>
      <c r="AJ162" s="212">
        <v>12255</v>
      </c>
      <c r="AK162" s="154">
        <f t="shared" si="43"/>
        <v>31046</v>
      </c>
      <c r="AL162" s="212">
        <v>15250</v>
      </c>
      <c r="AM162" s="212">
        <v>12881</v>
      </c>
      <c r="AN162" s="212">
        <v>16670</v>
      </c>
      <c r="AO162" s="212">
        <v>19022</v>
      </c>
      <c r="AP162" s="154">
        <f t="shared" si="44"/>
        <v>63823</v>
      </c>
      <c r="AQ162" s="212">
        <v>25290</v>
      </c>
      <c r="AR162" s="212">
        <v>23685</v>
      </c>
      <c r="AS162" s="212">
        <v>19329</v>
      </c>
      <c r="AT162" s="212">
        <v>29562</v>
      </c>
      <c r="AU162" s="154">
        <f t="shared" si="45"/>
        <v>97866</v>
      </c>
      <c r="AV162" s="212">
        <v>41116</v>
      </c>
      <c r="AW162" s="212">
        <v>36832</v>
      </c>
      <c r="AX162" s="212">
        <v>45312</v>
      </c>
      <c r="AY162" s="212">
        <v>44983</v>
      </c>
      <c r="AZ162" s="154">
        <f t="shared" si="46"/>
        <v>168243</v>
      </c>
      <c r="BA162" s="214">
        <v>61385</v>
      </c>
      <c r="BB162" s="462"/>
      <c r="BC162" s="462"/>
      <c r="BD162" s="462"/>
      <c r="BE162" s="462"/>
      <c r="BF162" s="462"/>
      <c r="BG162" s="462"/>
      <c r="BH162" s="462"/>
      <c r="BI162" s="462"/>
      <c r="BJ162" s="462"/>
      <c r="BK162" s="462"/>
      <c r="BL162" s="462"/>
      <c r="BM162" s="462"/>
      <c r="BN162" s="462"/>
      <c r="BO162" s="462"/>
      <c r="BP162" s="462"/>
      <c r="BQ162" s="462"/>
      <c r="BR162" s="462"/>
      <c r="BS162" s="462"/>
      <c r="BT162" s="462"/>
    </row>
    <row r="163" spans="1:72">
      <c r="A163" s="499"/>
      <c r="B163" s="11" t="s">
        <v>416</v>
      </c>
      <c r="C163" s="8"/>
      <c r="D163" s="8"/>
      <c r="E163" s="8"/>
      <c r="F163" s="8"/>
      <c r="G163" s="40"/>
      <c r="H163" s="8"/>
      <c r="I163" s="8"/>
      <c r="J163" s="8"/>
      <c r="K163" s="8"/>
      <c r="L163" s="40"/>
      <c r="M163" s="8"/>
      <c r="N163" s="8"/>
      <c r="O163" s="8"/>
      <c r="P163" s="8"/>
      <c r="Q163" s="40"/>
      <c r="R163" s="12"/>
      <c r="S163" s="12"/>
      <c r="T163" s="12"/>
      <c r="U163" s="12"/>
      <c r="V163" s="40"/>
      <c r="W163" s="12"/>
      <c r="X163" s="12"/>
      <c r="Y163" s="12"/>
      <c r="Z163" s="153">
        <v>0</v>
      </c>
      <c r="AA163" s="144">
        <v>0</v>
      </c>
      <c r="AB163" s="153">
        <v>0</v>
      </c>
      <c r="AC163" s="153">
        <v>0</v>
      </c>
      <c r="AD163" s="153">
        <v>0</v>
      </c>
      <c r="AE163" s="153">
        <v>0</v>
      </c>
      <c r="AF163" s="144">
        <v>0</v>
      </c>
      <c r="AG163" s="136">
        <v>0</v>
      </c>
      <c r="AH163" s="136">
        <v>0</v>
      </c>
      <c r="AI163" s="136">
        <v>0</v>
      </c>
      <c r="AJ163" s="136">
        <v>0</v>
      </c>
      <c r="AK163" s="144">
        <f t="shared" si="43"/>
        <v>0</v>
      </c>
      <c r="AL163" s="136">
        <v>0</v>
      </c>
      <c r="AM163" s="136">
        <v>0</v>
      </c>
      <c r="AN163" s="136">
        <v>0</v>
      </c>
      <c r="AO163" s="136">
        <v>0</v>
      </c>
      <c r="AP163" s="144">
        <f t="shared" si="44"/>
        <v>0</v>
      </c>
      <c r="AQ163" s="136">
        <v>0</v>
      </c>
      <c r="AR163" s="136">
        <v>0</v>
      </c>
      <c r="AS163" s="136">
        <v>0</v>
      </c>
      <c r="AT163" s="136">
        <v>0</v>
      </c>
      <c r="AU163" s="144">
        <f t="shared" si="45"/>
        <v>0</v>
      </c>
      <c r="AV163" s="136">
        <v>0</v>
      </c>
      <c r="AW163" s="136">
        <v>0</v>
      </c>
      <c r="AX163" s="136">
        <v>0</v>
      </c>
      <c r="AY163" s="136">
        <v>0</v>
      </c>
      <c r="AZ163" s="144">
        <f t="shared" si="46"/>
        <v>0</v>
      </c>
      <c r="BA163" s="214">
        <v>0</v>
      </c>
      <c r="BB163" s="462"/>
      <c r="BC163" s="462"/>
      <c r="BD163" s="462"/>
      <c r="BE163" s="462"/>
      <c r="BF163" s="462"/>
      <c r="BG163" s="462"/>
      <c r="BH163" s="462"/>
      <c r="BI163" s="462"/>
      <c r="BJ163" s="462"/>
      <c r="BK163" s="462"/>
      <c r="BL163" s="462"/>
      <c r="BM163" s="462"/>
      <c r="BN163" s="462"/>
      <c r="BO163" s="462"/>
      <c r="BP163" s="462"/>
      <c r="BQ163" s="462"/>
      <c r="BR163" s="462"/>
      <c r="BS163" s="462"/>
      <c r="BT163" s="462"/>
    </row>
    <row r="164" spans="1:72" s="2" customFormat="1">
      <c r="A164" s="356"/>
      <c r="B164" s="9" t="s">
        <v>418</v>
      </c>
      <c r="C164" s="10"/>
      <c r="D164" s="10"/>
      <c r="E164" s="10"/>
      <c r="F164" s="10"/>
      <c r="G164" s="39"/>
      <c r="H164" s="10"/>
      <c r="I164" s="10"/>
      <c r="J164" s="10"/>
      <c r="K164" s="10"/>
      <c r="L164" s="39"/>
      <c r="M164" s="10"/>
      <c r="N164" s="10"/>
      <c r="O164" s="10"/>
      <c r="P164" s="10"/>
      <c r="Q164" s="39"/>
      <c r="R164" s="10"/>
      <c r="S164" s="10"/>
      <c r="T164" s="10"/>
      <c r="U164" s="10"/>
      <c r="V164" s="39"/>
      <c r="W164" s="10"/>
      <c r="X164" s="10"/>
      <c r="Y164" s="10"/>
      <c r="Z164" s="117">
        <v>361</v>
      </c>
      <c r="AA164" s="118">
        <v>361</v>
      </c>
      <c r="AB164" s="117">
        <v>60.543839999999996</v>
      </c>
      <c r="AC164" s="117">
        <v>-955.95704999999998</v>
      </c>
      <c r="AD164" s="117">
        <v>6806.1868700000014</v>
      </c>
      <c r="AE164" s="117">
        <v>1802.581729999989</v>
      </c>
      <c r="AF164" s="118">
        <v>7713.3553899999906</v>
      </c>
      <c r="AG164" s="125">
        <f>SUM(AG159:AG163)</f>
        <v>25682</v>
      </c>
      <c r="AH164" s="125">
        <f>SUM(AH159:AH163)</f>
        <v>35587</v>
      </c>
      <c r="AI164" s="125">
        <f>SUM(AI159:AI163)</f>
        <v>57913</v>
      </c>
      <c r="AJ164" s="125">
        <f>SUM(AJ159:AJ163)</f>
        <v>53803</v>
      </c>
      <c r="AK164" s="118">
        <f t="shared" si="43"/>
        <v>172985</v>
      </c>
      <c r="AL164" s="125">
        <f>SUM(AL159:AL163)</f>
        <v>70024.241000000009</v>
      </c>
      <c r="AM164" s="337">
        <f>SUM(AM159:AM163)</f>
        <v>58539</v>
      </c>
      <c r="AN164" s="337">
        <f>SUM(AN159:AN163)</f>
        <v>74726</v>
      </c>
      <c r="AO164" s="337">
        <v>75230</v>
      </c>
      <c r="AP164" s="118">
        <f t="shared" si="44"/>
        <v>278519.24100000004</v>
      </c>
      <c r="AQ164" s="337">
        <f>SUM(AQ159:AQ163)</f>
        <v>79460</v>
      </c>
      <c r="AR164" s="337">
        <f t="shared" ref="AR164:AT164" si="48">SUM(AR159:AR163)</f>
        <v>81662</v>
      </c>
      <c r="AS164" s="337">
        <f t="shared" si="48"/>
        <v>86071</v>
      </c>
      <c r="AT164" s="337">
        <f t="shared" si="48"/>
        <v>92446</v>
      </c>
      <c r="AU164" s="118">
        <f t="shared" si="45"/>
        <v>339639</v>
      </c>
      <c r="AV164" s="337">
        <f>SUM(AV159:AV163)</f>
        <v>114250.60700000005</v>
      </c>
      <c r="AW164" s="337">
        <f>SUM(AW159:AW163)</f>
        <v>105098.86500000001</v>
      </c>
      <c r="AX164" s="337">
        <f>SUM(AX159:AX163)</f>
        <v>115310.81600000002</v>
      </c>
      <c r="AY164" s="337">
        <f>SUM(AY159:AY163)</f>
        <v>108212</v>
      </c>
      <c r="AZ164" s="118">
        <f t="shared" si="46"/>
        <v>442872.28800000006</v>
      </c>
      <c r="BA164" s="337">
        <f>SUM(BA159:BA163)</f>
        <v>137188</v>
      </c>
      <c r="BB164" s="462"/>
      <c r="BC164" s="462"/>
      <c r="BD164" s="462"/>
      <c r="BE164" s="462"/>
      <c r="BF164" s="462"/>
      <c r="BG164" s="462"/>
      <c r="BH164" s="462"/>
      <c r="BI164" s="462"/>
      <c r="BJ164" s="462"/>
      <c r="BK164" s="462"/>
      <c r="BL164" s="462"/>
      <c r="BM164" s="462"/>
      <c r="BN164" s="462"/>
      <c r="BO164" s="462"/>
      <c r="BP164" s="462"/>
      <c r="BQ164" s="462"/>
      <c r="BR164" s="462"/>
      <c r="BS164" s="462"/>
      <c r="BT164" s="462"/>
    </row>
    <row r="165" spans="1:72">
      <c r="A165" s="357"/>
      <c r="B165" s="11" t="s">
        <v>419</v>
      </c>
      <c r="C165" s="13"/>
      <c r="D165" s="13"/>
      <c r="E165" s="13"/>
      <c r="F165" s="13"/>
      <c r="G165" s="41"/>
      <c r="H165" s="13"/>
      <c r="I165" s="13"/>
      <c r="J165" s="13"/>
      <c r="K165" s="13"/>
      <c r="L165" s="41"/>
      <c r="M165" s="13"/>
      <c r="N165" s="13"/>
      <c r="O165" s="13"/>
      <c r="P165" s="13"/>
      <c r="Q165" s="41"/>
      <c r="R165" s="13"/>
      <c r="S165" s="13"/>
      <c r="T165" s="13"/>
      <c r="U165" s="13"/>
      <c r="V165" s="41"/>
      <c r="W165" s="13"/>
      <c r="X165" s="13"/>
      <c r="Y165" s="13"/>
      <c r="Z165" s="120">
        <v>0</v>
      </c>
      <c r="AA165" s="154">
        <v>0</v>
      </c>
      <c r="AB165" s="120">
        <v>0</v>
      </c>
      <c r="AC165" s="120">
        <v>0</v>
      </c>
      <c r="AD165" s="120">
        <v>0</v>
      </c>
      <c r="AE165" s="120">
        <v>0</v>
      </c>
      <c r="AF165" s="154">
        <v>0</v>
      </c>
      <c r="AG165" s="136">
        <v>0</v>
      </c>
      <c r="AH165" s="136">
        <v>0</v>
      </c>
      <c r="AI165" s="136">
        <v>0</v>
      </c>
      <c r="AJ165" s="136">
        <v>0</v>
      </c>
      <c r="AK165" s="154">
        <f t="shared" si="43"/>
        <v>0</v>
      </c>
      <c r="AL165" s="136">
        <v>0</v>
      </c>
      <c r="AM165" s="136">
        <v>0</v>
      </c>
      <c r="AN165" s="136">
        <v>0</v>
      </c>
      <c r="AO165" s="136">
        <v>0</v>
      </c>
      <c r="AP165" s="154">
        <f t="shared" si="44"/>
        <v>0</v>
      </c>
      <c r="AQ165" s="136">
        <v>0</v>
      </c>
      <c r="AR165" s="136">
        <v>0</v>
      </c>
      <c r="AS165" s="136">
        <v>0</v>
      </c>
      <c r="AT165" s="136">
        <v>0</v>
      </c>
      <c r="AU165" s="154">
        <f t="shared" si="45"/>
        <v>0</v>
      </c>
      <c r="AV165" s="136">
        <v>0</v>
      </c>
      <c r="AW165" s="136">
        <v>-7</v>
      </c>
      <c r="AX165" s="136">
        <v>0</v>
      </c>
      <c r="AY165" s="136">
        <v>0</v>
      </c>
      <c r="AZ165" s="154">
        <f t="shared" si="46"/>
        <v>-7</v>
      </c>
      <c r="BA165" s="214">
        <v>0</v>
      </c>
      <c r="BB165" s="462"/>
      <c r="BC165" s="462"/>
      <c r="BD165" s="462"/>
      <c r="BE165" s="462"/>
      <c r="BF165" s="462"/>
      <c r="BG165" s="462"/>
      <c r="BH165" s="462"/>
      <c r="BI165" s="462"/>
      <c r="BJ165" s="462"/>
      <c r="BK165" s="462"/>
      <c r="BL165" s="462"/>
      <c r="BM165" s="462"/>
      <c r="BN165" s="462"/>
      <c r="BO165" s="462"/>
      <c r="BP165" s="462"/>
      <c r="BQ165" s="462"/>
      <c r="BR165" s="462"/>
      <c r="BS165" s="462"/>
      <c r="BT165" s="462"/>
    </row>
    <row r="166" spans="1:72" s="2" customFormat="1">
      <c r="A166" s="356"/>
      <c r="B166" s="9" t="s">
        <v>420</v>
      </c>
      <c r="C166" s="10"/>
      <c r="D166" s="10"/>
      <c r="E166" s="10"/>
      <c r="F166" s="10"/>
      <c r="G166" s="39"/>
      <c r="H166" s="10"/>
      <c r="I166" s="10"/>
      <c r="J166" s="10"/>
      <c r="K166" s="10"/>
      <c r="L166" s="39"/>
      <c r="M166" s="10"/>
      <c r="N166" s="10"/>
      <c r="O166" s="10"/>
      <c r="P166" s="10"/>
      <c r="Q166" s="39"/>
      <c r="R166" s="10"/>
      <c r="S166" s="10"/>
      <c r="T166" s="10"/>
      <c r="U166" s="10"/>
      <c r="V166" s="39"/>
      <c r="W166" s="10"/>
      <c r="X166" s="10"/>
      <c r="Y166" s="10"/>
      <c r="Z166" s="117">
        <v>361</v>
      </c>
      <c r="AA166" s="118">
        <v>361</v>
      </c>
      <c r="AB166" s="117">
        <v>60.543839999999996</v>
      </c>
      <c r="AC166" s="117">
        <v>-955.95704999999998</v>
      </c>
      <c r="AD166" s="117">
        <v>6806.1868700000014</v>
      </c>
      <c r="AE166" s="117">
        <v>1802.581729999989</v>
      </c>
      <c r="AF166" s="118">
        <v>7713.3553899999906</v>
      </c>
      <c r="AG166" s="125">
        <f>AG164</f>
        <v>25682</v>
      </c>
      <c r="AH166" s="125">
        <f>AH164</f>
        <v>35587</v>
      </c>
      <c r="AI166" s="125">
        <f>AI164</f>
        <v>57913</v>
      </c>
      <c r="AJ166" s="125">
        <f>AJ164</f>
        <v>53803</v>
      </c>
      <c r="AK166" s="118">
        <f t="shared" si="43"/>
        <v>172985</v>
      </c>
      <c r="AL166" s="125">
        <f>AL164</f>
        <v>70024.241000000009</v>
      </c>
      <c r="AM166" s="337">
        <f>AM164</f>
        <v>58539</v>
      </c>
      <c r="AN166" s="337">
        <f>AN164</f>
        <v>74726</v>
      </c>
      <c r="AO166" s="337">
        <v>75230</v>
      </c>
      <c r="AP166" s="118">
        <f t="shared" si="44"/>
        <v>278519.24100000004</v>
      </c>
      <c r="AQ166" s="337">
        <f t="shared" ref="AQ166:AT166" si="49">AQ164+AQ165</f>
        <v>79460</v>
      </c>
      <c r="AR166" s="337">
        <f t="shared" si="49"/>
        <v>81662</v>
      </c>
      <c r="AS166" s="337">
        <f t="shared" si="49"/>
        <v>86071</v>
      </c>
      <c r="AT166" s="337">
        <f t="shared" si="49"/>
        <v>92446</v>
      </c>
      <c r="AU166" s="118">
        <f t="shared" si="45"/>
        <v>339639</v>
      </c>
      <c r="AV166" s="337">
        <f>AV164+AV165</f>
        <v>114250.60700000005</v>
      </c>
      <c r="AW166" s="337">
        <f>AW164+AW165</f>
        <v>105091.86500000001</v>
      </c>
      <c r="AX166" s="337">
        <f>AX164+AX165</f>
        <v>115310.81600000002</v>
      </c>
      <c r="AY166" s="337">
        <f>AY164+AY165</f>
        <v>108212</v>
      </c>
      <c r="AZ166" s="118">
        <f t="shared" si="46"/>
        <v>442865.28800000006</v>
      </c>
      <c r="BA166" s="337">
        <f>BA164+BA165</f>
        <v>137188</v>
      </c>
      <c r="BB166" s="462"/>
      <c r="BC166" s="462"/>
      <c r="BD166" s="462"/>
      <c r="BE166" s="462"/>
      <c r="BF166" s="462"/>
      <c r="BG166" s="462"/>
      <c r="BH166" s="462"/>
      <c r="BI166" s="462"/>
      <c r="BJ166" s="462"/>
      <c r="BK166" s="462"/>
      <c r="BL166" s="462"/>
      <c r="BM166" s="462"/>
      <c r="BN166" s="462"/>
      <c r="BO166" s="462"/>
      <c r="BP166" s="462"/>
      <c r="BQ166" s="462"/>
      <c r="BR166" s="462"/>
      <c r="BS166" s="462"/>
      <c r="BT166" s="462"/>
    </row>
    <row r="167" spans="1:72">
      <c r="A167" s="357"/>
      <c r="B167" s="11" t="s">
        <v>421</v>
      </c>
      <c r="C167" s="13"/>
      <c r="D167" s="13"/>
      <c r="E167" s="13"/>
      <c r="F167" s="13"/>
      <c r="G167" s="41"/>
      <c r="H167" s="13"/>
      <c r="I167" s="13"/>
      <c r="J167" s="13"/>
      <c r="K167" s="13"/>
      <c r="L167" s="41"/>
      <c r="M167" s="13"/>
      <c r="N167" s="13"/>
      <c r="O167" s="13"/>
      <c r="P167" s="13"/>
      <c r="Q167" s="41"/>
      <c r="R167" s="13"/>
      <c r="S167" s="13"/>
      <c r="T167" s="13"/>
      <c r="U167" s="13"/>
      <c r="V167" s="41"/>
      <c r="W167" s="13"/>
      <c r="X167" s="13"/>
      <c r="Y167" s="13"/>
      <c r="Z167" s="120">
        <v>-80</v>
      </c>
      <c r="AA167" s="154">
        <v>-80</v>
      </c>
      <c r="AB167" s="120">
        <v>-11.135959999999999</v>
      </c>
      <c r="AC167" s="120">
        <v>9.1359600000000007</v>
      </c>
      <c r="AD167" s="120">
        <v>-1192.8625</v>
      </c>
      <c r="AE167" s="120">
        <v>-656.31779000000006</v>
      </c>
      <c r="AF167" s="154">
        <v>-1851.18029</v>
      </c>
      <c r="AG167" s="136">
        <v>-6361</v>
      </c>
      <c r="AH167" s="214">
        <v>-10514</v>
      </c>
      <c r="AI167" s="214">
        <v>-12715</v>
      </c>
      <c r="AJ167" s="136">
        <v>-13488</v>
      </c>
      <c r="AK167" s="154">
        <f t="shared" si="43"/>
        <v>-43078</v>
      </c>
      <c r="AL167" s="136">
        <v>-17625</v>
      </c>
      <c r="AM167" s="136">
        <v>-14098</v>
      </c>
      <c r="AN167" s="136">
        <v>-18605</v>
      </c>
      <c r="AO167" s="136">
        <v>-17539</v>
      </c>
      <c r="AP167" s="154">
        <f t="shared" si="44"/>
        <v>-67867</v>
      </c>
      <c r="AQ167" s="136">
        <v>-19104</v>
      </c>
      <c r="AR167" s="214">
        <v>-20069</v>
      </c>
      <c r="AS167" s="214">
        <v>-21336</v>
      </c>
      <c r="AT167" s="136">
        <v>-21740</v>
      </c>
      <c r="AU167" s="154">
        <f t="shared" si="45"/>
        <v>-82249</v>
      </c>
      <c r="AV167" s="136">
        <v>-28154</v>
      </c>
      <c r="AW167" s="136">
        <v>-25664</v>
      </c>
      <c r="AX167" s="136">
        <v>-28479</v>
      </c>
      <c r="AY167" s="136">
        <v>-24050</v>
      </c>
      <c r="AZ167" s="154">
        <f t="shared" si="46"/>
        <v>-106347</v>
      </c>
      <c r="BA167" s="214">
        <v>-34636</v>
      </c>
      <c r="BB167" s="462"/>
      <c r="BC167" s="462"/>
      <c r="BD167" s="462"/>
      <c r="BE167" s="462"/>
      <c r="BF167" s="462"/>
      <c r="BG167" s="462"/>
      <c r="BH167" s="462"/>
      <c r="BI167" s="462"/>
      <c r="BJ167" s="462"/>
      <c r="BK167" s="462"/>
      <c r="BL167" s="462"/>
      <c r="BM167" s="462"/>
      <c r="BN167" s="462"/>
      <c r="BO167" s="462"/>
      <c r="BP167" s="462"/>
      <c r="BQ167" s="462"/>
      <c r="BR167" s="462"/>
      <c r="BS167" s="462"/>
      <c r="BT167" s="462"/>
    </row>
    <row r="168" spans="1:72">
      <c r="A168" s="357"/>
      <c r="B168" s="11" t="s">
        <v>422</v>
      </c>
      <c r="C168" s="13"/>
      <c r="D168" s="13"/>
      <c r="E168" s="13"/>
      <c r="F168" s="13"/>
      <c r="G168" s="41"/>
      <c r="H168" s="13"/>
      <c r="I168" s="13"/>
      <c r="J168" s="13"/>
      <c r="K168" s="13"/>
      <c r="L168" s="41"/>
      <c r="M168" s="13"/>
      <c r="N168" s="13"/>
      <c r="O168" s="13"/>
      <c r="P168" s="13"/>
      <c r="Q168" s="41"/>
      <c r="R168" s="13"/>
      <c r="S168" s="13"/>
      <c r="T168" s="13"/>
      <c r="U168" s="13"/>
      <c r="V168" s="41"/>
      <c r="W168" s="13"/>
      <c r="X168" s="13"/>
      <c r="Y168" s="13"/>
      <c r="Z168" s="120">
        <v>-55</v>
      </c>
      <c r="AA168" s="154">
        <v>-55</v>
      </c>
      <c r="AB168" s="120">
        <v>-9.0815800000000007</v>
      </c>
      <c r="AC168" s="120">
        <v>9.0815800000000007</v>
      </c>
      <c r="AD168" s="120">
        <v>-1022.52685</v>
      </c>
      <c r="AE168" s="120">
        <v>-659.78738999999996</v>
      </c>
      <c r="AF168" s="154">
        <v>-1682.3142399999999</v>
      </c>
      <c r="AG168" s="136">
        <v>-3834</v>
      </c>
      <c r="AH168" s="136">
        <v>-6376</v>
      </c>
      <c r="AI168" s="136">
        <v>-8051</v>
      </c>
      <c r="AJ168" s="136">
        <v>-8673</v>
      </c>
      <c r="AK168" s="154">
        <f t="shared" si="43"/>
        <v>-26934</v>
      </c>
      <c r="AL168" s="136">
        <v>-10605</v>
      </c>
      <c r="AM168" s="136">
        <v>-9034</v>
      </c>
      <c r="AN168" s="136">
        <v>-11199</v>
      </c>
      <c r="AO168" s="136">
        <v>-11758</v>
      </c>
      <c r="AP168" s="154">
        <f t="shared" si="44"/>
        <v>-42596</v>
      </c>
      <c r="AQ168" s="136">
        <v>-11497</v>
      </c>
      <c r="AR168" s="136">
        <v>-12035</v>
      </c>
      <c r="AS168" s="136">
        <v>-13543</v>
      </c>
      <c r="AT168" s="136">
        <v>-14239</v>
      </c>
      <c r="AU168" s="154">
        <f t="shared" si="45"/>
        <v>-51314</v>
      </c>
      <c r="AV168" s="136">
        <v>-17208.653999999999</v>
      </c>
      <c r="AW168" s="136">
        <v>-15970.673000000001</v>
      </c>
      <c r="AX168" s="136">
        <v>-17317.656999999999</v>
      </c>
      <c r="AY168" s="136">
        <v>-15917</v>
      </c>
      <c r="AZ168" s="154">
        <f t="shared" si="46"/>
        <v>-66413.983999999997</v>
      </c>
      <c r="BA168" s="214">
        <v>-21256</v>
      </c>
      <c r="BB168" s="462"/>
      <c r="BC168" s="462"/>
      <c r="BD168" s="462"/>
      <c r="BE168" s="462"/>
      <c r="BF168" s="462"/>
      <c r="BG168" s="462"/>
      <c r="BH168" s="462"/>
      <c r="BI168" s="462"/>
      <c r="BJ168" s="462"/>
      <c r="BK168" s="462"/>
      <c r="BL168" s="462"/>
      <c r="BM168" s="462"/>
      <c r="BN168" s="462"/>
      <c r="BO168" s="462"/>
      <c r="BP168" s="462"/>
      <c r="BQ168" s="462"/>
      <c r="BR168" s="462"/>
      <c r="BS168" s="462"/>
      <c r="BT168" s="462"/>
    </row>
    <row r="169" spans="1:72">
      <c r="A169" s="357"/>
      <c r="B169" s="11" t="s">
        <v>423</v>
      </c>
      <c r="C169" s="13"/>
      <c r="D169" s="13"/>
      <c r="E169" s="13"/>
      <c r="F169" s="13"/>
      <c r="G169" s="41"/>
      <c r="H169" s="13"/>
      <c r="I169" s="13"/>
      <c r="J169" s="13"/>
      <c r="K169" s="13"/>
      <c r="L169" s="41"/>
      <c r="M169" s="13"/>
      <c r="N169" s="13"/>
      <c r="O169" s="13"/>
      <c r="P169" s="13"/>
      <c r="Q169" s="41"/>
      <c r="R169" s="13"/>
      <c r="S169" s="13"/>
      <c r="T169" s="13"/>
      <c r="U169" s="13"/>
      <c r="V169" s="41"/>
      <c r="W169" s="13"/>
      <c r="X169" s="13"/>
      <c r="Y169" s="13"/>
      <c r="Z169" s="120">
        <v>0</v>
      </c>
      <c r="AA169" s="154">
        <v>0</v>
      </c>
      <c r="AB169" s="120">
        <v>0</v>
      </c>
      <c r="AC169" s="120">
        <v>0</v>
      </c>
      <c r="AD169" s="120">
        <v>-1076.7368100000001</v>
      </c>
      <c r="AE169" s="120">
        <v>1076.7368100000001</v>
      </c>
      <c r="AF169" s="154">
        <v>0</v>
      </c>
      <c r="AG169" s="136">
        <v>0</v>
      </c>
      <c r="AH169" s="136">
        <v>0</v>
      </c>
      <c r="AI169" s="136">
        <v>0</v>
      </c>
      <c r="AJ169" s="136">
        <v>0</v>
      </c>
      <c r="AK169" s="154">
        <f t="shared" si="43"/>
        <v>0</v>
      </c>
      <c r="AL169" s="136">
        <v>1</v>
      </c>
      <c r="AM169" s="136">
        <v>2</v>
      </c>
      <c r="AN169" s="136">
        <v>2</v>
      </c>
      <c r="AO169" s="136">
        <v>0</v>
      </c>
      <c r="AP169" s="154">
        <f t="shared" si="44"/>
        <v>5</v>
      </c>
      <c r="AQ169" s="136">
        <v>0</v>
      </c>
      <c r="AR169" s="136">
        <v>0</v>
      </c>
      <c r="AS169" s="136">
        <v>0</v>
      </c>
      <c r="AT169" s="136">
        <v>0</v>
      </c>
      <c r="AU169" s="154">
        <f t="shared" si="45"/>
        <v>0</v>
      </c>
      <c r="AV169" s="136">
        <v>0</v>
      </c>
      <c r="AW169" s="136">
        <v>0</v>
      </c>
      <c r="AX169" s="136">
        <v>0</v>
      </c>
      <c r="AY169" s="136">
        <v>0</v>
      </c>
      <c r="AZ169" s="154">
        <f t="shared" si="46"/>
        <v>0</v>
      </c>
      <c r="BA169" s="214">
        <v>0</v>
      </c>
      <c r="BB169" s="462"/>
      <c r="BC169" s="462"/>
      <c r="BD169" s="462"/>
      <c r="BE169" s="462"/>
      <c r="BF169" s="462"/>
      <c r="BG169" s="462"/>
      <c r="BH169" s="462"/>
      <c r="BI169" s="462"/>
      <c r="BJ169" s="462"/>
      <c r="BK169" s="462"/>
      <c r="BL169" s="462"/>
      <c r="BM169" s="462"/>
      <c r="BN169" s="462"/>
      <c r="BO169" s="462"/>
      <c r="BP169" s="462"/>
      <c r="BQ169" s="462"/>
      <c r="BR169" s="462"/>
      <c r="BS169" s="462"/>
      <c r="BT169" s="462"/>
    </row>
    <row r="170" spans="1:72">
      <c r="A170" s="357"/>
      <c r="B170" s="11" t="s">
        <v>424</v>
      </c>
      <c r="C170" s="13"/>
      <c r="D170" s="13"/>
      <c r="E170" s="13"/>
      <c r="F170" s="13"/>
      <c r="G170" s="41"/>
      <c r="H170" s="13"/>
      <c r="I170" s="13"/>
      <c r="J170" s="13"/>
      <c r="K170" s="13"/>
      <c r="L170" s="41"/>
      <c r="M170" s="13"/>
      <c r="N170" s="13"/>
      <c r="O170" s="13"/>
      <c r="P170" s="13"/>
      <c r="Q170" s="41"/>
      <c r="R170" s="13"/>
      <c r="S170" s="13"/>
      <c r="T170" s="13"/>
      <c r="U170" s="13"/>
      <c r="V170" s="41"/>
      <c r="W170" s="13"/>
      <c r="X170" s="13"/>
      <c r="Y170" s="13"/>
      <c r="Z170" s="120">
        <v>0</v>
      </c>
      <c r="AA170" s="154">
        <v>0</v>
      </c>
      <c r="AB170" s="120">
        <v>0</v>
      </c>
      <c r="AC170" s="120">
        <v>0</v>
      </c>
      <c r="AD170" s="120">
        <v>0</v>
      </c>
      <c r="AE170" s="120">
        <v>0</v>
      </c>
      <c r="AF170" s="154">
        <v>0</v>
      </c>
      <c r="AG170" s="136">
        <v>0</v>
      </c>
      <c r="AH170" s="136">
        <v>0</v>
      </c>
      <c r="AI170" s="136">
        <v>0</v>
      </c>
      <c r="AJ170" s="136">
        <v>0</v>
      </c>
      <c r="AK170" s="154">
        <f t="shared" si="43"/>
        <v>0</v>
      </c>
      <c r="AL170" s="136">
        <v>0</v>
      </c>
      <c r="AM170" s="136">
        <v>0</v>
      </c>
      <c r="AN170" s="136">
        <v>0</v>
      </c>
      <c r="AO170" s="136">
        <v>0</v>
      </c>
      <c r="AP170" s="154">
        <f t="shared" si="44"/>
        <v>0</v>
      </c>
      <c r="AQ170" s="136">
        <v>0</v>
      </c>
      <c r="AR170" s="136">
        <v>0</v>
      </c>
      <c r="AS170" s="136">
        <v>0</v>
      </c>
      <c r="AT170" s="136">
        <v>0</v>
      </c>
      <c r="AU170" s="154">
        <f t="shared" si="45"/>
        <v>0</v>
      </c>
      <c r="AV170" s="136">
        <v>0</v>
      </c>
      <c r="AW170" s="136">
        <v>0</v>
      </c>
      <c r="AX170" s="136">
        <v>0</v>
      </c>
      <c r="AY170" s="136">
        <v>0</v>
      </c>
      <c r="AZ170" s="154">
        <f t="shared" si="46"/>
        <v>0</v>
      </c>
      <c r="BA170" s="214">
        <v>0</v>
      </c>
      <c r="BB170" s="462"/>
      <c r="BC170" s="462"/>
      <c r="BD170" s="462"/>
      <c r="BE170" s="462"/>
      <c r="BF170" s="462"/>
      <c r="BG170" s="462"/>
      <c r="BH170" s="462"/>
      <c r="BI170" s="462"/>
      <c r="BJ170" s="462"/>
      <c r="BK170" s="462"/>
      <c r="BL170" s="462"/>
      <c r="BM170" s="462"/>
      <c r="BN170" s="462"/>
      <c r="BO170" s="462"/>
      <c r="BP170" s="462"/>
      <c r="BQ170" s="462"/>
      <c r="BR170" s="462"/>
      <c r="BS170" s="462"/>
      <c r="BT170" s="462"/>
    </row>
    <row r="171" spans="1:72" s="2" customFormat="1">
      <c r="A171" s="358"/>
      <c r="B171" s="15" t="s">
        <v>450</v>
      </c>
      <c r="C171" s="16"/>
      <c r="D171" s="16"/>
      <c r="E171" s="16"/>
      <c r="F171" s="16"/>
      <c r="G171" s="45"/>
      <c r="H171" s="16"/>
      <c r="I171" s="16"/>
      <c r="J171" s="16"/>
      <c r="K171" s="16"/>
      <c r="L171" s="45"/>
      <c r="M171" s="16"/>
      <c r="N171" s="16"/>
      <c r="O171" s="16"/>
      <c r="P171" s="16"/>
      <c r="Q171" s="45"/>
      <c r="R171" s="16"/>
      <c r="S171" s="16"/>
      <c r="T171" s="16"/>
      <c r="U171" s="16"/>
      <c r="V171" s="45"/>
      <c r="W171" s="16"/>
      <c r="X171" s="16"/>
      <c r="Y171" s="16"/>
      <c r="Z171" s="155">
        <v>226</v>
      </c>
      <c r="AA171" s="156">
        <v>226</v>
      </c>
      <c r="AB171" s="155">
        <v>40.326299999999996</v>
      </c>
      <c r="AC171" s="155">
        <v>-937.73951</v>
      </c>
      <c r="AD171" s="155">
        <v>3514.0607100000007</v>
      </c>
      <c r="AE171" s="155">
        <v>1563.2133599999891</v>
      </c>
      <c r="AF171" s="156">
        <v>4179.8608599999898</v>
      </c>
      <c r="AG171" s="213">
        <f t="shared" ref="AG171" si="50">SUM(AG166:AG170)</f>
        <v>15487</v>
      </c>
      <c r="AH171" s="213">
        <f>SUM(AH166:AH170)</f>
        <v>18697</v>
      </c>
      <c r="AI171" s="213">
        <f>SUM(AI166:AI170)</f>
        <v>37147</v>
      </c>
      <c r="AJ171" s="213">
        <f>SUM(AJ166:AJ170)</f>
        <v>31642</v>
      </c>
      <c r="AK171" s="156">
        <f t="shared" si="43"/>
        <v>102973</v>
      </c>
      <c r="AL171" s="213">
        <f>SUM(AL166:AL170)</f>
        <v>41795.241000000009</v>
      </c>
      <c r="AM171" s="213">
        <f>SUM(AM166:AM170)</f>
        <v>35409</v>
      </c>
      <c r="AN171" s="213">
        <f>SUM(AN166:AN170)</f>
        <v>44924</v>
      </c>
      <c r="AO171" s="213">
        <v>45933</v>
      </c>
      <c r="AP171" s="156">
        <f t="shared" si="44"/>
        <v>168061.24100000001</v>
      </c>
      <c r="AQ171" s="213">
        <f>SUM(AQ166:AQ170)</f>
        <v>48859</v>
      </c>
      <c r="AR171" s="213">
        <f t="shared" ref="AR171:AT171" si="51">SUM(AR166:AR170)</f>
        <v>49558</v>
      </c>
      <c r="AS171" s="213">
        <f t="shared" si="51"/>
        <v>51192</v>
      </c>
      <c r="AT171" s="213">
        <f t="shared" si="51"/>
        <v>56467</v>
      </c>
      <c r="AU171" s="156">
        <f t="shared" si="45"/>
        <v>206076</v>
      </c>
      <c r="AV171" s="213">
        <f>SUM(AV166:AV170)</f>
        <v>68887.953000000052</v>
      </c>
      <c r="AW171" s="213">
        <f>SUM(AW166:AW170)</f>
        <v>63457.192000000003</v>
      </c>
      <c r="AX171" s="213">
        <f>SUM(AX166:AX170)</f>
        <v>69514.159000000014</v>
      </c>
      <c r="AY171" s="213">
        <f>SUM(AY166:AY170)</f>
        <v>68245</v>
      </c>
      <c r="AZ171" s="156">
        <f t="shared" si="46"/>
        <v>270104.30400000006</v>
      </c>
      <c r="BA171" s="213">
        <f>SUM(BA166:BA170)</f>
        <v>81296</v>
      </c>
      <c r="BB171" s="462"/>
      <c r="BC171" s="462"/>
      <c r="BD171" s="462"/>
      <c r="BE171" s="462"/>
      <c r="BF171" s="462"/>
      <c r="BG171" s="462"/>
      <c r="BH171" s="462"/>
      <c r="BI171" s="462"/>
      <c r="BJ171" s="462"/>
      <c r="BK171" s="462"/>
      <c r="BL171" s="462"/>
      <c r="BM171" s="462"/>
      <c r="BN171" s="462"/>
      <c r="BO171" s="462"/>
      <c r="BP171" s="462"/>
      <c r="BQ171" s="462"/>
      <c r="BR171" s="462"/>
      <c r="BS171" s="462"/>
      <c r="BT171" s="462"/>
    </row>
    <row r="172" spans="1:72">
      <c r="A172" s="357"/>
      <c r="B172" s="11" t="s">
        <v>468</v>
      </c>
      <c r="C172" s="13"/>
      <c r="D172" s="13"/>
      <c r="E172" s="13"/>
      <c r="F172" s="13"/>
      <c r="G172" s="41"/>
      <c r="H172" s="13"/>
      <c r="I172" s="13"/>
      <c r="J172" s="13"/>
      <c r="K172" s="13"/>
      <c r="L172" s="41"/>
      <c r="M172" s="13"/>
      <c r="N172" s="13"/>
      <c r="O172" s="13"/>
      <c r="P172" s="13"/>
      <c r="Q172" s="41"/>
      <c r="R172" s="13"/>
      <c r="S172" s="13"/>
      <c r="T172" s="13"/>
      <c r="U172" s="13"/>
      <c r="V172" s="41"/>
      <c r="W172" s="13"/>
      <c r="X172" s="13"/>
      <c r="Y172" s="13"/>
      <c r="Z172" s="120">
        <v>226</v>
      </c>
      <c r="AA172" s="154">
        <v>226</v>
      </c>
      <c r="AB172" s="120">
        <v>40.326299999999996</v>
      </c>
      <c r="AC172" s="120">
        <v>-937.73951</v>
      </c>
      <c r="AD172" s="120">
        <v>3514.0607100000007</v>
      </c>
      <c r="AE172" s="120">
        <v>1563.2135099999709</v>
      </c>
      <c r="AF172" s="154">
        <v>4179.8610099999714</v>
      </c>
      <c r="AG172" s="136">
        <f>AG171</f>
        <v>15487</v>
      </c>
      <c r="AH172" s="136">
        <v>18697</v>
      </c>
      <c r="AI172" s="136">
        <v>37147</v>
      </c>
      <c r="AJ172" s="136">
        <f>AJ171</f>
        <v>31642</v>
      </c>
      <c r="AK172" s="154">
        <f t="shared" si="43"/>
        <v>102973</v>
      </c>
      <c r="AL172" s="136">
        <v>41801</v>
      </c>
      <c r="AM172" s="136">
        <f>AM171</f>
        <v>35409</v>
      </c>
      <c r="AN172" s="136">
        <v>44924</v>
      </c>
      <c r="AO172" s="136">
        <v>45933</v>
      </c>
      <c r="AP172" s="154">
        <f t="shared" si="44"/>
        <v>168067</v>
      </c>
      <c r="AQ172" s="136">
        <v>48859</v>
      </c>
      <c r="AR172" s="136">
        <v>49558</v>
      </c>
      <c r="AS172" s="136">
        <v>51192</v>
      </c>
      <c r="AT172" s="136">
        <v>56467</v>
      </c>
      <c r="AU172" s="154">
        <f t="shared" si="45"/>
        <v>206076</v>
      </c>
      <c r="AV172" s="136">
        <f>AV171</f>
        <v>68887.953000000052</v>
      </c>
      <c r="AW172" s="136">
        <f t="shared" ref="AW172:BA172" si="52">AW171</f>
        <v>63457.192000000003</v>
      </c>
      <c r="AX172" s="136">
        <f t="shared" si="52"/>
        <v>69514.159000000014</v>
      </c>
      <c r="AY172" s="136">
        <f t="shared" si="52"/>
        <v>68245</v>
      </c>
      <c r="AZ172" s="154">
        <f t="shared" si="46"/>
        <v>270104.30400000006</v>
      </c>
      <c r="BA172" s="136">
        <f t="shared" si="52"/>
        <v>81296</v>
      </c>
      <c r="BB172" s="462"/>
      <c r="BC172" s="462"/>
      <c r="BD172" s="462"/>
      <c r="BE172" s="462"/>
      <c r="BF172" s="462"/>
      <c r="BG172" s="462"/>
      <c r="BH172" s="462"/>
      <c r="BI172" s="462"/>
      <c r="BJ172" s="462"/>
      <c r="BK172" s="462"/>
      <c r="BL172" s="462"/>
      <c r="BM172" s="462"/>
      <c r="BN172" s="462"/>
      <c r="BO172" s="462"/>
      <c r="BP172" s="462"/>
      <c r="BQ172" s="462"/>
      <c r="BR172" s="462"/>
      <c r="BS172" s="462"/>
      <c r="BT172" s="462"/>
    </row>
    <row r="173" spans="1:72">
      <c r="A173" s="357"/>
      <c r="B173" s="11" t="s">
        <v>436</v>
      </c>
      <c r="C173" s="13"/>
      <c r="D173" s="13"/>
      <c r="E173" s="13"/>
      <c r="F173" s="13"/>
      <c r="G173" s="41"/>
      <c r="H173" s="13"/>
      <c r="I173" s="13"/>
      <c r="J173" s="13"/>
      <c r="K173" s="13"/>
      <c r="L173" s="41"/>
      <c r="M173" s="13"/>
      <c r="N173" s="13"/>
      <c r="O173" s="13"/>
      <c r="P173" s="13"/>
      <c r="Q173" s="41"/>
      <c r="R173" s="13"/>
      <c r="S173" s="13"/>
      <c r="T173" s="13"/>
      <c r="U173" s="13"/>
      <c r="V173" s="41"/>
      <c r="W173" s="13"/>
      <c r="X173" s="13"/>
      <c r="Y173" s="13"/>
      <c r="Z173" s="120">
        <v>0</v>
      </c>
      <c r="AA173" s="154">
        <v>0</v>
      </c>
      <c r="AB173" s="120">
        <v>0</v>
      </c>
      <c r="AC173" s="120">
        <v>0</v>
      </c>
      <c r="AD173" s="120">
        <v>0</v>
      </c>
      <c r="AE173" s="120">
        <v>0</v>
      </c>
      <c r="AF173" s="154">
        <v>0</v>
      </c>
      <c r="AG173" s="136">
        <v>0</v>
      </c>
      <c r="AH173" s="136">
        <v>0</v>
      </c>
      <c r="AI173" s="136">
        <v>0</v>
      </c>
      <c r="AJ173" s="136">
        <v>0</v>
      </c>
      <c r="AK173" s="154">
        <f t="shared" si="43"/>
        <v>0</v>
      </c>
      <c r="AL173" s="136">
        <v>0</v>
      </c>
      <c r="AM173" s="136">
        <v>0</v>
      </c>
      <c r="AN173" s="136">
        <v>0</v>
      </c>
      <c r="AO173" s="136">
        <v>0</v>
      </c>
      <c r="AP173" s="154">
        <f t="shared" si="44"/>
        <v>0</v>
      </c>
      <c r="AQ173" s="136">
        <v>0</v>
      </c>
      <c r="AR173" s="136">
        <v>0</v>
      </c>
      <c r="AS173" s="136">
        <v>0</v>
      </c>
      <c r="AT173" s="136">
        <v>0</v>
      </c>
      <c r="AU173" s="154">
        <f t="shared" si="45"/>
        <v>0</v>
      </c>
      <c r="AV173" s="136">
        <v>0</v>
      </c>
      <c r="AW173" s="136">
        <v>0</v>
      </c>
      <c r="AX173" s="136">
        <v>0</v>
      </c>
      <c r="AY173" s="136">
        <v>0</v>
      </c>
      <c r="AZ173" s="154">
        <f t="shared" si="46"/>
        <v>0</v>
      </c>
      <c r="BA173" s="214">
        <v>0</v>
      </c>
      <c r="BB173" s="462"/>
      <c r="BC173" s="462"/>
      <c r="BD173" s="462"/>
      <c r="BE173" s="462"/>
      <c r="BF173" s="462"/>
      <c r="BG173" s="462"/>
      <c r="BH173" s="462"/>
      <c r="BI173" s="462"/>
      <c r="BJ173" s="462"/>
      <c r="BK173" s="462"/>
      <c r="BL173" s="462"/>
      <c r="BM173" s="462"/>
      <c r="BN173" s="462"/>
      <c r="BO173" s="462"/>
      <c r="BP173" s="462"/>
      <c r="BQ173" s="462"/>
      <c r="BR173" s="462"/>
      <c r="BS173" s="462"/>
      <c r="BT173" s="462"/>
    </row>
    <row r="174" spans="1:72">
      <c r="A174" s="357"/>
      <c r="B174" s="11" t="s">
        <v>470</v>
      </c>
      <c r="C174" s="13"/>
      <c r="D174" s="13"/>
      <c r="E174" s="13"/>
      <c r="F174" s="13"/>
      <c r="G174" s="41"/>
      <c r="H174" s="13"/>
      <c r="I174" s="13"/>
      <c r="J174" s="13"/>
      <c r="K174" s="13"/>
      <c r="L174" s="41"/>
      <c r="M174" s="13"/>
      <c r="N174" s="13"/>
      <c r="O174" s="13"/>
      <c r="P174" s="13"/>
      <c r="Q174" s="41"/>
      <c r="R174" s="13"/>
      <c r="S174" s="13"/>
      <c r="T174" s="13"/>
      <c r="U174" s="13"/>
      <c r="V174" s="41"/>
      <c r="W174" s="13"/>
      <c r="X174" s="13"/>
      <c r="Y174" s="13"/>
      <c r="Z174" s="120">
        <v>226</v>
      </c>
      <c r="AA174" s="154">
        <v>226</v>
      </c>
      <c r="AB174" s="120">
        <v>40.326299999999996</v>
      </c>
      <c r="AC174" s="120">
        <v>-937.73951</v>
      </c>
      <c r="AD174" s="120">
        <v>3514.0607100000007</v>
      </c>
      <c r="AE174" s="120">
        <v>1563.2135099999709</v>
      </c>
      <c r="AF174" s="154">
        <v>4179.8610099999714</v>
      </c>
      <c r="AG174" s="136">
        <f>AG171</f>
        <v>15487</v>
      </c>
      <c r="AH174" s="136">
        <v>18697</v>
      </c>
      <c r="AI174" s="136">
        <v>37147</v>
      </c>
      <c r="AJ174" s="136">
        <f>AJ171</f>
        <v>31642</v>
      </c>
      <c r="AK174" s="154">
        <f t="shared" si="43"/>
        <v>102973</v>
      </c>
      <c r="AL174" s="136">
        <v>41801</v>
      </c>
      <c r="AM174" s="136">
        <f>SUM(AM172:AM173)</f>
        <v>35409</v>
      </c>
      <c r="AN174" s="136">
        <v>44924</v>
      </c>
      <c r="AO174" s="136">
        <v>45933</v>
      </c>
      <c r="AP174" s="154">
        <f t="shared" si="44"/>
        <v>168067</v>
      </c>
      <c r="AQ174" s="136">
        <v>48859</v>
      </c>
      <c r="AR174" s="136">
        <v>49558</v>
      </c>
      <c r="AS174" s="136">
        <v>51192</v>
      </c>
      <c r="AT174" s="136">
        <v>56467</v>
      </c>
      <c r="AU174" s="154">
        <f t="shared" si="45"/>
        <v>206076</v>
      </c>
      <c r="AV174" s="136">
        <f>AV173+AV172</f>
        <v>68887.953000000052</v>
      </c>
      <c r="AW174" s="136">
        <f t="shared" ref="AW174:BA174" si="53">AW173+AW172</f>
        <v>63457.192000000003</v>
      </c>
      <c r="AX174" s="136">
        <f t="shared" si="53"/>
        <v>69514.159000000014</v>
      </c>
      <c r="AY174" s="136">
        <f t="shared" si="53"/>
        <v>68245</v>
      </c>
      <c r="AZ174" s="154">
        <f t="shared" si="46"/>
        <v>270104.30400000006</v>
      </c>
      <c r="BA174" s="136">
        <f t="shared" si="53"/>
        <v>81296</v>
      </c>
      <c r="BB174" s="462"/>
      <c r="BC174" s="462"/>
      <c r="BD174" s="462"/>
      <c r="BE174" s="462"/>
      <c r="BF174" s="462"/>
      <c r="BG174" s="462"/>
      <c r="BH174" s="462"/>
      <c r="BI174" s="462"/>
      <c r="BJ174" s="462"/>
      <c r="BK174" s="462"/>
      <c r="BL174" s="462"/>
      <c r="BM174" s="462"/>
      <c r="BN174" s="462"/>
      <c r="BO174" s="462"/>
      <c r="BP174" s="462"/>
      <c r="BQ174" s="462"/>
      <c r="BR174" s="462"/>
      <c r="BS174" s="462"/>
      <c r="BT174" s="462"/>
    </row>
    <row r="175" spans="1:72">
      <c r="A175" s="357"/>
      <c r="B175" s="11" t="s">
        <v>471</v>
      </c>
      <c r="C175" s="13"/>
      <c r="D175" s="13"/>
      <c r="E175" s="13"/>
      <c r="F175" s="13"/>
      <c r="G175" s="41"/>
      <c r="H175" s="13"/>
      <c r="I175" s="13"/>
      <c r="J175" s="13"/>
      <c r="K175" s="13"/>
      <c r="L175" s="41"/>
      <c r="M175" s="13"/>
      <c r="N175" s="13"/>
      <c r="O175" s="13"/>
      <c r="P175" s="13"/>
      <c r="Q175" s="41"/>
      <c r="R175" s="13"/>
      <c r="S175" s="13"/>
      <c r="T175" s="13"/>
      <c r="U175" s="13"/>
      <c r="V175" s="41"/>
      <c r="W175" s="13"/>
      <c r="X175" s="13"/>
      <c r="Y175" s="13"/>
      <c r="Z175" s="120">
        <v>0</v>
      </c>
      <c r="AA175" s="154">
        <v>0</v>
      </c>
      <c r="AB175" s="120">
        <v>0</v>
      </c>
      <c r="AC175" s="120">
        <v>0</v>
      </c>
      <c r="AD175" s="120">
        <v>0</v>
      </c>
      <c r="AE175" s="120">
        <v>0</v>
      </c>
      <c r="AF175" s="154">
        <v>0</v>
      </c>
      <c r="AG175" s="136">
        <v>0</v>
      </c>
      <c r="AH175" s="136">
        <v>0</v>
      </c>
      <c r="AI175" s="136">
        <v>0</v>
      </c>
      <c r="AJ175" s="136">
        <v>0</v>
      </c>
      <c r="AK175" s="154">
        <f t="shared" si="43"/>
        <v>0</v>
      </c>
      <c r="AL175" s="136">
        <v>0</v>
      </c>
      <c r="AM175" s="136">
        <v>0</v>
      </c>
      <c r="AN175" s="136">
        <v>0</v>
      </c>
      <c r="AO175" s="136">
        <v>0</v>
      </c>
      <c r="AP175" s="154">
        <f t="shared" si="44"/>
        <v>0</v>
      </c>
      <c r="AQ175" s="136">
        <v>0</v>
      </c>
      <c r="AR175" s="136">
        <v>0</v>
      </c>
      <c r="AS175" s="136">
        <v>0</v>
      </c>
      <c r="AT175" s="136">
        <v>0</v>
      </c>
      <c r="AU175" s="154">
        <f t="shared" si="45"/>
        <v>0</v>
      </c>
      <c r="AV175" s="136">
        <v>0</v>
      </c>
      <c r="AW175" s="136">
        <v>0</v>
      </c>
      <c r="AX175" s="136">
        <v>0</v>
      </c>
      <c r="AY175" s="136">
        <v>0</v>
      </c>
      <c r="AZ175" s="154">
        <f t="shared" si="46"/>
        <v>0</v>
      </c>
      <c r="BA175" s="214">
        <v>0</v>
      </c>
      <c r="BB175" s="462"/>
      <c r="BC175" s="462"/>
      <c r="BD175" s="462"/>
      <c r="BE175" s="462"/>
      <c r="BF175" s="462"/>
      <c r="BG175" s="462"/>
      <c r="BH175" s="462"/>
      <c r="BI175" s="462"/>
      <c r="BJ175" s="462"/>
      <c r="BK175" s="462"/>
      <c r="BL175" s="462"/>
      <c r="BM175" s="462"/>
      <c r="BN175" s="462"/>
      <c r="BO175" s="462"/>
      <c r="BP175" s="462"/>
      <c r="BQ175" s="462"/>
      <c r="BR175" s="462"/>
      <c r="BS175" s="462"/>
      <c r="BT175" s="462"/>
    </row>
    <row r="176" spans="1:72" ht="15.75" thickBot="1">
      <c r="A176" s="359"/>
      <c r="B176" s="17" t="s">
        <v>451</v>
      </c>
      <c r="C176" s="18"/>
      <c r="D176" s="18"/>
      <c r="E176" s="18"/>
      <c r="F176" s="18"/>
      <c r="G176" s="48"/>
      <c r="H176" s="18"/>
      <c r="I176" s="18"/>
      <c r="J176" s="18"/>
      <c r="K176" s="18"/>
      <c r="L176" s="48"/>
      <c r="M176" s="18"/>
      <c r="N176" s="18"/>
      <c r="O176" s="18"/>
      <c r="P176" s="18"/>
      <c r="Q176" s="48"/>
      <c r="R176" s="18"/>
      <c r="S176" s="18"/>
      <c r="T176" s="18"/>
      <c r="U176" s="18"/>
      <c r="V176" s="48"/>
      <c r="W176" s="18"/>
      <c r="X176" s="18"/>
      <c r="Y176" s="18"/>
      <c r="Z176" s="18">
        <v>1</v>
      </c>
      <c r="AA176" s="48">
        <v>1</v>
      </c>
      <c r="AB176" s="18">
        <v>0.75</v>
      </c>
      <c r="AC176" s="18">
        <v>0.75</v>
      </c>
      <c r="AD176" s="18">
        <v>0.75</v>
      </c>
      <c r="AE176" s="18">
        <v>0.75</v>
      </c>
      <c r="AF176" s="48">
        <v>0.75</v>
      </c>
      <c r="AG176" s="18">
        <v>0.75</v>
      </c>
      <c r="AH176" s="18">
        <v>0.75</v>
      </c>
      <c r="AI176" s="18">
        <v>0.75</v>
      </c>
      <c r="AJ176" s="18">
        <v>0.75</v>
      </c>
      <c r="AK176" s="48">
        <v>0.75</v>
      </c>
      <c r="AL176" s="18">
        <v>0.75</v>
      </c>
      <c r="AM176" s="18">
        <v>0.75</v>
      </c>
      <c r="AN176" s="18">
        <v>0.75</v>
      </c>
      <c r="AO176" s="18">
        <v>0.75</v>
      </c>
      <c r="AP176" s="48">
        <v>0.75</v>
      </c>
      <c r="AQ176" s="18">
        <v>0.75</v>
      </c>
      <c r="AR176" s="18">
        <v>0.75</v>
      </c>
      <c r="AS176" s="18">
        <v>0.75</v>
      </c>
      <c r="AT176" s="18">
        <v>0.75</v>
      </c>
      <c r="AU176" s="48">
        <v>0.75</v>
      </c>
      <c r="AV176" s="18">
        <v>0.75</v>
      </c>
      <c r="AW176" s="18">
        <v>0.75</v>
      </c>
      <c r="AX176" s="18">
        <v>0.75</v>
      </c>
      <c r="AY176" s="18">
        <v>0.75</v>
      </c>
      <c r="AZ176" s="48">
        <v>0.74996250187490598</v>
      </c>
      <c r="BA176" s="18">
        <v>0.75</v>
      </c>
      <c r="BB176" s="462"/>
      <c r="BC176" s="462"/>
      <c r="BD176" s="462"/>
      <c r="BE176" s="462"/>
      <c r="BF176" s="462"/>
      <c r="BG176" s="462"/>
      <c r="BH176" s="462"/>
      <c r="BI176" s="462"/>
      <c r="BJ176" s="462"/>
      <c r="BK176" s="462"/>
      <c r="BL176" s="462"/>
      <c r="BM176" s="462"/>
      <c r="BN176" s="462"/>
      <c r="BO176" s="462"/>
      <c r="BP176" s="462"/>
      <c r="BQ176" s="462"/>
      <c r="BR176" s="462"/>
      <c r="BS176" s="462"/>
      <c r="BT176" s="462"/>
    </row>
    <row r="177" spans="1:72" s="106" customFormat="1">
      <c r="A177" s="523"/>
      <c r="AG177" s="485"/>
      <c r="AH177" s="485"/>
      <c r="AI177" s="485"/>
      <c r="AJ177" s="524"/>
      <c r="AK177" s="524"/>
      <c r="AL177" s="524"/>
      <c r="AM177" s="524"/>
      <c r="AN177" s="524"/>
      <c r="AO177" s="524"/>
      <c r="AP177" s="524"/>
      <c r="AQ177" s="524"/>
      <c r="AR177" s="485"/>
      <c r="AS177" s="485"/>
      <c r="AT177" s="524"/>
      <c r="AU177" s="524"/>
      <c r="AV177" s="524"/>
      <c r="AW177" s="524"/>
      <c r="AX177" s="524"/>
      <c r="AY177" s="524"/>
      <c r="AZ177" s="524"/>
      <c r="BA177" s="136"/>
      <c r="BB177" s="462"/>
      <c r="BC177" s="462"/>
      <c r="BD177" s="462"/>
      <c r="BE177" s="462"/>
      <c r="BF177" s="462"/>
      <c r="BG177" s="462"/>
      <c r="BH177" s="462"/>
      <c r="BI177" s="462"/>
      <c r="BJ177" s="462"/>
      <c r="BK177" s="462"/>
      <c r="BL177" s="462"/>
      <c r="BM177" s="462"/>
      <c r="BN177" s="462"/>
      <c r="BO177" s="462"/>
      <c r="BP177" s="462"/>
      <c r="BQ177" s="462"/>
      <c r="BR177" s="462"/>
      <c r="BS177" s="462"/>
      <c r="BT177" s="462"/>
    </row>
    <row r="178" spans="1:72" s="103" customFormat="1" ht="23.25">
      <c r="A178" s="355"/>
      <c r="B178" s="74" t="s">
        <v>126</v>
      </c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462"/>
      <c r="BC178" s="462"/>
      <c r="BD178" s="462"/>
      <c r="BE178" s="462"/>
      <c r="BF178" s="462"/>
      <c r="BG178" s="462"/>
      <c r="BH178" s="462"/>
      <c r="BI178" s="462"/>
      <c r="BJ178" s="462"/>
      <c r="BK178" s="462"/>
      <c r="BL178" s="462"/>
      <c r="BM178" s="462"/>
      <c r="BN178" s="462"/>
      <c r="BO178" s="462"/>
      <c r="BP178" s="462"/>
      <c r="BQ178" s="462"/>
      <c r="BR178" s="462"/>
      <c r="BS178" s="462"/>
      <c r="BT178" s="462"/>
    </row>
    <row r="179" spans="1:72" ht="15.75" thickBot="1"/>
    <row r="180" spans="1:72" s="2" customFormat="1">
      <c r="A180" s="670"/>
      <c r="B180" s="695" t="s">
        <v>532</v>
      </c>
      <c r="C180" s="626" t="s">
        <v>224</v>
      </c>
      <c r="D180" s="626" t="s">
        <v>225</v>
      </c>
      <c r="E180" s="626" t="s">
        <v>226</v>
      </c>
      <c r="F180" s="626" t="s">
        <v>227</v>
      </c>
      <c r="G180" s="652">
        <v>2016</v>
      </c>
      <c r="H180" s="626" t="s">
        <v>228</v>
      </c>
      <c r="I180" s="626" t="s">
        <v>229</v>
      </c>
      <c r="J180" s="626" t="s">
        <v>230</v>
      </c>
      <c r="K180" s="626" t="s">
        <v>231</v>
      </c>
      <c r="L180" s="652">
        <v>2017</v>
      </c>
      <c r="M180" s="626" t="s">
        <v>232</v>
      </c>
      <c r="N180" s="626" t="s">
        <v>233</v>
      </c>
      <c r="O180" s="626" t="s">
        <v>234</v>
      </c>
      <c r="P180" s="626" t="s">
        <v>235</v>
      </c>
      <c r="Q180" s="652">
        <v>2018</v>
      </c>
      <c r="R180" s="626" t="s">
        <v>236</v>
      </c>
      <c r="S180" s="626" t="s">
        <v>237</v>
      </c>
      <c r="T180" s="626" t="s">
        <v>238</v>
      </c>
      <c r="U180" s="626" t="s">
        <v>239</v>
      </c>
      <c r="V180" s="652">
        <v>2019</v>
      </c>
      <c r="W180" s="626" t="s">
        <v>240</v>
      </c>
      <c r="X180" s="626" t="s">
        <v>241</v>
      </c>
      <c r="Y180" s="626" t="s">
        <v>242</v>
      </c>
      <c r="Z180" s="626" t="s">
        <v>243</v>
      </c>
      <c r="AA180" s="652">
        <v>2020</v>
      </c>
      <c r="AB180" s="626" t="s">
        <v>244</v>
      </c>
      <c r="AC180" s="626" t="s">
        <v>245</v>
      </c>
      <c r="AD180" s="626" t="s">
        <v>246</v>
      </c>
      <c r="AE180" s="626" t="s">
        <v>247</v>
      </c>
      <c r="AF180" s="652">
        <v>2021</v>
      </c>
      <c r="AG180" s="626" t="s">
        <v>248</v>
      </c>
      <c r="AH180" s="626" t="s">
        <v>398</v>
      </c>
      <c r="AI180" s="626" t="s">
        <v>250</v>
      </c>
      <c r="AJ180" s="626" t="s">
        <v>533</v>
      </c>
      <c r="AK180" s="652">
        <v>2022</v>
      </c>
      <c r="AL180" s="626" t="s">
        <v>252</v>
      </c>
      <c r="AM180" s="626" t="s">
        <v>253</v>
      </c>
      <c r="AN180" s="626" t="s">
        <v>254</v>
      </c>
      <c r="AO180" s="626" t="s">
        <v>219</v>
      </c>
      <c r="AP180" s="652">
        <v>2023</v>
      </c>
      <c r="AQ180" s="626" t="s">
        <v>223</v>
      </c>
      <c r="AR180" s="626" t="s">
        <v>256</v>
      </c>
      <c r="AS180" s="626" t="s">
        <v>357</v>
      </c>
      <c r="AT180" s="626" t="s">
        <v>358</v>
      </c>
      <c r="AU180" s="652">
        <v>2024</v>
      </c>
      <c r="AV180" s="626" t="s">
        <v>359</v>
      </c>
      <c r="AW180" s="626" t="s">
        <v>1115</v>
      </c>
      <c r="AX180" s="626" t="s">
        <v>1116</v>
      </c>
      <c r="AY180" s="626" t="s">
        <v>1117</v>
      </c>
      <c r="AZ180" s="653" t="s">
        <v>1118</v>
      </c>
      <c r="BA180" s="645" t="s">
        <v>1124</v>
      </c>
      <c r="BB180" s="211"/>
      <c r="BC180" s="211"/>
      <c r="BD180" s="211"/>
      <c r="BE180" s="211"/>
      <c r="BF180" s="211"/>
      <c r="BG180" s="211"/>
      <c r="BH180" s="211"/>
      <c r="BI180" s="211"/>
      <c r="BJ180" s="211"/>
      <c r="BK180" s="211"/>
      <c r="BL180" s="211"/>
      <c r="BM180" s="211"/>
      <c r="BN180" s="211"/>
      <c r="BO180" s="211"/>
      <c r="BP180" s="211"/>
      <c r="BQ180" s="211"/>
      <c r="BR180" s="211"/>
      <c r="BS180" s="211"/>
      <c r="BT180" s="211"/>
    </row>
    <row r="181" spans="1:72" s="2" customFormat="1">
      <c r="A181" s="356"/>
      <c r="B181" s="9" t="s">
        <v>505</v>
      </c>
      <c r="C181" s="10"/>
      <c r="D181" s="10"/>
      <c r="E181" s="10"/>
      <c r="F181" s="10"/>
      <c r="G181" s="39"/>
      <c r="H181" s="10"/>
      <c r="I181" s="10"/>
      <c r="J181" s="10"/>
      <c r="K181" s="10"/>
      <c r="L181" s="39"/>
      <c r="M181" s="10"/>
      <c r="N181" s="10"/>
      <c r="O181" s="10"/>
      <c r="P181" s="10"/>
      <c r="Q181" s="39"/>
      <c r="R181" s="10"/>
      <c r="S181" s="10"/>
      <c r="T181" s="10"/>
      <c r="U181" s="10"/>
      <c r="V181" s="39"/>
      <c r="W181" s="10"/>
      <c r="X181" s="10"/>
      <c r="Y181" s="10"/>
      <c r="Z181" s="117"/>
      <c r="AA181" s="118"/>
      <c r="AB181" s="117">
        <v>0</v>
      </c>
      <c r="AC181" s="117">
        <v>927.36844999999994</v>
      </c>
      <c r="AD181" s="117">
        <v>1747.36761</v>
      </c>
      <c r="AE181" s="117">
        <v>2511</v>
      </c>
      <c r="AF181" s="118">
        <v>5185.7360600000002</v>
      </c>
      <c r="AG181" s="125">
        <v>16147</v>
      </c>
      <c r="AH181" s="125">
        <v>36469</v>
      </c>
      <c r="AI181" s="125">
        <v>67640</v>
      </c>
      <c r="AJ181" s="125">
        <v>98789</v>
      </c>
      <c r="AK181" s="118">
        <f>SUM(AG181:AJ181)</f>
        <v>219045</v>
      </c>
      <c r="AL181" s="125">
        <v>116158</v>
      </c>
      <c r="AM181" s="125">
        <v>130238</v>
      </c>
      <c r="AN181" s="125">
        <v>152283</v>
      </c>
      <c r="AO181" s="125">
        <v>175146</v>
      </c>
      <c r="AP181" s="118">
        <f>SUM(AL181:AO181)</f>
        <v>573825</v>
      </c>
      <c r="AQ181" s="125">
        <v>193385</v>
      </c>
      <c r="AR181" s="125">
        <v>212663</v>
      </c>
      <c r="AS181" s="125">
        <v>224696</v>
      </c>
      <c r="AT181" s="125">
        <v>239280</v>
      </c>
      <c r="AU181" s="118">
        <f>SUM(AQ181:AT181)</f>
        <v>870024</v>
      </c>
      <c r="AV181" s="125">
        <v>259624</v>
      </c>
      <c r="AW181" s="125">
        <v>275566</v>
      </c>
      <c r="AX181" s="125">
        <v>279989</v>
      </c>
      <c r="AY181" s="125">
        <v>279171</v>
      </c>
      <c r="AZ181" s="118">
        <f>SUM(AV181:AY181)</f>
        <v>1094350</v>
      </c>
      <c r="BA181" s="337">
        <v>267166</v>
      </c>
      <c r="BB181" s="211"/>
      <c r="BC181" s="211"/>
      <c r="BD181" s="211"/>
      <c r="BE181" s="211"/>
      <c r="BF181" s="211"/>
      <c r="BG181" s="211"/>
      <c r="BH181" s="211"/>
      <c r="BI181" s="211"/>
      <c r="BJ181" s="211"/>
      <c r="BK181" s="211"/>
      <c r="BL181" s="211"/>
      <c r="BM181" s="211"/>
      <c r="BN181" s="211"/>
      <c r="BO181" s="211"/>
      <c r="BP181" s="211"/>
      <c r="BQ181" s="211"/>
      <c r="BR181" s="211"/>
      <c r="BS181" s="211"/>
      <c r="BT181" s="211"/>
    </row>
    <row r="182" spans="1:72">
      <c r="A182" s="357"/>
      <c r="B182" s="11" t="s">
        <v>506</v>
      </c>
      <c r="C182" s="12"/>
      <c r="D182" s="12"/>
      <c r="E182" s="12"/>
      <c r="F182" s="12"/>
      <c r="G182" s="40"/>
      <c r="H182" s="12"/>
      <c r="I182" s="12"/>
      <c r="J182" s="12"/>
      <c r="K182" s="12"/>
      <c r="L182" s="40"/>
      <c r="M182" s="12"/>
      <c r="N182" s="12"/>
      <c r="O182" s="12"/>
      <c r="P182" s="12"/>
      <c r="Q182" s="40"/>
      <c r="R182" s="12"/>
      <c r="S182" s="12"/>
      <c r="T182" s="12"/>
      <c r="U182" s="12"/>
      <c r="V182" s="40"/>
      <c r="W182" s="12"/>
      <c r="X182" s="12"/>
      <c r="Y182" s="12"/>
      <c r="Z182" s="153"/>
      <c r="AA182" s="144"/>
      <c r="AB182" s="153">
        <v>0</v>
      </c>
      <c r="AC182" s="153">
        <v>0</v>
      </c>
      <c r="AD182" s="121"/>
      <c r="AE182" s="153">
        <v>0</v>
      </c>
      <c r="AF182" s="144">
        <v>0</v>
      </c>
      <c r="AG182" s="136">
        <v>-30808.460899999998</v>
      </c>
      <c r="AH182" s="136">
        <v>22165.460899999998</v>
      </c>
      <c r="AI182" s="136">
        <v>-65147.322190000006</v>
      </c>
      <c r="AJ182" s="136">
        <v>-31925.541219999992</v>
      </c>
      <c r="AK182" s="144">
        <f t="shared" ref="AK182:AK200" si="54">SUM(AG182:AJ182)</f>
        <v>-105715.86340999999</v>
      </c>
      <c r="AL182" s="136">
        <v>-54311</v>
      </c>
      <c r="AM182" s="136">
        <v>-58384.149440000001</v>
      </c>
      <c r="AN182" s="136">
        <v>-66163.265780000002</v>
      </c>
      <c r="AO182" s="136">
        <v>-70087.283439999999</v>
      </c>
      <c r="AP182" s="144">
        <f t="shared" ref="AP182:AP200" si="55">SUM(AL182:AO182)</f>
        <v>-248945.69866000002</v>
      </c>
      <c r="AQ182" s="214">
        <v>-77238.189679999996</v>
      </c>
      <c r="AR182" s="214">
        <v>-76550.130169999989</v>
      </c>
      <c r="AS182" s="214">
        <v>-77268.557190000007</v>
      </c>
      <c r="AT182" s="212">
        <v>-118831.21643</v>
      </c>
      <c r="AU182" s="144">
        <f t="shared" ref="AU182:AU200" si="56">SUM(AQ182:AT182)</f>
        <v>-349888.09346999996</v>
      </c>
      <c r="AV182" s="212">
        <v>-102248.77965</v>
      </c>
      <c r="AW182" s="212">
        <v>-88241.47752</v>
      </c>
      <c r="AX182" s="212">
        <v>-92451.270629999985</v>
      </c>
      <c r="AY182" s="212">
        <v>-107365.73019999999</v>
      </c>
      <c r="AZ182" s="144">
        <f t="shared" ref="AZ182:AZ200" si="57">SUM(AV182:AY182)</f>
        <v>-390307.25799999997</v>
      </c>
      <c r="BA182" s="214">
        <v>-108771.76011999993</v>
      </c>
      <c r="BB182" s="211"/>
      <c r="BC182" s="211"/>
      <c r="BD182" s="211"/>
      <c r="BE182" s="211"/>
      <c r="BF182" s="211"/>
      <c r="BG182" s="211"/>
      <c r="BH182" s="211"/>
      <c r="BI182" s="211"/>
      <c r="BJ182" s="211"/>
      <c r="BK182" s="211"/>
      <c r="BL182" s="211"/>
      <c r="BM182" s="211"/>
      <c r="BN182" s="211"/>
      <c r="BO182" s="211"/>
      <c r="BP182" s="211"/>
      <c r="BQ182" s="211"/>
      <c r="BR182" s="211"/>
      <c r="BS182" s="211"/>
      <c r="BT182" s="211"/>
    </row>
    <row r="183" spans="1:72" s="2" customFormat="1">
      <c r="A183" s="356"/>
      <c r="B183" s="9" t="s">
        <v>412</v>
      </c>
      <c r="C183" s="10"/>
      <c r="D183" s="10"/>
      <c r="E183" s="10"/>
      <c r="F183" s="10"/>
      <c r="G183" s="39"/>
      <c r="H183" s="10"/>
      <c r="I183" s="10"/>
      <c r="J183" s="10"/>
      <c r="K183" s="10"/>
      <c r="L183" s="39"/>
      <c r="M183" s="10"/>
      <c r="N183" s="10"/>
      <c r="O183" s="10"/>
      <c r="P183" s="10"/>
      <c r="Q183" s="39"/>
      <c r="R183" s="10"/>
      <c r="S183" s="10"/>
      <c r="T183" s="10"/>
      <c r="U183" s="10"/>
      <c r="V183" s="39"/>
      <c r="W183" s="10"/>
      <c r="X183" s="10"/>
      <c r="Y183" s="10"/>
      <c r="Z183" s="117">
        <v>0</v>
      </c>
      <c r="AA183" s="118"/>
      <c r="AB183" s="117">
        <v>0</v>
      </c>
      <c r="AC183" s="117">
        <v>927.36844999999994</v>
      </c>
      <c r="AD183" s="117">
        <v>1747.36761</v>
      </c>
      <c r="AE183" s="117">
        <v>2511</v>
      </c>
      <c r="AF183" s="118">
        <v>5185.7360600000002</v>
      </c>
      <c r="AG183" s="125">
        <f>SUM(AG181:AG182)</f>
        <v>-14661.460899999998</v>
      </c>
      <c r="AH183" s="125">
        <f>SUM(AH181:AH182)</f>
        <v>58634.460899999998</v>
      </c>
      <c r="AI183" s="125">
        <f>SUM(AI181:AI182)</f>
        <v>2492.6778099999938</v>
      </c>
      <c r="AJ183" s="125">
        <f>SUM(AJ181:AJ182)</f>
        <v>66863.458780000015</v>
      </c>
      <c r="AK183" s="118">
        <f t="shared" si="54"/>
        <v>113329.13659000001</v>
      </c>
      <c r="AL183" s="125">
        <f>SUM(AL181:AL182)</f>
        <v>61847</v>
      </c>
      <c r="AM183" s="125">
        <f>SUM(AM181:AM182)</f>
        <v>71853.850559999992</v>
      </c>
      <c r="AN183" s="125">
        <f>SUM(AN181:AN182)</f>
        <v>86119.734219999998</v>
      </c>
      <c r="AO183" s="125">
        <f>SUM(AO181:AO182)</f>
        <v>105058.71656</v>
      </c>
      <c r="AP183" s="118">
        <f t="shared" si="55"/>
        <v>324879.30134000001</v>
      </c>
      <c r="AQ183" s="337">
        <f>SUM(AQ181:AQ182)</f>
        <v>116146.81032</v>
      </c>
      <c r="AR183" s="337">
        <f t="shared" ref="AR183:AT183" si="58">SUM(AR181:AR182)</f>
        <v>136112.86983000001</v>
      </c>
      <c r="AS183" s="337">
        <f t="shared" si="58"/>
        <v>147427.44280999998</v>
      </c>
      <c r="AT183" s="337">
        <f t="shared" si="58"/>
        <v>120448.78357</v>
      </c>
      <c r="AU183" s="118">
        <f t="shared" si="56"/>
        <v>520135.90653000004</v>
      </c>
      <c r="AV183" s="337">
        <f>SUM(AV181:AV182)</f>
        <v>157375.22035000002</v>
      </c>
      <c r="AW183" s="337">
        <f>SUM(AW181:AW182)</f>
        <v>187324.52247999999</v>
      </c>
      <c r="AX183" s="337">
        <f>SUM(AX181:AX182)</f>
        <v>187537.72937000002</v>
      </c>
      <c r="AY183" s="337">
        <f>SUM(AY181:AY182)</f>
        <v>171805.26980000001</v>
      </c>
      <c r="AZ183" s="118">
        <f t="shared" si="57"/>
        <v>704042.74199999997</v>
      </c>
      <c r="BA183" s="337">
        <f>SUM(BA181:BA182)</f>
        <v>158394.23988000007</v>
      </c>
      <c r="BB183" s="211"/>
      <c r="BC183" s="211"/>
      <c r="BD183" s="211"/>
      <c r="BE183" s="211"/>
      <c r="BF183" s="211"/>
      <c r="BG183" s="211"/>
      <c r="BH183" s="211"/>
      <c r="BI183" s="211"/>
      <c r="BJ183" s="211"/>
      <c r="BK183" s="211"/>
      <c r="BL183" s="211"/>
      <c r="BM183" s="211"/>
      <c r="BN183" s="211"/>
      <c r="BO183" s="211"/>
      <c r="BP183" s="211"/>
      <c r="BQ183" s="211"/>
      <c r="BR183" s="211"/>
      <c r="BS183" s="211"/>
      <c r="BT183" s="211"/>
    </row>
    <row r="184" spans="1:72">
      <c r="A184" s="499"/>
      <c r="B184" s="11" t="s">
        <v>413</v>
      </c>
      <c r="C184" s="8"/>
      <c r="D184" s="8"/>
      <c r="E184" s="8"/>
      <c r="F184" s="8"/>
      <c r="G184" s="40"/>
      <c r="H184" s="8"/>
      <c r="I184" s="8"/>
      <c r="J184" s="8"/>
      <c r="K184" s="8"/>
      <c r="L184" s="40"/>
      <c r="M184" s="8"/>
      <c r="N184" s="8"/>
      <c r="O184" s="8"/>
      <c r="P184" s="8"/>
      <c r="Q184" s="40"/>
      <c r="R184" s="12"/>
      <c r="S184" s="12"/>
      <c r="T184" s="12"/>
      <c r="U184" s="12"/>
      <c r="V184" s="40"/>
      <c r="W184" s="12"/>
      <c r="X184" s="12"/>
      <c r="Y184" s="12"/>
      <c r="Z184" s="153">
        <v>0</v>
      </c>
      <c r="AA184" s="144"/>
      <c r="AB184" s="153">
        <v>-0.24540000000000001</v>
      </c>
      <c r="AC184" s="153">
        <v>-3129.0813800000001</v>
      </c>
      <c r="AD184" s="153">
        <v>-4505.0701500000005</v>
      </c>
      <c r="AE184" s="153">
        <v>-17705</v>
      </c>
      <c r="AF184" s="144">
        <v>-25339.396930000003</v>
      </c>
      <c r="AG184" s="136">
        <v>-13451.539100000002</v>
      </c>
      <c r="AH184" s="136">
        <v>-33265.460899999998</v>
      </c>
      <c r="AI184" s="136">
        <v>16124.322190000006</v>
      </c>
      <c r="AJ184" s="136">
        <v>-15085.458780000008</v>
      </c>
      <c r="AK184" s="144">
        <f t="shared" si="54"/>
        <v>-45678.136590000002</v>
      </c>
      <c r="AL184" s="136">
        <v>-18876</v>
      </c>
      <c r="AM184" s="136">
        <v>-18456.850559999999</v>
      </c>
      <c r="AN184" s="136">
        <v>-17878.734219999998</v>
      </c>
      <c r="AO184" s="136">
        <v>-16186.716560000001</v>
      </c>
      <c r="AP184" s="144">
        <f t="shared" si="55"/>
        <v>-71398.301340000005</v>
      </c>
      <c r="AQ184" s="212">
        <v>-19427.810320000004</v>
      </c>
      <c r="AR184" s="136">
        <v>-26140.869830000011</v>
      </c>
      <c r="AS184" s="136">
        <v>-22952.442809999993</v>
      </c>
      <c r="AT184" s="136">
        <v>-19404.78357</v>
      </c>
      <c r="AU184" s="144">
        <f t="shared" si="56"/>
        <v>-87925.906530000007</v>
      </c>
      <c r="AV184" s="136">
        <v>-25894.220350000003</v>
      </c>
      <c r="AW184" s="136">
        <v>-28575.52248</v>
      </c>
      <c r="AX184" s="136">
        <v>-31937.729370000015</v>
      </c>
      <c r="AY184" s="136">
        <v>-48289.269800000009</v>
      </c>
      <c r="AZ184" s="144">
        <f t="shared" si="57"/>
        <v>-134696.74200000003</v>
      </c>
      <c r="BA184" s="214">
        <v>-32439.239880000066</v>
      </c>
      <c r="BB184" s="211"/>
      <c r="BC184" s="211"/>
      <c r="BD184" s="211"/>
      <c r="BE184" s="211"/>
      <c r="BF184" s="211"/>
      <c r="BG184" s="211"/>
      <c r="BH184" s="211"/>
      <c r="BI184" s="211"/>
      <c r="BJ184" s="211"/>
      <c r="BK184" s="211"/>
      <c r="BL184" s="211"/>
      <c r="BM184" s="211"/>
      <c r="BN184" s="211"/>
      <c r="BO184" s="211"/>
      <c r="BP184" s="211"/>
      <c r="BQ184" s="211"/>
      <c r="BR184" s="211"/>
      <c r="BS184" s="211"/>
      <c r="BT184" s="211"/>
    </row>
    <row r="185" spans="1:72">
      <c r="A185" s="357"/>
      <c r="B185" s="11" t="s">
        <v>414</v>
      </c>
      <c r="C185" s="13"/>
      <c r="D185" s="13"/>
      <c r="E185" s="13"/>
      <c r="F185" s="13"/>
      <c r="G185" s="41"/>
      <c r="H185" s="13"/>
      <c r="I185" s="13"/>
      <c r="J185" s="13"/>
      <c r="K185" s="13"/>
      <c r="L185" s="41"/>
      <c r="M185" s="13"/>
      <c r="N185" s="13"/>
      <c r="O185" s="13"/>
      <c r="P185" s="13"/>
      <c r="Q185" s="41"/>
      <c r="R185" s="13"/>
      <c r="S185" s="13"/>
      <c r="T185" s="13"/>
      <c r="U185" s="13"/>
      <c r="V185" s="41"/>
      <c r="W185" s="13"/>
      <c r="X185" s="13"/>
      <c r="Y185" s="13"/>
      <c r="Z185" s="120">
        <v>0</v>
      </c>
      <c r="AA185" s="154"/>
      <c r="AB185" s="153">
        <v>0</v>
      </c>
      <c r="AC185" s="153">
        <v>-43.122620000000005</v>
      </c>
      <c r="AD185" s="153">
        <v>-81.340190000000007</v>
      </c>
      <c r="AE185" s="153">
        <v>-587</v>
      </c>
      <c r="AF185" s="154">
        <v>-711.46280999999999</v>
      </c>
      <c r="AG185" s="136">
        <v>-2436</v>
      </c>
      <c r="AH185" s="136">
        <v>-5498</v>
      </c>
      <c r="AI185" s="136">
        <v>-9832</v>
      </c>
      <c r="AJ185" s="136">
        <v>-14310</v>
      </c>
      <c r="AK185" s="154">
        <f t="shared" si="54"/>
        <v>-32076</v>
      </c>
      <c r="AL185" s="136">
        <v>-16836</v>
      </c>
      <c r="AM185" s="136">
        <v>-18872</v>
      </c>
      <c r="AN185" s="136">
        <v>-22075</v>
      </c>
      <c r="AO185" s="136">
        <v>-25411</v>
      </c>
      <c r="AP185" s="154">
        <f t="shared" si="55"/>
        <v>-83194</v>
      </c>
      <c r="AQ185" s="136">
        <v>-28031</v>
      </c>
      <c r="AR185" s="136">
        <v>-30862</v>
      </c>
      <c r="AS185" s="136">
        <v>-25859</v>
      </c>
      <c r="AT185" s="136">
        <v>-27610</v>
      </c>
      <c r="AU185" s="154">
        <f t="shared" si="56"/>
        <v>-112362</v>
      </c>
      <c r="AV185" s="136">
        <v>-29924</v>
      </c>
      <c r="AW185" s="136">
        <v>-22114</v>
      </c>
      <c r="AX185" s="136">
        <v>-19309</v>
      </c>
      <c r="AY185" s="136">
        <v>-17801</v>
      </c>
      <c r="AZ185" s="154">
        <f t="shared" si="57"/>
        <v>-89148</v>
      </c>
      <c r="BA185" s="214">
        <v>-15194</v>
      </c>
      <c r="BB185" s="211"/>
      <c r="BC185" s="211"/>
      <c r="BD185" s="211"/>
      <c r="BE185" s="211"/>
      <c r="BF185" s="211"/>
      <c r="BG185" s="211"/>
      <c r="BH185" s="211"/>
      <c r="BI185" s="211"/>
      <c r="BJ185" s="211"/>
      <c r="BK185" s="211"/>
      <c r="BL185" s="211"/>
      <c r="BM185" s="211"/>
      <c r="BN185" s="211"/>
      <c r="BO185" s="211"/>
      <c r="BP185" s="211"/>
      <c r="BQ185" s="211"/>
      <c r="BR185" s="211"/>
      <c r="BS185" s="211"/>
      <c r="BT185" s="211"/>
    </row>
    <row r="186" spans="1:72">
      <c r="A186" s="357"/>
      <c r="B186" s="11" t="s">
        <v>415</v>
      </c>
      <c r="C186" s="13"/>
      <c r="D186" s="13"/>
      <c r="E186" s="13"/>
      <c r="F186" s="13"/>
      <c r="G186" s="41"/>
      <c r="H186" s="13"/>
      <c r="I186" s="13"/>
      <c r="J186" s="13"/>
      <c r="K186" s="13"/>
      <c r="L186" s="41"/>
      <c r="M186" s="13"/>
      <c r="N186" s="13"/>
      <c r="O186" s="13"/>
      <c r="P186" s="13"/>
      <c r="Q186" s="41"/>
      <c r="R186" s="13"/>
      <c r="S186" s="13"/>
      <c r="T186" s="13"/>
      <c r="U186" s="13"/>
      <c r="V186" s="41"/>
      <c r="W186" s="13"/>
      <c r="X186" s="13"/>
      <c r="Y186" s="13"/>
      <c r="Z186" s="120">
        <v>0</v>
      </c>
      <c r="AA186" s="154"/>
      <c r="AB186" s="153">
        <v>0</v>
      </c>
      <c r="AC186" s="153">
        <v>0</v>
      </c>
      <c r="AD186" s="153">
        <v>0</v>
      </c>
      <c r="AE186" s="153">
        <v>0</v>
      </c>
      <c r="AF186" s="154">
        <v>0</v>
      </c>
      <c r="AG186" s="136">
        <v>2818</v>
      </c>
      <c r="AH186" s="136">
        <v>2382</v>
      </c>
      <c r="AI186" s="136">
        <v>1716</v>
      </c>
      <c r="AJ186" s="136">
        <v>2399</v>
      </c>
      <c r="AK186" s="154">
        <f t="shared" si="54"/>
        <v>9315</v>
      </c>
      <c r="AL186" s="136">
        <v>2756</v>
      </c>
      <c r="AM186" s="136">
        <v>2920</v>
      </c>
      <c r="AN186" s="136">
        <v>4247</v>
      </c>
      <c r="AO186" s="136">
        <v>4562</v>
      </c>
      <c r="AP186" s="154">
        <f t="shared" si="55"/>
        <v>14485</v>
      </c>
      <c r="AQ186" s="136">
        <v>5138</v>
      </c>
      <c r="AR186" s="136">
        <v>5664</v>
      </c>
      <c r="AS186" s="136">
        <v>6750</v>
      </c>
      <c r="AT186" s="136">
        <v>6863</v>
      </c>
      <c r="AU186" s="154">
        <f t="shared" si="56"/>
        <v>24415</v>
      </c>
      <c r="AV186" s="136">
        <v>7514</v>
      </c>
      <c r="AW186" s="136">
        <v>10213</v>
      </c>
      <c r="AX186" s="136">
        <v>11098</v>
      </c>
      <c r="AY186" s="136">
        <v>13628</v>
      </c>
      <c r="AZ186" s="154">
        <f t="shared" si="57"/>
        <v>42453</v>
      </c>
      <c r="BA186" s="214">
        <v>10171</v>
      </c>
      <c r="BB186" s="211"/>
      <c r="BC186" s="211"/>
      <c r="BD186" s="211"/>
      <c r="BE186" s="211"/>
      <c r="BF186" s="211"/>
      <c r="BG186" s="211"/>
      <c r="BH186" s="211"/>
      <c r="BI186" s="211"/>
      <c r="BJ186" s="211"/>
      <c r="BK186" s="211"/>
      <c r="BL186" s="211"/>
      <c r="BM186" s="211"/>
      <c r="BN186" s="211"/>
      <c r="BO186" s="211"/>
      <c r="BP186" s="211"/>
      <c r="BQ186" s="211"/>
      <c r="BR186" s="211"/>
      <c r="BS186" s="211"/>
      <c r="BT186" s="211"/>
    </row>
    <row r="187" spans="1:72">
      <c r="A187" s="357"/>
      <c r="B187" s="11" t="s">
        <v>416</v>
      </c>
      <c r="C187" s="8"/>
      <c r="D187" s="8"/>
      <c r="E187" s="8"/>
      <c r="F187" s="8"/>
      <c r="G187" s="40"/>
      <c r="H187" s="8"/>
      <c r="I187" s="8"/>
      <c r="J187" s="8"/>
      <c r="K187" s="8"/>
      <c r="L187" s="40"/>
      <c r="M187" s="8"/>
      <c r="N187" s="8"/>
      <c r="O187" s="8"/>
      <c r="P187" s="8"/>
      <c r="Q187" s="40"/>
      <c r="R187" s="12"/>
      <c r="S187" s="12"/>
      <c r="T187" s="12"/>
      <c r="U187" s="12"/>
      <c r="V187" s="40"/>
      <c r="W187" s="12"/>
      <c r="X187" s="12"/>
      <c r="Y187" s="12"/>
      <c r="Z187" s="153">
        <v>0</v>
      </c>
      <c r="AA187" s="144"/>
      <c r="AB187" s="153">
        <v>0</v>
      </c>
      <c r="AC187" s="153">
        <v>0</v>
      </c>
      <c r="AD187" s="153">
        <v>0</v>
      </c>
      <c r="AE187" s="153">
        <v>0</v>
      </c>
      <c r="AF187" s="144">
        <v>0</v>
      </c>
      <c r="AG187" s="136">
        <v>0</v>
      </c>
      <c r="AH187" s="136">
        <v>0</v>
      </c>
      <c r="AI187" s="136">
        <v>0</v>
      </c>
      <c r="AJ187" s="136">
        <v>0</v>
      </c>
      <c r="AK187" s="144">
        <f t="shared" si="54"/>
        <v>0</v>
      </c>
      <c r="AL187" s="136">
        <v>0</v>
      </c>
      <c r="AM187" s="136">
        <v>0</v>
      </c>
      <c r="AN187" s="136">
        <v>0</v>
      </c>
      <c r="AO187" s="136">
        <v>0</v>
      </c>
      <c r="AP187" s="144">
        <f t="shared" si="55"/>
        <v>0</v>
      </c>
      <c r="AQ187" s="136">
        <v>0</v>
      </c>
      <c r="AR187" s="136">
        <v>0</v>
      </c>
      <c r="AS187" s="136">
        <v>0</v>
      </c>
      <c r="AT187" s="136">
        <v>0</v>
      </c>
      <c r="AU187" s="144">
        <f t="shared" si="56"/>
        <v>0</v>
      </c>
      <c r="AV187" s="136">
        <v>0</v>
      </c>
      <c r="AW187" s="136">
        <v>0</v>
      </c>
      <c r="AX187" s="136">
        <v>0</v>
      </c>
      <c r="AY187" s="136">
        <v>0</v>
      </c>
      <c r="AZ187" s="144">
        <f t="shared" si="57"/>
        <v>0</v>
      </c>
      <c r="BA187" s="214">
        <v>0</v>
      </c>
      <c r="BB187" s="211"/>
      <c r="BC187" s="211"/>
      <c r="BD187" s="211"/>
      <c r="BE187" s="211"/>
      <c r="BF187" s="211"/>
      <c r="BG187" s="211"/>
      <c r="BH187" s="211"/>
      <c r="BI187" s="211"/>
      <c r="BJ187" s="211"/>
      <c r="BK187" s="211"/>
      <c r="BL187" s="211"/>
      <c r="BM187" s="211"/>
      <c r="BN187" s="211"/>
      <c r="BO187" s="211"/>
      <c r="BP187" s="211"/>
      <c r="BQ187" s="211"/>
      <c r="BR187" s="211"/>
      <c r="BS187" s="211"/>
      <c r="BT187" s="211"/>
    </row>
    <row r="188" spans="1:72">
      <c r="A188" s="360"/>
      <c r="B188" s="73" t="s">
        <v>479</v>
      </c>
      <c r="C188" s="8"/>
      <c r="D188" s="8"/>
      <c r="E188" s="8"/>
      <c r="F188" s="8"/>
      <c r="G188" s="40"/>
      <c r="H188" s="8"/>
      <c r="I188" s="8"/>
      <c r="J188" s="8"/>
      <c r="K188" s="8"/>
      <c r="L188" s="40"/>
      <c r="M188" s="8"/>
      <c r="N188" s="8"/>
      <c r="O188" s="8"/>
      <c r="P188" s="8"/>
      <c r="Q188" s="40"/>
      <c r="R188" s="12"/>
      <c r="S188" s="12"/>
      <c r="T188" s="12"/>
      <c r="U188" s="12"/>
      <c r="V188" s="40"/>
      <c r="W188" s="12"/>
      <c r="X188" s="12"/>
      <c r="Y188" s="12"/>
      <c r="Z188" s="153"/>
      <c r="AA188" s="144"/>
      <c r="AB188" s="153"/>
      <c r="AC188" s="153">
        <v>0</v>
      </c>
      <c r="AD188" s="153">
        <v>-183</v>
      </c>
      <c r="AE188" s="153">
        <v>2750</v>
      </c>
      <c r="AF188" s="144">
        <v>2567</v>
      </c>
      <c r="AG188" s="136">
        <v>1</v>
      </c>
      <c r="AH188" s="136">
        <v>1</v>
      </c>
      <c r="AI188" s="136">
        <v>1</v>
      </c>
      <c r="AJ188" s="136">
        <v>0</v>
      </c>
      <c r="AK188" s="144">
        <f t="shared" si="54"/>
        <v>3</v>
      </c>
      <c r="AL188" s="136">
        <v>0</v>
      </c>
      <c r="AM188" s="136">
        <v>0</v>
      </c>
      <c r="AN188" s="136">
        <v>0</v>
      </c>
      <c r="AO188" s="136">
        <v>0</v>
      </c>
      <c r="AP188" s="144">
        <f t="shared" si="55"/>
        <v>0</v>
      </c>
      <c r="AQ188" s="136">
        <v>0</v>
      </c>
      <c r="AR188" s="136">
        <v>0</v>
      </c>
      <c r="AS188" s="136">
        <v>0</v>
      </c>
      <c r="AT188" s="136">
        <v>0</v>
      </c>
      <c r="AU188" s="144">
        <f t="shared" si="56"/>
        <v>0</v>
      </c>
      <c r="AV188" s="136">
        <v>0</v>
      </c>
      <c r="AW188" s="136">
        <v>0</v>
      </c>
      <c r="AX188" s="136">
        <v>0</v>
      </c>
      <c r="AY188" s="136">
        <v>0</v>
      </c>
      <c r="AZ188" s="144">
        <f t="shared" si="57"/>
        <v>0</v>
      </c>
      <c r="BA188" s="214">
        <v>0</v>
      </c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1"/>
      <c r="BN188" s="211"/>
      <c r="BO188" s="211"/>
      <c r="BP188" s="211"/>
      <c r="BQ188" s="211"/>
      <c r="BR188" s="211"/>
      <c r="BS188" s="211"/>
      <c r="BT188" s="211"/>
    </row>
    <row r="189" spans="1:72" s="2" customFormat="1">
      <c r="A189" s="356"/>
      <c r="B189" s="9" t="s">
        <v>418</v>
      </c>
      <c r="C189" s="10"/>
      <c r="D189" s="10"/>
      <c r="E189" s="10"/>
      <c r="F189" s="10"/>
      <c r="G189" s="39"/>
      <c r="H189" s="10"/>
      <c r="I189" s="10"/>
      <c r="J189" s="10"/>
      <c r="K189" s="10"/>
      <c r="L189" s="39"/>
      <c r="M189" s="10"/>
      <c r="N189" s="10"/>
      <c r="O189" s="10"/>
      <c r="P189" s="10"/>
      <c r="Q189" s="39"/>
      <c r="R189" s="10"/>
      <c r="S189" s="10"/>
      <c r="T189" s="10"/>
      <c r="U189" s="10"/>
      <c r="V189" s="39"/>
      <c r="W189" s="10"/>
      <c r="X189" s="10"/>
      <c r="Y189" s="10"/>
      <c r="Z189" s="117">
        <v>0</v>
      </c>
      <c r="AA189" s="118"/>
      <c r="AB189" s="117">
        <v>-0.24540000000000001</v>
      </c>
      <c r="AC189" s="117">
        <v>-2244.8355500000002</v>
      </c>
      <c r="AD189" s="117">
        <v>-3022.0427300000001</v>
      </c>
      <c r="AE189" s="117">
        <v>-13031</v>
      </c>
      <c r="AF189" s="118">
        <v>-18298.123680000001</v>
      </c>
      <c r="AG189" s="125">
        <f>SUM(AG183:AG188)</f>
        <v>-27730</v>
      </c>
      <c r="AH189" s="125">
        <f>SUM(AH183:AH188)</f>
        <v>22254</v>
      </c>
      <c r="AI189" s="125">
        <f>SUM(AI183:AI188)</f>
        <v>10502</v>
      </c>
      <c r="AJ189" s="125">
        <f>SUM(AJ183:AJ188)</f>
        <v>39867.000000000007</v>
      </c>
      <c r="AK189" s="118">
        <f t="shared" si="54"/>
        <v>44893.000000000007</v>
      </c>
      <c r="AL189" s="125">
        <f>SUM(AL183:AL188)</f>
        <v>28891</v>
      </c>
      <c r="AM189" s="125">
        <f>SUM(AM183:AM188)</f>
        <v>37444.999999999993</v>
      </c>
      <c r="AN189" s="125">
        <f>SUM(AN183:AN188)</f>
        <v>50413</v>
      </c>
      <c r="AO189" s="125">
        <f>SUM(AO183:AO188)</f>
        <v>68023</v>
      </c>
      <c r="AP189" s="118">
        <f t="shared" si="55"/>
        <v>184772</v>
      </c>
      <c r="AQ189" s="125">
        <f>SUM(AQ183:AQ188)</f>
        <v>73826</v>
      </c>
      <c r="AR189" s="125">
        <f t="shared" ref="AR189:AT189" si="59">SUM(AR183:AR188)</f>
        <v>84774</v>
      </c>
      <c r="AS189" s="125">
        <f t="shared" si="59"/>
        <v>105365.99999999999</v>
      </c>
      <c r="AT189" s="125">
        <f t="shared" si="59"/>
        <v>80297</v>
      </c>
      <c r="AU189" s="118">
        <f t="shared" si="56"/>
        <v>344263</v>
      </c>
      <c r="AV189" s="125">
        <f>SUM(AV183:AV188)</f>
        <v>109071</v>
      </c>
      <c r="AW189" s="125">
        <f>SUM(AW183:AW188)</f>
        <v>146848</v>
      </c>
      <c r="AX189" s="125">
        <f>SUM(AX183:AX188)</f>
        <v>147389</v>
      </c>
      <c r="AY189" s="125">
        <f>SUM(AY183:AY188)</f>
        <v>119343</v>
      </c>
      <c r="AZ189" s="118">
        <f t="shared" si="57"/>
        <v>522651</v>
      </c>
      <c r="BA189" s="337">
        <f>SUM(BA183:BA188)</f>
        <v>120932</v>
      </c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1"/>
      <c r="BN189" s="211"/>
      <c r="BO189" s="211"/>
      <c r="BP189" s="211"/>
      <c r="BQ189" s="211"/>
      <c r="BR189" s="211"/>
      <c r="BS189" s="211"/>
      <c r="BT189" s="211"/>
    </row>
    <row r="190" spans="1:72">
      <c r="A190" s="357"/>
      <c r="B190" s="11" t="s">
        <v>419</v>
      </c>
      <c r="C190" s="13"/>
      <c r="D190" s="13"/>
      <c r="E190" s="13"/>
      <c r="F190" s="13"/>
      <c r="G190" s="41"/>
      <c r="H190" s="13"/>
      <c r="I190" s="13"/>
      <c r="J190" s="13"/>
      <c r="K190" s="13"/>
      <c r="L190" s="41"/>
      <c r="M190" s="13"/>
      <c r="N190" s="13"/>
      <c r="O190" s="13"/>
      <c r="P190" s="13"/>
      <c r="Q190" s="41"/>
      <c r="R190" s="13"/>
      <c r="S190" s="13"/>
      <c r="T190" s="13"/>
      <c r="U190" s="13"/>
      <c r="V190" s="41"/>
      <c r="W190" s="13"/>
      <c r="X190" s="13"/>
      <c r="Y190" s="13"/>
      <c r="Z190" s="120">
        <v>0</v>
      </c>
      <c r="AA190" s="154"/>
      <c r="AB190" s="120">
        <v>0</v>
      </c>
      <c r="AC190" s="120">
        <v>0</v>
      </c>
      <c r="AD190" s="120">
        <v>0</v>
      </c>
      <c r="AE190" s="120">
        <v>0</v>
      </c>
      <c r="AF190" s="154">
        <v>0</v>
      </c>
      <c r="AG190" s="136">
        <v>0</v>
      </c>
      <c r="AH190" s="214">
        <v>0</v>
      </c>
      <c r="AI190" s="136">
        <v>0</v>
      </c>
      <c r="AJ190" s="136">
        <v>0</v>
      </c>
      <c r="AK190" s="154">
        <f t="shared" si="54"/>
        <v>0</v>
      </c>
      <c r="AL190" s="136">
        <v>0</v>
      </c>
      <c r="AM190" s="136">
        <v>0</v>
      </c>
      <c r="AN190" s="136">
        <v>0</v>
      </c>
      <c r="AO190" s="136">
        <v>0</v>
      </c>
      <c r="AP190" s="154">
        <f t="shared" si="55"/>
        <v>0</v>
      </c>
      <c r="AQ190" s="136">
        <v>-7</v>
      </c>
      <c r="AR190" s="214">
        <v>-6</v>
      </c>
      <c r="AS190" s="214">
        <v>0</v>
      </c>
      <c r="AT190" s="136">
        <v>0</v>
      </c>
      <c r="AU190" s="154">
        <f t="shared" si="56"/>
        <v>-13</v>
      </c>
      <c r="AV190" s="136">
        <v>-121.13846000000001</v>
      </c>
      <c r="AW190" s="136">
        <v>0</v>
      </c>
      <c r="AX190" s="136">
        <v>-2</v>
      </c>
      <c r="AY190" s="136">
        <v>0</v>
      </c>
      <c r="AZ190" s="154">
        <f t="shared" si="57"/>
        <v>-123.13846000000001</v>
      </c>
      <c r="BA190" s="214">
        <v>-6</v>
      </c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1"/>
      <c r="BN190" s="211"/>
      <c r="BO190" s="211"/>
      <c r="BP190" s="211"/>
      <c r="BQ190" s="211"/>
      <c r="BR190" s="211"/>
      <c r="BS190" s="211"/>
      <c r="BT190" s="211"/>
    </row>
    <row r="191" spans="1:72" s="2" customFormat="1">
      <c r="A191" s="356"/>
      <c r="B191" s="9" t="s">
        <v>420</v>
      </c>
      <c r="C191" s="10"/>
      <c r="D191" s="10"/>
      <c r="E191" s="10"/>
      <c r="F191" s="10"/>
      <c r="G191" s="39"/>
      <c r="H191" s="10"/>
      <c r="I191" s="10"/>
      <c r="J191" s="10"/>
      <c r="K191" s="10"/>
      <c r="L191" s="39"/>
      <c r="M191" s="10"/>
      <c r="N191" s="10"/>
      <c r="O191" s="10"/>
      <c r="P191" s="10"/>
      <c r="Q191" s="39"/>
      <c r="R191" s="10"/>
      <c r="S191" s="10"/>
      <c r="T191" s="10"/>
      <c r="U191" s="10"/>
      <c r="V191" s="39"/>
      <c r="W191" s="10"/>
      <c r="X191" s="10"/>
      <c r="Y191" s="10"/>
      <c r="Z191" s="117">
        <v>0</v>
      </c>
      <c r="AA191" s="118"/>
      <c r="AB191" s="117">
        <v>-0.24540000000000001</v>
      </c>
      <c r="AC191" s="117">
        <v>-2244.8355500000002</v>
      </c>
      <c r="AD191" s="117">
        <v>-3022.0427300000001</v>
      </c>
      <c r="AE191" s="117">
        <v>-13031</v>
      </c>
      <c r="AF191" s="118">
        <v>-18298.123680000001</v>
      </c>
      <c r="AG191" s="125">
        <f>AG189</f>
        <v>-27730</v>
      </c>
      <c r="AH191" s="125">
        <f>AH189</f>
        <v>22254</v>
      </c>
      <c r="AI191" s="125">
        <f>AI189</f>
        <v>10502</v>
      </c>
      <c r="AJ191" s="125">
        <f>AJ189</f>
        <v>39867.000000000007</v>
      </c>
      <c r="AK191" s="118">
        <f t="shared" si="54"/>
        <v>44893.000000000007</v>
      </c>
      <c r="AL191" s="125">
        <f>AL189</f>
        <v>28891</v>
      </c>
      <c r="AM191" s="125">
        <f>AM189</f>
        <v>37444.999999999993</v>
      </c>
      <c r="AN191" s="125">
        <f>AN189</f>
        <v>50413</v>
      </c>
      <c r="AO191" s="125">
        <f>AO189</f>
        <v>68023</v>
      </c>
      <c r="AP191" s="118">
        <f t="shared" si="55"/>
        <v>184772</v>
      </c>
      <c r="AQ191" s="125">
        <f>AQ190+AQ189</f>
        <v>73819</v>
      </c>
      <c r="AR191" s="125">
        <f t="shared" ref="AR191:AT191" si="60">AR190+AR189</f>
        <v>84768</v>
      </c>
      <c r="AS191" s="125">
        <f t="shared" si="60"/>
        <v>105365.99999999999</v>
      </c>
      <c r="AT191" s="125">
        <f t="shared" si="60"/>
        <v>80297</v>
      </c>
      <c r="AU191" s="118">
        <f t="shared" si="56"/>
        <v>344250</v>
      </c>
      <c r="AV191" s="125">
        <f>AV190+AV189</f>
        <v>108949.86154</v>
      </c>
      <c r="AW191" s="125">
        <f>AW190+AW189</f>
        <v>146848</v>
      </c>
      <c r="AX191" s="125">
        <f>AX190+AX189</f>
        <v>147387</v>
      </c>
      <c r="AY191" s="125">
        <f>AY190+AY189</f>
        <v>119343</v>
      </c>
      <c r="AZ191" s="118">
        <f t="shared" si="57"/>
        <v>522527.86154000001</v>
      </c>
      <c r="BA191" s="337">
        <f>BA190+BA189</f>
        <v>120926</v>
      </c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1"/>
      <c r="BN191" s="211"/>
      <c r="BO191" s="211"/>
      <c r="BP191" s="211"/>
      <c r="BQ191" s="211"/>
      <c r="BR191" s="211"/>
      <c r="BS191" s="211"/>
      <c r="BT191" s="211"/>
    </row>
    <row r="192" spans="1:72">
      <c r="A192" s="357"/>
      <c r="B192" s="11" t="s">
        <v>421</v>
      </c>
      <c r="C192" s="13"/>
      <c r="D192" s="13"/>
      <c r="E192" s="13"/>
      <c r="F192" s="13"/>
      <c r="G192" s="41"/>
      <c r="H192" s="13"/>
      <c r="I192" s="13"/>
      <c r="J192" s="13"/>
      <c r="K192" s="13"/>
      <c r="L192" s="41"/>
      <c r="M192" s="13"/>
      <c r="N192" s="13"/>
      <c r="O192" s="13"/>
      <c r="P192" s="13"/>
      <c r="Q192" s="41"/>
      <c r="R192" s="13"/>
      <c r="S192" s="13"/>
      <c r="T192" s="13"/>
      <c r="U192" s="13"/>
      <c r="V192" s="41"/>
      <c r="W192" s="13"/>
      <c r="X192" s="13"/>
      <c r="Y192" s="13"/>
      <c r="Z192" s="120">
        <v>0</v>
      </c>
      <c r="AA192" s="154"/>
      <c r="AB192" s="153">
        <v>0</v>
      </c>
      <c r="AC192" s="153">
        <v>561.20773999999994</v>
      </c>
      <c r="AD192" s="153">
        <v>752.15131000000008</v>
      </c>
      <c r="AE192" s="153">
        <v>3421</v>
      </c>
      <c r="AF192" s="154">
        <v>4734.35905</v>
      </c>
      <c r="AG192" s="136">
        <v>6915</v>
      </c>
      <c r="AH192" s="136">
        <v>-5643</v>
      </c>
      <c r="AI192" s="136">
        <v>-2646</v>
      </c>
      <c r="AJ192" s="136">
        <v>-9977</v>
      </c>
      <c r="AK192" s="154">
        <f t="shared" si="54"/>
        <v>-11351</v>
      </c>
      <c r="AL192" s="136">
        <v>-7575</v>
      </c>
      <c r="AM192" s="136">
        <v>-9250</v>
      </c>
      <c r="AN192" s="136">
        <v>-12578</v>
      </c>
      <c r="AO192" s="136">
        <v>-16979</v>
      </c>
      <c r="AP192" s="154">
        <f t="shared" si="55"/>
        <v>-46382</v>
      </c>
      <c r="AQ192" s="136">
        <v>-18765</v>
      </c>
      <c r="AR192" s="136">
        <v>-21239</v>
      </c>
      <c r="AS192" s="136">
        <v>-26409</v>
      </c>
      <c r="AT192" s="136">
        <v>-19441</v>
      </c>
      <c r="AU192" s="154">
        <f t="shared" si="56"/>
        <v>-85854</v>
      </c>
      <c r="AV192" s="136">
        <v>-27319</v>
      </c>
      <c r="AW192" s="136">
        <v>-36872</v>
      </c>
      <c r="AX192" s="136">
        <v>-36941</v>
      </c>
      <c r="AY192" s="136">
        <v>-26513</v>
      </c>
      <c r="AZ192" s="154">
        <f t="shared" si="57"/>
        <v>-127645</v>
      </c>
      <c r="BA192" s="214">
        <v>-28324</v>
      </c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1"/>
      <c r="BN192" s="211"/>
      <c r="BO192" s="211"/>
      <c r="BP192" s="211"/>
      <c r="BQ192" s="211"/>
      <c r="BR192" s="211"/>
      <c r="BS192" s="211"/>
      <c r="BT192" s="211"/>
    </row>
    <row r="193" spans="1:72">
      <c r="A193" s="357"/>
      <c r="B193" s="11" t="s">
        <v>422</v>
      </c>
      <c r="C193" s="13"/>
      <c r="D193" s="13"/>
      <c r="E193" s="13"/>
      <c r="F193" s="13"/>
      <c r="G193" s="41"/>
      <c r="H193" s="13"/>
      <c r="I193" s="13"/>
      <c r="J193" s="13"/>
      <c r="K193" s="13"/>
      <c r="L193" s="41"/>
      <c r="M193" s="13"/>
      <c r="N193" s="13"/>
      <c r="O193" s="13"/>
      <c r="P193" s="13"/>
      <c r="Q193" s="41"/>
      <c r="R193" s="13"/>
      <c r="S193" s="13"/>
      <c r="T193" s="13"/>
      <c r="U193" s="13"/>
      <c r="V193" s="41"/>
      <c r="W193" s="13"/>
      <c r="X193" s="13"/>
      <c r="Y193" s="13"/>
      <c r="Z193" s="120">
        <v>0</v>
      </c>
      <c r="AA193" s="154"/>
      <c r="AB193" s="153">
        <v>0</v>
      </c>
      <c r="AC193" s="153">
        <v>202.03478999999999</v>
      </c>
      <c r="AD193" s="153">
        <v>270.77446999999995</v>
      </c>
      <c r="AE193" s="153">
        <v>1231</v>
      </c>
      <c r="AF193" s="154">
        <v>1703.80926</v>
      </c>
      <c r="AG193" s="136">
        <v>2489</v>
      </c>
      <c r="AH193" s="136">
        <v>-2024</v>
      </c>
      <c r="AI193" s="136">
        <v>-953</v>
      </c>
      <c r="AJ193" s="136">
        <v>-3592</v>
      </c>
      <c r="AK193" s="154">
        <f t="shared" si="54"/>
        <v>-4080</v>
      </c>
      <c r="AL193" s="136">
        <v>-2678</v>
      </c>
      <c r="AM193" s="136">
        <v>-3300</v>
      </c>
      <c r="AN193" s="136">
        <v>-4541</v>
      </c>
      <c r="AO193" s="136">
        <v>-6127</v>
      </c>
      <c r="AP193" s="154">
        <f t="shared" si="55"/>
        <v>-16646</v>
      </c>
      <c r="AQ193" s="136">
        <v>-6649</v>
      </c>
      <c r="AR193" s="214">
        <v>-7636</v>
      </c>
      <c r="AS193" s="214">
        <v>-9489</v>
      </c>
      <c r="AT193" s="136">
        <v>-7316</v>
      </c>
      <c r="AU193" s="154">
        <f t="shared" si="56"/>
        <v>-31090</v>
      </c>
      <c r="AV193" s="136">
        <v>-10040</v>
      </c>
      <c r="AW193" s="136">
        <v>-13250</v>
      </c>
      <c r="AX193" s="136">
        <v>-13288</v>
      </c>
      <c r="AY193" s="136">
        <v>-10857</v>
      </c>
      <c r="AZ193" s="154">
        <f t="shared" si="57"/>
        <v>-47435</v>
      </c>
      <c r="BA193" s="214">
        <v>-10920</v>
      </c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1"/>
      <c r="BN193" s="211"/>
      <c r="BO193" s="211"/>
      <c r="BP193" s="211"/>
      <c r="BQ193" s="211"/>
      <c r="BR193" s="211"/>
      <c r="BS193" s="211"/>
      <c r="BT193" s="211"/>
    </row>
    <row r="194" spans="1:72">
      <c r="A194" s="357"/>
      <c r="B194" s="11" t="s">
        <v>423</v>
      </c>
      <c r="C194" s="13"/>
      <c r="D194" s="13"/>
      <c r="E194" s="13"/>
      <c r="F194" s="13"/>
      <c r="G194" s="41"/>
      <c r="H194" s="13"/>
      <c r="I194" s="13"/>
      <c r="J194" s="13"/>
      <c r="K194" s="13"/>
      <c r="L194" s="41"/>
      <c r="M194" s="13"/>
      <c r="N194" s="13"/>
      <c r="O194" s="13"/>
      <c r="P194" s="13"/>
      <c r="Q194" s="41"/>
      <c r="R194" s="13"/>
      <c r="S194" s="13"/>
      <c r="T194" s="13"/>
      <c r="U194" s="13"/>
      <c r="V194" s="41"/>
      <c r="W194" s="13"/>
      <c r="X194" s="13"/>
      <c r="Y194" s="13"/>
      <c r="Z194" s="120">
        <v>0</v>
      </c>
      <c r="AA194" s="154"/>
      <c r="AB194" s="120">
        <v>0</v>
      </c>
      <c r="AC194" s="120">
        <v>0</v>
      </c>
      <c r="AD194" s="120">
        <v>0</v>
      </c>
      <c r="AE194" s="120">
        <v>-645</v>
      </c>
      <c r="AF194" s="154">
        <v>-645</v>
      </c>
      <c r="AG194" s="136">
        <v>0</v>
      </c>
      <c r="AH194" s="136">
        <v>0</v>
      </c>
      <c r="AI194" s="136">
        <v>0</v>
      </c>
      <c r="AJ194" s="136">
        <v>0</v>
      </c>
      <c r="AK194" s="154">
        <f t="shared" si="54"/>
        <v>0</v>
      </c>
      <c r="AL194" s="136">
        <v>0</v>
      </c>
      <c r="AM194" s="136">
        <v>0</v>
      </c>
      <c r="AN194" s="136">
        <v>0</v>
      </c>
      <c r="AO194" s="136">
        <v>0</v>
      </c>
      <c r="AP194" s="154">
        <f t="shared" si="55"/>
        <v>0</v>
      </c>
      <c r="AQ194" s="136">
        <v>0</v>
      </c>
      <c r="AR194" s="136">
        <v>0</v>
      </c>
      <c r="AS194" s="136">
        <v>0</v>
      </c>
      <c r="AT194" s="136">
        <v>0</v>
      </c>
      <c r="AU194" s="154">
        <f t="shared" si="56"/>
        <v>0</v>
      </c>
      <c r="AV194" s="136">
        <v>0</v>
      </c>
      <c r="AW194" s="136">
        <v>0</v>
      </c>
      <c r="AX194" s="136">
        <v>0</v>
      </c>
      <c r="AY194" s="136">
        <v>0</v>
      </c>
      <c r="AZ194" s="154">
        <f t="shared" si="57"/>
        <v>0</v>
      </c>
      <c r="BA194" s="214">
        <v>0</v>
      </c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1"/>
      <c r="BN194" s="211"/>
      <c r="BO194" s="211"/>
      <c r="BP194" s="211"/>
      <c r="BQ194" s="211"/>
      <c r="BR194" s="211"/>
      <c r="BS194" s="211"/>
      <c r="BT194" s="211"/>
    </row>
    <row r="195" spans="1:72">
      <c r="A195" s="357"/>
      <c r="B195" s="11" t="s">
        <v>424</v>
      </c>
      <c r="C195" s="13"/>
      <c r="D195" s="13"/>
      <c r="E195" s="13"/>
      <c r="F195" s="13"/>
      <c r="G195" s="41"/>
      <c r="H195" s="13"/>
      <c r="I195" s="13"/>
      <c r="J195" s="13"/>
      <c r="K195" s="13"/>
      <c r="L195" s="41"/>
      <c r="M195" s="13"/>
      <c r="N195" s="13"/>
      <c r="O195" s="13"/>
      <c r="P195" s="13"/>
      <c r="Q195" s="41"/>
      <c r="R195" s="13"/>
      <c r="S195" s="13"/>
      <c r="T195" s="13"/>
      <c r="U195" s="13"/>
      <c r="V195" s="41"/>
      <c r="W195" s="13"/>
      <c r="X195" s="13"/>
      <c r="Y195" s="13"/>
      <c r="Z195" s="120">
        <v>0</v>
      </c>
      <c r="AA195" s="154"/>
      <c r="AB195" s="120">
        <v>0</v>
      </c>
      <c r="AC195" s="120">
        <v>0</v>
      </c>
      <c r="AD195" s="120">
        <v>0</v>
      </c>
      <c r="AE195" s="120">
        <v>0</v>
      </c>
      <c r="AF195" s="154">
        <v>0</v>
      </c>
      <c r="AG195" s="136">
        <v>1</v>
      </c>
      <c r="AH195" s="136">
        <v>1</v>
      </c>
      <c r="AI195" s="136">
        <v>1</v>
      </c>
      <c r="AJ195" s="136">
        <v>0</v>
      </c>
      <c r="AK195" s="154">
        <f t="shared" si="54"/>
        <v>3</v>
      </c>
      <c r="AL195" s="136">
        <v>0</v>
      </c>
      <c r="AM195" s="136">
        <v>0</v>
      </c>
      <c r="AN195" s="136"/>
      <c r="AO195" s="136">
        <v>0</v>
      </c>
      <c r="AP195" s="154">
        <f t="shared" si="55"/>
        <v>0</v>
      </c>
      <c r="AQ195" s="136">
        <v>0</v>
      </c>
      <c r="AR195" s="136">
        <v>0</v>
      </c>
      <c r="AS195" s="136">
        <v>0</v>
      </c>
      <c r="AT195" s="136">
        <v>0</v>
      </c>
      <c r="AU195" s="154">
        <f t="shared" si="56"/>
        <v>0</v>
      </c>
      <c r="AV195" s="136">
        <v>0</v>
      </c>
      <c r="AW195" s="136">
        <v>0</v>
      </c>
      <c r="AX195" s="136">
        <v>0</v>
      </c>
      <c r="AY195" s="136">
        <v>0</v>
      </c>
      <c r="AZ195" s="154">
        <f t="shared" si="57"/>
        <v>0</v>
      </c>
      <c r="BA195" s="214">
        <v>0</v>
      </c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211"/>
      <c r="BN195" s="211"/>
      <c r="BO195" s="211"/>
      <c r="BP195" s="211"/>
      <c r="BQ195" s="211"/>
      <c r="BR195" s="211"/>
      <c r="BS195" s="211"/>
      <c r="BT195" s="211"/>
    </row>
    <row r="196" spans="1:72" s="2" customFormat="1">
      <c r="A196" s="358"/>
      <c r="B196" s="15" t="s">
        <v>450</v>
      </c>
      <c r="C196" s="16"/>
      <c r="D196" s="16"/>
      <c r="E196" s="16"/>
      <c r="F196" s="16"/>
      <c r="G196" s="45"/>
      <c r="H196" s="16"/>
      <c r="I196" s="16"/>
      <c r="J196" s="16"/>
      <c r="K196" s="16"/>
      <c r="L196" s="45"/>
      <c r="M196" s="16"/>
      <c r="N196" s="16"/>
      <c r="O196" s="16"/>
      <c r="P196" s="16"/>
      <c r="Q196" s="45"/>
      <c r="R196" s="16"/>
      <c r="S196" s="16"/>
      <c r="T196" s="16"/>
      <c r="U196" s="16"/>
      <c r="V196" s="45"/>
      <c r="W196" s="16"/>
      <c r="X196" s="16"/>
      <c r="Y196" s="16"/>
      <c r="Z196" s="155">
        <v>0</v>
      </c>
      <c r="AA196" s="156"/>
      <c r="AB196" s="155">
        <v>-0.24540000000000001</v>
      </c>
      <c r="AC196" s="155">
        <v>-1481.5930200000005</v>
      </c>
      <c r="AD196" s="155">
        <v>-1999.1169500000001</v>
      </c>
      <c r="AE196" s="155">
        <v>-9024</v>
      </c>
      <c r="AF196" s="156">
        <v>-12504.95537</v>
      </c>
      <c r="AG196" s="213">
        <f>SUM(AG191:AG195)</f>
        <v>-18325</v>
      </c>
      <c r="AH196" s="213">
        <f t="shared" ref="AH196:AJ196" si="61">SUM(AH191:AH195)</f>
        <v>14588</v>
      </c>
      <c r="AI196" s="213">
        <f t="shared" si="61"/>
        <v>6904</v>
      </c>
      <c r="AJ196" s="213">
        <f t="shared" si="61"/>
        <v>26298.000000000007</v>
      </c>
      <c r="AK196" s="156">
        <f t="shared" si="54"/>
        <v>29465.000000000007</v>
      </c>
      <c r="AL196" s="213">
        <f>SUM(AL191:AL195)</f>
        <v>18638</v>
      </c>
      <c r="AM196" s="213">
        <f>SUM(AM191:AM195)</f>
        <v>24894.999999999993</v>
      </c>
      <c r="AN196" s="213">
        <f>SUM(AN191:AN195)</f>
        <v>33294</v>
      </c>
      <c r="AO196" s="213">
        <v>44916</v>
      </c>
      <c r="AP196" s="156">
        <f t="shared" si="55"/>
        <v>121743</v>
      </c>
      <c r="AQ196" s="213">
        <f>SUM(AQ191:AQ195)</f>
        <v>48405</v>
      </c>
      <c r="AR196" s="213">
        <f t="shared" ref="AR196:AT196" si="62">SUM(AR191:AR195)</f>
        <v>55893</v>
      </c>
      <c r="AS196" s="213">
        <f t="shared" si="62"/>
        <v>69467.999999999985</v>
      </c>
      <c r="AT196" s="213">
        <f t="shared" si="62"/>
        <v>53540</v>
      </c>
      <c r="AU196" s="156">
        <f t="shared" si="56"/>
        <v>227306</v>
      </c>
      <c r="AV196" s="213">
        <f>SUM(AV191:AV195)</f>
        <v>71590.861539999998</v>
      </c>
      <c r="AW196" s="213">
        <f>SUM(AW191:AW195)</f>
        <v>96726</v>
      </c>
      <c r="AX196" s="213">
        <f>SUM(AX191:AX195)</f>
        <v>97158</v>
      </c>
      <c r="AY196" s="213">
        <f>SUM(AY191:AY195)</f>
        <v>81973</v>
      </c>
      <c r="AZ196" s="156">
        <f t="shared" si="57"/>
        <v>347447.86154000001</v>
      </c>
      <c r="BA196" s="213">
        <f>SUM(BA191:BA195)</f>
        <v>81682</v>
      </c>
      <c r="BB196" s="211"/>
      <c r="BC196" s="211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1"/>
      <c r="BO196" s="211"/>
      <c r="BP196" s="211"/>
      <c r="BQ196" s="211"/>
      <c r="BR196" s="211"/>
      <c r="BS196" s="211"/>
      <c r="BT196" s="211"/>
    </row>
    <row r="197" spans="1:72">
      <c r="A197" s="357"/>
      <c r="B197" s="11" t="s">
        <v>468</v>
      </c>
      <c r="C197" s="13"/>
      <c r="D197" s="13"/>
      <c r="E197" s="13"/>
      <c r="F197" s="13"/>
      <c r="G197" s="41"/>
      <c r="H197" s="13"/>
      <c r="I197" s="13"/>
      <c r="J197" s="13"/>
      <c r="K197" s="13"/>
      <c r="L197" s="41"/>
      <c r="M197" s="13"/>
      <c r="N197" s="13"/>
      <c r="O197" s="13"/>
      <c r="P197" s="13"/>
      <c r="Q197" s="41"/>
      <c r="R197" s="13"/>
      <c r="S197" s="13"/>
      <c r="T197" s="13"/>
      <c r="U197" s="13"/>
      <c r="V197" s="41"/>
      <c r="W197" s="13"/>
      <c r="X197" s="13"/>
      <c r="Y197" s="13"/>
      <c r="Z197" s="120">
        <v>0</v>
      </c>
      <c r="AA197" s="154"/>
      <c r="AB197" s="120">
        <v>-0.24540000000000001</v>
      </c>
      <c r="AC197" s="120">
        <v>-1481.5930200000005</v>
      </c>
      <c r="AD197" s="120">
        <v>-1999.1169500000001</v>
      </c>
      <c r="AE197" s="120">
        <v>-9024</v>
      </c>
      <c r="AF197" s="154">
        <v>-12504.95537</v>
      </c>
      <c r="AG197" s="136">
        <v>-18325</v>
      </c>
      <c r="AH197" s="214">
        <f>AH196</f>
        <v>14588</v>
      </c>
      <c r="AI197" s="136">
        <f>AI196</f>
        <v>6904</v>
      </c>
      <c r="AJ197" s="136">
        <f>AJ196</f>
        <v>26298.000000000007</v>
      </c>
      <c r="AK197" s="154">
        <f t="shared" si="54"/>
        <v>29465.000000000007</v>
      </c>
      <c r="AL197" s="136">
        <v>18638</v>
      </c>
      <c r="AM197" s="136">
        <f>AM196</f>
        <v>24894.999999999993</v>
      </c>
      <c r="AN197" s="136">
        <v>33294</v>
      </c>
      <c r="AO197" s="136">
        <v>44916</v>
      </c>
      <c r="AP197" s="154">
        <f t="shared" si="55"/>
        <v>121743</v>
      </c>
      <c r="AQ197" s="136">
        <v>48405</v>
      </c>
      <c r="AR197" s="214">
        <v>55893</v>
      </c>
      <c r="AS197" s="214">
        <v>69465.999999999985</v>
      </c>
      <c r="AT197" s="136">
        <v>53540</v>
      </c>
      <c r="AU197" s="154">
        <f t="shared" si="56"/>
        <v>227304</v>
      </c>
      <c r="AV197" s="136">
        <f>AV196</f>
        <v>71590.861539999998</v>
      </c>
      <c r="AW197" s="136">
        <f t="shared" ref="AW197:BA197" si="63">AW196</f>
        <v>96726</v>
      </c>
      <c r="AX197" s="136">
        <f t="shared" si="63"/>
        <v>97158</v>
      </c>
      <c r="AY197" s="136">
        <f t="shared" si="63"/>
        <v>81973</v>
      </c>
      <c r="AZ197" s="154">
        <f t="shared" si="57"/>
        <v>347447.86154000001</v>
      </c>
      <c r="BA197" s="136">
        <f t="shared" si="63"/>
        <v>81682</v>
      </c>
      <c r="BB197" s="211"/>
      <c r="BC197" s="211"/>
      <c r="BD197" s="211"/>
      <c r="BE197" s="211"/>
      <c r="BF197" s="211"/>
      <c r="BG197" s="211"/>
      <c r="BH197" s="211"/>
      <c r="BI197" s="211"/>
      <c r="BJ197" s="211"/>
      <c r="BK197" s="211"/>
      <c r="BL197" s="211"/>
      <c r="BM197" s="211"/>
      <c r="BN197" s="211"/>
      <c r="BO197" s="211"/>
      <c r="BP197" s="211"/>
      <c r="BQ197" s="211"/>
      <c r="BR197" s="211"/>
      <c r="BS197" s="211"/>
      <c r="BT197" s="211"/>
    </row>
    <row r="198" spans="1:72">
      <c r="A198" s="357"/>
      <c r="B198" s="11" t="s">
        <v>436</v>
      </c>
      <c r="C198" s="13"/>
      <c r="D198" s="13"/>
      <c r="E198" s="13"/>
      <c r="F198" s="13"/>
      <c r="G198" s="41"/>
      <c r="H198" s="13"/>
      <c r="I198" s="13"/>
      <c r="J198" s="13"/>
      <c r="K198" s="13"/>
      <c r="L198" s="41"/>
      <c r="M198" s="13"/>
      <c r="N198" s="13"/>
      <c r="O198" s="13"/>
      <c r="P198" s="13"/>
      <c r="Q198" s="41"/>
      <c r="R198" s="13"/>
      <c r="S198" s="13"/>
      <c r="T198" s="13"/>
      <c r="U198" s="13"/>
      <c r="V198" s="41"/>
      <c r="W198" s="13"/>
      <c r="X198" s="13"/>
      <c r="Y198" s="13"/>
      <c r="Z198" s="120">
        <v>0</v>
      </c>
      <c r="AA198" s="154"/>
      <c r="AB198" s="120">
        <v>0</v>
      </c>
      <c r="AC198" s="120">
        <v>0</v>
      </c>
      <c r="AD198" s="120">
        <v>0</v>
      </c>
      <c r="AE198" s="120">
        <v>0</v>
      </c>
      <c r="AF198" s="154">
        <v>0</v>
      </c>
      <c r="AG198" s="136">
        <v>0</v>
      </c>
      <c r="AH198" s="214">
        <v>0</v>
      </c>
      <c r="AI198" s="136">
        <v>0</v>
      </c>
      <c r="AJ198" s="136">
        <v>0</v>
      </c>
      <c r="AK198" s="154">
        <f t="shared" si="54"/>
        <v>0</v>
      </c>
      <c r="AL198" s="136">
        <v>0</v>
      </c>
      <c r="AM198" s="136">
        <v>0</v>
      </c>
      <c r="AN198" s="136">
        <v>0</v>
      </c>
      <c r="AO198" s="136">
        <v>0</v>
      </c>
      <c r="AP198" s="154">
        <f t="shared" si="55"/>
        <v>0</v>
      </c>
      <c r="AQ198" s="136">
        <v>0</v>
      </c>
      <c r="AR198" s="214">
        <v>0</v>
      </c>
      <c r="AS198" s="214">
        <v>0</v>
      </c>
      <c r="AT198" s="136">
        <v>0</v>
      </c>
      <c r="AU198" s="154">
        <f t="shared" si="56"/>
        <v>0</v>
      </c>
      <c r="AV198" s="136">
        <v>0</v>
      </c>
      <c r="AW198" s="136">
        <v>0</v>
      </c>
      <c r="AX198" s="136">
        <v>0</v>
      </c>
      <c r="AY198" s="136">
        <v>0</v>
      </c>
      <c r="AZ198" s="154">
        <f t="shared" si="57"/>
        <v>0</v>
      </c>
      <c r="BA198" s="214">
        <v>0</v>
      </c>
      <c r="BB198" s="211"/>
      <c r="BC198" s="211"/>
      <c r="BD198" s="211"/>
      <c r="BE198" s="211"/>
      <c r="BF198" s="211"/>
      <c r="BG198" s="211"/>
      <c r="BH198" s="211"/>
      <c r="BI198" s="211"/>
      <c r="BJ198" s="211"/>
      <c r="BK198" s="211"/>
      <c r="BL198" s="211"/>
      <c r="BM198" s="211"/>
      <c r="BN198" s="211"/>
      <c r="BO198" s="211"/>
      <c r="BP198" s="211"/>
      <c r="BQ198" s="211"/>
      <c r="BR198" s="211"/>
      <c r="BS198" s="211"/>
      <c r="BT198" s="211"/>
    </row>
    <row r="199" spans="1:72">
      <c r="A199" s="357"/>
      <c r="B199" s="11" t="s">
        <v>470</v>
      </c>
      <c r="C199" s="13"/>
      <c r="D199" s="13"/>
      <c r="E199" s="13"/>
      <c r="F199" s="13"/>
      <c r="G199" s="41"/>
      <c r="H199" s="13"/>
      <c r="I199" s="13"/>
      <c r="J199" s="13"/>
      <c r="K199" s="13"/>
      <c r="L199" s="41"/>
      <c r="M199" s="13"/>
      <c r="N199" s="13"/>
      <c r="O199" s="13"/>
      <c r="P199" s="13"/>
      <c r="Q199" s="41"/>
      <c r="R199" s="13"/>
      <c r="S199" s="13"/>
      <c r="T199" s="13"/>
      <c r="U199" s="13"/>
      <c r="V199" s="41"/>
      <c r="W199" s="13"/>
      <c r="X199" s="13"/>
      <c r="Y199" s="13"/>
      <c r="Z199" s="120">
        <v>0</v>
      </c>
      <c r="AA199" s="154"/>
      <c r="AB199" s="120">
        <v>-0.24540000000000001</v>
      </c>
      <c r="AC199" s="120">
        <v>-1481.5930200000005</v>
      </c>
      <c r="AD199" s="120">
        <v>-1999.1169500000001</v>
      </c>
      <c r="AE199" s="120">
        <v>-9024</v>
      </c>
      <c r="AF199" s="154">
        <v>-12504.95537</v>
      </c>
      <c r="AG199" s="136">
        <v>-18325</v>
      </c>
      <c r="AH199" s="214">
        <f>SUM(AH197:AH198)</f>
        <v>14588</v>
      </c>
      <c r="AI199" s="136">
        <f>SUM(AI197:AI198)</f>
        <v>6904</v>
      </c>
      <c r="AJ199" s="136">
        <f>AJ197</f>
        <v>26298.000000000007</v>
      </c>
      <c r="AK199" s="154">
        <f t="shared" si="54"/>
        <v>29465.000000000007</v>
      </c>
      <c r="AL199" s="136">
        <v>18638</v>
      </c>
      <c r="AM199" s="136">
        <f>SUM(AM197:AM198)</f>
        <v>24894.999999999993</v>
      </c>
      <c r="AN199" s="136">
        <v>33294</v>
      </c>
      <c r="AO199" s="136">
        <v>44916</v>
      </c>
      <c r="AP199" s="154">
        <f t="shared" si="55"/>
        <v>121743</v>
      </c>
      <c r="AQ199" s="136">
        <v>48405</v>
      </c>
      <c r="AR199" s="214">
        <v>55893</v>
      </c>
      <c r="AS199" s="214">
        <v>69465.999999999985</v>
      </c>
      <c r="AT199" s="136">
        <v>53540</v>
      </c>
      <c r="AU199" s="154">
        <f t="shared" si="56"/>
        <v>227304</v>
      </c>
      <c r="AV199" s="136">
        <f>AV198+AV197</f>
        <v>71590.861539999998</v>
      </c>
      <c r="AW199" s="136">
        <f t="shared" ref="AW199:BA199" si="64">AW198+AW197</f>
        <v>96726</v>
      </c>
      <c r="AX199" s="136">
        <f t="shared" si="64"/>
        <v>97158</v>
      </c>
      <c r="AY199" s="136">
        <f t="shared" si="64"/>
        <v>81973</v>
      </c>
      <c r="AZ199" s="154">
        <f>SUM(AV199:AY199)</f>
        <v>347447.86154000001</v>
      </c>
      <c r="BA199" s="136">
        <f t="shared" si="64"/>
        <v>81682</v>
      </c>
      <c r="BB199" s="211"/>
      <c r="BC199" s="211"/>
      <c r="BD199" s="211"/>
      <c r="BE199" s="211"/>
      <c r="BF199" s="211"/>
      <c r="BG199" s="211"/>
      <c r="BH199" s="211"/>
      <c r="BI199" s="211"/>
      <c r="BJ199" s="211"/>
      <c r="BK199" s="211"/>
      <c r="BL199" s="211"/>
      <c r="BM199" s="211"/>
      <c r="BN199" s="211"/>
      <c r="BO199" s="211"/>
      <c r="BP199" s="211"/>
      <c r="BQ199" s="211"/>
      <c r="BR199" s="211"/>
      <c r="BS199" s="211"/>
      <c r="BT199" s="211"/>
    </row>
    <row r="200" spans="1:72">
      <c r="A200" s="357"/>
      <c r="B200" s="11" t="s">
        <v>534</v>
      </c>
      <c r="C200" s="13"/>
      <c r="D200" s="13"/>
      <c r="E200" s="13"/>
      <c r="F200" s="13"/>
      <c r="G200" s="41"/>
      <c r="H200" s="13"/>
      <c r="I200" s="13"/>
      <c r="J200" s="13"/>
      <c r="K200" s="13"/>
      <c r="L200" s="41"/>
      <c r="M200" s="13"/>
      <c r="N200" s="13"/>
      <c r="O200" s="13"/>
      <c r="P200" s="13"/>
      <c r="Q200" s="41"/>
      <c r="R200" s="13"/>
      <c r="S200" s="13"/>
      <c r="T200" s="13"/>
      <c r="U200" s="13"/>
      <c r="V200" s="41"/>
      <c r="W200" s="13"/>
      <c r="X200" s="13"/>
      <c r="Y200" s="13"/>
      <c r="Z200" s="120">
        <v>0</v>
      </c>
      <c r="AA200" s="154"/>
      <c r="AB200" s="120">
        <v>0</v>
      </c>
      <c r="AC200" s="120">
        <v>0</v>
      </c>
      <c r="AD200" s="120">
        <v>0</v>
      </c>
      <c r="AE200" s="120">
        <v>0</v>
      </c>
      <c r="AF200" s="154">
        <v>0</v>
      </c>
      <c r="AG200" s="136">
        <v>11752</v>
      </c>
      <c r="AH200" s="214">
        <f>-16167-524</f>
        <v>-16691</v>
      </c>
      <c r="AI200" s="136">
        <v>-3911</v>
      </c>
      <c r="AJ200" s="136">
        <v>0</v>
      </c>
      <c r="AK200" s="154">
        <f t="shared" si="54"/>
        <v>-8850</v>
      </c>
      <c r="AL200" s="136">
        <v>0</v>
      </c>
      <c r="AM200" s="136">
        <v>0</v>
      </c>
      <c r="AN200" s="136">
        <v>0</v>
      </c>
      <c r="AO200" s="136">
        <v>0</v>
      </c>
      <c r="AP200" s="154">
        <f t="shared" si="55"/>
        <v>0</v>
      </c>
      <c r="AQ200" s="136">
        <v>0</v>
      </c>
      <c r="AR200" s="214">
        <v>0</v>
      </c>
      <c r="AS200" s="214">
        <v>0</v>
      </c>
      <c r="AT200" s="136">
        <v>0</v>
      </c>
      <c r="AU200" s="154">
        <f t="shared" si="56"/>
        <v>0</v>
      </c>
      <c r="AV200" s="136">
        <v>0</v>
      </c>
      <c r="AW200" s="136">
        <v>0</v>
      </c>
      <c r="AX200" s="136">
        <v>0</v>
      </c>
      <c r="AY200" s="136">
        <v>0</v>
      </c>
      <c r="AZ200" s="154">
        <f t="shared" si="57"/>
        <v>0</v>
      </c>
      <c r="BA200" s="214">
        <v>0</v>
      </c>
      <c r="BB200" s="211"/>
      <c r="BC200" s="211"/>
      <c r="BD200" s="211"/>
      <c r="BE200" s="211"/>
      <c r="BF200" s="211"/>
      <c r="BG200" s="211"/>
      <c r="BH200" s="211"/>
      <c r="BI200" s="211"/>
      <c r="BJ200" s="211"/>
      <c r="BK200" s="211"/>
      <c r="BL200" s="211"/>
      <c r="BM200" s="211"/>
      <c r="BN200" s="211"/>
      <c r="BO200" s="211"/>
      <c r="BP200" s="211"/>
      <c r="BQ200" s="211"/>
      <c r="BR200" s="211"/>
      <c r="BS200" s="211"/>
      <c r="BT200" s="211"/>
    </row>
    <row r="201" spans="1:72" ht="15.75" thickBot="1">
      <c r="A201" s="359"/>
      <c r="B201" s="17" t="s">
        <v>451</v>
      </c>
      <c r="C201" s="18"/>
      <c r="D201" s="18"/>
      <c r="E201" s="18"/>
      <c r="F201" s="18"/>
      <c r="G201" s="48"/>
      <c r="H201" s="18"/>
      <c r="I201" s="18"/>
      <c r="J201" s="18"/>
      <c r="K201" s="18"/>
      <c r="L201" s="48"/>
      <c r="M201" s="18"/>
      <c r="N201" s="18"/>
      <c r="O201" s="18"/>
      <c r="P201" s="18"/>
      <c r="Q201" s="48"/>
      <c r="R201" s="18"/>
      <c r="S201" s="18"/>
      <c r="T201" s="18"/>
      <c r="U201" s="18"/>
      <c r="V201" s="48"/>
      <c r="W201" s="18"/>
      <c r="X201" s="18"/>
      <c r="Y201" s="18"/>
      <c r="Z201" s="18">
        <v>1</v>
      </c>
      <c r="AA201" s="48">
        <v>1</v>
      </c>
      <c r="AB201" s="18">
        <v>0.75</v>
      </c>
      <c r="AC201" s="18">
        <v>0.75</v>
      </c>
      <c r="AD201" s="18">
        <v>0.75</v>
      </c>
      <c r="AE201" s="18">
        <v>0.75</v>
      </c>
      <c r="AF201" s="48">
        <v>0.75</v>
      </c>
      <c r="AG201" s="18">
        <v>0.74997199559397298</v>
      </c>
      <c r="AH201" s="169">
        <v>0.75</v>
      </c>
      <c r="AI201" s="18">
        <v>0.75</v>
      </c>
      <c r="AJ201" s="18">
        <v>0.75</v>
      </c>
      <c r="AK201" s="48">
        <v>0.75</v>
      </c>
      <c r="AL201" s="18">
        <v>0.75</v>
      </c>
      <c r="AM201" s="18">
        <v>0.75</v>
      </c>
      <c r="AN201" s="18">
        <v>0.75</v>
      </c>
      <c r="AO201" s="18">
        <v>0.75</v>
      </c>
      <c r="AP201" s="48">
        <v>0.75</v>
      </c>
      <c r="AQ201" s="18">
        <v>0.75</v>
      </c>
      <c r="AR201" s="169">
        <v>0.75</v>
      </c>
      <c r="AS201" s="169">
        <v>0.75</v>
      </c>
      <c r="AT201" s="18">
        <v>0.75</v>
      </c>
      <c r="AU201" s="48">
        <v>0.75</v>
      </c>
      <c r="AV201" s="18">
        <v>0.75</v>
      </c>
      <c r="AW201" s="18">
        <v>0.75</v>
      </c>
      <c r="AX201" s="18">
        <v>0.75</v>
      </c>
      <c r="AY201" s="18">
        <v>0.75</v>
      </c>
      <c r="AZ201" s="48">
        <v>0.74997199559397298</v>
      </c>
      <c r="BA201" s="169">
        <v>0.75</v>
      </c>
      <c r="BB201" s="211"/>
      <c r="BC201" s="211"/>
      <c r="BD201" s="211"/>
      <c r="BE201" s="211"/>
      <c r="BF201" s="211"/>
      <c r="BG201" s="211"/>
      <c r="BH201" s="211"/>
      <c r="BI201" s="211"/>
      <c r="BJ201" s="211"/>
      <c r="BK201" s="211"/>
      <c r="BL201" s="211"/>
      <c r="BM201" s="211"/>
      <c r="BN201" s="211"/>
      <c r="BO201" s="211"/>
      <c r="BP201" s="211"/>
      <c r="BQ201" s="211"/>
      <c r="BR201" s="211"/>
      <c r="BS201" s="211"/>
      <c r="BT201" s="211"/>
    </row>
    <row r="202" spans="1:72" s="253" customFormat="1" ht="95.1" customHeight="1">
      <c r="A202" s="361"/>
      <c r="B202" s="254" t="s">
        <v>535</v>
      </c>
      <c r="AC202" s="255"/>
      <c r="AD202" s="255"/>
      <c r="AE202" s="255"/>
      <c r="AG202" s="262">
        <f>AG200*AG201</f>
        <v>8813.6708922203707</v>
      </c>
      <c r="AH202" s="262">
        <f t="shared" ref="AH202:AI202" si="65">AH200*AH201</f>
        <v>-12518.25</v>
      </c>
      <c r="AI202" s="262">
        <f t="shared" si="65"/>
        <v>-2933.25</v>
      </c>
      <c r="AK202" s="262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745"/>
      <c r="BA202" s="745"/>
    </row>
    <row r="203" spans="1:72" s="103" customFormat="1" ht="23.25">
      <c r="A203" s="355"/>
      <c r="B203" s="74" t="s">
        <v>133</v>
      </c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</row>
    <row r="204" spans="1:72" ht="15.75" thickBot="1">
      <c r="BA204"/>
    </row>
    <row r="205" spans="1:72" s="2" customFormat="1">
      <c r="A205" s="670"/>
      <c r="B205" s="625" t="s">
        <v>536</v>
      </c>
      <c r="C205" s="626" t="s">
        <v>224</v>
      </c>
      <c r="D205" s="626" t="s">
        <v>225</v>
      </c>
      <c r="E205" s="626" t="s">
        <v>226</v>
      </c>
      <c r="F205" s="626" t="s">
        <v>227</v>
      </c>
      <c r="G205" s="652">
        <v>2016</v>
      </c>
      <c r="H205" s="626" t="s">
        <v>228</v>
      </c>
      <c r="I205" s="626" t="s">
        <v>229</v>
      </c>
      <c r="J205" s="626" t="s">
        <v>230</v>
      </c>
      <c r="K205" s="626" t="s">
        <v>231</v>
      </c>
      <c r="L205" s="652">
        <v>2017</v>
      </c>
      <c r="M205" s="626" t="s">
        <v>232</v>
      </c>
      <c r="N205" s="626" t="s">
        <v>233</v>
      </c>
      <c r="O205" s="626" t="s">
        <v>234</v>
      </c>
      <c r="P205" s="626" t="s">
        <v>235</v>
      </c>
      <c r="Q205" s="652">
        <v>2018</v>
      </c>
      <c r="R205" s="626" t="s">
        <v>236</v>
      </c>
      <c r="S205" s="626" t="s">
        <v>237</v>
      </c>
      <c r="T205" s="626" t="s">
        <v>238</v>
      </c>
      <c r="U205" s="626" t="s">
        <v>239</v>
      </c>
      <c r="V205" s="652">
        <v>2019</v>
      </c>
      <c r="W205" s="626" t="s">
        <v>240</v>
      </c>
      <c r="X205" s="626" t="s">
        <v>241</v>
      </c>
      <c r="Y205" s="626" t="s">
        <v>242</v>
      </c>
      <c r="Z205" s="626" t="s">
        <v>243</v>
      </c>
      <c r="AA205" s="652">
        <v>2020</v>
      </c>
      <c r="AB205" s="626" t="s">
        <v>244</v>
      </c>
      <c r="AC205" s="626" t="s">
        <v>245</v>
      </c>
      <c r="AD205" s="626" t="s">
        <v>246</v>
      </c>
      <c r="AE205" s="626" t="s">
        <v>247</v>
      </c>
      <c r="AF205" s="652">
        <v>2021</v>
      </c>
      <c r="AG205" s="626" t="s">
        <v>248</v>
      </c>
      <c r="AH205" s="626" t="s">
        <v>249</v>
      </c>
      <c r="AI205" s="626" t="s">
        <v>250</v>
      </c>
      <c r="AJ205" s="626" t="s">
        <v>215</v>
      </c>
      <c r="AK205" s="652">
        <v>2022</v>
      </c>
      <c r="AL205" s="626" t="s">
        <v>252</v>
      </c>
      <c r="AM205" s="626" t="s">
        <v>253</v>
      </c>
      <c r="AN205" s="626" t="s">
        <v>254</v>
      </c>
      <c r="AO205" s="626" t="s">
        <v>219</v>
      </c>
      <c r="AP205" s="652">
        <v>2023</v>
      </c>
      <c r="AQ205" s="626" t="s">
        <v>223</v>
      </c>
      <c r="AR205" s="626" t="s">
        <v>256</v>
      </c>
      <c r="AS205" s="626" t="s">
        <v>357</v>
      </c>
      <c r="AT205" s="626" t="s">
        <v>358</v>
      </c>
      <c r="AU205" s="652">
        <v>2024</v>
      </c>
      <c r="AV205" s="626" t="s">
        <v>359</v>
      </c>
      <c r="AW205" s="626" t="s">
        <v>1115</v>
      </c>
      <c r="AX205" s="626" t="s">
        <v>1116</v>
      </c>
      <c r="AY205" s="626" t="s">
        <v>1117</v>
      </c>
      <c r="AZ205" s="653" t="s">
        <v>1118</v>
      </c>
      <c r="BA205" s="645" t="s">
        <v>1124</v>
      </c>
    </row>
    <row r="206" spans="1:72" s="2" customFormat="1">
      <c r="A206" s="356"/>
      <c r="B206" s="9" t="s">
        <v>509</v>
      </c>
      <c r="C206" s="10"/>
      <c r="D206" s="10"/>
      <c r="E206" s="10"/>
      <c r="F206" s="10"/>
      <c r="G206" s="39"/>
      <c r="H206" s="10"/>
      <c r="I206" s="10"/>
      <c r="J206" s="10"/>
      <c r="K206" s="10"/>
      <c r="L206" s="39"/>
      <c r="M206" s="10"/>
      <c r="N206" s="10"/>
      <c r="O206" s="10"/>
      <c r="P206" s="10"/>
      <c r="Q206" s="39"/>
      <c r="R206" s="10"/>
      <c r="S206" s="10"/>
      <c r="T206" s="10"/>
      <c r="U206" s="10"/>
      <c r="V206" s="39"/>
      <c r="W206" s="10"/>
      <c r="X206" s="10"/>
      <c r="Y206" s="10"/>
      <c r="Z206" s="117">
        <v>0</v>
      </c>
      <c r="AA206" s="118">
        <v>0</v>
      </c>
      <c r="AB206" s="117">
        <v>476</v>
      </c>
      <c r="AC206" s="117">
        <v>2759</v>
      </c>
      <c r="AD206" s="117">
        <v>4900</v>
      </c>
      <c r="AE206" s="117">
        <v>8186</v>
      </c>
      <c r="AF206" s="118">
        <v>16321</v>
      </c>
      <c r="AG206" s="117">
        <v>8655</v>
      </c>
      <c r="AH206" s="117">
        <v>12849</v>
      </c>
      <c r="AI206" s="117">
        <v>18802</v>
      </c>
      <c r="AJ206" s="117">
        <v>25554</v>
      </c>
      <c r="AK206" s="118">
        <f>SUM(AG206:AJ206)</f>
        <v>65860</v>
      </c>
      <c r="AL206" s="117">
        <v>27992</v>
      </c>
      <c r="AM206" s="117">
        <v>34285</v>
      </c>
      <c r="AN206" s="117">
        <v>40593</v>
      </c>
      <c r="AO206" s="117">
        <v>43855</v>
      </c>
      <c r="AP206" s="118">
        <f>SUM(AL206:AO206)</f>
        <v>146725</v>
      </c>
      <c r="AQ206" s="117">
        <v>44699</v>
      </c>
      <c r="AR206" s="117">
        <v>46680</v>
      </c>
      <c r="AS206" s="117">
        <v>50776</v>
      </c>
      <c r="AT206" s="117">
        <v>66195</v>
      </c>
      <c r="AU206" s="118">
        <f>SUM(AQ206:AT206)</f>
        <v>208350</v>
      </c>
      <c r="AV206" s="117">
        <v>68225</v>
      </c>
      <c r="AW206" s="117">
        <v>75464</v>
      </c>
      <c r="AX206" s="117">
        <v>75841</v>
      </c>
      <c r="AY206" s="117">
        <v>55998</v>
      </c>
      <c r="AZ206" s="118">
        <f>SUM(AV206:AY206)</f>
        <v>275528</v>
      </c>
      <c r="BA206" s="117">
        <v>51144</v>
      </c>
      <c r="BB206" s="462"/>
      <c r="BC206" s="462"/>
      <c r="BD206" s="462"/>
      <c r="BE206" s="462"/>
      <c r="BF206" s="462"/>
      <c r="BG206" s="462"/>
      <c r="BH206" s="462"/>
      <c r="BI206" s="462"/>
      <c r="BJ206" s="462"/>
      <c r="BK206" s="462"/>
      <c r="BL206" s="462"/>
      <c r="BM206" s="462"/>
      <c r="BN206" s="462"/>
      <c r="BO206" s="462"/>
      <c r="BP206" s="462"/>
      <c r="BQ206" s="462"/>
      <c r="BR206" s="462"/>
      <c r="BS206" s="462"/>
      <c r="BT206" s="462"/>
    </row>
    <row r="207" spans="1:72">
      <c r="A207" s="357"/>
      <c r="B207" s="11" t="s">
        <v>510</v>
      </c>
      <c r="C207" s="12"/>
      <c r="D207" s="12"/>
      <c r="E207" s="12"/>
      <c r="F207" s="12"/>
      <c r="G207" s="40"/>
      <c r="H207" s="12"/>
      <c r="I207" s="12"/>
      <c r="J207" s="12"/>
      <c r="K207" s="12"/>
      <c r="L207" s="40"/>
      <c r="M207" s="12"/>
      <c r="N207" s="12"/>
      <c r="O207" s="12"/>
      <c r="P207" s="12"/>
      <c r="Q207" s="40"/>
      <c r="R207" s="12"/>
      <c r="S207" s="12"/>
      <c r="T207" s="12"/>
      <c r="U207" s="12"/>
      <c r="V207" s="40"/>
      <c r="W207" s="12"/>
      <c r="X207" s="12"/>
      <c r="Y207" s="12"/>
      <c r="Z207" s="153">
        <v>0</v>
      </c>
      <c r="AA207" s="144">
        <v>0</v>
      </c>
      <c r="AB207" s="153">
        <v>-347.07729999999992</v>
      </c>
      <c r="AC207" s="153">
        <v>-2182.9227000000001</v>
      </c>
      <c r="AD207" s="153">
        <v>-4359</v>
      </c>
      <c r="AE207" s="153">
        <v>-6295</v>
      </c>
      <c r="AF207" s="144">
        <v>-13184</v>
      </c>
      <c r="AG207" s="153">
        <v>-5948</v>
      </c>
      <c r="AH207" s="153">
        <v>-8028</v>
      </c>
      <c r="AI207" s="153">
        <v>-10084</v>
      </c>
      <c r="AJ207" s="153">
        <v>-11939</v>
      </c>
      <c r="AK207" s="144">
        <f t="shared" ref="AK207:AK225" si="66">SUM(AG207:AJ207)</f>
        <v>-35999</v>
      </c>
      <c r="AL207" s="153">
        <v>-13350</v>
      </c>
      <c r="AM207" s="153">
        <v>-16047</v>
      </c>
      <c r="AN207" s="153">
        <v>-19880</v>
      </c>
      <c r="AO207" s="153">
        <v>-21833</v>
      </c>
      <c r="AP207" s="144">
        <f t="shared" ref="AP207:AP225" si="67">SUM(AL207:AO207)</f>
        <v>-71110</v>
      </c>
      <c r="AQ207" s="153">
        <v>-22768</v>
      </c>
      <c r="AR207" s="121">
        <v>-25271</v>
      </c>
      <c r="AS207" s="121">
        <v>-25926</v>
      </c>
      <c r="AT207" s="121">
        <v>-31960</v>
      </c>
      <c r="AU207" s="144">
        <f t="shared" ref="AU207:AU225" si="68">SUM(AQ207:AT207)</f>
        <v>-105925</v>
      </c>
      <c r="AV207" s="121">
        <v>-34239</v>
      </c>
      <c r="AW207" s="121">
        <v>-38138</v>
      </c>
      <c r="AX207" s="121">
        <v>-35987</v>
      </c>
      <c r="AY207" s="121">
        <v>-20532.169089999989</v>
      </c>
      <c r="AZ207" s="144">
        <f t="shared" ref="AZ207:AZ225" si="69">SUM(AV207:AY207)</f>
        <v>-128896.16908999998</v>
      </c>
      <c r="BA207" s="123">
        <v>-17680</v>
      </c>
      <c r="BB207" s="462"/>
      <c r="BC207" s="462"/>
      <c r="BD207" s="462"/>
      <c r="BE207" s="462"/>
      <c r="BF207" s="462"/>
      <c r="BG207" s="462"/>
      <c r="BH207" s="462"/>
      <c r="BI207" s="462"/>
      <c r="BJ207" s="462"/>
      <c r="BK207" s="462"/>
      <c r="BL207" s="462"/>
      <c r="BM207" s="462"/>
      <c r="BN207" s="462"/>
      <c r="BO207" s="462"/>
      <c r="BP207" s="462"/>
      <c r="BQ207" s="462"/>
      <c r="BR207" s="462"/>
      <c r="BS207" s="462"/>
      <c r="BT207" s="462"/>
    </row>
    <row r="208" spans="1:72" s="2" customFormat="1">
      <c r="A208" s="356"/>
      <c r="B208" s="9" t="s">
        <v>412</v>
      </c>
      <c r="C208" s="10"/>
      <c r="D208" s="10"/>
      <c r="E208" s="10"/>
      <c r="F208" s="10"/>
      <c r="G208" s="39"/>
      <c r="H208" s="10"/>
      <c r="I208" s="10"/>
      <c r="J208" s="10"/>
      <c r="K208" s="10"/>
      <c r="L208" s="39"/>
      <c r="M208" s="10"/>
      <c r="N208" s="10"/>
      <c r="O208" s="10"/>
      <c r="P208" s="10"/>
      <c r="Q208" s="39"/>
      <c r="R208" s="10"/>
      <c r="S208" s="10"/>
      <c r="T208" s="10"/>
      <c r="U208" s="10"/>
      <c r="V208" s="39"/>
      <c r="W208" s="10"/>
      <c r="X208" s="10"/>
      <c r="Y208" s="10"/>
      <c r="Z208" s="117">
        <v>0</v>
      </c>
      <c r="AA208" s="118">
        <v>0</v>
      </c>
      <c r="AB208" s="117">
        <v>128.92270000000002</v>
      </c>
      <c r="AC208" s="117">
        <v>576.07729999999992</v>
      </c>
      <c r="AD208" s="117">
        <v>541</v>
      </c>
      <c r="AE208" s="117">
        <v>1891</v>
      </c>
      <c r="AF208" s="118">
        <v>3137</v>
      </c>
      <c r="AG208" s="117">
        <f>SUM(AG206:AG207)</f>
        <v>2707</v>
      </c>
      <c r="AH208" s="117">
        <f>SUM(AH206:AH207)</f>
        <v>4821</v>
      </c>
      <c r="AI208" s="117">
        <f>SUM(AI206:AI207)</f>
        <v>8718</v>
      </c>
      <c r="AJ208" s="117">
        <f>SUM(AJ206:AJ207)</f>
        <v>13615</v>
      </c>
      <c r="AK208" s="118">
        <f t="shared" si="66"/>
        <v>29861</v>
      </c>
      <c r="AL208" s="117">
        <f>SUM(AL206:AL207)</f>
        <v>14642</v>
      </c>
      <c r="AM208" s="117">
        <f>SUM(AM206:AM207)</f>
        <v>18238</v>
      </c>
      <c r="AN208" s="117">
        <f>SUM(AN206:AN207)</f>
        <v>20713</v>
      </c>
      <c r="AO208" s="117">
        <f>SUM(AO206:AO207)</f>
        <v>22022</v>
      </c>
      <c r="AP208" s="118">
        <f t="shared" si="67"/>
        <v>75615</v>
      </c>
      <c r="AQ208" s="117">
        <f>SUM(AQ206:AQ207)</f>
        <v>21931</v>
      </c>
      <c r="AR208" s="117">
        <f t="shared" ref="AR208:AW208" si="70">SUM(AR206:AR207)</f>
        <v>21409</v>
      </c>
      <c r="AS208" s="117">
        <f t="shared" si="70"/>
        <v>24850</v>
      </c>
      <c r="AT208" s="117">
        <f t="shared" si="70"/>
        <v>34235</v>
      </c>
      <c r="AU208" s="118">
        <f t="shared" si="68"/>
        <v>102425</v>
      </c>
      <c r="AV208" s="117">
        <f t="shared" si="70"/>
        <v>33986</v>
      </c>
      <c r="AW208" s="117">
        <f t="shared" si="70"/>
        <v>37326</v>
      </c>
      <c r="AX208" s="117">
        <f>SUM(AX206:AX207)</f>
        <v>39854</v>
      </c>
      <c r="AY208" s="117">
        <f>SUM(AY206:AY207)</f>
        <v>35465.830910000011</v>
      </c>
      <c r="AZ208" s="118">
        <f t="shared" si="69"/>
        <v>146631.83091000002</v>
      </c>
      <c r="BA208" s="117">
        <v>33465</v>
      </c>
      <c r="BB208" s="462"/>
      <c r="BC208" s="462"/>
      <c r="BD208" s="462"/>
      <c r="BE208" s="462"/>
      <c r="BF208" s="462"/>
      <c r="BG208" s="462"/>
      <c r="BH208" s="462"/>
      <c r="BI208" s="462"/>
      <c r="BJ208" s="462"/>
      <c r="BK208" s="462"/>
      <c r="BL208" s="462"/>
      <c r="BM208" s="462"/>
      <c r="BN208" s="462"/>
      <c r="BO208" s="462"/>
      <c r="BP208" s="462"/>
      <c r="BQ208" s="462"/>
      <c r="BR208" s="462"/>
      <c r="BS208" s="462"/>
      <c r="BT208" s="462"/>
    </row>
    <row r="209" spans="1:72">
      <c r="A209" s="357"/>
      <c r="B209" s="11" t="s">
        <v>413</v>
      </c>
      <c r="C209" s="8"/>
      <c r="D209" s="8"/>
      <c r="E209" s="8"/>
      <c r="F209" s="8"/>
      <c r="G209" s="40"/>
      <c r="H209" s="8"/>
      <c r="I209" s="8"/>
      <c r="J209" s="8"/>
      <c r="K209" s="8"/>
      <c r="L209" s="40"/>
      <c r="M209" s="8"/>
      <c r="N209" s="8"/>
      <c r="O209" s="8"/>
      <c r="P209" s="8"/>
      <c r="Q209" s="40"/>
      <c r="R209" s="12"/>
      <c r="S209" s="12"/>
      <c r="T209" s="12"/>
      <c r="U209" s="12"/>
      <c r="V209" s="40"/>
      <c r="W209" s="12"/>
      <c r="X209" s="12"/>
      <c r="Y209" s="12"/>
      <c r="Z209" s="153">
        <v>0</v>
      </c>
      <c r="AA209" s="144">
        <v>0</v>
      </c>
      <c r="AB209" s="153">
        <v>-431.13371000000001</v>
      </c>
      <c r="AC209" s="153">
        <v>-1289.3930399999999</v>
      </c>
      <c r="AD209" s="153">
        <v>-1852.47325</v>
      </c>
      <c r="AE209" s="153">
        <v>-3810</v>
      </c>
      <c r="AF209" s="144">
        <v>-7383</v>
      </c>
      <c r="AG209" s="153">
        <v>-2711</v>
      </c>
      <c r="AH209" s="153">
        <v>-4257</v>
      </c>
      <c r="AI209" s="153">
        <v>-7037</v>
      </c>
      <c r="AJ209" s="153">
        <v>-10966</v>
      </c>
      <c r="AK209" s="144">
        <f t="shared" si="66"/>
        <v>-24971</v>
      </c>
      <c r="AL209" s="153">
        <v>-10352</v>
      </c>
      <c r="AM209" s="153">
        <v>-10432</v>
      </c>
      <c r="AN209" s="153">
        <v>-11801</v>
      </c>
      <c r="AO209" s="153">
        <v>-12920</v>
      </c>
      <c r="AP209" s="144">
        <f t="shared" si="67"/>
        <v>-45505</v>
      </c>
      <c r="AQ209" s="153">
        <v>-12873</v>
      </c>
      <c r="AR209" s="153">
        <v>-14583</v>
      </c>
      <c r="AS209" s="153">
        <v>-15517</v>
      </c>
      <c r="AT209" s="153">
        <v>-19510</v>
      </c>
      <c r="AU209" s="144">
        <f t="shared" si="68"/>
        <v>-62483</v>
      </c>
      <c r="AV209" s="153">
        <v>-20067</v>
      </c>
      <c r="AW209" s="153">
        <v>-21827</v>
      </c>
      <c r="AX209" s="153">
        <v>-21806</v>
      </c>
      <c r="AY209" s="153">
        <v>-25291</v>
      </c>
      <c r="AZ209" s="144">
        <f t="shared" si="69"/>
        <v>-88991</v>
      </c>
      <c r="BA209" s="123">
        <v>-24434</v>
      </c>
      <c r="BB209" s="462"/>
      <c r="BC209" s="462"/>
      <c r="BD209" s="462"/>
      <c r="BE209" s="462"/>
      <c r="BF209" s="462"/>
      <c r="BG209" s="462"/>
      <c r="BH209" s="462"/>
      <c r="BI209" s="462"/>
      <c r="BJ209" s="462"/>
      <c r="BK209" s="462"/>
      <c r="BL209" s="462"/>
      <c r="BM209" s="462"/>
      <c r="BN209" s="462"/>
      <c r="BO209" s="462"/>
      <c r="BP209" s="462"/>
      <c r="BQ209" s="462"/>
      <c r="BR209" s="462"/>
      <c r="BS209" s="462"/>
      <c r="BT209" s="462"/>
    </row>
    <row r="210" spans="1:72">
      <c r="A210" s="357"/>
      <c r="B210" s="11" t="s">
        <v>414</v>
      </c>
      <c r="C210" s="13"/>
      <c r="D210" s="13"/>
      <c r="E210" s="13"/>
      <c r="F210" s="13"/>
      <c r="G210" s="41"/>
      <c r="H210" s="13"/>
      <c r="I210" s="13"/>
      <c r="J210" s="13"/>
      <c r="K210" s="13"/>
      <c r="L210" s="41"/>
      <c r="M210" s="13"/>
      <c r="N210" s="13"/>
      <c r="O210" s="13"/>
      <c r="P210" s="13"/>
      <c r="Q210" s="41"/>
      <c r="R210" s="13"/>
      <c r="S210" s="13"/>
      <c r="T210" s="13"/>
      <c r="U210" s="13"/>
      <c r="V210" s="41"/>
      <c r="W210" s="13"/>
      <c r="X210" s="13"/>
      <c r="Y210" s="13"/>
      <c r="Z210" s="120">
        <v>-2</v>
      </c>
      <c r="AA210" s="154">
        <v>-2</v>
      </c>
      <c r="AB210" s="120">
        <v>0</v>
      </c>
      <c r="AC210" s="120">
        <v>0</v>
      </c>
      <c r="AD210" s="153">
        <v>0</v>
      </c>
      <c r="AE210" s="153">
        <v>0</v>
      </c>
      <c r="AF210" s="154">
        <v>0</v>
      </c>
      <c r="AG210" s="153">
        <v>0</v>
      </c>
      <c r="AH210" s="153">
        <v>0</v>
      </c>
      <c r="AI210" s="153">
        <v>0</v>
      </c>
      <c r="AJ210" s="153">
        <v>0</v>
      </c>
      <c r="AK210" s="154">
        <f t="shared" si="66"/>
        <v>0</v>
      </c>
      <c r="AL210" s="153">
        <v>0</v>
      </c>
      <c r="AM210" s="153">
        <v>0</v>
      </c>
      <c r="AN210" s="153">
        <v>0</v>
      </c>
      <c r="AO210" s="153">
        <v>0</v>
      </c>
      <c r="AP210" s="154">
        <f t="shared" si="67"/>
        <v>0</v>
      </c>
      <c r="AQ210" s="153">
        <v>0</v>
      </c>
      <c r="AR210" s="153">
        <v>0</v>
      </c>
      <c r="AS210" s="153">
        <v>0</v>
      </c>
      <c r="AT210" s="153">
        <v>0</v>
      </c>
      <c r="AU210" s="154">
        <f t="shared" si="68"/>
        <v>0</v>
      </c>
      <c r="AV210" s="153">
        <v>0</v>
      </c>
      <c r="AW210" s="153">
        <v>0</v>
      </c>
      <c r="AX210" s="153">
        <v>0</v>
      </c>
      <c r="AY210" s="153">
        <v>0</v>
      </c>
      <c r="AZ210" s="154">
        <f t="shared" si="69"/>
        <v>0</v>
      </c>
      <c r="BA210" s="120">
        <v>0</v>
      </c>
      <c r="BB210" s="462"/>
      <c r="BC210" s="462"/>
      <c r="BD210" s="462"/>
      <c r="BE210" s="462"/>
      <c r="BF210" s="462"/>
      <c r="BG210" s="462"/>
      <c r="BH210" s="462"/>
      <c r="BI210" s="462"/>
      <c r="BJ210" s="462"/>
      <c r="BK210" s="462"/>
      <c r="BL210" s="462"/>
      <c r="BM210" s="462"/>
      <c r="BN210" s="462"/>
      <c r="BO210" s="462"/>
      <c r="BP210" s="462"/>
      <c r="BQ210" s="462"/>
      <c r="BR210" s="462"/>
      <c r="BS210" s="462"/>
      <c r="BT210" s="462"/>
    </row>
    <row r="211" spans="1:72">
      <c r="A211" s="357"/>
      <c r="B211" s="11" t="s">
        <v>415</v>
      </c>
      <c r="C211" s="13"/>
      <c r="D211" s="13"/>
      <c r="E211" s="13"/>
      <c r="F211" s="13"/>
      <c r="G211" s="41"/>
      <c r="H211" s="13"/>
      <c r="I211" s="13"/>
      <c r="J211" s="13"/>
      <c r="K211" s="13"/>
      <c r="L211" s="41"/>
      <c r="M211" s="13"/>
      <c r="N211" s="13"/>
      <c r="O211" s="13"/>
      <c r="P211" s="13"/>
      <c r="Q211" s="41"/>
      <c r="R211" s="13"/>
      <c r="S211" s="13"/>
      <c r="T211" s="13"/>
      <c r="U211" s="13"/>
      <c r="V211" s="41"/>
      <c r="W211" s="13"/>
      <c r="X211" s="13"/>
      <c r="Y211" s="13"/>
      <c r="Z211" s="120">
        <v>56</v>
      </c>
      <c r="AA211" s="154">
        <v>56</v>
      </c>
      <c r="AB211" s="120">
        <v>51.58728</v>
      </c>
      <c r="AC211" s="120">
        <v>175.74972</v>
      </c>
      <c r="AD211" s="153">
        <v>34.663000000000011</v>
      </c>
      <c r="AE211" s="153">
        <v>-4</v>
      </c>
      <c r="AF211" s="154">
        <v>258</v>
      </c>
      <c r="AG211" s="153">
        <v>-102</v>
      </c>
      <c r="AH211" s="153">
        <v>-60</v>
      </c>
      <c r="AI211" s="153">
        <v>375</v>
      </c>
      <c r="AJ211" s="153">
        <v>1862</v>
      </c>
      <c r="AK211" s="154">
        <f t="shared" si="66"/>
        <v>2075</v>
      </c>
      <c r="AL211" s="153">
        <v>1109</v>
      </c>
      <c r="AM211" s="153">
        <v>1363</v>
      </c>
      <c r="AN211" s="153">
        <v>1589</v>
      </c>
      <c r="AO211" s="153">
        <v>1544</v>
      </c>
      <c r="AP211" s="154">
        <f t="shared" si="67"/>
        <v>5605</v>
      </c>
      <c r="AQ211" s="153">
        <v>1383</v>
      </c>
      <c r="AR211" s="153">
        <v>1656</v>
      </c>
      <c r="AS211" s="153">
        <v>2063</v>
      </c>
      <c r="AT211" s="153">
        <v>2461</v>
      </c>
      <c r="AU211" s="154">
        <f t="shared" si="68"/>
        <v>7563</v>
      </c>
      <c r="AV211" s="153">
        <v>3129</v>
      </c>
      <c r="AW211" s="153">
        <v>3982</v>
      </c>
      <c r="AX211" s="153">
        <v>5010</v>
      </c>
      <c r="AY211" s="153">
        <v>5037</v>
      </c>
      <c r="AZ211" s="154">
        <f t="shared" si="69"/>
        <v>17158</v>
      </c>
      <c r="BA211" s="120">
        <v>5615</v>
      </c>
      <c r="BB211" s="462"/>
      <c r="BC211" s="462"/>
      <c r="BD211" s="462"/>
      <c r="BE211" s="462"/>
      <c r="BF211" s="462"/>
      <c r="BG211" s="462"/>
      <c r="BH211" s="462"/>
      <c r="BI211" s="462"/>
      <c r="BJ211" s="462"/>
      <c r="BK211" s="462"/>
      <c r="BL211" s="462"/>
      <c r="BM211" s="462"/>
      <c r="BN211" s="462"/>
      <c r="BO211" s="462"/>
      <c r="BP211" s="462"/>
      <c r="BQ211" s="462"/>
      <c r="BR211" s="462"/>
      <c r="BS211" s="462"/>
      <c r="BT211" s="462"/>
    </row>
    <row r="212" spans="1:72">
      <c r="A212" s="357"/>
      <c r="B212" s="11" t="s">
        <v>416</v>
      </c>
      <c r="C212" s="8"/>
      <c r="D212" s="8"/>
      <c r="E212" s="8"/>
      <c r="F212" s="8"/>
      <c r="G212" s="40"/>
      <c r="H212" s="8"/>
      <c r="I212" s="8"/>
      <c r="J212" s="8"/>
      <c r="K212" s="8"/>
      <c r="L212" s="40"/>
      <c r="M212" s="8"/>
      <c r="N212" s="8"/>
      <c r="O212" s="8"/>
      <c r="P212" s="8"/>
      <c r="Q212" s="40"/>
      <c r="R212" s="12"/>
      <c r="S212" s="12"/>
      <c r="T212" s="12"/>
      <c r="U212" s="12"/>
      <c r="V212" s="40"/>
      <c r="W212" s="12"/>
      <c r="X212" s="12"/>
      <c r="Y212" s="12"/>
      <c r="Z212" s="153">
        <v>0</v>
      </c>
      <c r="AA212" s="144">
        <v>0</v>
      </c>
      <c r="AB212" s="153">
        <v>0</v>
      </c>
      <c r="AC212" s="153">
        <v>0</v>
      </c>
      <c r="AD212" s="153">
        <v>0</v>
      </c>
      <c r="AE212" s="153">
        <v>0</v>
      </c>
      <c r="AF212" s="144">
        <v>0</v>
      </c>
      <c r="AG212" s="153">
        <v>0</v>
      </c>
      <c r="AH212" s="153">
        <v>0</v>
      </c>
      <c r="AI212" s="153">
        <v>0</v>
      </c>
      <c r="AJ212" s="153">
        <v>0</v>
      </c>
      <c r="AK212" s="144">
        <f t="shared" si="66"/>
        <v>0</v>
      </c>
      <c r="AL212" s="153">
        <v>0</v>
      </c>
      <c r="AM212" s="153">
        <v>0</v>
      </c>
      <c r="AN212" s="153">
        <v>0</v>
      </c>
      <c r="AO212" s="153">
        <v>0</v>
      </c>
      <c r="AP212" s="144">
        <f t="shared" si="67"/>
        <v>0</v>
      </c>
      <c r="AQ212" s="153">
        <v>0</v>
      </c>
      <c r="AR212" s="153">
        <v>0</v>
      </c>
      <c r="AS212" s="153">
        <v>0</v>
      </c>
      <c r="AT212" s="153">
        <v>0</v>
      </c>
      <c r="AU212" s="144">
        <f t="shared" si="68"/>
        <v>0</v>
      </c>
      <c r="AV212" s="153">
        <v>0</v>
      </c>
      <c r="AW212" s="153">
        <v>0</v>
      </c>
      <c r="AX212" s="153">
        <v>0</v>
      </c>
      <c r="AY212" s="153">
        <v>0</v>
      </c>
      <c r="AZ212" s="144">
        <f t="shared" si="69"/>
        <v>0</v>
      </c>
      <c r="BA212" s="123">
        <v>0</v>
      </c>
      <c r="BB212" s="462"/>
      <c r="BC212" s="462"/>
      <c r="BD212" s="462"/>
      <c r="BE212" s="462"/>
      <c r="BF212" s="462"/>
      <c r="BG212" s="462"/>
      <c r="BH212" s="462"/>
      <c r="BI212" s="462"/>
      <c r="BJ212" s="462"/>
      <c r="BK212" s="462"/>
      <c r="BL212" s="462"/>
      <c r="BM212" s="462"/>
      <c r="BN212" s="462"/>
      <c r="BO212" s="462"/>
      <c r="BP212" s="462"/>
      <c r="BQ212" s="462"/>
      <c r="BR212" s="462"/>
      <c r="BS212" s="462"/>
      <c r="BT212" s="462"/>
    </row>
    <row r="213" spans="1:72">
      <c r="A213" s="360"/>
      <c r="B213" s="73" t="s">
        <v>479</v>
      </c>
      <c r="C213" s="8"/>
      <c r="D213" s="8"/>
      <c r="E213" s="8"/>
      <c r="F213" s="8"/>
      <c r="G213" s="40"/>
      <c r="H213" s="8"/>
      <c r="I213" s="8"/>
      <c r="J213" s="8"/>
      <c r="K213" s="8"/>
      <c r="L213" s="40"/>
      <c r="M213" s="8"/>
      <c r="N213" s="8"/>
      <c r="O213" s="8"/>
      <c r="P213" s="8"/>
      <c r="Q213" s="40"/>
      <c r="R213" s="12"/>
      <c r="S213" s="12"/>
      <c r="T213" s="12"/>
      <c r="U213" s="12"/>
      <c r="V213" s="40"/>
      <c r="W213" s="12"/>
      <c r="X213" s="12"/>
      <c r="Y213" s="12"/>
      <c r="Z213" s="153"/>
      <c r="AA213" s="144"/>
      <c r="AB213" s="153"/>
      <c r="AC213" s="153"/>
      <c r="AD213" s="153"/>
      <c r="AE213" s="153">
        <v>0</v>
      </c>
      <c r="AF213" s="144">
        <v>0</v>
      </c>
      <c r="AG213" s="153">
        <v>0</v>
      </c>
      <c r="AH213" s="153">
        <v>0</v>
      </c>
      <c r="AI213" s="153">
        <v>0</v>
      </c>
      <c r="AJ213" s="153">
        <v>0</v>
      </c>
      <c r="AK213" s="144">
        <f t="shared" si="66"/>
        <v>0</v>
      </c>
      <c r="AL213" s="153">
        <v>0</v>
      </c>
      <c r="AM213" s="153">
        <v>0</v>
      </c>
      <c r="AN213" s="153">
        <v>0</v>
      </c>
      <c r="AO213" s="153">
        <v>0</v>
      </c>
      <c r="AP213" s="144">
        <f t="shared" si="67"/>
        <v>0</v>
      </c>
      <c r="AQ213" s="153">
        <v>0</v>
      </c>
      <c r="AR213" s="153">
        <v>0</v>
      </c>
      <c r="AS213" s="153">
        <v>0</v>
      </c>
      <c r="AT213" s="153">
        <v>0</v>
      </c>
      <c r="AU213" s="144">
        <f t="shared" si="68"/>
        <v>0</v>
      </c>
      <c r="AV213" s="153">
        <v>0</v>
      </c>
      <c r="AW213" s="153">
        <v>0</v>
      </c>
      <c r="AX213" s="153">
        <v>0</v>
      </c>
      <c r="AY213" s="153">
        <v>0</v>
      </c>
      <c r="AZ213" s="144">
        <f t="shared" si="69"/>
        <v>0</v>
      </c>
      <c r="BA213" s="123">
        <v>0</v>
      </c>
      <c r="BB213" s="462"/>
      <c r="BC213" s="462"/>
      <c r="BD213" s="462"/>
      <c r="BE213" s="462"/>
      <c r="BF213" s="462"/>
      <c r="BG213" s="462"/>
      <c r="BH213" s="462"/>
      <c r="BI213" s="462"/>
      <c r="BJ213" s="462"/>
      <c r="BK213" s="462"/>
      <c r="BL213" s="462"/>
      <c r="BM213" s="462"/>
      <c r="BN213" s="462"/>
      <c r="BO213" s="462"/>
      <c r="BP213" s="462"/>
      <c r="BQ213" s="462"/>
      <c r="BR213" s="462"/>
      <c r="BS213" s="462"/>
      <c r="BT213" s="462"/>
    </row>
    <row r="214" spans="1:72" s="2" customFormat="1">
      <c r="A214" s="356"/>
      <c r="B214" s="9" t="s">
        <v>418</v>
      </c>
      <c r="C214" s="10"/>
      <c r="D214" s="10"/>
      <c r="E214" s="10"/>
      <c r="F214" s="10"/>
      <c r="G214" s="39"/>
      <c r="H214" s="10"/>
      <c r="I214" s="10"/>
      <c r="J214" s="10"/>
      <c r="K214" s="10"/>
      <c r="L214" s="39"/>
      <c r="M214" s="10"/>
      <c r="N214" s="10"/>
      <c r="O214" s="10"/>
      <c r="P214" s="10"/>
      <c r="Q214" s="39"/>
      <c r="R214" s="10"/>
      <c r="S214" s="10"/>
      <c r="T214" s="10"/>
      <c r="U214" s="10"/>
      <c r="V214" s="39"/>
      <c r="W214" s="10"/>
      <c r="X214" s="10"/>
      <c r="Y214" s="10"/>
      <c r="Z214" s="117">
        <v>54</v>
      </c>
      <c r="AA214" s="118">
        <v>54</v>
      </c>
      <c r="AB214" s="117">
        <v>-250.62372999999999</v>
      </c>
      <c r="AC214" s="117">
        <v>-537.56601999999998</v>
      </c>
      <c r="AD214" s="117">
        <v>-1276.81025</v>
      </c>
      <c r="AE214" s="117">
        <v>-1923</v>
      </c>
      <c r="AF214" s="118">
        <v>-3988</v>
      </c>
      <c r="AG214" s="117">
        <f>SUM(AG208:AG213)</f>
        <v>-106</v>
      </c>
      <c r="AH214" s="160">
        <f>SUM(AH208:AH213)</f>
        <v>504</v>
      </c>
      <c r="AI214" s="117">
        <f>SUM(AI208:AI213)</f>
        <v>2056</v>
      </c>
      <c r="AJ214" s="117">
        <f>SUM(AJ208:AJ213)</f>
        <v>4511</v>
      </c>
      <c r="AK214" s="118">
        <f t="shared" si="66"/>
        <v>6965</v>
      </c>
      <c r="AL214" s="117">
        <f>SUM(AL208:AL213)</f>
        <v>5399</v>
      </c>
      <c r="AM214" s="117">
        <f>SUM(AM208:AM213)</f>
        <v>9169</v>
      </c>
      <c r="AN214" s="117">
        <f>SUM(AN208:AN213)</f>
        <v>10501</v>
      </c>
      <c r="AO214" s="117">
        <f>SUM(AO208:AO213)</f>
        <v>10646</v>
      </c>
      <c r="AP214" s="118">
        <f t="shared" si="67"/>
        <v>35715</v>
      </c>
      <c r="AQ214" s="117">
        <f>SUM(AQ208:AQ213)</f>
        <v>10441</v>
      </c>
      <c r="AR214" s="117">
        <f t="shared" ref="AR214:AW214" si="71">SUM(AR208:AR213)</f>
        <v>8482</v>
      </c>
      <c r="AS214" s="117">
        <f t="shared" si="71"/>
        <v>11396</v>
      </c>
      <c r="AT214" s="117">
        <f t="shared" si="71"/>
        <v>17186</v>
      </c>
      <c r="AU214" s="118">
        <f t="shared" si="68"/>
        <v>47505</v>
      </c>
      <c r="AV214" s="117">
        <f t="shared" si="71"/>
        <v>17048</v>
      </c>
      <c r="AW214" s="117">
        <f t="shared" si="71"/>
        <v>19481</v>
      </c>
      <c r="AX214" s="117">
        <f>SUM(AX208:AX213)</f>
        <v>23058</v>
      </c>
      <c r="AY214" s="117">
        <f>SUM(AY208:AY213)</f>
        <v>15211.830910000011</v>
      </c>
      <c r="AZ214" s="118">
        <f t="shared" si="69"/>
        <v>74798.830910000019</v>
      </c>
      <c r="BA214" s="117">
        <f t="shared" ref="BA214" si="72">SUM(BA208:BA213)</f>
        <v>14646</v>
      </c>
      <c r="BB214" s="462"/>
      <c r="BC214" s="462"/>
      <c r="BD214" s="462"/>
      <c r="BE214" s="462"/>
      <c r="BF214" s="462"/>
      <c r="BG214" s="462"/>
      <c r="BH214" s="462"/>
      <c r="BI214" s="462"/>
      <c r="BJ214" s="462"/>
      <c r="BK214" s="462"/>
      <c r="BL214" s="462"/>
      <c r="BM214" s="462"/>
      <c r="BN214" s="462"/>
      <c r="BO214" s="462"/>
      <c r="BP214" s="462"/>
      <c r="BQ214" s="462"/>
      <c r="BR214" s="462"/>
      <c r="BS214" s="462"/>
      <c r="BT214" s="462"/>
    </row>
    <row r="215" spans="1:72">
      <c r="A215" s="357"/>
      <c r="B215" s="11" t="s">
        <v>419</v>
      </c>
      <c r="C215" s="13"/>
      <c r="D215" s="13"/>
      <c r="E215" s="13"/>
      <c r="F215" s="13"/>
      <c r="G215" s="41"/>
      <c r="H215" s="13"/>
      <c r="I215" s="13"/>
      <c r="J215" s="13"/>
      <c r="K215" s="13"/>
      <c r="L215" s="41"/>
      <c r="M215" s="13"/>
      <c r="N215" s="13"/>
      <c r="O215" s="13"/>
      <c r="P215" s="13"/>
      <c r="Q215" s="41"/>
      <c r="R215" s="13"/>
      <c r="S215" s="13"/>
      <c r="T215" s="13"/>
      <c r="U215" s="13"/>
      <c r="V215" s="41"/>
      <c r="W215" s="13"/>
      <c r="X215" s="13"/>
      <c r="Y215" s="13"/>
      <c r="Z215" s="120">
        <v>0</v>
      </c>
      <c r="AA215" s="154">
        <v>0</v>
      </c>
      <c r="AB215" s="120">
        <v>0</v>
      </c>
      <c r="AC215" s="120">
        <v>0</v>
      </c>
      <c r="AD215" s="120">
        <v>0</v>
      </c>
      <c r="AE215" s="120">
        <v>0</v>
      </c>
      <c r="AF215" s="154">
        <v>0</v>
      </c>
      <c r="AG215" s="120">
        <v>0</v>
      </c>
      <c r="AH215" s="121">
        <v>0</v>
      </c>
      <c r="AI215" s="120">
        <v>0</v>
      </c>
      <c r="AJ215" s="120">
        <v>0</v>
      </c>
      <c r="AK215" s="154">
        <f t="shared" si="66"/>
        <v>0</v>
      </c>
      <c r="AL215" s="120">
        <v>0</v>
      </c>
      <c r="AM215" s="120">
        <v>0</v>
      </c>
      <c r="AN215" s="120">
        <v>0</v>
      </c>
      <c r="AO215" s="120">
        <v>0</v>
      </c>
      <c r="AP215" s="154">
        <f t="shared" si="67"/>
        <v>0</v>
      </c>
      <c r="AQ215" s="120">
        <v>0</v>
      </c>
      <c r="AR215" s="121">
        <v>0</v>
      </c>
      <c r="AS215" s="121">
        <v>0</v>
      </c>
      <c r="AT215" s="121">
        <v>0</v>
      </c>
      <c r="AU215" s="154">
        <f t="shared" si="68"/>
        <v>0</v>
      </c>
      <c r="AV215" s="121">
        <v>0</v>
      </c>
      <c r="AW215" s="121">
        <v>0</v>
      </c>
      <c r="AX215" s="121">
        <v>0</v>
      </c>
      <c r="AY215" s="121">
        <v>0</v>
      </c>
      <c r="AZ215" s="154">
        <f t="shared" si="69"/>
        <v>0</v>
      </c>
      <c r="BA215" s="120">
        <v>0</v>
      </c>
      <c r="BB215" s="462"/>
      <c r="BC215" s="462"/>
      <c r="BD215" s="462"/>
      <c r="BE215" s="462"/>
      <c r="BF215" s="462"/>
      <c r="BG215" s="462"/>
      <c r="BH215" s="462"/>
      <c r="BI215" s="462"/>
      <c r="BJ215" s="462"/>
      <c r="BK215" s="462"/>
      <c r="BL215" s="462"/>
      <c r="BM215" s="462"/>
      <c r="BN215" s="462"/>
      <c r="BO215" s="462"/>
      <c r="BP215" s="462"/>
      <c r="BQ215" s="462"/>
      <c r="BR215" s="462"/>
      <c r="BS215" s="462"/>
      <c r="BT215" s="462"/>
    </row>
    <row r="216" spans="1:72" s="2" customFormat="1">
      <c r="A216" s="356"/>
      <c r="B216" s="9" t="s">
        <v>420</v>
      </c>
      <c r="C216" s="10"/>
      <c r="D216" s="10"/>
      <c r="E216" s="10"/>
      <c r="F216" s="10"/>
      <c r="G216" s="39"/>
      <c r="H216" s="10"/>
      <c r="I216" s="10"/>
      <c r="J216" s="10"/>
      <c r="K216" s="10"/>
      <c r="L216" s="39"/>
      <c r="M216" s="10"/>
      <c r="N216" s="10"/>
      <c r="O216" s="10"/>
      <c r="P216" s="10"/>
      <c r="Q216" s="39"/>
      <c r="R216" s="10"/>
      <c r="S216" s="10"/>
      <c r="T216" s="10"/>
      <c r="U216" s="10"/>
      <c r="V216" s="39"/>
      <c r="W216" s="10"/>
      <c r="X216" s="10"/>
      <c r="Y216" s="10"/>
      <c r="Z216" s="117">
        <v>54</v>
      </c>
      <c r="AA216" s="118">
        <v>54</v>
      </c>
      <c r="AB216" s="117">
        <v>-250.62372999999999</v>
      </c>
      <c r="AC216" s="117">
        <v>-537.56601999999998</v>
      </c>
      <c r="AD216" s="117">
        <v>-1276.81025</v>
      </c>
      <c r="AE216" s="117">
        <v>-1923</v>
      </c>
      <c r="AF216" s="118">
        <v>-3988</v>
      </c>
      <c r="AG216" s="117">
        <f>AG214</f>
        <v>-106</v>
      </c>
      <c r="AH216" s="160">
        <f>AH214</f>
        <v>504</v>
      </c>
      <c r="AI216" s="117">
        <f>AI214</f>
        <v>2056</v>
      </c>
      <c r="AJ216" s="117">
        <f>AJ214</f>
        <v>4511</v>
      </c>
      <c r="AK216" s="118">
        <f t="shared" si="66"/>
        <v>6965</v>
      </c>
      <c r="AL216" s="117">
        <f>AL214</f>
        <v>5399</v>
      </c>
      <c r="AM216" s="117">
        <f>AM214</f>
        <v>9169</v>
      </c>
      <c r="AN216" s="117">
        <f>AN214</f>
        <v>10501</v>
      </c>
      <c r="AO216" s="117">
        <f>AO214</f>
        <v>10646</v>
      </c>
      <c r="AP216" s="118">
        <f t="shared" si="67"/>
        <v>35715</v>
      </c>
      <c r="AQ216" s="117">
        <f>AQ214</f>
        <v>10441</v>
      </c>
      <c r="AR216" s="117">
        <f t="shared" ref="AR216:AW216" si="73">AR214</f>
        <v>8482</v>
      </c>
      <c r="AS216" s="117">
        <f t="shared" si="73"/>
        <v>11396</v>
      </c>
      <c r="AT216" s="117">
        <f t="shared" si="73"/>
        <v>17186</v>
      </c>
      <c r="AU216" s="118">
        <f t="shared" si="68"/>
        <v>47505</v>
      </c>
      <c r="AV216" s="117">
        <f t="shared" si="73"/>
        <v>17048</v>
      </c>
      <c r="AW216" s="117">
        <f t="shared" si="73"/>
        <v>19481</v>
      </c>
      <c r="AX216" s="117">
        <f>AX214</f>
        <v>23058</v>
      </c>
      <c r="AY216" s="117">
        <f>AY214</f>
        <v>15211.830910000011</v>
      </c>
      <c r="AZ216" s="118">
        <f t="shared" si="69"/>
        <v>74798.830910000019</v>
      </c>
      <c r="BA216" s="117">
        <f t="shared" ref="BA216" si="74">BA214</f>
        <v>14646</v>
      </c>
      <c r="BB216" s="462"/>
      <c r="BC216" s="462"/>
      <c r="BD216" s="462"/>
      <c r="BE216" s="462"/>
      <c r="BF216" s="462"/>
      <c r="BG216" s="462"/>
      <c r="BH216" s="462"/>
      <c r="BI216" s="462"/>
      <c r="BJ216" s="462"/>
      <c r="BK216" s="462"/>
      <c r="BL216" s="462"/>
      <c r="BM216" s="462"/>
      <c r="BN216" s="462"/>
      <c r="BO216" s="462"/>
      <c r="BP216" s="462"/>
      <c r="BQ216" s="462"/>
      <c r="BR216" s="462"/>
      <c r="BS216" s="462"/>
      <c r="BT216" s="462"/>
    </row>
    <row r="217" spans="1:72">
      <c r="A217" s="357"/>
      <c r="B217" s="11" t="s">
        <v>421</v>
      </c>
      <c r="C217" s="13"/>
      <c r="D217" s="13"/>
      <c r="E217" s="13"/>
      <c r="F217" s="13"/>
      <c r="G217" s="41"/>
      <c r="H217" s="13"/>
      <c r="I217" s="13"/>
      <c r="J217" s="13"/>
      <c r="K217" s="13"/>
      <c r="L217" s="41"/>
      <c r="M217" s="13"/>
      <c r="N217" s="13"/>
      <c r="O217" s="13"/>
      <c r="P217" s="13"/>
      <c r="Q217" s="41"/>
      <c r="R217" s="13"/>
      <c r="S217" s="13"/>
      <c r="T217" s="13"/>
      <c r="U217" s="13"/>
      <c r="V217" s="41"/>
      <c r="W217" s="13"/>
      <c r="X217" s="13"/>
      <c r="Y217" s="13"/>
      <c r="Z217" s="120">
        <v>-11</v>
      </c>
      <c r="AA217" s="154">
        <v>-11</v>
      </c>
      <c r="AB217" s="120">
        <v>62.871199999999995</v>
      </c>
      <c r="AC217" s="120">
        <v>134.12880000000001</v>
      </c>
      <c r="AD217" s="120">
        <v>318</v>
      </c>
      <c r="AE217" s="120">
        <v>479</v>
      </c>
      <c r="AF217" s="154">
        <v>994</v>
      </c>
      <c r="AG217" s="120">
        <v>6</v>
      </c>
      <c r="AH217" s="157">
        <v>-133.5</v>
      </c>
      <c r="AI217" s="120">
        <v>-511.12</v>
      </c>
      <c r="AJ217" s="120">
        <v>-1144.9583400000001</v>
      </c>
      <c r="AK217" s="154">
        <f t="shared" si="66"/>
        <v>-1783.57834</v>
      </c>
      <c r="AL217" s="120">
        <v>-1355.6176470588234</v>
      </c>
      <c r="AM217" s="120">
        <v>-2300</v>
      </c>
      <c r="AN217" s="120">
        <v>-2626.9411764705878</v>
      </c>
      <c r="AO217" s="120">
        <v>-2694.8529411764716</v>
      </c>
      <c r="AP217" s="154">
        <f t="shared" si="67"/>
        <v>-8977.4117647058829</v>
      </c>
      <c r="AQ217" s="120">
        <v>-2617.6470588235293</v>
      </c>
      <c r="AR217" s="121">
        <v>-2197.0588235294117</v>
      </c>
      <c r="AS217" s="121">
        <v>-2855.882352941177</v>
      </c>
      <c r="AT217" s="121">
        <v>-4478.676470588236</v>
      </c>
      <c r="AU217" s="154">
        <f t="shared" si="68"/>
        <v>-12149.264705882353</v>
      </c>
      <c r="AV217" s="121">
        <v>-4284.5588235294117</v>
      </c>
      <c r="AW217" s="121">
        <v>-4708.823529411764</v>
      </c>
      <c r="AX217" s="121">
        <v>-5901.4705882352964</v>
      </c>
      <c r="AY217" s="121">
        <v>-3687.4999999999995</v>
      </c>
      <c r="AZ217" s="154">
        <f t="shared" si="69"/>
        <v>-18582.352941176472</v>
      </c>
      <c r="BA217" s="120">
        <v>-3794.8529411764703</v>
      </c>
      <c r="BB217" s="462"/>
      <c r="BC217" s="462"/>
      <c r="BD217" s="462"/>
      <c r="BE217" s="462"/>
      <c r="BF217" s="462"/>
      <c r="BG217" s="462"/>
      <c r="BH217" s="462"/>
      <c r="BI217" s="462"/>
      <c r="BJ217" s="462"/>
      <c r="BK217" s="462"/>
      <c r="BL217" s="462"/>
      <c r="BM217" s="462"/>
      <c r="BN217" s="462"/>
      <c r="BO217" s="462"/>
      <c r="BP217" s="462"/>
      <c r="BQ217" s="462"/>
      <c r="BR217" s="462"/>
      <c r="BS217" s="462"/>
      <c r="BT217" s="462"/>
    </row>
    <row r="218" spans="1:72">
      <c r="A218" s="357"/>
      <c r="B218" s="11" t="s">
        <v>422</v>
      </c>
      <c r="C218" s="13"/>
      <c r="D218" s="13"/>
      <c r="E218" s="13"/>
      <c r="F218" s="13"/>
      <c r="G218" s="41"/>
      <c r="H218" s="13"/>
      <c r="I218" s="13"/>
      <c r="J218" s="13"/>
      <c r="K218" s="13"/>
      <c r="L218" s="41"/>
      <c r="M218" s="13"/>
      <c r="N218" s="13"/>
      <c r="O218" s="13"/>
      <c r="P218" s="13"/>
      <c r="Q218" s="41"/>
      <c r="R218" s="13"/>
      <c r="S218" s="13"/>
      <c r="T218" s="13"/>
      <c r="U218" s="13"/>
      <c r="V218" s="41"/>
      <c r="W218" s="13"/>
      <c r="X218" s="13"/>
      <c r="Y218" s="13"/>
      <c r="Z218" s="120">
        <v>-5</v>
      </c>
      <c r="AA218" s="154">
        <v>-5</v>
      </c>
      <c r="AB218" s="120">
        <v>22.63363</v>
      </c>
      <c r="AC218" s="120">
        <v>48.366370000000003</v>
      </c>
      <c r="AD218" s="120">
        <v>114</v>
      </c>
      <c r="AE218" s="120">
        <v>173</v>
      </c>
      <c r="AF218" s="154">
        <v>358</v>
      </c>
      <c r="AG218" s="120">
        <v>2</v>
      </c>
      <c r="AH218" s="157">
        <v>-37.82</v>
      </c>
      <c r="AI218" s="120">
        <v>-188.56</v>
      </c>
      <c r="AJ218" s="120">
        <v>-402.28266000000008</v>
      </c>
      <c r="AK218" s="154">
        <f t="shared" si="66"/>
        <v>-626.66266000000007</v>
      </c>
      <c r="AL218" s="120">
        <v>-488.38235294117641</v>
      </c>
      <c r="AM218" s="120">
        <v>-827.99999999999989</v>
      </c>
      <c r="AN218" s="120">
        <v>-946.0588235294116</v>
      </c>
      <c r="AO218" s="120">
        <v>-970.14705882352973</v>
      </c>
      <c r="AP218" s="154">
        <f t="shared" si="67"/>
        <v>-3232.5882352941176</v>
      </c>
      <c r="AQ218" s="120">
        <v>-942.35294117647049</v>
      </c>
      <c r="AR218" s="121">
        <v>-790.94117647058818</v>
      </c>
      <c r="AS218" s="121">
        <v>-1028.1176470588236</v>
      </c>
      <c r="AT218" s="121">
        <v>-1612.3235294117651</v>
      </c>
      <c r="AU218" s="154">
        <f t="shared" si="68"/>
        <v>-4373.7352941176468</v>
      </c>
      <c r="AV218" s="121">
        <v>-1542.4411764705881</v>
      </c>
      <c r="AW218" s="121">
        <v>-1695.1764705882351</v>
      </c>
      <c r="AX218" s="121">
        <v>-2124.5294117647063</v>
      </c>
      <c r="AY218" s="121">
        <v>-1327.4999999999998</v>
      </c>
      <c r="AZ218" s="154">
        <f t="shared" si="69"/>
        <v>-6689.6470588235297</v>
      </c>
      <c r="BA218" s="120">
        <v>-1366.1470588235293</v>
      </c>
      <c r="BB218" s="462"/>
      <c r="BC218" s="462"/>
      <c r="BD218" s="462"/>
      <c r="BE218" s="462"/>
      <c r="BF218" s="462"/>
      <c r="BG218" s="462"/>
      <c r="BH218" s="462"/>
      <c r="BI218" s="462"/>
      <c r="BJ218" s="462"/>
      <c r="BK218" s="462"/>
      <c r="BL218" s="462"/>
      <c r="BM218" s="462"/>
      <c r="BN218" s="462"/>
      <c r="BO218" s="462"/>
      <c r="BP218" s="462"/>
      <c r="BQ218" s="462"/>
      <c r="BR218" s="462"/>
      <c r="BS218" s="462"/>
      <c r="BT218" s="462"/>
    </row>
    <row r="219" spans="1:72">
      <c r="A219" s="357"/>
      <c r="B219" s="11" t="s">
        <v>423</v>
      </c>
      <c r="C219" s="13"/>
      <c r="D219" s="13"/>
      <c r="E219" s="13"/>
      <c r="F219" s="13"/>
      <c r="G219" s="41"/>
      <c r="H219" s="13"/>
      <c r="I219" s="13"/>
      <c r="J219" s="13"/>
      <c r="K219" s="13"/>
      <c r="L219" s="41"/>
      <c r="M219" s="13"/>
      <c r="N219" s="13"/>
      <c r="O219" s="13"/>
      <c r="P219" s="13"/>
      <c r="Q219" s="41"/>
      <c r="R219" s="13"/>
      <c r="S219" s="13"/>
      <c r="T219" s="13"/>
      <c r="U219" s="13"/>
      <c r="V219" s="41"/>
      <c r="W219" s="13"/>
      <c r="X219" s="13"/>
      <c r="Y219" s="13"/>
      <c r="Z219" s="120">
        <v>0</v>
      </c>
      <c r="AA219" s="154">
        <v>0</v>
      </c>
      <c r="AB219" s="120">
        <v>0</v>
      </c>
      <c r="AC219" s="120">
        <v>0</v>
      </c>
      <c r="AD219" s="120">
        <v>0</v>
      </c>
      <c r="AE219" s="120">
        <v>0</v>
      </c>
      <c r="AF219" s="154">
        <v>0</v>
      </c>
      <c r="AG219" s="120">
        <v>0</v>
      </c>
      <c r="AH219" s="121">
        <v>0</v>
      </c>
      <c r="AI219" s="120">
        <v>0</v>
      </c>
      <c r="AJ219" s="120">
        <v>0</v>
      </c>
      <c r="AK219" s="154">
        <f t="shared" si="66"/>
        <v>0</v>
      </c>
      <c r="AL219" s="120">
        <v>0</v>
      </c>
      <c r="AM219" s="120">
        <v>0</v>
      </c>
      <c r="AN219" s="120">
        <v>0</v>
      </c>
      <c r="AO219" s="120">
        <v>0</v>
      </c>
      <c r="AP219" s="154">
        <f t="shared" si="67"/>
        <v>0</v>
      </c>
      <c r="AQ219" s="120">
        <v>0</v>
      </c>
      <c r="AR219" s="121">
        <v>0</v>
      </c>
      <c r="AS219" s="121">
        <v>0</v>
      </c>
      <c r="AT219" s="121">
        <v>0</v>
      </c>
      <c r="AU219" s="154">
        <f t="shared" si="68"/>
        <v>0</v>
      </c>
      <c r="AV219" s="121">
        <v>0</v>
      </c>
      <c r="AW219" s="121">
        <v>0</v>
      </c>
      <c r="AX219" s="121">
        <v>0</v>
      </c>
      <c r="AY219" s="121">
        <v>0</v>
      </c>
      <c r="AZ219" s="154">
        <f t="shared" si="69"/>
        <v>0</v>
      </c>
      <c r="BA219" s="120">
        <v>0</v>
      </c>
      <c r="BB219" s="462"/>
      <c r="BC219" s="462"/>
      <c r="BD219" s="462"/>
      <c r="BE219" s="462"/>
      <c r="BF219" s="462"/>
      <c r="BG219" s="462"/>
      <c r="BH219" s="462"/>
      <c r="BI219" s="462"/>
      <c r="BJ219" s="462"/>
      <c r="BK219" s="462"/>
      <c r="BL219" s="462"/>
      <c r="BM219" s="462"/>
      <c r="BN219" s="462"/>
      <c r="BO219" s="462"/>
      <c r="BP219" s="462"/>
      <c r="BQ219" s="462"/>
      <c r="BR219" s="462"/>
      <c r="BS219" s="462"/>
      <c r="BT219" s="462"/>
    </row>
    <row r="220" spans="1:72">
      <c r="A220" s="357"/>
      <c r="B220" s="11" t="s">
        <v>424</v>
      </c>
      <c r="C220" s="13"/>
      <c r="D220" s="13"/>
      <c r="E220" s="13"/>
      <c r="F220" s="13"/>
      <c r="G220" s="41"/>
      <c r="H220" s="13"/>
      <c r="I220" s="13"/>
      <c r="J220" s="13"/>
      <c r="K220" s="13"/>
      <c r="L220" s="41"/>
      <c r="M220" s="13"/>
      <c r="N220" s="13"/>
      <c r="O220" s="13"/>
      <c r="P220" s="13"/>
      <c r="Q220" s="41"/>
      <c r="R220" s="13"/>
      <c r="S220" s="13"/>
      <c r="T220" s="13"/>
      <c r="U220" s="13"/>
      <c r="V220" s="41"/>
      <c r="W220" s="13"/>
      <c r="X220" s="13"/>
      <c r="Y220" s="13"/>
      <c r="Z220" s="120">
        <v>0</v>
      </c>
      <c r="AA220" s="154">
        <v>0</v>
      </c>
      <c r="AB220" s="120">
        <v>0</v>
      </c>
      <c r="AC220" s="120">
        <v>0</v>
      </c>
      <c r="AD220" s="120">
        <v>0</v>
      </c>
      <c r="AE220" s="120">
        <v>0</v>
      </c>
      <c r="AF220" s="154">
        <v>0</v>
      </c>
      <c r="AG220" s="120">
        <v>0</v>
      </c>
      <c r="AH220" s="120">
        <v>0</v>
      </c>
      <c r="AI220" s="120">
        <v>0</v>
      </c>
      <c r="AJ220" s="120">
        <v>0</v>
      </c>
      <c r="AK220" s="154">
        <f t="shared" si="66"/>
        <v>0</v>
      </c>
      <c r="AL220" s="120">
        <v>0</v>
      </c>
      <c r="AM220" s="120">
        <v>0</v>
      </c>
      <c r="AN220" s="120">
        <v>0</v>
      </c>
      <c r="AO220" s="120">
        <v>0</v>
      </c>
      <c r="AP220" s="154">
        <f t="shared" si="67"/>
        <v>0</v>
      </c>
      <c r="AQ220" s="120">
        <v>0</v>
      </c>
      <c r="AR220" s="121">
        <v>0</v>
      </c>
      <c r="AS220" s="121">
        <v>0</v>
      </c>
      <c r="AT220" s="121">
        <v>0</v>
      </c>
      <c r="AU220" s="154">
        <f t="shared" si="68"/>
        <v>0</v>
      </c>
      <c r="AV220" s="121">
        <v>0</v>
      </c>
      <c r="AW220" s="121">
        <v>0</v>
      </c>
      <c r="AX220" s="121">
        <v>0</v>
      </c>
      <c r="AY220" s="121">
        <v>0</v>
      </c>
      <c r="AZ220" s="154">
        <f t="shared" si="69"/>
        <v>0</v>
      </c>
      <c r="BA220" s="120">
        <v>0</v>
      </c>
      <c r="BB220" s="462"/>
      <c r="BC220" s="462"/>
      <c r="BD220" s="462"/>
      <c r="BE220" s="462"/>
      <c r="BF220" s="462"/>
      <c r="BG220" s="462"/>
      <c r="BH220" s="462"/>
      <c r="BI220" s="462"/>
      <c r="BJ220" s="462"/>
      <c r="BK220" s="462"/>
      <c r="BL220" s="462"/>
      <c r="BM220" s="462"/>
      <c r="BN220" s="462"/>
      <c r="BO220" s="462"/>
      <c r="BP220" s="462"/>
      <c r="BQ220" s="462"/>
      <c r="BR220" s="462"/>
      <c r="BS220" s="462"/>
      <c r="BT220" s="462"/>
    </row>
    <row r="221" spans="1:72" s="2" customFormat="1">
      <c r="A221" s="358"/>
      <c r="B221" s="15" t="s">
        <v>450</v>
      </c>
      <c r="C221" s="16"/>
      <c r="D221" s="16"/>
      <c r="E221" s="16"/>
      <c r="F221" s="16"/>
      <c r="G221" s="45"/>
      <c r="H221" s="16"/>
      <c r="I221" s="16"/>
      <c r="J221" s="16"/>
      <c r="K221" s="16"/>
      <c r="L221" s="45"/>
      <c r="M221" s="16"/>
      <c r="N221" s="16"/>
      <c r="O221" s="16"/>
      <c r="P221" s="16"/>
      <c r="Q221" s="45"/>
      <c r="R221" s="16"/>
      <c r="S221" s="16"/>
      <c r="T221" s="16"/>
      <c r="U221" s="16"/>
      <c r="V221" s="45"/>
      <c r="W221" s="16"/>
      <c r="X221" s="16"/>
      <c r="Y221" s="16"/>
      <c r="Z221" s="155">
        <v>38</v>
      </c>
      <c r="AA221" s="156">
        <v>38</v>
      </c>
      <c r="AB221" s="155">
        <v>-165.1189</v>
      </c>
      <c r="AC221" s="155">
        <v>-355.07084999999995</v>
      </c>
      <c r="AD221" s="155">
        <v>-844.81025</v>
      </c>
      <c r="AE221" s="155">
        <v>-1271</v>
      </c>
      <c r="AF221" s="156">
        <v>-2636</v>
      </c>
      <c r="AG221" s="155">
        <f>SUM(AG216:AG220)</f>
        <v>-98</v>
      </c>
      <c r="AH221" s="155">
        <f>SUM(AH216:AH220)</f>
        <v>332.68</v>
      </c>
      <c r="AI221" s="155">
        <f>SUM(AI216:AI220)</f>
        <v>1356.3200000000002</v>
      </c>
      <c r="AJ221" s="155">
        <f>SUM(AJ216:AJ220)</f>
        <v>2963.759</v>
      </c>
      <c r="AK221" s="156">
        <f t="shared" si="66"/>
        <v>4554.759</v>
      </c>
      <c r="AL221" s="155">
        <f>SUM(AL216:AL220)</f>
        <v>3555</v>
      </c>
      <c r="AM221" s="155">
        <f>SUM(AM216:AM220)</f>
        <v>6041</v>
      </c>
      <c r="AN221" s="155">
        <f>SUM(AN216:AN220)</f>
        <v>6928.0000000000009</v>
      </c>
      <c r="AO221" s="155">
        <f>SUM(AO216:AO220)</f>
        <v>6980.9999999999982</v>
      </c>
      <c r="AP221" s="156">
        <f t="shared" si="67"/>
        <v>23505</v>
      </c>
      <c r="AQ221" s="155">
        <f>SUM(AQ216:AQ220)</f>
        <v>6881</v>
      </c>
      <c r="AR221" s="155">
        <f t="shared" ref="AR221:AW221" si="75">SUM(AR216:AR220)</f>
        <v>5494</v>
      </c>
      <c r="AS221" s="155">
        <f t="shared" si="75"/>
        <v>7512</v>
      </c>
      <c r="AT221" s="155">
        <f t="shared" si="75"/>
        <v>11094.999999999998</v>
      </c>
      <c r="AU221" s="156">
        <f t="shared" si="68"/>
        <v>30982</v>
      </c>
      <c r="AV221" s="155">
        <f t="shared" si="75"/>
        <v>11221</v>
      </c>
      <c r="AW221" s="155">
        <f t="shared" si="75"/>
        <v>13077</v>
      </c>
      <c r="AX221" s="155">
        <f>SUM(AX216:AX220)</f>
        <v>15031.999999999996</v>
      </c>
      <c r="AY221" s="155">
        <f>SUM(AY216:AY220)</f>
        <v>10196.830910000011</v>
      </c>
      <c r="AZ221" s="156">
        <f t="shared" si="69"/>
        <v>49526.830910000011</v>
      </c>
      <c r="BA221" s="155">
        <f t="shared" ref="BA221" si="76">SUM(BA216:BA220)</f>
        <v>9485</v>
      </c>
      <c r="BB221" s="575"/>
      <c r="BC221" s="575"/>
      <c r="BD221" s="575"/>
      <c r="BE221" s="575"/>
      <c r="BF221" s="575"/>
      <c r="BG221" s="575"/>
      <c r="BH221" s="575"/>
      <c r="BI221" s="575"/>
      <c r="BJ221" s="575"/>
      <c r="BK221" s="575"/>
      <c r="BL221" s="575"/>
      <c r="BM221" s="575"/>
      <c r="BN221" s="575"/>
      <c r="BO221" s="575"/>
      <c r="BP221" s="575"/>
      <c r="BQ221" s="575"/>
      <c r="BR221" s="575"/>
      <c r="BS221" s="575"/>
      <c r="BT221" s="575"/>
    </row>
    <row r="222" spans="1:72">
      <c r="A222" s="357"/>
      <c r="B222" s="11" t="s">
        <v>468</v>
      </c>
      <c r="C222" s="13"/>
      <c r="D222" s="13"/>
      <c r="E222" s="13"/>
      <c r="F222" s="13"/>
      <c r="G222" s="41"/>
      <c r="H222" s="13"/>
      <c r="I222" s="13"/>
      <c r="J222" s="13"/>
      <c r="K222" s="13"/>
      <c r="L222" s="41"/>
      <c r="M222" s="13"/>
      <c r="N222" s="13"/>
      <c r="O222" s="13"/>
      <c r="P222" s="13"/>
      <c r="Q222" s="41"/>
      <c r="R222" s="13"/>
      <c r="S222" s="13"/>
      <c r="T222" s="13"/>
      <c r="U222" s="13"/>
      <c r="V222" s="41"/>
      <c r="W222" s="13"/>
      <c r="X222" s="13"/>
      <c r="Y222" s="13"/>
      <c r="Z222" s="120">
        <v>38</v>
      </c>
      <c r="AA222" s="154">
        <v>38</v>
      </c>
      <c r="AB222" s="120">
        <v>-165.1189</v>
      </c>
      <c r="AC222" s="120">
        <v>-355.07084999999995</v>
      </c>
      <c r="AD222" s="120">
        <v>-844.81025</v>
      </c>
      <c r="AE222" s="120">
        <v>-1271</v>
      </c>
      <c r="AF222" s="154">
        <v>-2636</v>
      </c>
      <c r="AG222" s="120">
        <v>-98</v>
      </c>
      <c r="AH222" s="120">
        <v>332.68</v>
      </c>
      <c r="AI222" s="120">
        <v>1356.32</v>
      </c>
      <c r="AJ222" s="120">
        <v>2963.759</v>
      </c>
      <c r="AK222" s="154">
        <f t="shared" si="66"/>
        <v>4554.759</v>
      </c>
      <c r="AL222" s="120">
        <v>3555</v>
      </c>
      <c r="AM222" s="120">
        <v>6041</v>
      </c>
      <c r="AN222" s="120">
        <v>6928</v>
      </c>
      <c r="AO222" s="120">
        <v>6980.9999999999982</v>
      </c>
      <c r="AP222" s="154">
        <f t="shared" si="67"/>
        <v>23505</v>
      </c>
      <c r="AQ222" s="120">
        <v>6881</v>
      </c>
      <c r="AR222" s="121">
        <f>AR221</f>
        <v>5494</v>
      </c>
      <c r="AS222" s="121">
        <f>AS221</f>
        <v>7512</v>
      </c>
      <c r="AT222" s="121">
        <f>AT221</f>
        <v>11094.999999999998</v>
      </c>
      <c r="AU222" s="154">
        <f t="shared" si="68"/>
        <v>30982</v>
      </c>
      <c r="AV222" s="121">
        <f>AV221</f>
        <v>11221</v>
      </c>
      <c r="AW222" s="121">
        <f t="shared" ref="AW222:BA222" si="77">AW221</f>
        <v>13077</v>
      </c>
      <c r="AX222" s="121">
        <f t="shared" si="77"/>
        <v>15031.999999999996</v>
      </c>
      <c r="AY222" s="121">
        <f t="shared" si="77"/>
        <v>10196.830910000011</v>
      </c>
      <c r="AZ222" s="154">
        <f t="shared" si="69"/>
        <v>49526.830910000011</v>
      </c>
      <c r="BA222" s="121">
        <f t="shared" si="77"/>
        <v>9485</v>
      </c>
      <c r="BB222" s="462"/>
      <c r="BC222" s="462"/>
      <c r="BD222" s="462"/>
      <c r="BE222" s="462"/>
      <c r="BF222" s="462"/>
      <c r="BG222" s="462"/>
      <c r="BH222" s="462"/>
      <c r="BI222" s="462"/>
      <c r="BJ222" s="462"/>
      <c r="BK222" s="462"/>
      <c r="BL222" s="462"/>
      <c r="BM222" s="462"/>
      <c r="BN222" s="462"/>
      <c r="BO222" s="462"/>
      <c r="BP222" s="462"/>
      <c r="BQ222" s="462"/>
      <c r="BR222" s="462"/>
      <c r="BS222" s="462"/>
      <c r="BT222" s="462"/>
    </row>
    <row r="223" spans="1:72">
      <c r="A223" s="357"/>
      <c r="B223" s="11" t="s">
        <v>436</v>
      </c>
      <c r="C223" s="13"/>
      <c r="D223" s="13"/>
      <c r="E223" s="13"/>
      <c r="F223" s="13"/>
      <c r="G223" s="41"/>
      <c r="H223" s="13"/>
      <c r="I223" s="13"/>
      <c r="J223" s="13"/>
      <c r="K223" s="13"/>
      <c r="L223" s="41"/>
      <c r="M223" s="13"/>
      <c r="N223" s="13"/>
      <c r="O223" s="13"/>
      <c r="P223" s="13"/>
      <c r="Q223" s="41"/>
      <c r="R223" s="13"/>
      <c r="S223" s="13"/>
      <c r="T223" s="13"/>
      <c r="U223" s="13"/>
      <c r="V223" s="41"/>
      <c r="W223" s="13"/>
      <c r="X223" s="13"/>
      <c r="Y223" s="13"/>
      <c r="Z223" s="120">
        <v>0</v>
      </c>
      <c r="AA223" s="154">
        <v>0</v>
      </c>
      <c r="AB223" s="120">
        <v>0</v>
      </c>
      <c r="AC223" s="120">
        <v>0</v>
      </c>
      <c r="AD223" s="120">
        <v>0</v>
      </c>
      <c r="AE223" s="120">
        <v>0</v>
      </c>
      <c r="AF223" s="154">
        <v>0</v>
      </c>
      <c r="AG223" s="120">
        <v>0</v>
      </c>
      <c r="AH223" s="120">
        <v>0</v>
      </c>
      <c r="AI223" s="120">
        <v>0</v>
      </c>
      <c r="AJ223" s="120">
        <v>1</v>
      </c>
      <c r="AK223" s="154">
        <f t="shared" si="66"/>
        <v>1</v>
      </c>
      <c r="AL223" s="120">
        <v>0</v>
      </c>
      <c r="AM223" s="120">
        <v>0</v>
      </c>
      <c r="AN223" s="120">
        <v>0</v>
      </c>
      <c r="AO223" s="120">
        <v>0</v>
      </c>
      <c r="AP223" s="154">
        <f t="shared" si="67"/>
        <v>0</v>
      </c>
      <c r="AQ223" s="120">
        <v>0</v>
      </c>
      <c r="AR223" s="121">
        <v>0</v>
      </c>
      <c r="AS223" s="121">
        <v>0</v>
      </c>
      <c r="AT223" s="121">
        <v>0</v>
      </c>
      <c r="AU223" s="154">
        <f t="shared" si="68"/>
        <v>0</v>
      </c>
      <c r="AV223" s="121">
        <v>0</v>
      </c>
      <c r="AW223" s="121">
        <v>0</v>
      </c>
      <c r="AX223" s="121">
        <v>0</v>
      </c>
      <c r="AY223" s="121">
        <v>0</v>
      </c>
      <c r="AZ223" s="154">
        <f t="shared" si="69"/>
        <v>0</v>
      </c>
      <c r="BA223" s="120">
        <v>0</v>
      </c>
      <c r="BB223" s="462"/>
      <c r="BC223" s="462"/>
      <c r="BD223" s="462"/>
      <c r="BE223" s="462"/>
      <c r="BF223" s="462"/>
      <c r="BG223" s="462"/>
      <c r="BH223" s="462"/>
      <c r="BI223" s="462"/>
      <c r="BJ223" s="462"/>
      <c r="BK223" s="462"/>
      <c r="BL223" s="462"/>
      <c r="BM223" s="462"/>
      <c r="BN223" s="462"/>
      <c r="BO223" s="462"/>
      <c r="BP223" s="462"/>
      <c r="BQ223" s="462"/>
      <c r="BR223" s="462"/>
      <c r="BS223" s="462"/>
      <c r="BT223" s="462"/>
    </row>
    <row r="224" spans="1:72">
      <c r="A224" s="357"/>
      <c r="B224" s="11" t="s">
        <v>470</v>
      </c>
      <c r="C224" s="13"/>
      <c r="D224" s="13"/>
      <c r="E224" s="13"/>
      <c r="F224" s="13"/>
      <c r="G224" s="41"/>
      <c r="H224" s="13"/>
      <c r="I224" s="13"/>
      <c r="J224" s="13"/>
      <c r="K224" s="13"/>
      <c r="L224" s="41"/>
      <c r="M224" s="13"/>
      <c r="N224" s="13"/>
      <c r="O224" s="13"/>
      <c r="P224" s="13"/>
      <c r="Q224" s="41"/>
      <c r="R224" s="13"/>
      <c r="S224" s="13"/>
      <c r="T224" s="13"/>
      <c r="U224" s="13"/>
      <c r="V224" s="41"/>
      <c r="W224" s="13"/>
      <c r="X224" s="13"/>
      <c r="Y224" s="13"/>
      <c r="Z224" s="120">
        <v>38</v>
      </c>
      <c r="AA224" s="154">
        <v>38</v>
      </c>
      <c r="AB224" s="120">
        <v>-165.1189</v>
      </c>
      <c r="AC224" s="120">
        <v>-355.07084999999995</v>
      </c>
      <c r="AD224" s="120">
        <v>-844.81025</v>
      </c>
      <c r="AE224" s="120">
        <v>-1271</v>
      </c>
      <c r="AF224" s="154">
        <v>-2636</v>
      </c>
      <c r="AG224" s="120">
        <v>-98</v>
      </c>
      <c r="AH224" s="120">
        <v>332.68</v>
      </c>
      <c r="AI224" s="120">
        <v>1356.32</v>
      </c>
      <c r="AJ224" s="120">
        <v>2964.759</v>
      </c>
      <c r="AK224" s="154">
        <f t="shared" si="66"/>
        <v>4555.759</v>
      </c>
      <c r="AL224" s="120">
        <v>3555</v>
      </c>
      <c r="AM224" s="120">
        <f>SUM(AM222:AM223)</f>
        <v>6041</v>
      </c>
      <c r="AN224" s="120">
        <v>6928</v>
      </c>
      <c r="AO224" s="120">
        <v>6980.9999999999982</v>
      </c>
      <c r="AP224" s="154">
        <f t="shared" si="67"/>
        <v>23505</v>
      </c>
      <c r="AQ224" s="120">
        <v>6881</v>
      </c>
      <c r="AR224" s="121">
        <f>AR222</f>
        <v>5494</v>
      </c>
      <c r="AS224" s="121">
        <f>AS222</f>
        <v>7512</v>
      </c>
      <c r="AT224" s="121">
        <f>AT222</f>
        <v>11094.999999999998</v>
      </c>
      <c r="AU224" s="154">
        <f t="shared" si="68"/>
        <v>30982</v>
      </c>
      <c r="AV224" s="121">
        <f>AV223+AV222</f>
        <v>11221</v>
      </c>
      <c r="AW224" s="121">
        <f t="shared" ref="AW224:BA224" si="78">AW223+AW222</f>
        <v>13077</v>
      </c>
      <c r="AX224" s="121">
        <f t="shared" si="78"/>
        <v>15031.999999999996</v>
      </c>
      <c r="AY224" s="121">
        <f t="shared" si="78"/>
        <v>10196.830910000011</v>
      </c>
      <c r="AZ224" s="154">
        <f t="shared" si="69"/>
        <v>49526.830910000011</v>
      </c>
      <c r="BA224" s="121">
        <f t="shared" si="78"/>
        <v>9485</v>
      </c>
      <c r="BB224" s="462"/>
      <c r="BC224" s="462"/>
      <c r="BD224" s="462"/>
      <c r="BE224" s="462"/>
      <c r="BF224" s="462"/>
      <c r="BG224" s="462"/>
      <c r="BH224" s="462"/>
      <c r="BI224" s="462"/>
      <c r="BJ224" s="462"/>
      <c r="BK224" s="462"/>
      <c r="BL224" s="462"/>
      <c r="BM224" s="462"/>
      <c r="BN224" s="462"/>
      <c r="BO224" s="462"/>
      <c r="BP224" s="462"/>
      <c r="BQ224" s="462"/>
      <c r="BR224" s="462"/>
      <c r="BS224" s="462"/>
      <c r="BT224" s="462"/>
    </row>
    <row r="225" spans="1:72">
      <c r="A225" s="357"/>
      <c r="B225" s="11" t="s">
        <v>471</v>
      </c>
      <c r="C225" s="13"/>
      <c r="D225" s="13"/>
      <c r="E225" s="13"/>
      <c r="F225" s="13"/>
      <c r="G225" s="41"/>
      <c r="H225" s="13"/>
      <c r="I225" s="13"/>
      <c r="J225" s="13"/>
      <c r="K225" s="13"/>
      <c r="L225" s="41"/>
      <c r="M225" s="13"/>
      <c r="N225" s="13"/>
      <c r="O225" s="13"/>
      <c r="P225" s="13"/>
      <c r="Q225" s="41"/>
      <c r="R225" s="13"/>
      <c r="S225" s="13"/>
      <c r="T225" s="13"/>
      <c r="U225" s="13"/>
      <c r="V225" s="41"/>
      <c r="W225" s="13"/>
      <c r="X225" s="13"/>
      <c r="Y225" s="13"/>
      <c r="Z225" s="120">
        <v>0</v>
      </c>
      <c r="AA225" s="154">
        <v>0</v>
      </c>
      <c r="AB225" s="120">
        <v>0</v>
      </c>
      <c r="AC225" s="120">
        <v>0</v>
      </c>
      <c r="AD225" s="120">
        <v>0</v>
      </c>
      <c r="AE225" s="120">
        <v>0</v>
      </c>
      <c r="AF225" s="154">
        <v>0</v>
      </c>
      <c r="AG225" s="120">
        <v>0</v>
      </c>
      <c r="AH225" s="120">
        <v>0</v>
      </c>
      <c r="AI225" s="120">
        <v>0</v>
      </c>
      <c r="AJ225" s="120">
        <v>1</v>
      </c>
      <c r="AK225" s="154">
        <f t="shared" si="66"/>
        <v>1</v>
      </c>
      <c r="AL225" s="120">
        <v>0</v>
      </c>
      <c r="AM225" s="120">
        <v>0</v>
      </c>
      <c r="AN225" s="120">
        <v>0</v>
      </c>
      <c r="AO225" s="120">
        <v>0</v>
      </c>
      <c r="AP225" s="154">
        <f t="shared" si="67"/>
        <v>0</v>
      </c>
      <c r="AQ225" s="120">
        <v>0</v>
      </c>
      <c r="AR225" s="121">
        <v>0</v>
      </c>
      <c r="AS225" s="121">
        <v>0</v>
      </c>
      <c r="AT225" s="121">
        <v>0</v>
      </c>
      <c r="AU225" s="154">
        <f t="shared" si="68"/>
        <v>0</v>
      </c>
      <c r="AV225" s="121">
        <v>0</v>
      </c>
      <c r="AW225" s="121">
        <v>0</v>
      </c>
      <c r="AX225" s="121">
        <v>0</v>
      </c>
      <c r="AY225" s="121">
        <v>0</v>
      </c>
      <c r="AZ225" s="154">
        <f t="shared" si="69"/>
        <v>0</v>
      </c>
      <c r="BA225" s="120">
        <v>0</v>
      </c>
      <c r="BB225" s="462"/>
      <c r="BC225" s="462"/>
      <c r="BD225" s="462"/>
      <c r="BE225" s="462"/>
      <c r="BF225" s="462"/>
      <c r="BG225" s="462"/>
      <c r="BH225" s="462"/>
      <c r="BI225" s="462"/>
      <c r="BJ225" s="462"/>
      <c r="BK225" s="462"/>
      <c r="BL225" s="462"/>
      <c r="BM225" s="462"/>
      <c r="BN225" s="462"/>
      <c r="BO225" s="462"/>
      <c r="BP225" s="462"/>
      <c r="BQ225" s="462"/>
      <c r="BR225" s="462"/>
      <c r="BS225" s="462"/>
      <c r="BT225" s="462"/>
    </row>
    <row r="226" spans="1:72" ht="15.75" thickBot="1">
      <c r="A226" s="359"/>
      <c r="B226" s="17" t="s">
        <v>451</v>
      </c>
      <c r="C226" s="18"/>
      <c r="D226" s="18"/>
      <c r="E226" s="18"/>
      <c r="F226" s="18"/>
      <c r="G226" s="48"/>
      <c r="H226" s="18"/>
      <c r="I226" s="18"/>
      <c r="J226" s="18"/>
      <c r="K226" s="18"/>
      <c r="L226" s="48"/>
      <c r="M226" s="18"/>
      <c r="N226" s="18"/>
      <c r="O226" s="18"/>
      <c r="P226" s="18"/>
      <c r="Q226" s="48"/>
      <c r="R226" s="18"/>
      <c r="S226" s="18"/>
      <c r="T226" s="18"/>
      <c r="U226" s="18"/>
      <c r="V226" s="48"/>
      <c r="W226" s="18"/>
      <c r="X226" s="18"/>
      <c r="Y226" s="18"/>
      <c r="Z226" s="18">
        <v>1</v>
      </c>
      <c r="AA226" s="48">
        <v>1</v>
      </c>
      <c r="AB226" s="18">
        <v>0.75</v>
      </c>
      <c r="AC226" s="18">
        <v>0.75</v>
      </c>
      <c r="AD226" s="18">
        <v>0.75</v>
      </c>
      <c r="AE226" s="18">
        <v>0.75</v>
      </c>
      <c r="AF226" s="48">
        <v>0.75</v>
      </c>
      <c r="AG226" s="18">
        <v>0.74997199559397298</v>
      </c>
      <c r="AH226" s="18">
        <v>0.74997199559397298</v>
      </c>
      <c r="AI226" s="18">
        <v>0.75</v>
      </c>
      <c r="AJ226" s="18">
        <v>0.75</v>
      </c>
      <c r="AK226" s="48">
        <v>0.75</v>
      </c>
      <c r="AL226" s="18">
        <v>0.75</v>
      </c>
      <c r="AM226" s="18">
        <v>0.75</v>
      </c>
      <c r="AN226" s="18">
        <v>0.75</v>
      </c>
      <c r="AO226" s="18">
        <v>0.75</v>
      </c>
      <c r="AP226" s="48">
        <v>0.75</v>
      </c>
      <c r="AQ226" s="18">
        <v>0.75</v>
      </c>
      <c r="AR226" s="18">
        <v>0.75</v>
      </c>
      <c r="AS226" s="18">
        <v>0.75</v>
      </c>
      <c r="AT226" s="18">
        <v>0.75</v>
      </c>
      <c r="AU226" s="48">
        <v>0.75</v>
      </c>
      <c r="AV226" s="18">
        <v>0.75</v>
      </c>
      <c r="AW226" s="18">
        <v>0.75</v>
      </c>
      <c r="AX226" s="18">
        <v>0.75</v>
      </c>
      <c r="AY226" s="18">
        <v>0.75</v>
      </c>
      <c r="AZ226" s="48">
        <v>0.75</v>
      </c>
      <c r="BA226" s="18">
        <v>0.75</v>
      </c>
      <c r="BB226" s="462"/>
      <c r="BC226" s="462"/>
      <c r="BD226" s="462"/>
      <c r="BE226" s="462"/>
      <c r="BF226" s="462"/>
      <c r="BG226" s="462"/>
      <c r="BH226" s="462"/>
      <c r="BI226" s="462"/>
      <c r="BJ226" s="462"/>
      <c r="BK226" s="462"/>
      <c r="BL226" s="462"/>
      <c r="BM226" s="462"/>
      <c r="BN226" s="462"/>
      <c r="BO226" s="462"/>
      <c r="BP226" s="462"/>
      <c r="BQ226" s="462"/>
      <c r="BR226" s="462"/>
      <c r="BS226" s="462"/>
      <c r="BT226" s="462"/>
    </row>
    <row r="227" spans="1:72">
      <c r="AL227" s="123">
        <f>AL221*AL226</f>
        <v>2666.25</v>
      </c>
      <c r="AM227" s="123">
        <f t="shared" ref="AM227:AO227" si="79">AM221*AM226</f>
        <v>4530.75</v>
      </c>
      <c r="AN227" s="123">
        <f t="shared" si="79"/>
        <v>5196.0000000000009</v>
      </c>
      <c r="AO227" s="123">
        <f t="shared" si="79"/>
        <v>5235.7499999999982</v>
      </c>
      <c r="AP227" s="123"/>
      <c r="AQ227" s="123"/>
      <c r="AU227" s="123"/>
      <c r="BA227" s="469"/>
    </row>
    <row r="228" spans="1:72">
      <c r="AT228" s="740"/>
      <c r="AV228" s="740"/>
      <c r="AW228" s="740"/>
      <c r="AX228" s="740"/>
      <c r="AY228" s="740"/>
      <c r="AZ228" s="740"/>
    </row>
    <row r="229" spans="1:72" s="103" customFormat="1" ht="23.25">
      <c r="A229" s="355"/>
      <c r="B229" s="74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</row>
    <row r="230" spans="1:72">
      <c r="AC230" s="49"/>
      <c r="AD230" s="49"/>
      <c r="AE230" s="49"/>
      <c r="AG230" s="49"/>
      <c r="AH230" s="49"/>
      <c r="AI230" s="49"/>
      <c r="AJ230" s="49"/>
      <c r="AL230" s="49"/>
      <c r="AM230" s="49"/>
      <c r="AN230" s="49"/>
      <c r="AO230" s="49"/>
      <c r="AQ230" s="49"/>
      <c r="AR230" s="49"/>
      <c r="AS230" s="49"/>
      <c r="AT230" s="49"/>
      <c r="AV230" s="49"/>
      <c r="AW230" s="49"/>
      <c r="AX230" s="49"/>
      <c r="AY230" s="49"/>
      <c r="AZ230" s="49"/>
    </row>
    <row r="233" spans="1:72">
      <c r="AQ233" s="491">
        <f>AQ181+AQ151+AQ32+AQ33+AQ40</f>
        <v>780279</v>
      </c>
      <c r="AR233" s="491"/>
      <c r="AS233" s="491"/>
      <c r="AT233" s="491"/>
      <c r="AV233" s="491"/>
      <c r="AW233" s="491"/>
      <c r="AX233" s="491"/>
      <c r="AY233" s="491"/>
      <c r="AZ233" s="491"/>
    </row>
  </sheetData>
  <mergeCells count="1">
    <mergeCell ref="B2:AB2"/>
  </mergeCells>
  <phoneticPr fontId="18" type="noConversion"/>
  <conditionalFormatting sqref="BJ8:BJ21 BJ23:BJ118 BJ120:BJ137 BJ150:BJ167 BJ180:BJ193 BJ205:BJ217">
    <cfRule type="expression" dxfId="87" priority="128">
      <formula>IF(BG8 =0,1,BG8*BI8)&gt;=0</formula>
    </cfRule>
    <cfRule type="expression" dxfId="86" priority="127">
      <formula>IF(BG8 = 0,1,BG8*BI8)&lt;0</formula>
    </cfRule>
  </conditionalFormatting>
  <conditionalFormatting sqref="BJ139:BJ148 BJ169 BJ173:BJ178 BJ195:BJ203">
    <cfRule type="expression" dxfId="85" priority="146">
      <formula>IF(BG139 =0,1,BG139*BI139)&gt;=0</formula>
    </cfRule>
    <cfRule type="expression" dxfId="84" priority="145">
      <formula>IF(BG139 = 0,1,BG139*BI139)&lt;0</formula>
    </cfRule>
  </conditionalFormatting>
  <conditionalFormatting sqref="BJ219:BJ1814">
    <cfRule type="expression" dxfId="83" priority="29">
      <formula>IF(BG219 = 0,1,BG219*BI219)&lt;0</formula>
    </cfRule>
    <cfRule type="expression" dxfId="82" priority="30">
      <formula>IF(BG219 =0,1,BG219*BI219)&gt;=0</formula>
    </cfRule>
  </conditionalFormatting>
  <conditionalFormatting sqref="BM8:BN118">
    <cfRule type="expression" dxfId="81" priority="126">
      <formula>IF(BG8 =0,1,BG8*BL8)&gt;=0</formula>
    </cfRule>
    <cfRule type="expression" dxfId="80" priority="125">
      <formula>IF(BG8 = 0,1,BG8*BL8)&lt;0</formula>
    </cfRule>
  </conditionalFormatting>
  <conditionalFormatting sqref="BM9:BN20">
    <cfRule type="expression" dxfId="79" priority="164">
      <formula>"SE(AV9=0;1;AV9*BA9)&gt;=0"</formula>
    </cfRule>
    <cfRule type="expression" dxfId="78" priority="163">
      <formula>"SE(AV9=0;1;AV9*$BA$9)&lt;0"</formula>
    </cfRule>
  </conditionalFormatting>
  <conditionalFormatting sqref="BM9:BN118">
    <cfRule type="expression" dxfId="77" priority="130">
      <formula>"SE(AV9=0;1;AV9*$BA$9) &lt;0"</formula>
    </cfRule>
    <cfRule type="expression" dxfId="76" priority="129">
      <formula>"SE(AV9=0;1;AV9*BA9) &gt;=0"</formula>
    </cfRule>
  </conditionalFormatting>
  <conditionalFormatting sqref="BM120:BN148 BM150:BN169 BM180:BN203 BM205:BN1814">
    <cfRule type="expression" dxfId="75" priority="102">
      <formula>"SE(AV9=0;1;AV9*$BA$9) &lt;0"</formula>
    </cfRule>
    <cfRule type="expression" dxfId="74" priority="98">
      <formula>IF(BG120 =0,1,BG120*BL120)&gt;=0</formula>
    </cfRule>
    <cfRule type="expression" dxfId="73" priority="101">
      <formula>"SE(AV9=0;1;AV9*BA9) &gt;=0"</formula>
    </cfRule>
  </conditionalFormatting>
  <conditionalFormatting sqref="BM137:BN137">
    <cfRule type="expression" dxfId="72" priority="114">
      <formula>"SE(AV9=0;1;AV9*BA9)&gt;=0"</formula>
    </cfRule>
    <cfRule type="expression" dxfId="71" priority="113">
      <formula>"SE(AV9=0;1;AV9*$BA$9)&lt;0"</formula>
    </cfRule>
  </conditionalFormatting>
  <conditionalFormatting sqref="BM150:BN169 BM180:BN203 BM205:BN1814 BM120:BN148">
    <cfRule type="expression" dxfId="70" priority="97">
      <formula>IF(BG120 = 0,1,BG120*BL120)&lt;0</formula>
    </cfRule>
  </conditionalFormatting>
  <conditionalFormatting sqref="BM167:BN169">
    <cfRule type="expression" dxfId="69" priority="96">
      <formula>"SE(AV9=0;1;AV9*BA9)&gt;=0"</formula>
    </cfRule>
    <cfRule type="expression" dxfId="68" priority="95">
      <formula>"SE(AV9=0;1;AV9*$BA$9)&lt;0"</formula>
    </cfRule>
  </conditionalFormatting>
  <conditionalFormatting sqref="BM173:BN178">
    <cfRule type="expression" dxfId="67" priority="141">
      <formula>IF(BG173 = 0,1,BG173*BL173)&lt;0</formula>
    </cfRule>
    <cfRule type="expression" dxfId="66" priority="142">
      <formula>IF(BG173 =0,1,BG173*BL173)&gt;=0</formula>
    </cfRule>
    <cfRule type="expression" dxfId="65" priority="147">
      <formula>"SE(AV9=0;1;AV9*BA9) &gt;=0"</formula>
    </cfRule>
    <cfRule type="expression" dxfId="64" priority="148">
      <formula>"SE(AV9=0;1;AV9*$BA$9) &lt;0"</formula>
    </cfRule>
  </conditionalFormatting>
  <conditionalFormatting sqref="BM192:BN192">
    <cfRule type="expression" dxfId="63" priority="60">
      <formula>"SE(AV9=0;1;AV9*BA9)&gt;=0"</formula>
    </cfRule>
    <cfRule type="expression" dxfId="62" priority="59">
      <formula>"SE(AV9=0;1;AV9*$BA$9)&lt;0"</formula>
    </cfRule>
  </conditionalFormatting>
  <conditionalFormatting sqref="BM216:BN216">
    <cfRule type="expression" dxfId="61" priority="44">
      <formula>"SE(AV9=0;1;AV9*BA9)&gt;=0"</formula>
    </cfRule>
    <cfRule type="expression" dxfId="60" priority="43">
      <formula>"SE(AV9=0;1;AV9*$BA$9)&lt;0"</formula>
    </cfRule>
  </conditionalFormatting>
  <conditionalFormatting sqref="BR8:BR20 BR25:BR118 BR120:BR169 BR180:BR192 BR205:BR1814">
    <cfRule type="expression" dxfId="59" priority="149">
      <formula>IF(BQ8 = 0,1,BO8*BQ8)&lt;0</formula>
    </cfRule>
    <cfRule type="expression" dxfId="58" priority="150">
      <formula>IF(BO8 =0,1,BO8*BQ8)&gt;=0</formula>
    </cfRule>
  </conditionalFormatting>
  <conditionalFormatting sqref="BR173:BR178">
    <cfRule type="expression" dxfId="57" priority="58">
      <formula>IF(BO173 =0,1,BO173*BQ173)&gt;=0</formula>
    </cfRule>
    <cfRule type="expression" dxfId="56" priority="57">
      <formula>IF(BQ173 = 0,1,BO173*BQ173)&lt;0</formula>
    </cfRule>
  </conditionalFormatting>
  <conditionalFormatting sqref="BR203">
    <cfRule type="expression" dxfId="55" priority="2">
      <formula>IF(BO203 =0,1,BO203*BQ203)&gt;=0</formula>
    </cfRule>
    <cfRule type="expression" dxfId="54" priority="1">
      <formula>IF(BQ203 = 0,1,BO203*BQ203)&lt;0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D8E8-4A2B-49E0-91B6-D803FF923516}">
  <dimension ref="A1:CU322"/>
  <sheetViews>
    <sheetView showGridLines="0" showRowColHeaders="0" zoomScale="75" zoomScaleNormal="75" workbookViewId="0">
      <pane xSplit="2" ySplit="3" topLeftCell="AV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2"/>
  <cols>
    <col min="1" max="1" width="3.42578125" customWidth="1"/>
    <col min="2" max="2" width="70.7109375" customWidth="1"/>
    <col min="3" max="6" width="10.28515625" bestFit="1" customWidth="1" outlineLevel="1"/>
    <col min="7" max="7" width="11.28515625" bestFit="1" customWidth="1"/>
    <col min="8" max="11" width="15.5703125" hidden="1" customWidth="1" outlineLevel="1"/>
    <col min="12" max="12" width="15.5703125" customWidth="1" collapsed="1"/>
    <col min="13" max="16" width="15.5703125" hidden="1" customWidth="1" outlineLevel="1"/>
    <col min="17" max="17" width="15.5703125" customWidth="1" collapsed="1"/>
    <col min="18" max="21" width="15.5703125" hidden="1" customWidth="1" outlineLevel="2"/>
    <col min="22" max="22" width="15.5703125" customWidth="1" collapsed="1"/>
    <col min="23" max="26" width="15.5703125" hidden="1" customWidth="1" outlineLevel="1"/>
    <col min="27" max="27" width="15.5703125" customWidth="1" collapsed="1"/>
    <col min="28" max="31" width="15.5703125" hidden="1" customWidth="1" outlineLevel="1"/>
    <col min="32" max="32" width="15.5703125" customWidth="1" collapsed="1"/>
    <col min="33" max="36" width="15.5703125" hidden="1" customWidth="1" outlineLevel="1"/>
    <col min="37" max="37" width="15.5703125" customWidth="1" collapsed="1"/>
    <col min="38" max="41" width="15.5703125" hidden="1" customWidth="1" outlineLevel="1"/>
    <col min="42" max="42" width="15.5703125" customWidth="1" collapsed="1"/>
    <col min="43" max="46" width="15.5703125" hidden="1" customWidth="1" outlineLevel="1"/>
    <col min="47" max="47" width="15.5703125" customWidth="1" collapsed="1"/>
    <col min="48" max="51" width="15.5703125" customWidth="1" outlineLevel="1"/>
    <col min="52" max="53" width="15.5703125" customWidth="1"/>
    <col min="93" max="93" width="18.5703125" bestFit="1" customWidth="1"/>
    <col min="94" max="94" width="11.5703125" bestFit="1" customWidth="1"/>
    <col min="95" max="99" width="10.5703125" bestFit="1" customWidth="1"/>
  </cols>
  <sheetData>
    <row r="1" spans="1:5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53" ht="15" customHeight="1">
      <c r="A2" s="619"/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32"/>
      <c r="BA2" s="630"/>
    </row>
    <row r="3" spans="1:53" ht="50.1" customHeight="1">
      <c r="A3" s="635"/>
      <c r="B3" s="635" t="s">
        <v>464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53" s="108" customFormat="1" ht="10.35" customHeight="1"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R4" s="109"/>
      <c r="S4" s="109"/>
      <c r="T4" s="109"/>
      <c r="U4" s="109"/>
      <c r="W4" s="109"/>
      <c r="X4" s="109"/>
      <c r="Y4" s="109"/>
      <c r="Z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</row>
    <row r="5" spans="1:53" s="103" customFormat="1" ht="23.25">
      <c r="A5" s="74"/>
      <c r="B5" s="74" t="s">
        <v>465</v>
      </c>
      <c r="C5" s="163"/>
      <c r="D5" s="163"/>
      <c r="E5" s="163"/>
      <c r="F5" s="163"/>
      <c r="G5" s="161"/>
      <c r="H5" s="163"/>
      <c r="I5" s="163"/>
      <c r="J5" s="163"/>
      <c r="K5" s="163"/>
      <c r="L5" s="161"/>
      <c r="M5" s="163"/>
      <c r="N5" s="163"/>
      <c r="O5" s="163"/>
      <c r="P5" s="163"/>
      <c r="Q5" s="161"/>
      <c r="R5" s="163"/>
      <c r="S5" s="163"/>
      <c r="T5" s="163"/>
      <c r="U5" s="163"/>
      <c r="V5" s="161"/>
      <c r="W5" s="163"/>
      <c r="X5" s="163"/>
      <c r="Y5" s="163"/>
      <c r="Z5" s="163"/>
      <c r="AA5" s="161"/>
      <c r="AB5" s="163"/>
      <c r="AC5" s="163"/>
      <c r="AD5" s="163"/>
      <c r="AE5" s="163"/>
      <c r="AF5" s="161"/>
      <c r="AG5" s="163"/>
      <c r="AH5" s="163"/>
      <c r="AI5" s="163"/>
      <c r="AJ5" s="163"/>
      <c r="AK5" s="161"/>
      <c r="AL5" s="163"/>
      <c r="AM5" s="163"/>
      <c r="AN5" s="163"/>
      <c r="AO5" s="163"/>
      <c r="AP5" s="161"/>
      <c r="AQ5" s="163"/>
      <c r="AR5" s="163"/>
      <c r="AS5" s="163"/>
      <c r="AT5" s="163"/>
      <c r="AU5" s="161"/>
      <c r="AV5" s="163"/>
      <c r="AW5" s="163"/>
      <c r="AX5" s="163"/>
      <c r="AY5" s="163"/>
      <c r="AZ5" s="161"/>
      <c r="BA5" s="163"/>
    </row>
    <row r="6" spans="1:53" s="108" customFormat="1" ht="14.85" customHeight="1" thickBot="1">
      <c r="B6" s="696"/>
      <c r="C6" s="697"/>
      <c r="D6" s="697"/>
      <c r="E6" s="697"/>
      <c r="F6" s="697"/>
      <c r="G6" s="696"/>
      <c r="H6" s="697"/>
      <c r="I6" s="697"/>
      <c r="J6" s="697"/>
      <c r="K6" s="697"/>
      <c r="L6" s="696"/>
      <c r="M6" s="697"/>
      <c r="N6" s="697"/>
      <c r="O6" s="697"/>
      <c r="P6" s="697"/>
      <c r="Q6" s="696"/>
      <c r="R6" s="697"/>
      <c r="S6" s="697"/>
      <c r="T6" s="697"/>
      <c r="U6" s="697"/>
      <c r="V6" s="696"/>
      <c r="W6" s="697"/>
      <c r="X6" s="697"/>
      <c r="Y6" s="697"/>
      <c r="Z6" s="697"/>
      <c r="AA6" s="696"/>
      <c r="AB6" s="697"/>
      <c r="AC6" s="697"/>
      <c r="AD6" s="697"/>
      <c r="AE6" s="697"/>
      <c r="AF6" s="697"/>
      <c r="AG6" s="697"/>
      <c r="AH6" s="697"/>
      <c r="AI6" s="697"/>
      <c r="AJ6" s="697"/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AU6" s="697"/>
      <c r="AV6" s="697"/>
      <c r="AW6" s="697"/>
      <c r="AX6" s="697"/>
      <c r="AY6" s="697"/>
      <c r="AZ6" s="697"/>
      <c r="BA6" s="697"/>
    </row>
    <row r="7" spans="1:53" s="2" customFormat="1">
      <c r="A7" s="625"/>
      <c r="B7" s="625" t="s">
        <v>466</v>
      </c>
      <c r="C7" s="626" t="s">
        <v>224</v>
      </c>
      <c r="D7" s="626" t="s">
        <v>225</v>
      </c>
      <c r="E7" s="626" t="s">
        <v>226</v>
      </c>
      <c r="F7" s="626" t="s">
        <v>227</v>
      </c>
      <c r="G7" s="652">
        <v>2016</v>
      </c>
      <c r="H7" s="626" t="s">
        <v>228</v>
      </c>
      <c r="I7" s="626" t="s">
        <v>229</v>
      </c>
      <c r="J7" s="626" t="s">
        <v>230</v>
      </c>
      <c r="K7" s="626" t="s">
        <v>231</v>
      </c>
      <c r="L7" s="652">
        <v>2017</v>
      </c>
      <c r="M7" s="626" t="s">
        <v>232</v>
      </c>
      <c r="N7" s="626" t="s">
        <v>233</v>
      </c>
      <c r="O7" s="626" t="s">
        <v>234</v>
      </c>
      <c r="P7" s="626" t="s">
        <v>235</v>
      </c>
      <c r="Q7" s="652">
        <v>2018</v>
      </c>
      <c r="R7" s="626" t="s">
        <v>236</v>
      </c>
      <c r="S7" s="626" t="s">
        <v>237</v>
      </c>
      <c r="T7" s="626" t="s">
        <v>238</v>
      </c>
      <c r="U7" s="626" t="s">
        <v>239</v>
      </c>
      <c r="V7" s="652">
        <v>2019</v>
      </c>
      <c r="W7" s="626" t="s">
        <v>240</v>
      </c>
      <c r="X7" s="626" t="s">
        <v>241</v>
      </c>
      <c r="Y7" s="626" t="s">
        <v>242</v>
      </c>
      <c r="Z7" s="626" t="s">
        <v>243</v>
      </c>
      <c r="AA7" s="652">
        <v>2020</v>
      </c>
      <c r="AB7" s="626" t="s">
        <v>244</v>
      </c>
      <c r="AC7" s="626" t="s">
        <v>245</v>
      </c>
      <c r="AD7" s="626" t="s">
        <v>246</v>
      </c>
      <c r="AE7" s="626" t="s">
        <v>247</v>
      </c>
      <c r="AF7" s="652">
        <v>2021</v>
      </c>
      <c r="AG7" s="626" t="s">
        <v>248</v>
      </c>
      <c r="AH7" s="626" t="s">
        <v>249</v>
      </c>
      <c r="AI7" s="626" t="s">
        <v>250</v>
      </c>
      <c r="AJ7" s="626" t="s">
        <v>215</v>
      </c>
      <c r="AK7" s="652">
        <v>2022</v>
      </c>
      <c r="AL7" s="626" t="s">
        <v>252</v>
      </c>
      <c r="AM7" s="626" t="s">
        <v>253</v>
      </c>
      <c r="AN7" s="626" t="s">
        <v>254</v>
      </c>
      <c r="AO7" s="626" t="s">
        <v>219</v>
      </c>
      <c r="AP7" s="652">
        <v>2023</v>
      </c>
      <c r="AQ7" s="626" t="s">
        <v>223</v>
      </c>
      <c r="AR7" s="626" t="s">
        <v>256</v>
      </c>
      <c r="AS7" s="626" t="s">
        <v>357</v>
      </c>
      <c r="AT7" s="626" t="s">
        <v>358</v>
      </c>
      <c r="AU7" s="652">
        <v>2024</v>
      </c>
      <c r="AV7" s="626" t="s">
        <v>359</v>
      </c>
      <c r="AW7" s="626" t="s">
        <v>1115</v>
      </c>
      <c r="AX7" s="626" t="s">
        <v>1116</v>
      </c>
      <c r="AY7" s="626" t="s">
        <v>1117</v>
      </c>
      <c r="AZ7" s="653" t="s">
        <v>1118</v>
      </c>
      <c r="BA7" s="645" t="s">
        <v>1124</v>
      </c>
    </row>
    <row r="8" spans="1:53" s="2" customFormat="1">
      <c r="A8" s="9"/>
      <c r="B8" s="9" t="s">
        <v>456</v>
      </c>
      <c r="C8" s="10">
        <v>3104771.2830199976</v>
      </c>
      <c r="D8" s="10">
        <v>3253301.3780199983</v>
      </c>
      <c r="E8" s="10">
        <v>3470427.6500100074</v>
      </c>
      <c r="F8" s="10">
        <v>3874816.7984999847</v>
      </c>
      <c r="G8" s="39">
        <v>13703317.109549988</v>
      </c>
      <c r="H8" s="10">
        <v>4430016.963980007</v>
      </c>
      <c r="I8" s="10">
        <v>4521141.3422499979</v>
      </c>
      <c r="J8" s="10">
        <v>5113892.5292399842</v>
      </c>
      <c r="K8" s="10">
        <v>5073462.2270600218</v>
      </c>
      <c r="L8" s="39">
        <v>19138513.062530011</v>
      </c>
      <c r="M8" s="10">
        <v>5741439.9667700054</v>
      </c>
      <c r="N8" s="10">
        <v>6187151.9516499983</v>
      </c>
      <c r="O8" s="10">
        <v>5787066.5456899833</v>
      </c>
      <c r="P8" s="10">
        <v>5757935.564519994</v>
      </c>
      <c r="Q8" s="39">
        <v>23473594.028629981</v>
      </c>
      <c r="R8" s="10">
        <v>6664205.0321499938</v>
      </c>
      <c r="S8" s="10">
        <v>7338908.6098099994</v>
      </c>
      <c r="T8" s="10">
        <v>7917199.8254200201</v>
      </c>
      <c r="U8" s="10">
        <v>8372990.6906399466</v>
      </c>
      <c r="V8" s="39">
        <v>30293304.15801996</v>
      </c>
      <c r="W8" s="10">
        <v>7296110.1007499984</v>
      </c>
      <c r="X8" s="10">
        <v>4697639.0812400123</v>
      </c>
      <c r="Y8" s="10">
        <v>11079531.96135998</v>
      </c>
      <c r="Z8" s="10">
        <v>11434722.041029945</v>
      </c>
      <c r="AA8" s="39">
        <v>34508003.184379935</v>
      </c>
      <c r="AB8" s="10">
        <v>959186</v>
      </c>
      <c r="AC8" s="10">
        <v>794213</v>
      </c>
      <c r="AD8" s="10">
        <v>805995</v>
      </c>
      <c r="AE8" s="10">
        <v>789654</v>
      </c>
      <c r="AF8" s="39">
        <v>3349048</v>
      </c>
      <c r="AG8" s="10">
        <v>781131</v>
      </c>
      <c r="AH8" s="10">
        <v>750090</v>
      </c>
      <c r="AI8" s="10">
        <v>824261</v>
      </c>
      <c r="AJ8" s="10">
        <v>720893</v>
      </c>
      <c r="AK8" s="39">
        <f>SUM(AG8:AJ8)</f>
        <v>3076375</v>
      </c>
      <c r="AL8" s="10">
        <v>751459</v>
      </c>
      <c r="AM8" s="10">
        <v>728575</v>
      </c>
      <c r="AN8" s="10">
        <v>752430</v>
      </c>
      <c r="AO8" s="10">
        <v>756613</v>
      </c>
      <c r="AP8" s="39">
        <f>SUM(AL8:AO8)</f>
        <v>2989077</v>
      </c>
      <c r="AQ8" s="10">
        <v>734887</v>
      </c>
      <c r="AR8" s="10">
        <v>718952</v>
      </c>
      <c r="AS8" s="10">
        <v>717800</v>
      </c>
      <c r="AT8" s="10">
        <v>707832</v>
      </c>
      <c r="AU8" s="39">
        <f>SUM(AQ8:AT8)</f>
        <v>2879471</v>
      </c>
      <c r="AV8" s="10">
        <v>682409</v>
      </c>
      <c r="AW8" s="10">
        <v>689159</v>
      </c>
      <c r="AX8" s="10">
        <v>727213</v>
      </c>
      <c r="AY8" s="10">
        <v>768230</v>
      </c>
      <c r="AZ8" s="39">
        <f>SUM(AV8:AY8)</f>
        <v>2867011</v>
      </c>
      <c r="BA8" s="10">
        <v>761630</v>
      </c>
    </row>
    <row r="9" spans="1:53">
      <c r="A9" s="11"/>
      <c r="B9" s="11" t="s">
        <v>457</v>
      </c>
      <c r="C9" s="12">
        <v>-2457390.8966400013</v>
      </c>
      <c r="D9" s="12">
        <v>-2636273.520420006</v>
      </c>
      <c r="E9" s="12">
        <v>-2790923.4204399791</v>
      </c>
      <c r="F9" s="12">
        <v>-3162513.0605200185</v>
      </c>
      <c r="G9" s="40">
        <v>-11047100.898020005</v>
      </c>
      <c r="H9" s="12">
        <v>-3792544.7575799967</v>
      </c>
      <c r="I9" s="12">
        <v>-3814322.6386600393</v>
      </c>
      <c r="J9" s="12">
        <v>-4549579.9057899704</v>
      </c>
      <c r="K9" s="12">
        <v>-4294794.0521299895</v>
      </c>
      <c r="L9" s="40">
        <v>-16451241.354159996</v>
      </c>
      <c r="M9" s="12">
        <v>-4991400.7896700008</v>
      </c>
      <c r="N9" s="12">
        <v>-5404992.086510011</v>
      </c>
      <c r="O9" s="12">
        <v>-4268264.8932999931</v>
      </c>
      <c r="P9" s="12">
        <v>-5176600.4665099867</v>
      </c>
      <c r="Q9" s="40">
        <v>-19841258.235989992</v>
      </c>
      <c r="R9" s="12">
        <v>-5847951.845870018</v>
      </c>
      <c r="S9" s="12">
        <v>-6375465.9769999646</v>
      </c>
      <c r="T9" s="12">
        <v>-6979657.2162099667</v>
      </c>
      <c r="U9" s="12">
        <v>-7297308.6770100333</v>
      </c>
      <c r="V9" s="40">
        <v>-26500383.716089983</v>
      </c>
      <c r="W9" s="12">
        <v>-6393736.8895399906</v>
      </c>
      <c r="X9" s="12">
        <v>-3736569.0347299948</v>
      </c>
      <c r="Y9" s="12">
        <v>-10216864.87997992</v>
      </c>
      <c r="Z9" s="12">
        <v>-10423356.82779007</v>
      </c>
      <c r="AA9" s="40">
        <v>-30770527.632039975</v>
      </c>
      <c r="AB9" s="12">
        <v>-534890</v>
      </c>
      <c r="AC9" s="12">
        <v>-383262</v>
      </c>
      <c r="AD9" s="12">
        <v>-423142</v>
      </c>
      <c r="AE9" s="12">
        <v>-335821</v>
      </c>
      <c r="AF9" s="40">
        <v>-1677115</v>
      </c>
      <c r="AG9" s="12">
        <v>-349400</v>
      </c>
      <c r="AH9" s="12">
        <v>-318267</v>
      </c>
      <c r="AI9" s="12">
        <v>-402215</v>
      </c>
      <c r="AJ9" s="12">
        <v>-341848</v>
      </c>
      <c r="AK9" s="40">
        <f t="shared" ref="AK9" si="0">SUM(AG9:AJ9)</f>
        <v>-1411730</v>
      </c>
      <c r="AL9" s="12">
        <v>-306216</v>
      </c>
      <c r="AM9" s="12">
        <v>-284777</v>
      </c>
      <c r="AN9" s="12">
        <v>-313717</v>
      </c>
      <c r="AO9" s="12">
        <v>-285724</v>
      </c>
      <c r="AP9" s="40">
        <f t="shared" ref="AP9:AP26" si="1">SUM(AL9:AO9)</f>
        <v>-1190434</v>
      </c>
      <c r="AQ9" s="12">
        <v>-313502</v>
      </c>
      <c r="AR9" s="1">
        <v>-395865</v>
      </c>
      <c r="AS9" s="12">
        <v>-332400</v>
      </c>
      <c r="AT9" s="1">
        <v>-274523</v>
      </c>
      <c r="AU9" s="40">
        <f t="shared" ref="AU9:AU26" si="2">SUM(AQ9:AT9)</f>
        <v>-1316290</v>
      </c>
      <c r="AV9" s="1">
        <v>-334479</v>
      </c>
      <c r="AW9" s="1">
        <v>-312944</v>
      </c>
      <c r="AX9" s="1">
        <v>-360307</v>
      </c>
      <c r="AY9" s="1">
        <v>-385540</v>
      </c>
      <c r="AZ9" s="40">
        <f t="shared" ref="AZ9:AZ26" si="3">SUM(AV9:AY9)</f>
        <v>-1393270</v>
      </c>
      <c r="BA9" s="8">
        <v>-373069</v>
      </c>
    </row>
    <row r="10" spans="1:53" s="2" customFormat="1">
      <c r="A10" s="9"/>
      <c r="B10" s="9" t="s">
        <v>412</v>
      </c>
      <c r="C10" s="10">
        <v>647380.38637999631</v>
      </c>
      <c r="D10" s="10">
        <v>617027.85759999277</v>
      </c>
      <c r="E10" s="10">
        <v>679504.22957002721</v>
      </c>
      <c r="F10" s="10">
        <v>712303.73797996738</v>
      </c>
      <c r="G10" s="39">
        <v>2656216.2115299837</v>
      </c>
      <c r="H10" s="10">
        <v>637472.20640001062</v>
      </c>
      <c r="I10" s="10">
        <v>706818.70358995872</v>
      </c>
      <c r="J10" s="10">
        <v>564312.62345001404</v>
      </c>
      <c r="K10" s="10">
        <v>778668.17493003071</v>
      </c>
      <c r="L10" s="39">
        <v>2687271.7083700141</v>
      </c>
      <c r="M10" s="10">
        <v>750039.17710000416</v>
      </c>
      <c r="N10" s="10">
        <v>782159.86513998802</v>
      </c>
      <c r="O10" s="10">
        <v>1518801.6523899881</v>
      </c>
      <c r="P10" s="10">
        <v>581335.09801001148</v>
      </c>
      <c r="Q10" s="39">
        <v>3632335.7926399917</v>
      </c>
      <c r="R10" s="10">
        <v>816253.18627997593</v>
      </c>
      <c r="S10" s="10">
        <v>963442.6328100356</v>
      </c>
      <c r="T10" s="10">
        <v>937542.60921005253</v>
      </c>
      <c r="U10" s="10">
        <v>1075682.0136299133</v>
      </c>
      <c r="V10" s="39">
        <v>3792920.4419299774</v>
      </c>
      <c r="W10" s="10">
        <v>902373.21121000766</v>
      </c>
      <c r="X10" s="10">
        <v>961070.04651001829</v>
      </c>
      <c r="Y10" s="10">
        <v>862667.08138006018</v>
      </c>
      <c r="Z10" s="10">
        <v>1011365.2132398761</v>
      </c>
      <c r="AA10" s="39">
        <v>3737475.5523399622</v>
      </c>
      <c r="AB10" s="10">
        <v>424296</v>
      </c>
      <c r="AC10" s="10">
        <v>410951</v>
      </c>
      <c r="AD10" s="10">
        <v>382853</v>
      </c>
      <c r="AE10" s="10">
        <v>453833</v>
      </c>
      <c r="AF10" s="39">
        <v>1671933</v>
      </c>
      <c r="AG10" s="10">
        <f t="shared" ref="AG10" si="4">SUM(AG8:AG9)</f>
        <v>431731</v>
      </c>
      <c r="AH10" s="10">
        <f t="shared" ref="AH10" si="5">SUM(AH8:AH9)</f>
        <v>431823</v>
      </c>
      <c r="AI10" s="10">
        <f t="shared" ref="AI10" si="6">SUM(AI8:AI9)</f>
        <v>422046</v>
      </c>
      <c r="AJ10" s="10">
        <f t="shared" ref="AJ10" si="7">SUM(AJ8:AJ9)</f>
        <v>379045</v>
      </c>
      <c r="AK10" s="39">
        <f>SUM(AG10:AJ10)</f>
        <v>1664645</v>
      </c>
      <c r="AL10" s="10">
        <f>SUM(AL8:AL9)</f>
        <v>445243</v>
      </c>
      <c r="AM10" s="10">
        <f>SUM(AM8:AM9)</f>
        <v>443798</v>
      </c>
      <c r="AN10" s="10">
        <f>SUM(AN8:AN9)</f>
        <v>438713</v>
      </c>
      <c r="AO10" s="10">
        <f>SUM(AO8:AO9)</f>
        <v>470889</v>
      </c>
      <c r="AP10" s="39">
        <f t="shared" si="1"/>
        <v>1798643</v>
      </c>
      <c r="AQ10" s="10">
        <f>SUM(AQ8:AQ9)</f>
        <v>421385</v>
      </c>
      <c r="AR10" s="10">
        <f t="shared" ref="AR10:AY10" si="8">SUM(AR8:AR9)</f>
        <v>323087</v>
      </c>
      <c r="AS10" s="10">
        <f t="shared" si="8"/>
        <v>385400</v>
      </c>
      <c r="AT10" s="10">
        <f t="shared" si="8"/>
        <v>433309</v>
      </c>
      <c r="AU10" s="39">
        <f t="shared" si="2"/>
        <v>1563181</v>
      </c>
      <c r="AV10" s="10">
        <f t="shared" si="8"/>
        <v>347930</v>
      </c>
      <c r="AW10" s="10">
        <f>SUM(AW8:AW9)</f>
        <v>376215</v>
      </c>
      <c r="AX10" s="10">
        <f t="shared" si="8"/>
        <v>366906</v>
      </c>
      <c r="AY10" s="10">
        <f t="shared" si="8"/>
        <v>382690</v>
      </c>
      <c r="AZ10" s="39">
        <f t="shared" si="3"/>
        <v>1473741</v>
      </c>
      <c r="BA10" s="10">
        <f>SUM(BA8:BA9)</f>
        <v>388561</v>
      </c>
    </row>
    <row r="11" spans="1:53">
      <c r="A11" s="11"/>
      <c r="B11" s="11" t="s">
        <v>413</v>
      </c>
      <c r="C11" s="12">
        <v>-122398.85846</v>
      </c>
      <c r="D11" s="12">
        <v>-133150.80570000003</v>
      </c>
      <c r="E11" s="12">
        <v>-139505.46322999999</v>
      </c>
      <c r="F11" s="12">
        <v>-149267.13071000006</v>
      </c>
      <c r="G11" s="40">
        <v>-544322.25810000009</v>
      </c>
      <c r="H11" s="12">
        <v>-140127.95085999998</v>
      </c>
      <c r="I11" s="12">
        <v>-152794.17776999995</v>
      </c>
      <c r="J11" s="12">
        <v>-159628.97768999991</v>
      </c>
      <c r="K11" s="12">
        <v>-209374.34733000054</v>
      </c>
      <c r="L11" s="40">
        <v>-661925.45365000039</v>
      </c>
      <c r="M11" s="12">
        <v>-156702.26176999992</v>
      </c>
      <c r="N11" s="12">
        <v>-174641.28823000006</v>
      </c>
      <c r="O11" s="12">
        <v>-220166.18533000007</v>
      </c>
      <c r="P11" s="12">
        <v>-227779.69660000014</v>
      </c>
      <c r="Q11" s="40">
        <v>-779289.4319300002</v>
      </c>
      <c r="R11" s="12">
        <v>-174698.37907</v>
      </c>
      <c r="S11" s="12">
        <v>-179436.48071000018</v>
      </c>
      <c r="T11" s="12">
        <v>-191802.21477999992</v>
      </c>
      <c r="U11" s="12">
        <v>-259983.36618478387</v>
      </c>
      <c r="V11" s="40">
        <v>-805920.44074478396</v>
      </c>
      <c r="W11" s="12">
        <v>-171080.04798478418</v>
      </c>
      <c r="X11" s="12">
        <v>-198770.5500499999</v>
      </c>
      <c r="Y11" s="12">
        <v>-200671.25474999973</v>
      </c>
      <c r="Z11" s="12">
        <v>-263981.3668052163</v>
      </c>
      <c r="AA11" s="40">
        <v>-834503.21959000011</v>
      </c>
      <c r="AB11" s="12">
        <v>-88443</v>
      </c>
      <c r="AC11" s="12">
        <v>-116971</v>
      </c>
      <c r="AD11" s="12">
        <v>-101637</v>
      </c>
      <c r="AE11" s="12">
        <v>-69660</v>
      </c>
      <c r="AF11" s="40">
        <v>-376711</v>
      </c>
      <c r="AG11" s="12">
        <v>-93676</v>
      </c>
      <c r="AH11" s="12">
        <v>-96941</v>
      </c>
      <c r="AI11" s="12">
        <v>-95039</v>
      </c>
      <c r="AJ11" s="12">
        <v>-107565</v>
      </c>
      <c r="AK11" s="40">
        <f t="shared" ref="AK11:AK23" si="9">SUM(AG11:AJ11)</f>
        <v>-393221</v>
      </c>
      <c r="AL11" s="12">
        <v>-94172</v>
      </c>
      <c r="AM11" s="12">
        <v>-85726</v>
      </c>
      <c r="AN11" s="12">
        <v>-87372</v>
      </c>
      <c r="AO11" s="12">
        <v>-109720</v>
      </c>
      <c r="AP11" s="40">
        <f t="shared" si="1"/>
        <v>-376990</v>
      </c>
      <c r="AQ11" s="12">
        <v>-95468</v>
      </c>
      <c r="AR11" s="1">
        <v>-93355</v>
      </c>
      <c r="AS11" s="12">
        <v>-85194</v>
      </c>
      <c r="AT11" s="12">
        <v>-100720</v>
      </c>
      <c r="AU11" s="40">
        <f t="shared" si="2"/>
        <v>-374737</v>
      </c>
      <c r="AV11" s="12">
        <v>-100326</v>
      </c>
      <c r="AW11" s="12">
        <v>-78391</v>
      </c>
      <c r="AX11" s="12">
        <v>-95853</v>
      </c>
      <c r="AY11" s="12">
        <v>-106247</v>
      </c>
      <c r="AZ11" s="40">
        <f t="shared" si="3"/>
        <v>-380817</v>
      </c>
      <c r="BA11" s="8">
        <v>-98985</v>
      </c>
    </row>
    <row r="12" spans="1:53">
      <c r="A12" s="11"/>
      <c r="B12" s="11" t="s">
        <v>414</v>
      </c>
      <c r="C12" s="13">
        <v>-82032.740280000013</v>
      </c>
      <c r="D12" s="13">
        <v>-83684.819490000038</v>
      </c>
      <c r="E12" s="13">
        <v>-84141.380219999963</v>
      </c>
      <c r="F12" s="13">
        <v>-100144.08986999994</v>
      </c>
      <c r="G12" s="41">
        <v>-350003.02985999995</v>
      </c>
      <c r="H12" s="13">
        <v>-92777.786250000005</v>
      </c>
      <c r="I12" s="13">
        <v>-86999.909560000058</v>
      </c>
      <c r="J12" s="13">
        <v>-87456.032169999904</v>
      </c>
      <c r="K12" s="13">
        <v>-33395.296440000006</v>
      </c>
      <c r="L12" s="41">
        <v>-300629.02441999997</v>
      </c>
      <c r="M12" s="13">
        <v>-95693.386299999984</v>
      </c>
      <c r="N12" s="13">
        <v>-95482.704800000036</v>
      </c>
      <c r="O12" s="13">
        <v>-133105.6430199999</v>
      </c>
      <c r="P12" s="13">
        <v>-101936.56385000009</v>
      </c>
      <c r="Q12" s="41">
        <v>-426218.29797000001</v>
      </c>
      <c r="R12" s="13">
        <v>-95580.751230000009</v>
      </c>
      <c r="S12" s="13">
        <v>-100634.19692000003</v>
      </c>
      <c r="T12" s="13">
        <v>-107527.74323999995</v>
      </c>
      <c r="U12" s="13">
        <v>-105555.50029</v>
      </c>
      <c r="V12" s="41">
        <v>-409298.19167999999</v>
      </c>
      <c r="W12" s="13">
        <v>-111885.24567</v>
      </c>
      <c r="X12" s="13">
        <v>-114800.68466</v>
      </c>
      <c r="Y12" s="13">
        <v>-105201.21767000004</v>
      </c>
      <c r="Z12" s="13">
        <v>-115014.55540000007</v>
      </c>
      <c r="AA12" s="41">
        <v>-446901.70340000011</v>
      </c>
      <c r="AB12" s="12">
        <v>-34145</v>
      </c>
      <c r="AC12" s="12">
        <v>-24905</v>
      </c>
      <c r="AD12" s="12">
        <v>-28837</v>
      </c>
      <c r="AE12" s="12">
        <v>-38725</v>
      </c>
      <c r="AF12" s="41">
        <v>-126612</v>
      </c>
      <c r="AG12" s="12">
        <v>-28174</v>
      </c>
      <c r="AH12" s="12">
        <v>-29414</v>
      </c>
      <c r="AI12" s="12">
        <v>-36511</v>
      </c>
      <c r="AJ12" s="12">
        <v>-25366</v>
      </c>
      <c r="AK12" s="41">
        <f t="shared" si="9"/>
        <v>-119465</v>
      </c>
      <c r="AL12" s="12">
        <v>-33181</v>
      </c>
      <c r="AM12" s="12">
        <v>-27860</v>
      </c>
      <c r="AN12" s="12">
        <v>-28664</v>
      </c>
      <c r="AO12" s="12">
        <v>-28882</v>
      </c>
      <c r="AP12" s="41">
        <f t="shared" si="1"/>
        <v>-118587</v>
      </c>
      <c r="AQ12" s="12">
        <v>-28191</v>
      </c>
      <c r="AR12" s="1">
        <v>-23271</v>
      </c>
      <c r="AS12" s="12">
        <v>-22209</v>
      </c>
      <c r="AT12" s="12">
        <v>-34269</v>
      </c>
      <c r="AU12" s="41">
        <f t="shared" si="2"/>
        <v>-107940</v>
      </c>
      <c r="AV12" s="12">
        <v>-28771</v>
      </c>
      <c r="AW12" s="12">
        <v>-28218</v>
      </c>
      <c r="AX12" s="12">
        <v>-27536</v>
      </c>
      <c r="AY12" s="12">
        <v>-27072</v>
      </c>
      <c r="AZ12" s="170">
        <f t="shared" si="3"/>
        <v>-111597</v>
      </c>
      <c r="BA12" s="162">
        <v>-31732</v>
      </c>
    </row>
    <row r="13" spans="1:53">
      <c r="A13" s="11"/>
      <c r="B13" s="11" t="s">
        <v>415</v>
      </c>
      <c r="C13" s="13">
        <v>401466.8710100007</v>
      </c>
      <c r="D13" s="13">
        <v>422018.9594299976</v>
      </c>
      <c r="E13" s="13">
        <v>408165.17704999982</v>
      </c>
      <c r="F13" s="13">
        <v>399347.10105000017</v>
      </c>
      <c r="G13" s="41">
        <v>1630998.1085399983</v>
      </c>
      <c r="H13" s="13">
        <v>483584.63217000087</v>
      </c>
      <c r="I13" s="13">
        <v>358761.65468999819</v>
      </c>
      <c r="J13" s="13">
        <v>455103.12455000088</v>
      </c>
      <c r="K13" s="13">
        <v>511886.78812999884</v>
      </c>
      <c r="L13" s="41">
        <v>1809336.1995399988</v>
      </c>
      <c r="M13" s="13">
        <v>420895.44334000041</v>
      </c>
      <c r="N13" s="13">
        <v>347049.58353999915</v>
      </c>
      <c r="O13" s="13">
        <v>357162.8466250007</v>
      </c>
      <c r="P13" s="13">
        <v>386051.90829499927</v>
      </c>
      <c r="Q13" s="41">
        <v>1511159.7817999995</v>
      </c>
      <c r="R13" s="13">
        <v>436728.47105000028</v>
      </c>
      <c r="S13" s="13">
        <v>398554.41093999962</v>
      </c>
      <c r="T13" s="13">
        <v>429721.95890999935</v>
      </c>
      <c r="U13" s="13">
        <v>480997.05640478665</v>
      </c>
      <c r="V13" s="41">
        <v>1746001.8973047859</v>
      </c>
      <c r="W13" s="13">
        <v>467793.29898478353</v>
      </c>
      <c r="X13" s="13">
        <v>481938.45834000123</v>
      </c>
      <c r="Y13" s="13">
        <v>486637.28179999976</v>
      </c>
      <c r="Z13" s="13">
        <v>460419.9554552238</v>
      </c>
      <c r="AA13" s="41">
        <v>1896788.9945800083</v>
      </c>
      <c r="AB13" s="12">
        <v>64309</v>
      </c>
      <c r="AC13" s="12">
        <v>50924</v>
      </c>
      <c r="AD13" s="12">
        <v>16802</v>
      </c>
      <c r="AE13" s="12">
        <v>36954</v>
      </c>
      <c r="AF13" s="41">
        <v>168989</v>
      </c>
      <c r="AG13" s="12">
        <v>44243</v>
      </c>
      <c r="AH13" s="12">
        <v>5394</v>
      </c>
      <c r="AI13" s="12">
        <v>64177</v>
      </c>
      <c r="AJ13" s="12">
        <v>55936</v>
      </c>
      <c r="AK13" s="41">
        <f t="shared" si="9"/>
        <v>169750</v>
      </c>
      <c r="AL13" s="12">
        <v>82312</v>
      </c>
      <c r="AM13" s="12">
        <v>86712</v>
      </c>
      <c r="AN13" s="12">
        <v>124360</v>
      </c>
      <c r="AO13" s="12">
        <v>106258</v>
      </c>
      <c r="AP13" s="41">
        <f t="shared" si="1"/>
        <v>399642</v>
      </c>
      <c r="AQ13" s="12">
        <v>78879</v>
      </c>
      <c r="AR13" s="1">
        <v>59855</v>
      </c>
      <c r="AS13" s="12">
        <v>106234</v>
      </c>
      <c r="AT13" s="12">
        <v>82504</v>
      </c>
      <c r="AU13" s="41">
        <f t="shared" si="2"/>
        <v>327472</v>
      </c>
      <c r="AV13" s="12">
        <v>95292</v>
      </c>
      <c r="AW13" s="12">
        <v>116424</v>
      </c>
      <c r="AX13" s="12">
        <v>146593</v>
      </c>
      <c r="AY13" s="12">
        <v>133593</v>
      </c>
      <c r="AZ13" s="170">
        <f t="shared" si="3"/>
        <v>491902</v>
      </c>
      <c r="BA13" s="162">
        <v>101641</v>
      </c>
    </row>
    <row r="14" spans="1:53">
      <c r="A14" s="11"/>
      <c r="B14" s="11" t="s">
        <v>416</v>
      </c>
      <c r="C14" s="12">
        <v>5227.9340399999619</v>
      </c>
      <c r="D14" s="12">
        <v>8152.2450000002391</v>
      </c>
      <c r="E14" s="12">
        <v>9290.5519399993409</v>
      </c>
      <c r="F14" s="12">
        <v>11200.374300000665</v>
      </c>
      <c r="G14" s="40">
        <v>33871.105280000207</v>
      </c>
      <c r="H14" s="12">
        <v>9897.0784999999996</v>
      </c>
      <c r="I14" s="12">
        <v>100642.39038000011</v>
      </c>
      <c r="J14" s="12">
        <v>58672.285009999759</v>
      </c>
      <c r="K14" s="12">
        <v>-138162.01224999907</v>
      </c>
      <c r="L14" s="40">
        <v>31049.741640000808</v>
      </c>
      <c r="M14" s="12">
        <v>-81738.862580000045</v>
      </c>
      <c r="N14" s="12">
        <v>88974.116200000164</v>
      </c>
      <c r="O14" s="12">
        <v>-155718.65941499971</v>
      </c>
      <c r="P14" s="12">
        <v>171237.38036499976</v>
      </c>
      <c r="Q14" s="40">
        <v>22753.974570000166</v>
      </c>
      <c r="R14" s="12">
        <v>4373.3591300001144</v>
      </c>
      <c r="S14" s="12">
        <v>22985.803689999819</v>
      </c>
      <c r="T14" s="12">
        <v>8517.1372699992644</v>
      </c>
      <c r="U14" s="12">
        <v>-71394.201219997398</v>
      </c>
      <c r="V14" s="40">
        <v>-35517.901129998201</v>
      </c>
      <c r="W14" s="12">
        <v>9223.8825399999623</v>
      </c>
      <c r="X14" s="12">
        <v>8323.4694999999992</v>
      </c>
      <c r="Y14" s="12">
        <v>18173.693339999678</v>
      </c>
      <c r="Z14" s="12">
        <v>-17436.041799999239</v>
      </c>
      <c r="AA14" s="40">
        <v>18285.003580000401</v>
      </c>
      <c r="AB14" s="12">
        <v>13455</v>
      </c>
      <c r="AC14" s="12">
        <v>26112</v>
      </c>
      <c r="AD14" s="12">
        <v>14399</v>
      </c>
      <c r="AE14" s="12">
        <v>22221</v>
      </c>
      <c r="AF14" s="40">
        <v>76187</v>
      </c>
      <c r="AG14" s="12">
        <v>11690</v>
      </c>
      <c r="AH14" s="12">
        <v>6201</v>
      </c>
      <c r="AI14" s="12">
        <v>27157</v>
      </c>
      <c r="AJ14" s="12">
        <v>62464</v>
      </c>
      <c r="AK14" s="40">
        <f t="shared" si="9"/>
        <v>107512</v>
      </c>
      <c r="AL14" s="12">
        <v>3724</v>
      </c>
      <c r="AM14" s="12">
        <v>8637</v>
      </c>
      <c r="AN14" s="12">
        <v>30187</v>
      </c>
      <c r="AO14" s="12">
        <v>21126</v>
      </c>
      <c r="AP14" s="40">
        <f t="shared" si="1"/>
        <v>63674</v>
      </c>
      <c r="AQ14" s="12">
        <v>17437</v>
      </c>
      <c r="AR14" s="1">
        <v>21444</v>
      </c>
      <c r="AS14" s="12">
        <v>22480</v>
      </c>
      <c r="AT14" s="12">
        <v>6744</v>
      </c>
      <c r="AU14" s="40">
        <f t="shared" si="2"/>
        <v>68105</v>
      </c>
      <c r="AV14" s="12">
        <v>8533</v>
      </c>
      <c r="AW14" s="12">
        <v>4151</v>
      </c>
      <c r="AX14" s="12">
        <v>3467</v>
      </c>
      <c r="AY14" s="12">
        <v>-13553</v>
      </c>
      <c r="AZ14" s="40">
        <f t="shared" si="3"/>
        <v>2598</v>
      </c>
      <c r="BA14" s="8">
        <v>0</v>
      </c>
    </row>
    <row r="15" spans="1:53" s="2" customFormat="1">
      <c r="A15" s="9"/>
      <c r="B15" s="9" t="s">
        <v>418</v>
      </c>
      <c r="C15" s="10">
        <v>849643.59268999693</v>
      </c>
      <c r="D15" s="10">
        <v>830363.43683999055</v>
      </c>
      <c r="E15" s="10">
        <v>873313.11511002644</v>
      </c>
      <c r="F15" s="10">
        <v>873439.99274996831</v>
      </c>
      <c r="G15" s="39">
        <v>3426760.1373899821</v>
      </c>
      <c r="H15" s="10">
        <v>898048.17996001139</v>
      </c>
      <c r="I15" s="10">
        <v>926428.66132995707</v>
      </c>
      <c r="J15" s="10">
        <v>831003.02315001492</v>
      </c>
      <c r="K15" s="10">
        <v>909623.30704003002</v>
      </c>
      <c r="L15" s="39">
        <v>3565103.1714800135</v>
      </c>
      <c r="M15" s="10">
        <v>836800.10979000444</v>
      </c>
      <c r="N15" s="10">
        <v>948059.57184998726</v>
      </c>
      <c r="O15" s="10">
        <v>1366974.0112499893</v>
      </c>
      <c r="P15" s="10">
        <v>808908.12622001034</v>
      </c>
      <c r="Q15" s="39">
        <v>3960741.8191099912</v>
      </c>
      <c r="R15" s="10">
        <v>987075.88615997625</v>
      </c>
      <c r="S15" s="10">
        <v>1104912.1698100348</v>
      </c>
      <c r="T15" s="10">
        <v>1076451.7473700512</v>
      </c>
      <c r="U15" s="10">
        <v>1119746.0023399186</v>
      </c>
      <c r="V15" s="39">
        <v>4288185.8056799807</v>
      </c>
      <c r="W15" s="10">
        <v>1096425.0990800071</v>
      </c>
      <c r="X15" s="10">
        <v>1137760.7396400196</v>
      </c>
      <c r="Y15" s="10">
        <v>1061605.5841000599</v>
      </c>
      <c r="Z15" s="10">
        <v>1075353.2046898841</v>
      </c>
      <c r="AA15" s="39">
        <v>4371144.6275099702</v>
      </c>
      <c r="AB15" s="10">
        <v>379472</v>
      </c>
      <c r="AC15" s="10">
        <v>346111</v>
      </c>
      <c r="AD15" s="10">
        <v>283580</v>
      </c>
      <c r="AE15" s="10">
        <v>404623</v>
      </c>
      <c r="AF15" s="39">
        <v>1413786</v>
      </c>
      <c r="AG15" s="10">
        <f>SUM(AG10:AG14)</f>
        <v>365814</v>
      </c>
      <c r="AH15" s="10">
        <f t="shared" ref="AH15:AJ15" si="10">SUM(AH10:AH14)</f>
        <v>317063</v>
      </c>
      <c r="AI15" s="10">
        <f t="shared" si="10"/>
        <v>381830</v>
      </c>
      <c r="AJ15" s="10">
        <f t="shared" si="10"/>
        <v>364514</v>
      </c>
      <c r="AK15" s="39">
        <v>1429221</v>
      </c>
      <c r="AL15" s="10">
        <f>SUM(AL10:AL14)</f>
        <v>403926</v>
      </c>
      <c r="AM15" s="10">
        <f>SUM(AM10:AM14)</f>
        <v>425561</v>
      </c>
      <c r="AN15" s="10">
        <f>SUM(AN10:AN14)</f>
        <v>477224</v>
      </c>
      <c r="AO15" s="10">
        <f>SUM(AO10:AO14)</f>
        <v>459671</v>
      </c>
      <c r="AP15" s="39">
        <f t="shared" si="1"/>
        <v>1766382</v>
      </c>
      <c r="AQ15" s="10">
        <f>SUM(AQ10:AQ14)</f>
        <v>394042</v>
      </c>
      <c r="AR15" s="10">
        <f t="shared" ref="AR15:AX15" si="11">SUM(AR10:AR14)</f>
        <v>287760</v>
      </c>
      <c r="AS15" s="10">
        <f t="shared" si="11"/>
        <v>406711</v>
      </c>
      <c r="AT15" s="10">
        <f t="shared" si="11"/>
        <v>387568</v>
      </c>
      <c r="AU15" s="39">
        <f t="shared" si="2"/>
        <v>1476081</v>
      </c>
      <c r="AV15" s="10">
        <f t="shared" si="11"/>
        <v>322658</v>
      </c>
      <c r="AW15" s="10">
        <f t="shared" si="11"/>
        <v>390181</v>
      </c>
      <c r="AX15" s="10">
        <f t="shared" si="11"/>
        <v>393577</v>
      </c>
      <c r="AY15" s="10">
        <f>SUM(AY10:AY14)</f>
        <v>369411</v>
      </c>
      <c r="AZ15" s="39">
        <f t="shared" si="3"/>
        <v>1475827</v>
      </c>
      <c r="BA15" s="10">
        <f>SUM(BA10:BA14)</f>
        <v>359485</v>
      </c>
    </row>
    <row r="16" spans="1:53">
      <c r="A16" s="11"/>
      <c r="B16" s="11" t="s">
        <v>419</v>
      </c>
      <c r="C16" s="12">
        <v>1228.7127099999998</v>
      </c>
      <c r="D16" s="12">
        <v>-7419.7238999999972</v>
      </c>
      <c r="E16" s="12">
        <v>39.474399999998241</v>
      </c>
      <c r="F16" s="12">
        <v>-22770.082059999993</v>
      </c>
      <c r="G16" s="41">
        <v>-28921.618849999992</v>
      </c>
      <c r="H16" s="12">
        <v>-18.602559999999997</v>
      </c>
      <c r="I16" s="12">
        <v>-33374.349900000001</v>
      </c>
      <c r="J16" s="12">
        <v>36.343460000003688</v>
      </c>
      <c r="K16" s="12">
        <v>12843.088189999995</v>
      </c>
      <c r="L16" s="41">
        <v>-20513.520810000002</v>
      </c>
      <c r="M16" s="12">
        <v>106.24939000000001</v>
      </c>
      <c r="N16" s="12">
        <v>196.07953999999995</v>
      </c>
      <c r="O16" s="12">
        <v>-70733.611149999997</v>
      </c>
      <c r="P16" s="12">
        <v>14274.84917999999</v>
      </c>
      <c r="Q16" s="41">
        <v>-56156.433040000004</v>
      </c>
      <c r="R16" s="12">
        <v>2177.3087700000001</v>
      </c>
      <c r="S16" s="12">
        <v>-208874.08834000002</v>
      </c>
      <c r="T16" s="12">
        <v>2819.3584399999527</v>
      </c>
      <c r="U16" s="12">
        <v>-112703.62856999991</v>
      </c>
      <c r="V16" s="41">
        <v>-316581.04969999997</v>
      </c>
      <c r="W16" s="12">
        <v>-26233.200110000002</v>
      </c>
      <c r="X16" s="12">
        <v>-4050.1543100000017</v>
      </c>
      <c r="Y16" s="12">
        <v>1175.9764399999985</v>
      </c>
      <c r="Z16" s="12">
        <v>-112735.04727</v>
      </c>
      <c r="AA16" s="41">
        <v>-141842.42525</v>
      </c>
      <c r="AB16" s="12">
        <v>218</v>
      </c>
      <c r="AC16" s="12">
        <v>5387</v>
      </c>
      <c r="AD16" s="12">
        <v>629</v>
      </c>
      <c r="AE16" s="12">
        <v>-56201</v>
      </c>
      <c r="AF16" s="41">
        <v>-49967</v>
      </c>
      <c r="AG16" s="12">
        <v>933</v>
      </c>
      <c r="AH16" s="12">
        <v>-181</v>
      </c>
      <c r="AI16" s="12">
        <v>18</v>
      </c>
      <c r="AJ16" s="12">
        <v>123159</v>
      </c>
      <c r="AK16" s="41">
        <f t="shared" si="9"/>
        <v>123929</v>
      </c>
      <c r="AL16" s="12">
        <v>485</v>
      </c>
      <c r="AM16" s="12">
        <v>-43677</v>
      </c>
      <c r="AN16" s="12">
        <v>-26</v>
      </c>
      <c r="AO16" s="12">
        <v>-32329</v>
      </c>
      <c r="AP16" s="41">
        <f t="shared" si="1"/>
        <v>-75547</v>
      </c>
      <c r="AQ16" s="12">
        <v>10</v>
      </c>
      <c r="AR16" s="1">
        <v>-6718</v>
      </c>
      <c r="AS16" s="12">
        <v>6708</v>
      </c>
      <c r="AT16" s="12">
        <v>-53121</v>
      </c>
      <c r="AU16" s="41">
        <f t="shared" si="2"/>
        <v>-53121</v>
      </c>
      <c r="AV16" s="12">
        <v>21327</v>
      </c>
      <c r="AW16" s="12">
        <v>-12450</v>
      </c>
      <c r="AX16" s="12">
        <v>25</v>
      </c>
      <c r="AY16" s="12">
        <v>59536</v>
      </c>
      <c r="AZ16" s="170">
        <f t="shared" si="3"/>
        <v>68438</v>
      </c>
      <c r="BA16" s="162">
        <v>5291</v>
      </c>
    </row>
    <row r="17" spans="1:99" s="2" customFormat="1">
      <c r="A17" s="9"/>
      <c r="B17" s="9" t="s">
        <v>420</v>
      </c>
      <c r="C17" s="10">
        <v>850872.30539999693</v>
      </c>
      <c r="D17" s="10">
        <v>822943.71293999057</v>
      </c>
      <c r="E17" s="10">
        <v>873352.58951002639</v>
      </c>
      <c r="F17" s="10">
        <v>850669.91068996827</v>
      </c>
      <c r="G17" s="39">
        <v>3397838.5185399819</v>
      </c>
      <c r="H17" s="10">
        <v>898029.57740001136</v>
      </c>
      <c r="I17" s="10">
        <v>893054.31142995704</v>
      </c>
      <c r="J17" s="10">
        <v>831039.36661001493</v>
      </c>
      <c r="K17" s="10">
        <v>922466.39523003006</v>
      </c>
      <c r="L17" s="39">
        <v>3544589.6506700134</v>
      </c>
      <c r="M17" s="10">
        <v>836906.35918000445</v>
      </c>
      <c r="N17" s="10">
        <v>948255.65138998721</v>
      </c>
      <c r="O17" s="10">
        <v>1296240.4000999893</v>
      </c>
      <c r="P17" s="10">
        <v>823182.97540001036</v>
      </c>
      <c r="Q17" s="39">
        <v>3904585.3860699907</v>
      </c>
      <c r="R17" s="10">
        <v>989253.19492997625</v>
      </c>
      <c r="S17" s="10">
        <v>896038.08147003478</v>
      </c>
      <c r="T17" s="10">
        <v>1079271.1058100511</v>
      </c>
      <c r="U17" s="10">
        <v>1007042.3737699187</v>
      </c>
      <c r="V17" s="39">
        <v>3971604.7559799803</v>
      </c>
      <c r="W17" s="10">
        <v>1070191.898970007</v>
      </c>
      <c r="X17" s="10">
        <v>1133710.5853300197</v>
      </c>
      <c r="Y17" s="10">
        <v>1062781.56054006</v>
      </c>
      <c r="Z17" s="10">
        <v>962618.15741988411</v>
      </c>
      <c r="AA17" s="39">
        <v>4229302.2022599708</v>
      </c>
      <c r="AB17" s="10">
        <v>379690</v>
      </c>
      <c r="AC17" s="10">
        <v>351498</v>
      </c>
      <c r="AD17" s="10">
        <v>284209</v>
      </c>
      <c r="AE17" s="10">
        <v>348422</v>
      </c>
      <c r="AF17" s="39">
        <v>1363819</v>
      </c>
      <c r="AG17" s="10">
        <f>SUM(AG15:AG16)</f>
        <v>366747</v>
      </c>
      <c r="AH17" s="10">
        <f t="shared" ref="AH17:AJ17" si="12">SUM(AH15:AH16)</f>
        <v>316882</v>
      </c>
      <c r="AI17" s="10">
        <f t="shared" si="12"/>
        <v>381848</v>
      </c>
      <c r="AJ17" s="10">
        <f t="shared" si="12"/>
        <v>487673</v>
      </c>
      <c r="AK17" s="39">
        <v>1553150</v>
      </c>
      <c r="AL17" s="10">
        <f>SUM(AL15:AL16)</f>
        <v>404411</v>
      </c>
      <c r="AM17" s="10">
        <f>SUM(AM15:AM16)</f>
        <v>381884</v>
      </c>
      <c r="AN17" s="10">
        <f>SUM(AN15:AN16)</f>
        <v>477198</v>
      </c>
      <c r="AO17" s="10">
        <f>SUM(AO15:AO16)</f>
        <v>427342</v>
      </c>
      <c r="AP17" s="39">
        <f t="shared" si="1"/>
        <v>1690835</v>
      </c>
      <c r="AQ17" s="10">
        <f>SUM(AQ15:AQ16)</f>
        <v>394052</v>
      </c>
      <c r="AR17" s="10">
        <f t="shared" ref="AR17:AY17" si="13">SUM(AR15:AR16)</f>
        <v>281042</v>
      </c>
      <c r="AS17" s="10">
        <f t="shared" si="13"/>
        <v>413419</v>
      </c>
      <c r="AT17" s="10">
        <f t="shared" si="13"/>
        <v>334447</v>
      </c>
      <c r="AU17" s="39">
        <f t="shared" si="2"/>
        <v>1422960</v>
      </c>
      <c r="AV17" s="10">
        <f t="shared" si="13"/>
        <v>343985</v>
      </c>
      <c r="AW17" s="10">
        <f t="shared" si="13"/>
        <v>377731</v>
      </c>
      <c r="AX17" s="10">
        <f>SUM(AX15:AX16)</f>
        <v>393602</v>
      </c>
      <c r="AY17" s="10">
        <f t="shared" si="13"/>
        <v>428947</v>
      </c>
      <c r="AZ17" s="39">
        <f t="shared" si="3"/>
        <v>1544265</v>
      </c>
      <c r="BA17" s="10">
        <f>SUM(BA15:BA16)</f>
        <v>364776</v>
      </c>
    </row>
    <row r="18" spans="1:99">
      <c r="A18" s="11"/>
      <c r="B18" s="11" t="s">
        <v>421</v>
      </c>
      <c r="C18" s="12">
        <v>-207358.72789999997</v>
      </c>
      <c r="D18" s="12">
        <v>-203920.59482000009</v>
      </c>
      <c r="E18" s="12">
        <v>-212753.65643000009</v>
      </c>
      <c r="F18" s="12">
        <v>-181564.9570599997</v>
      </c>
      <c r="G18" s="41">
        <v>-805597.93620999984</v>
      </c>
      <c r="H18" s="12">
        <v>-214139.43148999996</v>
      </c>
      <c r="I18" s="12">
        <v>-193036.56462000005</v>
      </c>
      <c r="J18" s="12">
        <v>-194415.90423000004</v>
      </c>
      <c r="K18" s="12">
        <v>-177776.34447999985</v>
      </c>
      <c r="L18" s="41">
        <v>-779368.24481999991</v>
      </c>
      <c r="M18" s="12">
        <v>-173335.29517999999</v>
      </c>
      <c r="N18" s="12">
        <v>-260444.68512000007</v>
      </c>
      <c r="O18" s="12">
        <v>-402350.73973999976</v>
      </c>
      <c r="P18" s="12">
        <v>-99849.727900000056</v>
      </c>
      <c r="Q18" s="41">
        <v>-935980.44793999987</v>
      </c>
      <c r="R18" s="12">
        <v>-242181.50267760002</v>
      </c>
      <c r="S18" s="12">
        <v>-211222.50693800015</v>
      </c>
      <c r="T18" s="12">
        <v>-256513.06206439988</v>
      </c>
      <c r="U18" s="12">
        <v>-301752.79233000008</v>
      </c>
      <c r="V18" s="41">
        <v>-1011669.8640100001</v>
      </c>
      <c r="W18" s="12">
        <v>-262853.36589999998</v>
      </c>
      <c r="X18" s="12">
        <v>-322951.1182400001</v>
      </c>
      <c r="Y18" s="12">
        <v>-254842.75642999995</v>
      </c>
      <c r="Z18" s="12">
        <v>-208933.23469249986</v>
      </c>
      <c r="AA18" s="41">
        <v>-1049580.4752624999</v>
      </c>
      <c r="AB18" s="12">
        <v>-92534</v>
      </c>
      <c r="AC18" s="12">
        <v>-83459</v>
      </c>
      <c r="AD18" s="12">
        <v>-65141</v>
      </c>
      <c r="AE18" s="12">
        <v>-69409</v>
      </c>
      <c r="AF18" s="41">
        <v>-310543</v>
      </c>
      <c r="AG18" s="12">
        <v>-89810</v>
      </c>
      <c r="AH18" s="12">
        <v>-80083</v>
      </c>
      <c r="AI18" s="12">
        <v>-87252</v>
      </c>
      <c r="AJ18" s="12">
        <v>-104132</v>
      </c>
      <c r="AK18" s="41">
        <f t="shared" si="9"/>
        <v>-361277</v>
      </c>
      <c r="AL18" s="12">
        <v>-99747</v>
      </c>
      <c r="AM18" s="12">
        <v>-93592</v>
      </c>
      <c r="AN18" s="12">
        <v>-110800</v>
      </c>
      <c r="AO18" s="12">
        <v>-84850</v>
      </c>
      <c r="AP18" s="41">
        <f t="shared" si="1"/>
        <v>-388989</v>
      </c>
      <c r="AQ18" s="12">
        <v>-93873</v>
      </c>
      <c r="AR18" s="1">
        <v>-66076</v>
      </c>
      <c r="AS18" s="12">
        <v>-97509</v>
      </c>
      <c r="AT18" s="12">
        <v>-49387</v>
      </c>
      <c r="AU18" s="41">
        <f t="shared" si="2"/>
        <v>-306845</v>
      </c>
      <c r="AV18" s="12">
        <v>-82846</v>
      </c>
      <c r="AW18" s="12">
        <v>-88886</v>
      </c>
      <c r="AX18" s="12">
        <v>-95745</v>
      </c>
      <c r="AY18" s="12">
        <v>-97591</v>
      </c>
      <c r="AZ18" s="170">
        <f>SUM(AV18:AY18)</f>
        <v>-365068</v>
      </c>
      <c r="BA18" s="162">
        <v>-88161</v>
      </c>
    </row>
    <row r="19" spans="1:99">
      <c r="A19" s="11"/>
      <c r="B19" s="11" t="s">
        <v>422</v>
      </c>
      <c r="C19" s="12">
        <v>-162160.90248000002</v>
      </c>
      <c r="D19" s="12">
        <v>-157143.16983</v>
      </c>
      <c r="E19" s="12">
        <v>-166673.72984999995</v>
      </c>
      <c r="F19" s="12">
        <v>-138451.95054000011</v>
      </c>
      <c r="G19" s="41">
        <v>-624429.75270000007</v>
      </c>
      <c r="H19" s="12">
        <v>-175601.84217999998</v>
      </c>
      <c r="I19" s="12">
        <v>-146733.87871000002</v>
      </c>
      <c r="J19" s="12">
        <v>-138490.54763999995</v>
      </c>
      <c r="K19" s="12">
        <v>-196040.74449999997</v>
      </c>
      <c r="L19" s="41">
        <v>-656867.01302999991</v>
      </c>
      <c r="M19" s="12">
        <v>-139374.53758999996</v>
      </c>
      <c r="N19" s="12">
        <v>-207262.72870000009</v>
      </c>
      <c r="O19" s="12">
        <v>-332803.34170999972</v>
      </c>
      <c r="P19" s="12">
        <v>-73611.598840000224</v>
      </c>
      <c r="Q19" s="41">
        <v>-753052.20684</v>
      </c>
      <c r="R19" s="12">
        <v>-143320.57042239996</v>
      </c>
      <c r="S19" s="12">
        <v>-127961.89199199999</v>
      </c>
      <c r="T19" s="12">
        <v>-156706.04289560003</v>
      </c>
      <c r="U19" s="12">
        <v>-183061.1350200001</v>
      </c>
      <c r="V19" s="41">
        <v>-611049.64033000008</v>
      </c>
      <c r="W19" s="12">
        <v>-156802.29814000003</v>
      </c>
      <c r="X19" s="12">
        <v>-190551.17659999989</v>
      </c>
      <c r="Y19" s="12">
        <v>-151483.74427000026</v>
      </c>
      <c r="Z19" s="12">
        <v>-124759.29146844981</v>
      </c>
      <c r="AA19" s="41">
        <v>-623596.51047844999</v>
      </c>
      <c r="AB19" s="12">
        <v>-57121</v>
      </c>
      <c r="AC19" s="12">
        <v>-49452</v>
      </c>
      <c r="AD19" s="12">
        <v>-60419</v>
      </c>
      <c r="AE19" s="12">
        <v>-54361</v>
      </c>
      <c r="AF19" s="41">
        <v>-221353</v>
      </c>
      <c r="AG19" s="12">
        <v>-53430</v>
      </c>
      <c r="AH19" s="12">
        <v>-46256</v>
      </c>
      <c r="AI19" s="12">
        <v>-56367</v>
      </c>
      <c r="AJ19" s="12">
        <v>-64307</v>
      </c>
      <c r="AK19" s="41">
        <f t="shared" si="9"/>
        <v>-220360</v>
      </c>
      <c r="AL19" s="12">
        <v>-59173</v>
      </c>
      <c r="AM19" s="12">
        <v>-55456</v>
      </c>
      <c r="AN19" s="12">
        <v>-66080</v>
      </c>
      <c r="AO19" s="12">
        <v>-53576</v>
      </c>
      <c r="AP19" s="41">
        <f t="shared" si="1"/>
        <v>-234285</v>
      </c>
      <c r="AQ19" s="12">
        <v>-55557</v>
      </c>
      <c r="AR19" s="1">
        <v>-40192</v>
      </c>
      <c r="AS19" s="12">
        <v>-57368</v>
      </c>
      <c r="AT19" s="12">
        <v>-35449</v>
      </c>
      <c r="AU19" s="41">
        <f t="shared" si="2"/>
        <v>-188566</v>
      </c>
      <c r="AV19" s="12">
        <v>-48680</v>
      </c>
      <c r="AW19" s="12">
        <v>-53651</v>
      </c>
      <c r="AX19" s="12">
        <v>-55985</v>
      </c>
      <c r="AY19" s="12">
        <v>-62363</v>
      </c>
      <c r="AZ19" s="170">
        <f t="shared" si="3"/>
        <v>-220679</v>
      </c>
      <c r="BA19" s="162">
        <v>-53545</v>
      </c>
    </row>
    <row r="20" spans="1:99" ht="14.25" customHeight="1">
      <c r="A20" s="11"/>
      <c r="B20" s="11" t="s">
        <v>423</v>
      </c>
      <c r="C20" s="12">
        <v>0</v>
      </c>
      <c r="D20" s="12">
        <v>0</v>
      </c>
      <c r="E20" s="12">
        <v>0</v>
      </c>
      <c r="F20" s="12">
        <v>0</v>
      </c>
      <c r="G20" s="41">
        <v>0</v>
      </c>
      <c r="H20" s="12">
        <v>0</v>
      </c>
      <c r="I20" s="12">
        <v>0</v>
      </c>
      <c r="J20" s="12">
        <v>0</v>
      </c>
      <c r="K20" s="12">
        <v>0</v>
      </c>
      <c r="L20" s="41">
        <v>0</v>
      </c>
      <c r="M20" s="12">
        <v>0</v>
      </c>
      <c r="N20" s="12">
        <v>0</v>
      </c>
      <c r="O20" s="12">
        <v>0</v>
      </c>
      <c r="P20" s="12">
        <v>0</v>
      </c>
      <c r="Q20" s="41">
        <v>0</v>
      </c>
      <c r="R20" s="12">
        <v>0</v>
      </c>
      <c r="S20" s="12">
        <v>0</v>
      </c>
      <c r="T20" s="12">
        <v>0</v>
      </c>
      <c r="U20" s="12">
        <v>0</v>
      </c>
      <c r="V20" s="41">
        <v>0</v>
      </c>
      <c r="W20" s="12">
        <v>0</v>
      </c>
      <c r="X20" s="12">
        <v>0</v>
      </c>
      <c r="Y20" s="12">
        <v>0</v>
      </c>
      <c r="Z20" s="12">
        <v>0</v>
      </c>
      <c r="AA20" s="41">
        <v>0</v>
      </c>
      <c r="AB20" s="12">
        <v>0</v>
      </c>
      <c r="AC20" s="12">
        <v>0</v>
      </c>
      <c r="AD20" s="12">
        <v>0</v>
      </c>
      <c r="AE20" s="12">
        <v>0</v>
      </c>
      <c r="AF20" s="41">
        <v>0</v>
      </c>
      <c r="AG20" s="12">
        <v>0</v>
      </c>
      <c r="AH20" s="12">
        <v>0</v>
      </c>
      <c r="AI20" s="1">
        <v>0</v>
      </c>
      <c r="AJ20" s="1">
        <v>0</v>
      </c>
      <c r="AK20" s="41">
        <f t="shared" si="9"/>
        <v>0</v>
      </c>
      <c r="AL20" s="12">
        <v>0</v>
      </c>
      <c r="AM20" s="12">
        <v>0</v>
      </c>
      <c r="AN20" s="12">
        <v>0</v>
      </c>
      <c r="AO20" s="1">
        <v>0</v>
      </c>
      <c r="AP20" s="41">
        <f t="shared" si="1"/>
        <v>0</v>
      </c>
      <c r="AQ20" s="12">
        <v>0</v>
      </c>
      <c r="AR20" s="1">
        <v>0</v>
      </c>
      <c r="AS20" s="12">
        <v>0</v>
      </c>
      <c r="AT20" s="1">
        <v>0</v>
      </c>
      <c r="AU20" s="41">
        <f t="shared" si="2"/>
        <v>0</v>
      </c>
      <c r="AV20" s="1">
        <v>0</v>
      </c>
      <c r="AW20" s="1">
        <v>0</v>
      </c>
      <c r="AX20" s="1">
        <v>0</v>
      </c>
      <c r="AY20" s="1">
        <v>0</v>
      </c>
      <c r="AZ20" s="170">
        <f t="shared" si="3"/>
        <v>0</v>
      </c>
      <c r="BA20" s="162">
        <v>0</v>
      </c>
    </row>
    <row r="21" spans="1:99">
      <c r="A21" s="11"/>
      <c r="B21" s="11" t="s">
        <v>424</v>
      </c>
      <c r="C21" s="12">
        <v>0</v>
      </c>
      <c r="D21" s="12">
        <v>0</v>
      </c>
      <c r="E21" s="12">
        <v>-203.68379999999999</v>
      </c>
      <c r="F21" s="12">
        <v>203.68379999999999</v>
      </c>
      <c r="G21" s="41">
        <v>0</v>
      </c>
      <c r="H21" s="12">
        <v>0</v>
      </c>
      <c r="I21" s="12">
        <v>0</v>
      </c>
      <c r="J21" s="12">
        <v>0</v>
      </c>
      <c r="K21" s="12">
        <v>0</v>
      </c>
      <c r="L21" s="41">
        <v>0</v>
      </c>
      <c r="M21" s="12">
        <v>0</v>
      </c>
      <c r="N21" s="12">
        <v>0</v>
      </c>
      <c r="O21" s="12">
        <v>0</v>
      </c>
      <c r="P21" s="12">
        <v>0</v>
      </c>
      <c r="Q21" s="41">
        <v>0</v>
      </c>
      <c r="R21" s="12">
        <v>0</v>
      </c>
      <c r="S21" s="12">
        <v>0</v>
      </c>
      <c r="T21" s="12">
        <v>0</v>
      </c>
      <c r="U21" s="12">
        <v>0</v>
      </c>
      <c r="V21" s="41">
        <v>0</v>
      </c>
      <c r="W21" s="12">
        <v>0</v>
      </c>
      <c r="X21" s="12">
        <v>0</v>
      </c>
      <c r="Y21" s="12">
        <v>0</v>
      </c>
      <c r="Z21" s="12">
        <v>0</v>
      </c>
      <c r="AA21" s="41">
        <v>0</v>
      </c>
      <c r="AB21" s="12">
        <v>0</v>
      </c>
      <c r="AC21" s="12">
        <v>0</v>
      </c>
      <c r="AD21" s="12">
        <v>0</v>
      </c>
      <c r="AE21" s="12">
        <v>0</v>
      </c>
      <c r="AF21" s="41">
        <v>0</v>
      </c>
      <c r="AG21" s="12">
        <v>0</v>
      </c>
      <c r="AH21" s="12">
        <v>0</v>
      </c>
      <c r="AI21" s="242">
        <v>0</v>
      </c>
      <c r="AJ21" s="242">
        <v>0</v>
      </c>
      <c r="AK21" s="41">
        <f t="shared" si="9"/>
        <v>0</v>
      </c>
      <c r="AL21" s="12">
        <v>0</v>
      </c>
      <c r="AM21" s="12">
        <v>0</v>
      </c>
      <c r="AN21" s="12">
        <v>0</v>
      </c>
      <c r="AO21" s="242">
        <v>0</v>
      </c>
      <c r="AP21" s="41">
        <f t="shared" si="1"/>
        <v>0</v>
      </c>
      <c r="AQ21" s="12">
        <v>0</v>
      </c>
      <c r="AR21" s="1">
        <v>0</v>
      </c>
      <c r="AS21" s="12">
        <v>0</v>
      </c>
      <c r="AT21" s="1">
        <v>0</v>
      </c>
      <c r="AU21" s="41">
        <f t="shared" si="2"/>
        <v>0</v>
      </c>
      <c r="AV21" s="1">
        <v>0</v>
      </c>
      <c r="AW21" s="1">
        <v>0</v>
      </c>
      <c r="AX21" s="1">
        <v>0</v>
      </c>
      <c r="AY21" s="1">
        <v>0</v>
      </c>
      <c r="AZ21" s="170">
        <f t="shared" si="3"/>
        <v>0</v>
      </c>
      <c r="BA21" s="162">
        <v>0</v>
      </c>
    </row>
    <row r="22" spans="1:99" s="2" customFormat="1">
      <c r="A22" s="15"/>
      <c r="B22" s="15" t="s">
        <v>467</v>
      </c>
      <c r="C22" s="16">
        <v>481352.67501999694</v>
      </c>
      <c r="D22" s="16">
        <v>461879.94828999043</v>
      </c>
      <c r="E22" s="16">
        <v>493721.51943002635</v>
      </c>
      <c r="F22" s="16">
        <v>530856.68688996846</v>
      </c>
      <c r="G22" s="45">
        <v>1967810.8296299824</v>
      </c>
      <c r="H22" s="16">
        <v>508288.30373001139</v>
      </c>
      <c r="I22" s="16">
        <v>553283.86809995701</v>
      </c>
      <c r="J22" s="16">
        <v>498132.91474001488</v>
      </c>
      <c r="K22" s="16">
        <v>548649.30625003017</v>
      </c>
      <c r="L22" s="45">
        <v>2108354.3928200137</v>
      </c>
      <c r="M22" s="16">
        <v>524196.52641000447</v>
      </c>
      <c r="N22" s="16">
        <v>480548.23756998708</v>
      </c>
      <c r="O22" s="16">
        <v>561086.31864998979</v>
      </c>
      <c r="P22" s="16">
        <v>649721.64866001008</v>
      </c>
      <c r="Q22" s="45">
        <v>2215552.7312899916</v>
      </c>
      <c r="R22" s="16">
        <v>603751.12182997633</v>
      </c>
      <c r="S22" s="16">
        <v>556853.68254003464</v>
      </c>
      <c r="T22" s="16">
        <v>666052.00085005118</v>
      </c>
      <c r="U22" s="16">
        <v>522228.4464199185</v>
      </c>
      <c r="V22" s="45">
        <v>2348885.2516399808</v>
      </c>
      <c r="W22" s="16">
        <v>650536.23493000702</v>
      </c>
      <c r="X22" s="16">
        <v>620208.29049001972</v>
      </c>
      <c r="Y22" s="16">
        <v>656455.05984005984</v>
      </c>
      <c r="Z22" s="16">
        <v>628925.6312589345</v>
      </c>
      <c r="AA22" s="45">
        <v>2556125.2165190214</v>
      </c>
      <c r="AB22" s="16">
        <v>230035</v>
      </c>
      <c r="AC22" s="16">
        <v>218587</v>
      </c>
      <c r="AD22" s="16">
        <v>158649</v>
      </c>
      <c r="AE22" s="16">
        <v>224652</v>
      </c>
      <c r="AF22" s="45">
        <v>831923</v>
      </c>
      <c r="AG22" s="16">
        <f>SUM(AG17:AG21)</f>
        <v>223507</v>
      </c>
      <c r="AH22" s="16">
        <f t="shared" ref="AH22:AJ22" si="14">SUM(AH17:AH21)</f>
        <v>190543</v>
      </c>
      <c r="AI22" s="16">
        <f t="shared" si="14"/>
        <v>238229</v>
      </c>
      <c r="AJ22" s="16">
        <f t="shared" si="14"/>
        <v>319234</v>
      </c>
      <c r="AK22" s="45">
        <f>SUM(AG22:AJ22)</f>
        <v>971513</v>
      </c>
      <c r="AL22" s="16">
        <f>SUM(AL17:AL21)</f>
        <v>245491</v>
      </c>
      <c r="AM22" s="16">
        <f>SUM(AM17:AM21)</f>
        <v>232836</v>
      </c>
      <c r="AN22" s="16">
        <f>SUM(AN17:AN21)</f>
        <v>300318</v>
      </c>
      <c r="AO22" s="16">
        <f>SUM(AO17:AO21)</f>
        <v>288916</v>
      </c>
      <c r="AP22" s="45">
        <f t="shared" si="1"/>
        <v>1067561</v>
      </c>
      <c r="AQ22" s="16">
        <f>SUM(AQ17:AQ21)</f>
        <v>244622</v>
      </c>
      <c r="AR22" s="16">
        <f t="shared" ref="AR22:BA22" si="15">SUM(AR17:AR21)</f>
        <v>174774</v>
      </c>
      <c r="AS22" s="16">
        <f t="shared" si="15"/>
        <v>258542</v>
      </c>
      <c r="AT22" s="16">
        <f t="shared" si="15"/>
        <v>249611</v>
      </c>
      <c r="AU22" s="45">
        <f t="shared" si="2"/>
        <v>927549</v>
      </c>
      <c r="AV22" s="16">
        <f t="shared" si="15"/>
        <v>212459</v>
      </c>
      <c r="AW22" s="16">
        <f t="shared" si="15"/>
        <v>235194</v>
      </c>
      <c r="AX22" s="16">
        <f t="shared" si="15"/>
        <v>241872</v>
      </c>
      <c r="AY22" s="16">
        <f t="shared" si="15"/>
        <v>268993</v>
      </c>
      <c r="AZ22" s="45">
        <f t="shared" si="3"/>
        <v>958518</v>
      </c>
      <c r="BA22" s="16">
        <f t="shared" si="15"/>
        <v>223070</v>
      </c>
      <c r="CO22"/>
      <c r="CP22"/>
      <c r="CQ22"/>
      <c r="CR22"/>
      <c r="CS22"/>
      <c r="CT22"/>
      <c r="CU22"/>
    </row>
    <row r="23" spans="1:99">
      <c r="A23" s="11"/>
      <c r="B23" s="11" t="s">
        <v>468</v>
      </c>
      <c r="C23" s="13">
        <v>464874.27766863117</v>
      </c>
      <c r="D23" s="13">
        <v>443803.03321405622</v>
      </c>
      <c r="E23" s="13">
        <v>476161.57020572631</v>
      </c>
      <c r="F23" s="13">
        <v>519819.77351016836</v>
      </c>
      <c r="G23" s="41">
        <v>1904658.6545985821</v>
      </c>
      <c r="H23" s="13">
        <v>488739.92106011149</v>
      </c>
      <c r="I23" s="13">
        <v>538639.96649475687</v>
      </c>
      <c r="J23" s="13">
        <v>480027.54719681485</v>
      </c>
      <c r="K23" s="13">
        <v>534430.07588973048</v>
      </c>
      <c r="L23" s="41">
        <v>2041837.5106414137</v>
      </c>
      <c r="M23" s="13">
        <v>502015.02943180443</v>
      </c>
      <c r="N23" s="13">
        <v>467338.56521018705</v>
      </c>
      <c r="O23" s="13">
        <v>542900.61634669022</v>
      </c>
      <c r="P23" s="13">
        <v>633550.80815811025</v>
      </c>
      <c r="Q23" s="41">
        <v>2145805.0191467921</v>
      </c>
      <c r="R23" s="13">
        <v>581284.97633517627</v>
      </c>
      <c r="S23" s="13">
        <v>536476.33976823476</v>
      </c>
      <c r="T23" s="13">
        <v>638446.58190685138</v>
      </c>
      <c r="U23" s="13">
        <v>505986.06761831872</v>
      </c>
      <c r="V23" s="41">
        <v>2262193.9656285811</v>
      </c>
      <c r="W23" s="13">
        <v>636570.38187430706</v>
      </c>
      <c r="X23" s="13">
        <v>606421.06722341978</v>
      </c>
      <c r="Y23" s="13">
        <v>641734.72147865966</v>
      </c>
      <c r="Z23" s="13">
        <v>615926.50871263479</v>
      </c>
      <c r="AA23" s="41">
        <v>2500652.6792890215</v>
      </c>
      <c r="AB23" s="13">
        <v>210543.11968440001</v>
      </c>
      <c r="AC23" s="13">
        <v>202747.7871423997</v>
      </c>
      <c r="AD23" s="13">
        <v>146171.91901320033</v>
      </c>
      <c r="AE23" s="13">
        <v>213987.05890599993</v>
      </c>
      <c r="AF23" s="41">
        <v>773449.88474599994</v>
      </c>
      <c r="AG23" s="13">
        <v>262833</v>
      </c>
      <c r="AH23" s="13">
        <v>213176</v>
      </c>
      <c r="AI23" s="13">
        <v>244086</v>
      </c>
      <c r="AJ23" s="13">
        <v>319002</v>
      </c>
      <c r="AK23" s="41">
        <f t="shared" si="9"/>
        <v>1039097</v>
      </c>
      <c r="AL23" s="13">
        <v>245491</v>
      </c>
      <c r="AM23" s="559">
        <v>231755</v>
      </c>
      <c r="AN23" s="559">
        <v>300318</v>
      </c>
      <c r="AO23" s="13">
        <v>288916</v>
      </c>
      <c r="AP23" s="41">
        <f t="shared" si="1"/>
        <v>1066480</v>
      </c>
      <c r="AQ23" s="13">
        <v>244622</v>
      </c>
      <c r="AR23" s="1">
        <v>174774</v>
      </c>
      <c r="AS23" s="12">
        <v>258542</v>
      </c>
      <c r="AT23" s="1">
        <v>249611</v>
      </c>
      <c r="AU23" s="41">
        <f t="shared" si="2"/>
        <v>927549</v>
      </c>
      <c r="AV23" s="1">
        <f>AV22</f>
        <v>212459</v>
      </c>
      <c r="AW23" s="1">
        <f>AW22</f>
        <v>235194</v>
      </c>
      <c r="AX23" s="1">
        <f>AX22</f>
        <v>241872</v>
      </c>
      <c r="AY23" s="1">
        <f>AY22</f>
        <v>268993</v>
      </c>
      <c r="AZ23" s="170">
        <f t="shared" si="3"/>
        <v>958518</v>
      </c>
      <c r="BA23" s="162">
        <v>223070</v>
      </c>
    </row>
    <row r="24" spans="1:99">
      <c r="A24" s="11"/>
      <c r="B24" s="11" t="s">
        <v>469</v>
      </c>
      <c r="C24" s="13">
        <v>0</v>
      </c>
      <c r="D24" s="13">
        <v>0</v>
      </c>
      <c r="E24" s="13">
        <v>0</v>
      </c>
      <c r="F24" s="13">
        <v>0</v>
      </c>
      <c r="G24" s="41">
        <v>0</v>
      </c>
      <c r="H24" s="13">
        <v>0</v>
      </c>
      <c r="I24" s="13">
        <v>0</v>
      </c>
      <c r="J24" s="13">
        <v>0</v>
      </c>
      <c r="K24" s="13">
        <v>0</v>
      </c>
      <c r="L24" s="41">
        <v>0</v>
      </c>
      <c r="M24" s="13">
        <v>0</v>
      </c>
      <c r="N24" s="13">
        <v>0</v>
      </c>
      <c r="O24" s="13">
        <v>0</v>
      </c>
      <c r="P24" s="13">
        <v>0</v>
      </c>
      <c r="Q24" s="41">
        <v>0</v>
      </c>
      <c r="R24" s="13">
        <v>0</v>
      </c>
      <c r="S24" s="13">
        <v>6409</v>
      </c>
      <c r="T24" s="13">
        <v>2728</v>
      </c>
      <c r="U24" s="13">
        <v>2710.601289997343</v>
      </c>
      <c r="V24" s="41">
        <v>11847.601289997343</v>
      </c>
      <c r="W24" s="13">
        <v>2711</v>
      </c>
      <c r="X24" s="13">
        <v>2721</v>
      </c>
      <c r="Y24" s="13">
        <v>2719</v>
      </c>
      <c r="Z24" s="13">
        <v>-3997</v>
      </c>
      <c r="AA24" s="41">
        <v>4154</v>
      </c>
      <c r="AB24" s="13">
        <v>56750.909576582832</v>
      </c>
      <c r="AC24" s="13">
        <v>59274.800722110813</v>
      </c>
      <c r="AD24" s="13">
        <v>56400.771870840057</v>
      </c>
      <c r="AE24" s="13">
        <v>21895.24068594315</v>
      </c>
      <c r="AF24" s="41">
        <v>194321.72285547684</v>
      </c>
      <c r="AG24" s="13">
        <v>52445</v>
      </c>
      <c r="AH24" s="242">
        <v>34376</v>
      </c>
      <c r="AI24" s="1">
        <v>14232</v>
      </c>
      <c r="AJ24" s="110">
        <v>-175</v>
      </c>
      <c r="AK24" s="41">
        <f>SUM(AG24:AJ24)</f>
        <v>100878</v>
      </c>
      <c r="AL24" s="110">
        <v>185.71</v>
      </c>
      <c r="AM24" s="242">
        <v>678</v>
      </c>
      <c r="AN24" s="559">
        <v>-936.01484455958541</v>
      </c>
      <c r="AO24" s="110">
        <v>6141.6476683937826</v>
      </c>
      <c r="AP24" s="41">
        <f t="shared" si="1"/>
        <v>6069.3428238341976</v>
      </c>
      <c r="AQ24" s="110">
        <v>362</v>
      </c>
      <c r="AR24" s="1">
        <v>1994</v>
      </c>
      <c r="AS24" s="12">
        <v>-5351.6994818652847</v>
      </c>
      <c r="AT24" s="110">
        <f>-578-99</f>
        <v>-677</v>
      </c>
      <c r="AU24" s="41">
        <f t="shared" si="2"/>
        <v>-3672.6994818652847</v>
      </c>
      <c r="AV24" s="110">
        <v>-131</v>
      </c>
      <c r="AW24" s="110">
        <v>-524</v>
      </c>
      <c r="AX24" s="110">
        <v>554</v>
      </c>
      <c r="AY24" s="110">
        <v>-3503</v>
      </c>
      <c r="AZ24" s="170">
        <f t="shared" si="3"/>
        <v>-3604</v>
      </c>
      <c r="BA24" s="559">
        <v>19590</v>
      </c>
    </row>
    <row r="25" spans="1:99">
      <c r="A25" s="11"/>
      <c r="B25" s="11" t="s">
        <v>470</v>
      </c>
      <c r="C25" s="13">
        <v>464874.27766863117</v>
      </c>
      <c r="D25" s="13">
        <v>443803.03321405622</v>
      </c>
      <c r="E25" s="13">
        <v>476161.57020572631</v>
      </c>
      <c r="F25" s="13">
        <v>519819.77351016836</v>
      </c>
      <c r="G25" s="41">
        <v>1904659.6545985814</v>
      </c>
      <c r="H25" s="13">
        <v>488739.92106011149</v>
      </c>
      <c r="I25" s="13">
        <v>538639.96649475687</v>
      </c>
      <c r="J25" s="13">
        <v>480027.54719681485</v>
      </c>
      <c r="K25" s="13">
        <v>534430.07588973048</v>
      </c>
      <c r="L25" s="41">
        <v>2041837.5106414142</v>
      </c>
      <c r="M25" s="13">
        <v>502015.02943180443</v>
      </c>
      <c r="N25" s="13">
        <v>467338.56521018705</v>
      </c>
      <c r="O25" s="13">
        <v>542900.61634669022</v>
      </c>
      <c r="P25" s="13">
        <v>633550.80815811025</v>
      </c>
      <c r="Q25" s="41">
        <v>2145805.0191467917</v>
      </c>
      <c r="R25" s="13">
        <v>581284.97633517627</v>
      </c>
      <c r="S25" s="13">
        <v>542885.33976823476</v>
      </c>
      <c r="T25" s="13">
        <v>641174.58190685138</v>
      </c>
      <c r="U25" s="13">
        <v>508696.66890831606</v>
      </c>
      <c r="V25" s="41">
        <v>2274041.3646633783</v>
      </c>
      <c r="W25" s="13">
        <v>639281.38187430706</v>
      </c>
      <c r="X25" s="13">
        <v>609142.06722341978</v>
      </c>
      <c r="Y25" s="13">
        <v>644453.72147865966</v>
      </c>
      <c r="Z25" s="13">
        <v>611929.50871263479</v>
      </c>
      <c r="AA25" s="41">
        <v>2504807.0200000005</v>
      </c>
      <c r="AB25" s="13">
        <v>267294.02926098282</v>
      </c>
      <c r="AC25" s="13">
        <v>262022.58786451051</v>
      </c>
      <c r="AD25" s="13">
        <v>202572.69088404038</v>
      </c>
      <c r="AE25" s="13">
        <v>235882.2995919431</v>
      </c>
      <c r="AF25" s="41">
        <v>967771.60760147683</v>
      </c>
      <c r="AG25" s="13">
        <v>262593</v>
      </c>
      <c r="AH25" s="13">
        <v>216564</v>
      </c>
      <c r="AI25" s="1">
        <v>245500</v>
      </c>
      <c r="AJ25" s="1">
        <v>319653</v>
      </c>
      <c r="AK25" s="41">
        <f>SUM(AG25:AJ25)</f>
        <v>1044310</v>
      </c>
      <c r="AL25" s="13">
        <v>245685</v>
      </c>
      <c r="AM25" s="13">
        <v>233532</v>
      </c>
      <c r="AN25" s="13">
        <v>299406</v>
      </c>
      <c r="AO25" s="13">
        <v>295062</v>
      </c>
      <c r="AP25" s="41">
        <f t="shared" si="1"/>
        <v>1073685</v>
      </c>
      <c r="AQ25" s="13">
        <v>245001</v>
      </c>
      <c r="AR25" s="1">
        <f>AR23+AR24</f>
        <v>176768</v>
      </c>
      <c r="AS25" s="1">
        <f>AS23+AS24</f>
        <v>253190.30051813473</v>
      </c>
      <c r="AT25" s="1">
        <f>AT23+AT24</f>
        <v>248934</v>
      </c>
      <c r="AU25" s="41">
        <f t="shared" si="2"/>
        <v>923893.30051813473</v>
      </c>
      <c r="AV25" s="1">
        <f>AV23+AV24</f>
        <v>212328</v>
      </c>
      <c r="AW25" s="1">
        <f>AW23+AW24</f>
        <v>234670</v>
      </c>
      <c r="AX25" s="1">
        <f>AX23+AX24</f>
        <v>242426</v>
      </c>
      <c r="AY25" s="1">
        <f>AY23+AY24</f>
        <v>265490</v>
      </c>
      <c r="AZ25" s="170">
        <f t="shared" si="3"/>
        <v>954914</v>
      </c>
      <c r="BA25" s="162">
        <v>242690</v>
      </c>
    </row>
    <row r="26" spans="1:99">
      <c r="A26" s="11"/>
      <c r="B26" s="11" t="s">
        <v>471</v>
      </c>
      <c r="C26" s="12">
        <v>16478.39735136578</v>
      </c>
      <c r="D26" s="12">
        <v>18076.915075934212</v>
      </c>
      <c r="E26" s="12">
        <v>17559.949224300071</v>
      </c>
      <c r="F26" s="12">
        <v>11036.91337980012</v>
      </c>
      <c r="G26" s="41">
        <v>63152.175031400184</v>
      </c>
      <c r="H26" s="12">
        <v>19548.382669899886</v>
      </c>
      <c r="I26" s="12">
        <v>14643.901605200157</v>
      </c>
      <c r="J26" s="12">
        <v>18105.367543200009</v>
      </c>
      <c r="K26" s="12">
        <v>14219.230360299749</v>
      </c>
      <c r="L26" s="41">
        <v>66516.882178599801</v>
      </c>
      <c r="M26" s="12">
        <v>22181.496978200019</v>
      </c>
      <c r="N26" s="12">
        <v>13209.672359800039</v>
      </c>
      <c r="O26" s="12">
        <v>18185.702303299615</v>
      </c>
      <c r="P26" s="12">
        <v>16170.840501899846</v>
      </c>
      <c r="Q26" s="41">
        <v>69747.712143199518</v>
      </c>
      <c r="R26" s="12">
        <v>22466.145494800057</v>
      </c>
      <c r="S26" s="12">
        <v>20377.34277179994</v>
      </c>
      <c r="T26" s="12">
        <v>27605.418943199802</v>
      </c>
      <c r="U26" s="12">
        <v>16242.378801599785</v>
      </c>
      <c r="V26" s="41">
        <v>86691.286011399585</v>
      </c>
      <c r="W26" s="12">
        <v>13965.853055699985</v>
      </c>
      <c r="X26" s="12">
        <v>13787.223266599927</v>
      </c>
      <c r="Y26" s="12">
        <v>14720.338361400154</v>
      </c>
      <c r="Z26" s="12">
        <v>12999.122546299659</v>
      </c>
      <c r="AA26" s="41">
        <v>55472.537229999725</v>
      </c>
      <c r="AB26" s="12">
        <v>19491.880315599999</v>
      </c>
      <c r="AC26" s="12">
        <v>15839.212857600316</v>
      </c>
      <c r="AD26" s="12">
        <v>12477.08098679968</v>
      </c>
      <c r="AE26" s="1">
        <v>10664.941094000074</v>
      </c>
      <c r="AF26" s="41">
        <v>58473.115254000069</v>
      </c>
      <c r="AG26" s="12">
        <v>13358</v>
      </c>
      <c r="AH26" s="12">
        <v>8364</v>
      </c>
      <c r="AI26" s="1">
        <v>6959</v>
      </c>
      <c r="AJ26" s="1">
        <v>926</v>
      </c>
      <c r="AK26" s="41">
        <f t="shared" ref="AK26" si="16">SUM(AG26:AJ26)</f>
        <v>29607</v>
      </c>
      <c r="AL26" s="110"/>
      <c r="AM26" s="13"/>
      <c r="AN26" s="13"/>
      <c r="AO26" s="13"/>
      <c r="AP26" s="41">
        <f t="shared" si="1"/>
        <v>0</v>
      </c>
      <c r="AQ26" s="110"/>
      <c r="AR26" s="1"/>
      <c r="AS26" s="13"/>
      <c r="AT26" s="13"/>
      <c r="AU26" s="41">
        <f t="shared" si="2"/>
        <v>0</v>
      </c>
      <c r="AV26" s="13"/>
      <c r="AW26" s="13"/>
      <c r="AX26" s="13"/>
      <c r="AY26" s="13"/>
      <c r="AZ26" s="170">
        <f t="shared" si="3"/>
        <v>0</v>
      </c>
      <c r="BA26" s="162"/>
    </row>
    <row r="27" spans="1:99" ht="15.75" thickBot="1">
      <c r="A27" s="17"/>
      <c r="B27" s="17" t="s">
        <v>451</v>
      </c>
      <c r="C27" s="18">
        <v>0.48209999999999997</v>
      </c>
      <c r="D27" s="18">
        <v>0.48209999999999997</v>
      </c>
      <c r="E27" s="18">
        <v>0.48209999999999997</v>
      </c>
      <c r="F27" s="18">
        <v>0.48209999999999997</v>
      </c>
      <c r="G27" s="48">
        <v>0.48209999999999997</v>
      </c>
      <c r="H27" s="18">
        <v>0.48209999999999997</v>
      </c>
      <c r="I27" s="18">
        <v>0.48209999999999997</v>
      </c>
      <c r="J27" s="18">
        <v>0.48209999999999997</v>
      </c>
      <c r="K27" s="18">
        <v>0.48209999999999997</v>
      </c>
      <c r="L27" s="48">
        <v>0.48209999999999997</v>
      </c>
      <c r="M27" s="18">
        <v>0.48209999999999997</v>
      </c>
      <c r="N27" s="18">
        <v>0.48209999999999997</v>
      </c>
      <c r="O27" s="18">
        <v>0.48209999999999997</v>
      </c>
      <c r="P27" s="18">
        <v>0.48209999999999997</v>
      </c>
      <c r="Q27" s="48">
        <v>0.48209999999999997</v>
      </c>
      <c r="R27" s="18">
        <v>0.48209999999999997</v>
      </c>
      <c r="S27" s="18">
        <v>0.48209999999999997</v>
      </c>
      <c r="T27" s="18">
        <v>0.48209999999999997</v>
      </c>
      <c r="U27" s="18">
        <v>0.48209999999999997</v>
      </c>
      <c r="V27" s="48">
        <v>0.48209999999999997</v>
      </c>
      <c r="W27" s="18">
        <v>0.48209999999999997</v>
      </c>
      <c r="X27" s="18">
        <v>0.48209999999999997</v>
      </c>
      <c r="Y27" s="18">
        <v>0.48209999999999997</v>
      </c>
      <c r="Z27" s="18">
        <v>0.48209999999999997</v>
      </c>
      <c r="AA27" s="48">
        <v>0.48209999999999997</v>
      </c>
      <c r="AB27" s="18">
        <v>0.48249999999999998</v>
      </c>
      <c r="AC27" s="18">
        <v>0.48249999999999998</v>
      </c>
      <c r="AD27" s="18">
        <v>0.48249999999999998</v>
      </c>
      <c r="AE27" s="18">
        <v>0.48249999999999998</v>
      </c>
      <c r="AF27" s="48">
        <v>0.48249999999999998</v>
      </c>
      <c r="AG27" s="18">
        <v>0.48249983000000002</v>
      </c>
      <c r="AH27" s="18">
        <v>0.48249983000000002</v>
      </c>
      <c r="AI27" s="169">
        <v>0.48249983000000002</v>
      </c>
      <c r="AJ27" s="169">
        <v>0.48249983000000002</v>
      </c>
      <c r="AK27" s="48">
        <v>0.48249999999999998</v>
      </c>
      <c r="AL27" s="18">
        <v>0.48249983000000002</v>
      </c>
      <c r="AM27" s="18">
        <v>0.48249983000000002</v>
      </c>
      <c r="AN27" s="18">
        <v>0.48249983000000002</v>
      </c>
      <c r="AO27" s="18">
        <v>0.48249983000000002</v>
      </c>
      <c r="AP27" s="48">
        <v>0.48249999999999998</v>
      </c>
      <c r="AQ27" s="18">
        <v>0.48249983000000002</v>
      </c>
      <c r="AR27" s="18">
        <v>0.48249983000000002</v>
      </c>
      <c r="AS27" s="18">
        <v>0.48249983000000002</v>
      </c>
      <c r="AT27" s="18">
        <v>0.48249983000000002</v>
      </c>
      <c r="AU27" s="48">
        <v>0.48249983000000002</v>
      </c>
      <c r="AV27" s="18">
        <v>0.48249983000000002</v>
      </c>
      <c r="AW27" s="18">
        <v>0.48249983000000002</v>
      </c>
      <c r="AX27" s="18">
        <v>0.48249983000000002</v>
      </c>
      <c r="AY27" s="18">
        <v>0.48249983000000002</v>
      </c>
      <c r="AZ27" s="48">
        <v>0.48249983000000002</v>
      </c>
      <c r="BA27" s="18">
        <v>0.48249983000000002</v>
      </c>
    </row>
    <row r="28" spans="1:99" ht="15.75" thickBot="1">
      <c r="AB28" s="49"/>
      <c r="AC28" s="49"/>
      <c r="AD28" s="49"/>
      <c r="AE28" s="49"/>
      <c r="AF28" s="49"/>
      <c r="AG28" s="452"/>
      <c r="AH28" s="452"/>
      <c r="AI28" s="456"/>
      <c r="AJ28" s="525"/>
      <c r="AK28" s="8"/>
      <c r="AL28" s="525"/>
      <c r="AM28" s="525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</row>
    <row r="29" spans="1:99" s="2" customFormat="1">
      <c r="A29" s="625"/>
      <c r="B29" s="625" t="s">
        <v>472</v>
      </c>
      <c r="C29" s="626" t="s">
        <v>224</v>
      </c>
      <c r="D29" s="626" t="s">
        <v>225</v>
      </c>
      <c r="E29" s="626" t="s">
        <v>226</v>
      </c>
      <c r="F29" s="626" t="s">
        <v>227</v>
      </c>
      <c r="G29" s="652">
        <v>2016</v>
      </c>
      <c r="H29" s="626" t="s">
        <v>228</v>
      </c>
      <c r="I29" s="626" t="s">
        <v>229</v>
      </c>
      <c r="J29" s="626" t="s">
        <v>230</v>
      </c>
      <c r="K29" s="626" t="s">
        <v>231</v>
      </c>
      <c r="L29" s="652">
        <v>2017</v>
      </c>
      <c r="M29" s="626" t="s">
        <v>232</v>
      </c>
      <c r="N29" s="626" t="s">
        <v>233</v>
      </c>
      <c r="O29" s="626" t="s">
        <v>234</v>
      </c>
      <c r="P29" s="626" t="s">
        <v>235</v>
      </c>
      <c r="Q29" s="652">
        <v>2018</v>
      </c>
      <c r="R29" s="626" t="s">
        <v>236</v>
      </c>
      <c r="S29" s="626" t="s">
        <v>237</v>
      </c>
      <c r="T29" s="626" t="s">
        <v>238</v>
      </c>
      <c r="U29" s="626" t="s">
        <v>239</v>
      </c>
      <c r="V29" s="652">
        <v>2019</v>
      </c>
      <c r="W29" s="626" t="s">
        <v>240</v>
      </c>
      <c r="X29" s="626" t="s">
        <v>241</v>
      </c>
      <c r="Y29" s="626" t="s">
        <v>242</v>
      </c>
      <c r="Z29" s="626" t="s">
        <v>243</v>
      </c>
      <c r="AA29" s="652">
        <v>2020</v>
      </c>
      <c r="AB29" s="626" t="s">
        <v>244</v>
      </c>
      <c r="AC29" s="626" t="s">
        <v>245</v>
      </c>
      <c r="AD29" s="626" t="s">
        <v>246</v>
      </c>
      <c r="AE29" s="626" t="s">
        <v>247</v>
      </c>
      <c r="AF29" s="652">
        <v>2021</v>
      </c>
      <c r="AG29" s="626" t="s">
        <v>248</v>
      </c>
      <c r="AH29" s="626" t="s">
        <v>249</v>
      </c>
      <c r="AI29" s="626" t="s">
        <v>250</v>
      </c>
      <c r="AJ29" s="626" t="s">
        <v>215</v>
      </c>
      <c r="AK29" s="652">
        <v>2022</v>
      </c>
      <c r="AL29" s="626" t="s">
        <v>473</v>
      </c>
      <c r="AM29" s="626" t="s">
        <v>253</v>
      </c>
      <c r="AN29" s="626" t="s">
        <v>254</v>
      </c>
      <c r="AO29" s="626" t="s">
        <v>219</v>
      </c>
      <c r="AP29" s="652">
        <v>2023</v>
      </c>
      <c r="AQ29" s="626" t="s">
        <v>223</v>
      </c>
      <c r="AR29" s="626" t="s">
        <v>256</v>
      </c>
      <c r="AS29" s="626" t="s">
        <v>357</v>
      </c>
      <c r="AT29" s="626" t="s">
        <v>358</v>
      </c>
      <c r="AU29" s="652">
        <v>2024</v>
      </c>
      <c r="AV29" s="626" t="s">
        <v>359</v>
      </c>
      <c r="AW29" s="626" t="s">
        <v>1115</v>
      </c>
      <c r="AX29" s="626" t="s">
        <v>1116</v>
      </c>
      <c r="AY29" s="626" t="s">
        <v>1117</v>
      </c>
      <c r="AZ29" s="653" t="s">
        <v>1118</v>
      </c>
      <c r="BA29" s="645" t="s">
        <v>1124</v>
      </c>
      <c r="CO29"/>
      <c r="CP29"/>
      <c r="CQ29"/>
      <c r="CR29"/>
      <c r="CS29"/>
      <c r="CT29"/>
      <c r="CU29"/>
    </row>
    <row r="30" spans="1:99" s="2" customFormat="1">
      <c r="A30" s="9"/>
      <c r="B30" s="9" t="s">
        <v>474</v>
      </c>
      <c r="C30" s="10">
        <v>1185360.1846299998</v>
      </c>
      <c r="D30" s="10">
        <v>1183458.3321099991</v>
      </c>
      <c r="E30" s="10">
        <v>1229932.24144</v>
      </c>
      <c r="F30" s="10">
        <v>1362970.8814800002</v>
      </c>
      <c r="G30" s="39">
        <v>4961721.6396599989</v>
      </c>
      <c r="H30" s="10">
        <v>1458741.1460599995</v>
      </c>
      <c r="I30" s="10">
        <v>1495665.8042300004</v>
      </c>
      <c r="J30" s="10">
        <v>1507811.5617799999</v>
      </c>
      <c r="K30" s="10">
        <v>1490778.0713600013</v>
      </c>
      <c r="L30" s="39">
        <v>5952996.5834300015</v>
      </c>
      <c r="M30" s="10">
        <v>1501198.031399999</v>
      </c>
      <c r="N30" s="10">
        <v>1586158.6198099991</v>
      </c>
      <c r="O30" s="10">
        <v>1571485.8243400001</v>
      </c>
      <c r="P30" s="10">
        <v>1268806.5457400004</v>
      </c>
      <c r="Q30" s="39">
        <v>5927649.0212899987</v>
      </c>
      <c r="R30" s="10">
        <v>1608063.1409</v>
      </c>
      <c r="S30" s="10">
        <v>1691427.5841699992</v>
      </c>
      <c r="T30" s="10">
        <v>1687664.8232699996</v>
      </c>
      <c r="U30" s="10">
        <v>1786301.1296499996</v>
      </c>
      <c r="V30" s="39">
        <v>6773456.6779899979</v>
      </c>
      <c r="W30" s="10">
        <v>1732567.9762300008</v>
      </c>
      <c r="X30" s="10">
        <v>1570993.6550099996</v>
      </c>
      <c r="Y30" s="10">
        <v>947161.07274000021</v>
      </c>
      <c r="Z30" s="10">
        <v>972076.46746999968</v>
      </c>
      <c r="AA30" s="39">
        <v>5222799.1714500003</v>
      </c>
      <c r="AB30" s="10">
        <v>957277.9171900003</v>
      </c>
      <c r="AC30" s="10">
        <v>790408.30690999981</v>
      </c>
      <c r="AD30" s="10">
        <v>800706.26661000005</v>
      </c>
      <c r="AE30" s="10">
        <v>784650</v>
      </c>
      <c r="AF30" s="39">
        <v>3333042.4907100005</v>
      </c>
      <c r="AG30" s="76">
        <v>774954</v>
      </c>
      <c r="AH30" s="76">
        <v>738244</v>
      </c>
      <c r="AI30" s="76">
        <v>760842</v>
      </c>
      <c r="AJ30" s="76">
        <v>761429</v>
      </c>
      <c r="AK30" s="39">
        <f t="shared" ref="AK30:AK37" si="17">SUM(AG30:AJ30)</f>
        <v>3035469</v>
      </c>
      <c r="AL30" s="76">
        <v>728598</v>
      </c>
      <c r="AM30" s="76">
        <v>732967</v>
      </c>
      <c r="AN30" s="76">
        <v>742394</v>
      </c>
      <c r="AO30" s="76">
        <v>746936</v>
      </c>
      <c r="AP30" s="39">
        <f t="shared" ref="AP30:AP54" si="18">SUM(AL30:AO30)</f>
        <v>2950895</v>
      </c>
      <c r="AQ30" s="76">
        <v>724764</v>
      </c>
      <c r="AR30" s="76">
        <v>707372</v>
      </c>
      <c r="AS30" s="76">
        <v>705161</v>
      </c>
      <c r="AT30" s="76">
        <v>693813</v>
      </c>
      <c r="AU30" s="39">
        <f t="shared" ref="AU30:AU54" si="19">SUM(AQ30:AT30)</f>
        <v>2831110</v>
      </c>
      <c r="AV30" s="76">
        <v>670278</v>
      </c>
      <c r="AW30" s="76">
        <v>679860</v>
      </c>
      <c r="AX30" s="76">
        <v>714639</v>
      </c>
      <c r="AY30" s="76">
        <v>755773</v>
      </c>
      <c r="AZ30" s="39">
        <f t="shared" ref="AZ30:AZ54" si="20">SUM(AV30:AY30)</f>
        <v>2820550</v>
      </c>
      <c r="BA30" s="10">
        <v>745629</v>
      </c>
      <c r="CO30"/>
      <c r="CP30"/>
      <c r="CQ30"/>
      <c r="CR30"/>
      <c r="CS30"/>
      <c r="CT30"/>
      <c r="CU30"/>
    </row>
    <row r="31" spans="1:99">
      <c r="A31" s="11"/>
      <c r="B31" s="11" t="s">
        <v>443</v>
      </c>
      <c r="C31" s="8">
        <v>-85013.401110000399</v>
      </c>
      <c r="D31" s="8">
        <v>-55088.218009999888</v>
      </c>
      <c r="E31" s="8">
        <v>-102900.44307999971</v>
      </c>
      <c r="F31" s="8">
        <v>-170526.88107999958</v>
      </c>
      <c r="G31" s="40">
        <v>-413528.94327999954</v>
      </c>
      <c r="H31" s="8">
        <v>-254798.31207000065</v>
      </c>
      <c r="I31" s="8">
        <v>-216474.5571799998</v>
      </c>
      <c r="J31" s="8">
        <v>-234966.12373999992</v>
      </c>
      <c r="K31" s="8">
        <v>-277403.81521000009</v>
      </c>
      <c r="L31" s="40">
        <v>-983642.80820000055</v>
      </c>
      <c r="M31" s="8">
        <v>-144146.29208999945</v>
      </c>
      <c r="N31" s="8">
        <v>-229535.31966999988</v>
      </c>
      <c r="O31" s="8">
        <v>686578.55508999946</v>
      </c>
      <c r="P31" s="8">
        <v>-151090.17707999999</v>
      </c>
      <c r="Q31" s="40">
        <v>161806.76625000016</v>
      </c>
      <c r="R31" s="8">
        <v>-199295.58108000003</v>
      </c>
      <c r="S31" s="8">
        <v>-257568.73601999998</v>
      </c>
      <c r="T31" s="8">
        <v>-190289.99872000003</v>
      </c>
      <c r="U31" s="8">
        <v>-284714.38971999998</v>
      </c>
      <c r="V31" s="40">
        <v>-931868.70554</v>
      </c>
      <c r="W31" s="8">
        <v>-183612.12379999994</v>
      </c>
      <c r="X31" s="8">
        <v>-19191.984829999983</v>
      </c>
      <c r="Y31" s="8">
        <v>-79162.737079999977</v>
      </c>
      <c r="Z31" s="8">
        <v>-89402.660260000019</v>
      </c>
      <c r="AA31" s="40">
        <v>-371369.50596999994</v>
      </c>
      <c r="AB31" s="8">
        <v>-58881.313579999958</v>
      </c>
      <c r="AC31" s="8">
        <v>87103.645199999984</v>
      </c>
      <c r="AD31" s="8">
        <v>48376.04614000002</v>
      </c>
      <c r="AE31" s="8">
        <v>39499.608000000007</v>
      </c>
      <c r="AF31" s="40">
        <v>116097.98576000005</v>
      </c>
      <c r="AG31" s="8">
        <v>24501</v>
      </c>
      <c r="AH31" s="8">
        <v>53472</v>
      </c>
      <c r="AI31" s="8">
        <v>18413</v>
      </c>
      <c r="AJ31" s="8">
        <v>29618</v>
      </c>
      <c r="AK31" s="40">
        <f t="shared" si="17"/>
        <v>126004</v>
      </c>
      <c r="AL31" s="8">
        <v>47259</v>
      </c>
      <c r="AM31" s="8">
        <v>36313</v>
      </c>
      <c r="AN31" s="8">
        <v>9422</v>
      </c>
      <c r="AO31" s="8">
        <v>-8607</v>
      </c>
      <c r="AP31" s="40">
        <f t="shared" si="18"/>
        <v>84387</v>
      </c>
      <c r="AQ31" s="8">
        <v>4024</v>
      </c>
      <c r="AR31" s="8">
        <v>13204</v>
      </c>
      <c r="AS31" s="8">
        <v>13947</v>
      </c>
      <c r="AT31" s="8">
        <v>17083</v>
      </c>
      <c r="AU31" s="40">
        <f t="shared" si="19"/>
        <v>48258</v>
      </c>
      <c r="AV31" s="8">
        <v>32141</v>
      </c>
      <c r="AW31" s="8">
        <v>16645</v>
      </c>
      <c r="AX31" s="8">
        <v>-18595</v>
      </c>
      <c r="AY31" s="8">
        <v>-61411</v>
      </c>
      <c r="AZ31" s="40">
        <f t="shared" si="20"/>
        <v>-31220</v>
      </c>
      <c r="BA31" s="8">
        <v>-53694</v>
      </c>
    </row>
    <row r="32" spans="1:99" s="2" customFormat="1">
      <c r="A32" s="9"/>
      <c r="B32" s="9" t="s">
        <v>475</v>
      </c>
      <c r="C32" s="10">
        <v>1100346.7835199996</v>
      </c>
      <c r="D32" s="10">
        <v>1128370.1140999992</v>
      </c>
      <c r="E32" s="10">
        <v>1127031.7983600004</v>
      </c>
      <c r="F32" s="10">
        <v>1192444.0004000007</v>
      </c>
      <c r="G32" s="39">
        <v>4548192.6963800006</v>
      </c>
      <c r="H32" s="10">
        <v>1203942.8339899988</v>
      </c>
      <c r="I32" s="10">
        <v>1279191.2470500006</v>
      </c>
      <c r="J32" s="10">
        <v>1272845.4380399999</v>
      </c>
      <c r="K32" s="10">
        <v>1213374.2561500012</v>
      </c>
      <c r="L32" s="39">
        <v>4969353.7752300007</v>
      </c>
      <c r="M32" s="10">
        <v>1357051.7393099996</v>
      </c>
      <c r="N32" s="10">
        <v>1356623.3001399992</v>
      </c>
      <c r="O32" s="10">
        <v>2258064.3794299997</v>
      </c>
      <c r="P32" s="10">
        <v>1117716.3686600004</v>
      </c>
      <c r="Q32" s="39">
        <v>6089455.787539999</v>
      </c>
      <c r="R32" s="10">
        <v>1408767.5598200001</v>
      </c>
      <c r="S32" s="10">
        <v>1433858.8481499993</v>
      </c>
      <c r="T32" s="10">
        <v>1497374.8245499996</v>
      </c>
      <c r="U32" s="10">
        <v>1501586.7399299997</v>
      </c>
      <c r="V32" s="39">
        <v>5841587.9724499993</v>
      </c>
      <c r="W32" s="10">
        <v>1548955.8524300009</v>
      </c>
      <c r="X32" s="10">
        <v>1551801.6701799997</v>
      </c>
      <c r="Y32" s="10">
        <v>867998.33566000022</v>
      </c>
      <c r="Z32" s="10">
        <v>882673.80720999965</v>
      </c>
      <c r="AA32" s="39">
        <v>4851429.66548</v>
      </c>
      <c r="AB32" s="10">
        <v>898396.60361000034</v>
      </c>
      <c r="AC32" s="10">
        <v>877511.95210999984</v>
      </c>
      <c r="AD32" s="10">
        <v>849082.31275000004</v>
      </c>
      <c r="AE32" s="10">
        <v>824149.60800000001</v>
      </c>
      <c r="AF32" s="39">
        <v>3449140.4764700001</v>
      </c>
      <c r="AG32" s="76">
        <f>AG30+AG31</f>
        <v>799455</v>
      </c>
      <c r="AH32" s="76">
        <f>AH30+AH31</f>
        <v>791716</v>
      </c>
      <c r="AI32" s="76">
        <f>AI30+AI31</f>
        <v>779255</v>
      </c>
      <c r="AJ32" s="76">
        <f>AJ30+AJ31</f>
        <v>791047</v>
      </c>
      <c r="AK32" s="39">
        <f t="shared" si="17"/>
        <v>3161473</v>
      </c>
      <c r="AL32" s="76">
        <f>AL30+AL31</f>
        <v>775857</v>
      </c>
      <c r="AM32" s="76">
        <f>AM30+AM31</f>
        <v>769280</v>
      </c>
      <c r="AN32" s="76">
        <f>AN30+AN31</f>
        <v>751816</v>
      </c>
      <c r="AO32" s="76">
        <f>AO30+AO31</f>
        <v>738329</v>
      </c>
      <c r="AP32" s="39">
        <f t="shared" si="18"/>
        <v>3035282</v>
      </c>
      <c r="AQ32" s="76">
        <f>AQ30+AQ31</f>
        <v>728788</v>
      </c>
      <c r="AR32" s="76">
        <f>AR30+AR31</f>
        <v>720576</v>
      </c>
      <c r="AS32" s="76">
        <f t="shared" ref="AS32:AT32" si="21">AS30+AS31</f>
        <v>719108</v>
      </c>
      <c r="AT32" s="76">
        <f t="shared" si="21"/>
        <v>710896</v>
      </c>
      <c r="AU32" s="39">
        <f t="shared" si="19"/>
        <v>2879368</v>
      </c>
      <c r="AV32" s="76">
        <f t="shared" ref="AV32:BA32" si="22">AV30+AV31</f>
        <v>702419</v>
      </c>
      <c r="AW32" s="76">
        <f t="shared" si="22"/>
        <v>696505</v>
      </c>
      <c r="AX32" s="76">
        <f t="shared" si="22"/>
        <v>696044</v>
      </c>
      <c r="AY32" s="76">
        <f t="shared" si="22"/>
        <v>694362</v>
      </c>
      <c r="AZ32" s="39">
        <f t="shared" si="20"/>
        <v>2789330</v>
      </c>
      <c r="BA32" s="76">
        <f t="shared" si="22"/>
        <v>691935</v>
      </c>
    </row>
    <row r="33" spans="1:53">
      <c r="A33" s="11"/>
      <c r="B33" s="11" t="s">
        <v>476</v>
      </c>
      <c r="C33" s="8">
        <v>5817.6374799999994</v>
      </c>
      <c r="D33" s="8">
        <v>3834.6040800000001</v>
      </c>
      <c r="E33" s="8">
        <v>3082.91905</v>
      </c>
      <c r="F33" s="8">
        <v>2260.2069200000001</v>
      </c>
      <c r="G33" s="40">
        <v>14995.36753</v>
      </c>
      <c r="H33" s="8">
        <v>6468.0632099999993</v>
      </c>
      <c r="I33" s="8">
        <v>3652.6424999999999</v>
      </c>
      <c r="J33" s="8">
        <v>2888.6848499999996</v>
      </c>
      <c r="K33" s="8">
        <v>2123.32863</v>
      </c>
      <c r="L33" s="40">
        <v>15132.719189999998</v>
      </c>
      <c r="M33" s="8">
        <v>6416.0253900000007</v>
      </c>
      <c r="N33" s="8">
        <v>3461.1217199999996</v>
      </c>
      <c r="O33" s="8">
        <v>2959.9959599999997</v>
      </c>
      <c r="P33" s="8">
        <v>2341.4741899999999</v>
      </c>
      <c r="Q33" s="40">
        <v>15178.617259999999</v>
      </c>
      <c r="R33" s="8">
        <v>7101.6551500000005</v>
      </c>
      <c r="S33" s="8">
        <v>3438.8229200000001</v>
      </c>
      <c r="T33" s="8">
        <v>3986.6241800000003</v>
      </c>
      <c r="U33" s="8">
        <v>2488.8453199999999</v>
      </c>
      <c r="V33" s="40">
        <v>17015.94757</v>
      </c>
      <c r="W33" s="8">
        <v>0</v>
      </c>
      <c r="X33" s="8">
        <v>0</v>
      </c>
      <c r="Y33" s="8">
        <v>0</v>
      </c>
      <c r="Z33" s="8">
        <v>0</v>
      </c>
      <c r="AA33" s="40">
        <v>0</v>
      </c>
      <c r="AB33" s="8">
        <v>0</v>
      </c>
      <c r="AC33" s="8">
        <v>0</v>
      </c>
      <c r="AD33" s="8">
        <v>0</v>
      </c>
      <c r="AE33" s="8">
        <v>0</v>
      </c>
      <c r="AF33" s="40">
        <v>0</v>
      </c>
      <c r="AG33" s="8">
        <v>0</v>
      </c>
      <c r="AH33" s="8">
        <v>0</v>
      </c>
      <c r="AI33" s="8">
        <v>0</v>
      </c>
      <c r="AJ33" s="8">
        <v>0</v>
      </c>
      <c r="AK33" s="40">
        <f t="shared" si="17"/>
        <v>0</v>
      </c>
      <c r="AL33" s="8">
        <v>0</v>
      </c>
      <c r="AM33" s="8">
        <v>0</v>
      </c>
      <c r="AN33" s="8">
        <v>0</v>
      </c>
      <c r="AO33" s="8">
        <v>0</v>
      </c>
      <c r="AP33" s="40">
        <f t="shared" si="18"/>
        <v>0</v>
      </c>
      <c r="AQ33" s="8">
        <v>0</v>
      </c>
      <c r="AR33" s="8">
        <v>0</v>
      </c>
      <c r="AS33" s="8">
        <v>0</v>
      </c>
      <c r="AT33" s="8">
        <v>0</v>
      </c>
      <c r="AU33" s="40">
        <f t="shared" si="19"/>
        <v>0</v>
      </c>
      <c r="AV33" s="8">
        <v>0</v>
      </c>
      <c r="AW33" s="8">
        <v>0</v>
      </c>
      <c r="AX33" s="8">
        <v>0</v>
      </c>
      <c r="AY33" s="8">
        <v>0</v>
      </c>
      <c r="AZ33" s="40">
        <f t="shared" si="20"/>
        <v>0</v>
      </c>
      <c r="BA33" s="8">
        <v>0</v>
      </c>
    </row>
    <row r="34" spans="1:53">
      <c r="A34" s="11"/>
      <c r="B34" s="11" t="s">
        <v>477</v>
      </c>
      <c r="C34" s="8">
        <v>-341993.98181999993</v>
      </c>
      <c r="D34" s="8">
        <v>-375421.92792999966</v>
      </c>
      <c r="E34" s="8">
        <v>-341454.17269000044</v>
      </c>
      <c r="F34" s="8">
        <v>-313478.24841000041</v>
      </c>
      <c r="G34" s="40">
        <v>-1372348.3308500005</v>
      </c>
      <c r="H34" s="8">
        <v>-354987.13560999994</v>
      </c>
      <c r="I34" s="8">
        <v>-342687.39551000012</v>
      </c>
      <c r="J34" s="8">
        <v>-458099.11462000001</v>
      </c>
      <c r="K34" s="8">
        <v>-295248.51523000002</v>
      </c>
      <c r="L34" s="40">
        <v>-1451022.1609700001</v>
      </c>
      <c r="M34" s="8">
        <v>-410388.77342999971</v>
      </c>
      <c r="N34" s="8">
        <v>-367940.87953999994</v>
      </c>
      <c r="O34" s="8">
        <v>-473334.52296000015</v>
      </c>
      <c r="P34" s="8">
        <v>-243967.89078000013</v>
      </c>
      <c r="Q34" s="40">
        <v>-1495632.0667099999</v>
      </c>
      <c r="R34" s="8">
        <v>-385858.31479000003</v>
      </c>
      <c r="S34" s="8">
        <v>-312026.36896000017</v>
      </c>
      <c r="T34" s="8">
        <v>-364917.94444000022</v>
      </c>
      <c r="U34" s="8">
        <v>-190390.6236399998</v>
      </c>
      <c r="V34" s="40">
        <v>-1253193.2518300004</v>
      </c>
      <c r="W34" s="8">
        <v>-362409.84071999986</v>
      </c>
      <c r="X34" s="8">
        <v>-378094.82006999996</v>
      </c>
      <c r="Y34" s="8">
        <v>-306681.51221000007</v>
      </c>
      <c r="Z34" s="8">
        <v>-281707.41642999987</v>
      </c>
      <c r="AA34" s="40">
        <v>-1328893.5894299997</v>
      </c>
      <c r="AB34" s="8">
        <v>-336606.61784999981</v>
      </c>
      <c r="AC34" s="8">
        <v>-377835.55029000016</v>
      </c>
      <c r="AD34" s="8">
        <v>-381355.91487999988</v>
      </c>
      <c r="AE34" s="8">
        <v>-234771.56980000008</v>
      </c>
      <c r="AF34" s="40">
        <v>-1330569.65282</v>
      </c>
      <c r="AG34" s="8">
        <v>-273551</v>
      </c>
      <c r="AH34" s="8">
        <v>-234985</v>
      </c>
      <c r="AI34" s="8">
        <v>-253224</v>
      </c>
      <c r="AJ34" s="8">
        <v>-335925</v>
      </c>
      <c r="AK34" s="40">
        <f t="shared" si="17"/>
        <v>-1097685</v>
      </c>
      <c r="AL34" s="8">
        <v>-267242</v>
      </c>
      <c r="AM34" s="8">
        <v>-221498</v>
      </c>
      <c r="AN34" s="8">
        <v>-227554</v>
      </c>
      <c r="AO34" s="8">
        <v>-186021</v>
      </c>
      <c r="AP34" s="40">
        <f t="shared" si="18"/>
        <v>-902315</v>
      </c>
      <c r="AQ34" s="8">
        <v>-236221</v>
      </c>
      <c r="AR34" s="8">
        <v>-497907</v>
      </c>
      <c r="AS34" s="8">
        <v>-273984</v>
      </c>
      <c r="AT34" s="8">
        <v>-191696</v>
      </c>
      <c r="AU34" s="40">
        <f t="shared" si="19"/>
        <v>-1199808</v>
      </c>
      <c r="AV34" s="8">
        <v>-270540</v>
      </c>
      <c r="AW34" s="8">
        <v>-250854</v>
      </c>
      <c r="AX34" s="8">
        <v>-253006</v>
      </c>
      <c r="AY34" s="8">
        <v>-227583</v>
      </c>
      <c r="AZ34" s="40">
        <f t="shared" si="20"/>
        <v>-1001983</v>
      </c>
      <c r="BA34" s="8">
        <v>-244129</v>
      </c>
    </row>
    <row r="35" spans="1:53">
      <c r="A35" s="11"/>
      <c r="B35" s="11" t="s">
        <v>478</v>
      </c>
      <c r="C35" s="8">
        <v>-170611.99531999999</v>
      </c>
      <c r="D35" s="8">
        <v>-173266.83869999991</v>
      </c>
      <c r="E35" s="8">
        <v>-94611.547049999936</v>
      </c>
      <c r="F35" s="8">
        <v>-194964.93161000009</v>
      </c>
      <c r="G35" s="40">
        <v>-633455.31267999997</v>
      </c>
      <c r="H35" s="8">
        <v>-219283.79599000001</v>
      </c>
      <c r="I35" s="8">
        <v>-225765.8862000001</v>
      </c>
      <c r="J35" s="8">
        <v>-240036.25103999992</v>
      </c>
      <c r="K35" s="8">
        <v>-246943.46057</v>
      </c>
      <c r="L35" s="40">
        <v>-932029.39379999996</v>
      </c>
      <c r="M35" s="8">
        <v>-260458.89714999992</v>
      </c>
      <c r="N35" s="8">
        <v>-250823.14161000002</v>
      </c>
      <c r="O35" s="8">
        <v>-271597.22540000011</v>
      </c>
      <c r="P35" s="8">
        <v>-251302.83237000013</v>
      </c>
      <c r="Q35" s="40">
        <v>-1034182.0965300002</v>
      </c>
      <c r="R35" s="8">
        <v>-265235.90860000014</v>
      </c>
      <c r="S35" s="8">
        <v>-270683.66149000003</v>
      </c>
      <c r="T35" s="8">
        <v>-300725.95452000009</v>
      </c>
      <c r="U35" s="8">
        <v>-315511.56208000029</v>
      </c>
      <c r="V35" s="40">
        <v>-1152157.0866900005</v>
      </c>
      <c r="W35" s="8">
        <v>-312309.46393999981</v>
      </c>
      <c r="X35" s="8">
        <v>-295574.8569999999</v>
      </c>
      <c r="Y35" s="8">
        <v>-115975.82824999998</v>
      </c>
      <c r="Z35" s="8">
        <v>-120636.03548999999</v>
      </c>
      <c r="AA35" s="40">
        <v>-844496.18467999983</v>
      </c>
      <c r="AB35" s="8">
        <v>-95893.086609999955</v>
      </c>
      <c r="AC35" s="8">
        <v>-87749.980850000007</v>
      </c>
      <c r="AD35" s="8">
        <v>-85239.34216</v>
      </c>
      <c r="AE35" s="8">
        <v>-81463.992660000018</v>
      </c>
      <c r="AF35" s="40">
        <v>-350346.40227999992</v>
      </c>
      <c r="AG35" s="8">
        <v>-74819</v>
      </c>
      <c r="AH35" s="8">
        <v>-73789</v>
      </c>
      <c r="AI35" s="8">
        <v>-71075</v>
      </c>
      <c r="AJ35" s="8">
        <v>-72045</v>
      </c>
      <c r="AK35" s="40">
        <f t="shared" si="17"/>
        <v>-291728</v>
      </c>
      <c r="AL35" s="8">
        <v>-75434</v>
      </c>
      <c r="AM35" s="8">
        <v>-67785</v>
      </c>
      <c r="AN35" s="8">
        <v>-70777</v>
      </c>
      <c r="AO35" s="8">
        <v>-68529</v>
      </c>
      <c r="AP35" s="40">
        <f t="shared" si="18"/>
        <v>-282525</v>
      </c>
      <c r="AQ35" s="8">
        <v>-66025</v>
      </c>
      <c r="AR35" s="8">
        <v>-65530</v>
      </c>
      <c r="AS35" s="8">
        <v>-68134</v>
      </c>
      <c r="AT35" s="8">
        <v>-68371</v>
      </c>
      <c r="AU35" s="40">
        <f t="shared" si="19"/>
        <v>-268060</v>
      </c>
      <c r="AV35" s="8">
        <v>-65549</v>
      </c>
      <c r="AW35" s="8">
        <v>-65067</v>
      </c>
      <c r="AX35" s="8">
        <v>-66488</v>
      </c>
      <c r="AY35" s="8">
        <v>-67085</v>
      </c>
      <c r="AZ35" s="40">
        <f t="shared" si="20"/>
        <v>-264189</v>
      </c>
      <c r="BA35" s="8">
        <v>-67854</v>
      </c>
    </row>
    <row r="36" spans="1:53">
      <c r="A36" s="11"/>
      <c r="B36" s="11" t="s">
        <v>479</v>
      </c>
      <c r="C36" s="8">
        <v>-24175.986870000139</v>
      </c>
      <c r="D36" s="8">
        <v>-30367.420050000608</v>
      </c>
      <c r="E36" s="8">
        <v>-46245.360839999783</v>
      </c>
      <c r="F36" s="8">
        <v>-31978.059309999524</v>
      </c>
      <c r="G36" s="40">
        <v>-132766.82707000006</v>
      </c>
      <c r="H36" s="8">
        <v>-64210.722330000011</v>
      </c>
      <c r="I36" s="8">
        <v>-69964.708399999974</v>
      </c>
      <c r="J36" s="8">
        <v>-43337.526250000017</v>
      </c>
      <c r="K36" s="8">
        <v>-51904.533060000067</v>
      </c>
      <c r="L36" s="40">
        <v>-229417.49004000009</v>
      </c>
      <c r="M36" s="8">
        <v>-57844.997470000002</v>
      </c>
      <c r="N36" s="8">
        <v>-71769.000750000007</v>
      </c>
      <c r="O36" s="8">
        <v>-206252.93477999975</v>
      </c>
      <c r="P36" s="8">
        <v>-48377.571360000002</v>
      </c>
      <c r="Q36" s="40">
        <v>-384244.50435999973</v>
      </c>
      <c r="R36" s="8">
        <v>-53786.704340000018</v>
      </c>
      <c r="S36" s="8">
        <v>-49347.556610000014</v>
      </c>
      <c r="T36" s="8">
        <v>-51953.245980000007</v>
      </c>
      <c r="U36" s="8">
        <v>-67744.871739999973</v>
      </c>
      <c r="V36" s="40">
        <v>-222832.37867000001</v>
      </c>
      <c r="W36" s="8">
        <v>-113990.64133999997</v>
      </c>
      <c r="X36" s="8">
        <v>-59867.861720000015</v>
      </c>
      <c r="Y36" s="8">
        <v>-54281.395329999985</v>
      </c>
      <c r="Z36" s="8">
        <v>-34330.78029000001</v>
      </c>
      <c r="AA36" s="40">
        <v>-262470.67868000001</v>
      </c>
      <c r="AB36" s="8">
        <v>-35549.352150000006</v>
      </c>
      <c r="AC36" s="8">
        <v>15801.366600000003</v>
      </c>
      <c r="AD36" s="8">
        <v>-30572.474329999983</v>
      </c>
      <c r="AE36" s="8">
        <v>-26151.516669999997</v>
      </c>
      <c r="AF36" s="40">
        <v>-76471.976549999992</v>
      </c>
      <c r="AG36" s="8">
        <v>-3201</v>
      </c>
      <c r="AH36" s="8">
        <v>-17664</v>
      </c>
      <c r="AI36" s="8">
        <v>-17385</v>
      </c>
      <c r="AJ36" s="8">
        <v>-32643</v>
      </c>
      <c r="AK36" s="40">
        <f t="shared" si="17"/>
        <v>-70893</v>
      </c>
      <c r="AL36" s="8">
        <v>-5916</v>
      </c>
      <c r="AM36" s="8">
        <v>-27696</v>
      </c>
      <c r="AN36" s="8">
        <v>-19292</v>
      </c>
      <c r="AO36" s="8">
        <v>-22561</v>
      </c>
      <c r="AP36" s="40">
        <f t="shared" si="18"/>
        <v>-75465</v>
      </c>
      <c r="AQ36" s="8">
        <v>-13732.494000000001</v>
      </c>
      <c r="AR36" s="8">
        <v>-23766</v>
      </c>
      <c r="AS36" s="8">
        <v>-30472</v>
      </c>
      <c r="AT36" s="8">
        <v>-30768</v>
      </c>
      <c r="AU36" s="40">
        <f t="shared" si="19"/>
        <v>-98738.494000000006</v>
      </c>
      <c r="AV36" s="8">
        <v>-23401.356</v>
      </c>
      <c r="AW36" s="8">
        <v>-7225.4110000000001</v>
      </c>
      <c r="AX36" s="8">
        <v>-15227</v>
      </c>
      <c r="AY36" s="8">
        <v>-18396</v>
      </c>
      <c r="AZ36" s="40">
        <f t="shared" si="20"/>
        <v>-64249.767</v>
      </c>
      <c r="BA36" s="8">
        <v>-19672</v>
      </c>
    </row>
    <row r="37" spans="1:53">
      <c r="A37" s="11"/>
      <c r="B37" s="11" t="s">
        <v>480</v>
      </c>
      <c r="C37" s="8">
        <v>-10918.822029999999</v>
      </c>
      <c r="D37" s="8">
        <v>-14932.682830000003</v>
      </c>
      <c r="E37" s="8">
        <v>-23603.210180000005</v>
      </c>
      <c r="F37" s="8">
        <v>-56314.236369999991</v>
      </c>
      <c r="G37" s="40">
        <v>-105768.95141000001</v>
      </c>
      <c r="H37" s="8">
        <v>-46554.351370000026</v>
      </c>
      <c r="I37" s="8">
        <v>-36383.493410000032</v>
      </c>
      <c r="J37" s="8">
        <v>-60744.914300000011</v>
      </c>
      <c r="K37" s="8">
        <v>-88959.757340000026</v>
      </c>
      <c r="L37" s="40">
        <v>-232642.51642000012</v>
      </c>
      <c r="M37" s="8">
        <v>-45248.975310000016</v>
      </c>
      <c r="N37" s="8">
        <v>-10570.173769999987</v>
      </c>
      <c r="O37" s="8">
        <v>-34501.058939999995</v>
      </c>
      <c r="P37" s="8">
        <v>-11182.635719999998</v>
      </c>
      <c r="Q37" s="40">
        <v>-101502.84373999998</v>
      </c>
      <c r="R37" s="8">
        <v>-68257.745540000004</v>
      </c>
      <c r="S37" s="8">
        <v>3416.2713599999884</v>
      </c>
      <c r="T37" s="8">
        <v>-27605.014729999995</v>
      </c>
      <c r="U37" s="8">
        <v>46055.968300000059</v>
      </c>
      <c r="V37" s="40">
        <v>-46390.520609999956</v>
      </c>
      <c r="W37" s="8">
        <v>970.51174999998136</v>
      </c>
      <c r="X37" s="8">
        <v>-10706.795350000002</v>
      </c>
      <c r="Y37" s="8">
        <v>317.05258000000731</v>
      </c>
      <c r="Z37" s="8">
        <v>-10569.916079999994</v>
      </c>
      <c r="AA37" s="40">
        <v>-19989.147100000009</v>
      </c>
      <c r="AB37" s="8">
        <v>1024.0167899999972</v>
      </c>
      <c r="AC37" s="8">
        <v>-22209.628369999999</v>
      </c>
      <c r="AD37" s="8">
        <v>13672.075279999999</v>
      </c>
      <c r="AE37" s="8">
        <v>-46359.117749999998</v>
      </c>
      <c r="AF37" s="40">
        <v>-53872.654049999997</v>
      </c>
      <c r="AG37" s="8">
        <v>-17675</v>
      </c>
      <c r="AH37" s="8">
        <v>-46565</v>
      </c>
      <c r="AI37" s="8">
        <v>-15909</v>
      </c>
      <c r="AJ37" s="8">
        <v>-1602</v>
      </c>
      <c r="AK37" s="40">
        <f t="shared" si="17"/>
        <v>-81751</v>
      </c>
      <c r="AL37" s="8">
        <v>-8993</v>
      </c>
      <c r="AM37" s="8">
        <v>-6257</v>
      </c>
      <c r="AN37" s="8">
        <v>-4002</v>
      </c>
      <c r="AO37" s="8">
        <v>3049</v>
      </c>
      <c r="AP37" s="40">
        <f t="shared" si="18"/>
        <v>-16203</v>
      </c>
      <c r="AQ37" s="8">
        <v>416</v>
      </c>
      <c r="AR37" s="8">
        <v>179455</v>
      </c>
      <c r="AS37" s="8">
        <v>28498</v>
      </c>
      <c r="AT37" s="8">
        <v>-1885</v>
      </c>
      <c r="AU37" s="40">
        <f t="shared" si="19"/>
        <v>206484</v>
      </c>
      <c r="AV37" s="8">
        <v>-4450</v>
      </c>
      <c r="AW37" s="8">
        <v>-4029</v>
      </c>
      <c r="AX37" s="8">
        <v>-6778</v>
      </c>
      <c r="AY37" s="8">
        <v>-11150</v>
      </c>
      <c r="AZ37" s="40">
        <f t="shared" si="20"/>
        <v>-26407</v>
      </c>
      <c r="BA37" s="8">
        <v>10567</v>
      </c>
    </row>
    <row r="38" spans="1:53" s="2" customFormat="1">
      <c r="A38" s="9"/>
      <c r="B38" s="9" t="s">
        <v>412</v>
      </c>
      <c r="C38" s="10">
        <v>558463.63496000157</v>
      </c>
      <c r="D38" s="10">
        <v>538215.84866999718</v>
      </c>
      <c r="E38" s="10">
        <v>624200.42665000795</v>
      </c>
      <c r="F38" s="10">
        <v>597968.73161997297</v>
      </c>
      <c r="G38" s="39">
        <v>2318848.6418999797</v>
      </c>
      <c r="H38" s="10">
        <v>525374.89190000005</v>
      </c>
      <c r="I38" s="10">
        <v>608042.40602999495</v>
      </c>
      <c r="J38" s="10">
        <v>473516.31668000226</v>
      </c>
      <c r="K38" s="10">
        <v>532441.31858000206</v>
      </c>
      <c r="L38" s="39">
        <v>2139374.9331899993</v>
      </c>
      <c r="M38" s="10">
        <v>589526.12134000077</v>
      </c>
      <c r="N38" s="10">
        <v>658981.22619000659</v>
      </c>
      <c r="O38" s="10">
        <v>1275338.633309985</v>
      </c>
      <c r="P38" s="10">
        <v>565226.91261999914</v>
      </c>
      <c r="Q38" s="39">
        <v>3089072.8934599916</v>
      </c>
      <c r="R38" s="10">
        <v>642730.54169999936</v>
      </c>
      <c r="S38" s="10">
        <v>808656.35536999337</v>
      </c>
      <c r="T38" s="10">
        <v>756159.28906000289</v>
      </c>
      <c r="U38" s="10">
        <v>976484.49609002657</v>
      </c>
      <c r="V38" s="39">
        <v>3184030.6822200222</v>
      </c>
      <c r="W38" s="10">
        <v>761216.41817999771</v>
      </c>
      <c r="X38" s="10">
        <v>807557.33604000299</v>
      </c>
      <c r="Y38" s="10">
        <v>391376.6524500004</v>
      </c>
      <c r="Z38" s="10">
        <v>435429.65891999728</v>
      </c>
      <c r="AA38" s="39">
        <v>2395580.0655899984</v>
      </c>
      <c r="AB38" s="10">
        <v>431371.56379000144</v>
      </c>
      <c r="AC38" s="10">
        <v>405518.15919999604</v>
      </c>
      <c r="AD38" s="10">
        <v>365586.65666000254</v>
      </c>
      <c r="AE38" s="10">
        <v>435403</v>
      </c>
      <c r="AF38" s="39">
        <v>1637879.37965</v>
      </c>
      <c r="AG38" s="76">
        <f>SUM(AG32:AG37)</f>
        <v>430209</v>
      </c>
      <c r="AH38" s="76">
        <f>SUM(AH32:AH37)</f>
        <v>418713</v>
      </c>
      <c r="AI38" s="76">
        <f>SUM(AI32:AI37)</f>
        <v>421662</v>
      </c>
      <c r="AJ38" s="76">
        <f>SUM(AJ32:AJ37)</f>
        <v>348832</v>
      </c>
      <c r="AK38" s="39">
        <f>SUM(AG38:AJ38)</f>
        <v>1619416</v>
      </c>
      <c r="AL38" s="76">
        <f>SUM(AL32:AL37)</f>
        <v>418272</v>
      </c>
      <c r="AM38" s="76">
        <f>SUM(AM32:AM37)</f>
        <v>446044</v>
      </c>
      <c r="AN38" s="76">
        <f>SUM(AN32:AN37)</f>
        <v>430191</v>
      </c>
      <c r="AO38" s="76">
        <f>SUM(AO32:AO37)</f>
        <v>464267</v>
      </c>
      <c r="AP38" s="39">
        <f t="shared" si="18"/>
        <v>1758774</v>
      </c>
      <c r="AQ38" s="76">
        <f>SUM(AQ32:AQ37)</f>
        <v>413225.50599999999</v>
      </c>
      <c r="AR38" s="76">
        <f>SUM(AR32:AR37)</f>
        <v>312828</v>
      </c>
      <c r="AS38" s="76">
        <f t="shared" ref="AS38:AV38" si="23">SUM(AS32:AS37)</f>
        <v>375016</v>
      </c>
      <c r="AT38" s="76">
        <f t="shared" si="23"/>
        <v>418176</v>
      </c>
      <c r="AU38" s="39">
        <f t="shared" si="19"/>
        <v>1519245.5060000001</v>
      </c>
      <c r="AV38" s="76">
        <f t="shared" si="23"/>
        <v>338478.64399999997</v>
      </c>
      <c r="AW38" s="76">
        <f>SUM(AW32:AW37)</f>
        <v>369329.58899999998</v>
      </c>
      <c r="AX38" s="76">
        <f t="shared" ref="AX38:AY38" si="24">SUM(AX32:AX37)</f>
        <v>354545</v>
      </c>
      <c r="AY38" s="76">
        <f t="shared" si="24"/>
        <v>370148</v>
      </c>
      <c r="AZ38" s="39">
        <f t="shared" si="20"/>
        <v>1432501.233</v>
      </c>
      <c r="BA38" s="76">
        <f t="shared" ref="BA38" si="25">SUM(BA32:BA37)</f>
        <v>370847</v>
      </c>
    </row>
    <row r="39" spans="1:53">
      <c r="A39" s="11"/>
      <c r="B39" s="11" t="s">
        <v>413</v>
      </c>
      <c r="C39" s="12">
        <v>-70928.000950000001</v>
      </c>
      <c r="D39" s="12">
        <v>-77502.037150000004</v>
      </c>
      <c r="E39" s="12">
        <v>-86545.168430000049</v>
      </c>
      <c r="F39" s="12">
        <v>-99054.721350000211</v>
      </c>
      <c r="G39" s="40">
        <v>-334029.92788000026</v>
      </c>
      <c r="H39" s="12">
        <v>-89838.383690000002</v>
      </c>
      <c r="I39" s="12">
        <v>-104340.75329999994</v>
      </c>
      <c r="J39" s="12">
        <v>-109800.72200000004</v>
      </c>
      <c r="K39" s="12">
        <v>-148365.53728000016</v>
      </c>
      <c r="L39" s="40">
        <v>-452345.39627000014</v>
      </c>
      <c r="M39" s="12">
        <v>-103248.17666999999</v>
      </c>
      <c r="N39" s="12">
        <v>-117881.45956000008</v>
      </c>
      <c r="O39" s="12">
        <v>-150999.30522999994</v>
      </c>
      <c r="P39" s="12">
        <v>-160334.23338000011</v>
      </c>
      <c r="Q39" s="40">
        <v>-532463.17484000011</v>
      </c>
      <c r="R39" s="12">
        <v>-116559.23077999994</v>
      </c>
      <c r="S39" s="12">
        <v>-122156.36344000006</v>
      </c>
      <c r="T39" s="12">
        <v>-131970.01174999998</v>
      </c>
      <c r="U39" s="12">
        <v>-184935.63331999996</v>
      </c>
      <c r="V39" s="40">
        <v>-555621.23928999994</v>
      </c>
      <c r="W39" s="12">
        <v>-123632.65599000014</v>
      </c>
      <c r="X39" s="12">
        <v>-139571.51198999982</v>
      </c>
      <c r="Y39" s="12">
        <v>-105159.89611999987</v>
      </c>
      <c r="Z39" s="12">
        <v>-107456.66510000022</v>
      </c>
      <c r="AA39" s="40">
        <v>-475820.72920000006</v>
      </c>
      <c r="AB39" s="12">
        <v>-63485.886420000017</v>
      </c>
      <c r="AC39" s="12">
        <v>-85701.291090000101</v>
      </c>
      <c r="AD39" s="12">
        <v>-68481.405349999899</v>
      </c>
      <c r="AE39" s="12">
        <v>-43972</v>
      </c>
      <c r="AF39" s="40">
        <v>-261640.58286000002</v>
      </c>
      <c r="AG39" s="110">
        <v>-77918</v>
      </c>
      <c r="AH39" s="110">
        <v>-87779</v>
      </c>
      <c r="AI39" s="110">
        <v>-82012</v>
      </c>
      <c r="AJ39" s="110">
        <v>-87760</v>
      </c>
      <c r="AK39" s="40">
        <f t="shared" ref="AK39:AK54" si="26">SUM(AG39:AJ39)</f>
        <v>-335469</v>
      </c>
      <c r="AL39" s="110">
        <v>-82208</v>
      </c>
      <c r="AM39" s="110">
        <v>-86974</v>
      </c>
      <c r="AN39" s="110">
        <v>-83874</v>
      </c>
      <c r="AO39" s="8">
        <v>-109931</v>
      </c>
      <c r="AP39" s="170">
        <f t="shared" si="18"/>
        <v>-362987</v>
      </c>
      <c r="AQ39" s="110">
        <v>-86760</v>
      </c>
      <c r="AR39" s="8">
        <v>-83183</v>
      </c>
      <c r="AS39" s="8">
        <v>-77564</v>
      </c>
      <c r="AT39" s="8">
        <v>-103148</v>
      </c>
      <c r="AU39" s="170">
        <f t="shared" si="19"/>
        <v>-350655</v>
      </c>
      <c r="AV39" s="8">
        <v>-90463.010999999999</v>
      </c>
      <c r="AW39" s="8">
        <v>-72453.095000000001</v>
      </c>
      <c r="AX39" s="8">
        <v>-90190</v>
      </c>
      <c r="AY39" s="8">
        <v>-102355</v>
      </c>
      <c r="AZ39" s="170">
        <f t="shared" si="20"/>
        <v>-355461.10600000003</v>
      </c>
      <c r="BA39" s="162">
        <v>-94894</v>
      </c>
    </row>
    <row r="40" spans="1:53">
      <c r="A40" s="11"/>
      <c r="B40" s="11" t="s">
        <v>414</v>
      </c>
      <c r="C40" s="13">
        <v>-48122.535800000012</v>
      </c>
      <c r="D40" s="13">
        <v>-48232.960089999993</v>
      </c>
      <c r="E40" s="13">
        <v>-47426.089829999997</v>
      </c>
      <c r="F40" s="13">
        <v>-49449.416459999979</v>
      </c>
      <c r="G40" s="41">
        <v>-193231.00217999998</v>
      </c>
      <c r="H40" s="13">
        <v>-55776.234530000002</v>
      </c>
      <c r="I40" s="13">
        <v>-51365.919140000013</v>
      </c>
      <c r="J40" s="13">
        <v>-50842.529139999955</v>
      </c>
      <c r="K40" s="13">
        <v>20945.179000000004</v>
      </c>
      <c r="L40" s="41">
        <v>-137039.50380999997</v>
      </c>
      <c r="M40" s="13">
        <v>-57042.484170000011</v>
      </c>
      <c r="N40" s="13">
        <v>-55800.625929999995</v>
      </c>
      <c r="O40" s="13">
        <v>-95069.678359999976</v>
      </c>
      <c r="P40" s="13">
        <v>-43519.310039999982</v>
      </c>
      <c r="Q40" s="41">
        <v>-251432.09849999996</v>
      </c>
      <c r="R40" s="13">
        <v>-56227.140599999992</v>
      </c>
      <c r="S40" s="13">
        <v>-58921.890390000022</v>
      </c>
      <c r="T40" s="13">
        <v>-60961.292789999963</v>
      </c>
      <c r="U40" s="13">
        <v>-61572.398690000031</v>
      </c>
      <c r="V40" s="41">
        <v>-237682.72247000001</v>
      </c>
      <c r="W40" s="13">
        <v>-66780.957840000003</v>
      </c>
      <c r="X40" s="13">
        <v>-65258.202540000013</v>
      </c>
      <c r="Y40" s="13">
        <v>-30890.651649999956</v>
      </c>
      <c r="Z40" s="13">
        <v>-33597.187800000043</v>
      </c>
      <c r="AA40" s="41">
        <v>-196526.99983000002</v>
      </c>
      <c r="AB40" s="13">
        <v>-32539.189970000003</v>
      </c>
      <c r="AC40" s="13">
        <v>-23740.382829999991</v>
      </c>
      <c r="AD40" s="13">
        <v>-26692.721579999998</v>
      </c>
      <c r="AE40" s="13">
        <v>-28113</v>
      </c>
      <c r="AF40" s="41">
        <v>-111085.29437999999</v>
      </c>
      <c r="AG40" s="1">
        <v>-27722</v>
      </c>
      <c r="AH40" s="1">
        <v>-28291</v>
      </c>
      <c r="AI40" s="1">
        <v>-27846</v>
      </c>
      <c r="AJ40" s="1">
        <v>-27927</v>
      </c>
      <c r="AK40" s="41">
        <f t="shared" si="26"/>
        <v>-111786</v>
      </c>
      <c r="AL40" s="1">
        <v>-29511</v>
      </c>
      <c r="AM40" s="1">
        <v>-28065</v>
      </c>
      <c r="AN40" s="110">
        <v>-25835</v>
      </c>
      <c r="AO40" s="8">
        <v>-26188</v>
      </c>
      <c r="AP40" s="41">
        <f t="shared" si="18"/>
        <v>-109599</v>
      </c>
      <c r="AQ40" s="1">
        <v>-26579</v>
      </c>
      <c r="AR40" s="8">
        <v>-21493</v>
      </c>
      <c r="AS40" s="8">
        <v>-20099</v>
      </c>
      <c r="AT40" s="8">
        <v>-31599</v>
      </c>
      <c r="AU40" s="41">
        <f t="shared" si="19"/>
        <v>-99770</v>
      </c>
      <c r="AV40" s="8">
        <v>-26473</v>
      </c>
      <c r="AW40" s="8">
        <v>-25805</v>
      </c>
      <c r="AX40" s="8">
        <v>-24401</v>
      </c>
      <c r="AY40" s="8">
        <v>-24641</v>
      </c>
      <c r="AZ40" s="170">
        <f t="shared" si="20"/>
        <v>-101320</v>
      </c>
      <c r="BA40" s="162">
        <v>-28433</v>
      </c>
    </row>
    <row r="41" spans="1:53">
      <c r="A41" s="11"/>
      <c r="B41" s="11" t="s">
        <v>415</v>
      </c>
      <c r="C41" s="13">
        <v>141825.46849000012</v>
      </c>
      <c r="D41" s="13">
        <v>148039.36643999873</v>
      </c>
      <c r="E41" s="13">
        <v>125144.02595000033</v>
      </c>
      <c r="F41" s="13">
        <v>149452.56563000096</v>
      </c>
      <c r="G41" s="41">
        <v>564461.42651000014</v>
      </c>
      <c r="H41" s="13">
        <v>189983.43288000044</v>
      </c>
      <c r="I41" s="13">
        <v>124897.80102999922</v>
      </c>
      <c r="J41" s="13">
        <v>123192.27524000051</v>
      </c>
      <c r="K41" s="13">
        <v>239998.8610500003</v>
      </c>
      <c r="L41" s="41">
        <v>678072.37020000047</v>
      </c>
      <c r="M41" s="13">
        <v>109735.06057000023</v>
      </c>
      <c r="N41" s="13">
        <v>90393.142439999705</v>
      </c>
      <c r="O41" s="13">
        <v>100104.68792000058</v>
      </c>
      <c r="P41" s="13">
        <v>124223.12906000001</v>
      </c>
      <c r="Q41" s="41">
        <v>424456.01999000052</v>
      </c>
      <c r="R41" s="13">
        <v>121393.51603000052</v>
      </c>
      <c r="S41" s="13">
        <v>115200.7730599991</v>
      </c>
      <c r="T41" s="13">
        <v>120224.54141999985</v>
      </c>
      <c r="U41" s="13">
        <v>144876.72571000061</v>
      </c>
      <c r="V41" s="41">
        <v>501695.55622000009</v>
      </c>
      <c r="W41" s="13">
        <v>199143.03271999978</v>
      </c>
      <c r="X41" s="13">
        <v>111952.2668800003</v>
      </c>
      <c r="Y41" s="13">
        <v>53244.390609999828</v>
      </c>
      <c r="Z41" s="13">
        <v>66875.566280000552</v>
      </c>
      <c r="AA41" s="41">
        <v>431215.25649000047</v>
      </c>
      <c r="AB41" s="13">
        <v>60120.629050000047</v>
      </c>
      <c r="AC41" s="13">
        <v>34418.722359999971</v>
      </c>
      <c r="AD41" s="13">
        <v>17836.069149999981</v>
      </c>
      <c r="AE41" s="13">
        <v>20740</v>
      </c>
      <c r="AF41" s="41">
        <v>133115.42056</v>
      </c>
      <c r="AG41" s="1">
        <v>22349</v>
      </c>
      <c r="AH41" s="1">
        <v>-10810</v>
      </c>
      <c r="AI41" s="1">
        <v>43839</v>
      </c>
      <c r="AJ41" s="1">
        <v>52256</v>
      </c>
      <c r="AK41" s="41">
        <f t="shared" si="26"/>
        <v>107634</v>
      </c>
      <c r="AL41" s="1">
        <v>75669</v>
      </c>
      <c r="AM41" s="1">
        <v>66380</v>
      </c>
      <c r="AN41" s="110">
        <v>101880</v>
      </c>
      <c r="AO41" s="8">
        <v>91929</v>
      </c>
      <c r="AP41" s="41">
        <f t="shared" si="18"/>
        <v>335858</v>
      </c>
      <c r="AQ41" s="1">
        <v>58159</v>
      </c>
      <c r="AR41" s="8">
        <v>51505</v>
      </c>
      <c r="AS41" s="8">
        <v>89218</v>
      </c>
      <c r="AT41" s="8">
        <v>66490</v>
      </c>
      <c r="AU41" s="41">
        <f t="shared" si="19"/>
        <v>265372</v>
      </c>
      <c r="AV41" s="8">
        <v>77375</v>
      </c>
      <c r="AW41" s="8">
        <v>92997</v>
      </c>
      <c r="AX41" s="8">
        <v>104627</v>
      </c>
      <c r="AY41" s="8">
        <v>111352</v>
      </c>
      <c r="AZ41" s="170">
        <f t="shared" si="20"/>
        <v>386351</v>
      </c>
      <c r="BA41" s="162">
        <v>111696</v>
      </c>
    </row>
    <row r="42" spans="1:53">
      <c r="A42" s="11"/>
      <c r="B42" s="11" t="s">
        <v>416</v>
      </c>
      <c r="C42" s="12">
        <v>-434.68799000000001</v>
      </c>
      <c r="D42" s="12">
        <v>-176.52327000000002</v>
      </c>
      <c r="E42" s="12">
        <v>-280.08078000000012</v>
      </c>
      <c r="F42" s="12">
        <v>-145.79460000000006</v>
      </c>
      <c r="G42" s="40">
        <v>-1037.0866400000002</v>
      </c>
      <c r="H42" s="12">
        <v>-171.33275999999995</v>
      </c>
      <c r="I42" s="12">
        <v>-98.709719999999891</v>
      </c>
      <c r="J42" s="12">
        <v>-4.1478000000000748</v>
      </c>
      <c r="K42" s="12">
        <v>11.302859999998816</v>
      </c>
      <c r="L42" s="40">
        <v>-262.8874200000011</v>
      </c>
      <c r="M42" s="12">
        <v>70.131409999999974</v>
      </c>
      <c r="N42" s="12">
        <v>80.371710000000022</v>
      </c>
      <c r="O42" s="12">
        <v>-193.08696999999987</v>
      </c>
      <c r="P42" s="12">
        <v>-20.531760000000467</v>
      </c>
      <c r="Q42" s="40">
        <v>-63.115610000000338</v>
      </c>
      <c r="R42" s="12">
        <v>-851.84680000000003</v>
      </c>
      <c r="S42" s="12">
        <v>0</v>
      </c>
      <c r="T42" s="12">
        <v>0</v>
      </c>
      <c r="U42" s="12">
        <v>121.07254</v>
      </c>
      <c r="V42" s="40">
        <v>-730.77426000000003</v>
      </c>
      <c r="W42" s="12">
        <v>0</v>
      </c>
      <c r="X42" s="12">
        <v>0</v>
      </c>
      <c r="Y42" s="12">
        <v>0</v>
      </c>
      <c r="Z42" s="12">
        <v>0</v>
      </c>
      <c r="AA42" s="40">
        <v>0</v>
      </c>
      <c r="AB42" s="12">
        <v>0</v>
      </c>
      <c r="AC42" s="12">
        <v>0</v>
      </c>
      <c r="AD42" s="12">
        <v>-896.89390000000003</v>
      </c>
      <c r="AE42" s="12">
        <v>0</v>
      </c>
      <c r="AF42" s="40">
        <v>-896.89390000000003</v>
      </c>
      <c r="AG42" s="1">
        <v>0</v>
      </c>
      <c r="AH42" s="1">
        <v>0</v>
      </c>
      <c r="AI42" s="1">
        <v>0</v>
      </c>
      <c r="AJ42" s="1">
        <v>0</v>
      </c>
      <c r="AK42" s="40">
        <f t="shared" si="26"/>
        <v>0</v>
      </c>
      <c r="AL42" s="1">
        <v>0</v>
      </c>
      <c r="AM42" s="1">
        <v>0</v>
      </c>
      <c r="AN42" s="110">
        <v>0</v>
      </c>
      <c r="AO42" s="8">
        <v>0</v>
      </c>
      <c r="AP42" s="40">
        <f t="shared" si="18"/>
        <v>0</v>
      </c>
      <c r="AQ42" s="1">
        <v>0</v>
      </c>
      <c r="AR42" s="8">
        <v>0</v>
      </c>
      <c r="AS42" s="8">
        <v>0</v>
      </c>
      <c r="AT42" s="8">
        <v>0</v>
      </c>
      <c r="AU42" s="40">
        <f t="shared" si="19"/>
        <v>0</v>
      </c>
      <c r="AV42" s="8">
        <v>0</v>
      </c>
      <c r="AW42" s="8">
        <v>0</v>
      </c>
      <c r="AX42" s="8">
        <v>0</v>
      </c>
      <c r="AY42" s="8">
        <v>0</v>
      </c>
      <c r="AZ42" s="40">
        <f t="shared" si="20"/>
        <v>0</v>
      </c>
      <c r="BA42" s="8">
        <v>0</v>
      </c>
    </row>
    <row r="43" spans="1:53" s="2" customFormat="1">
      <c r="A43" s="9"/>
      <c r="B43" s="9" t="s">
        <v>418</v>
      </c>
      <c r="C43" s="10">
        <v>580803.87871000171</v>
      </c>
      <c r="D43" s="10">
        <v>560343.69459999586</v>
      </c>
      <c r="E43" s="10">
        <v>615093.11356000823</v>
      </c>
      <c r="F43" s="10">
        <v>598771.36483997374</v>
      </c>
      <c r="G43" s="39">
        <v>2355012.0517099798</v>
      </c>
      <c r="H43" s="10">
        <v>569572.37380000053</v>
      </c>
      <c r="I43" s="10">
        <v>577134.82489999419</v>
      </c>
      <c r="J43" s="10">
        <v>436061.19298000279</v>
      </c>
      <c r="K43" s="10">
        <v>645031.12421000225</v>
      </c>
      <c r="L43" s="39">
        <v>2227799.5158899999</v>
      </c>
      <c r="M43" s="10">
        <v>539040.6524800011</v>
      </c>
      <c r="N43" s="10">
        <v>575772.65485000622</v>
      </c>
      <c r="O43" s="10">
        <v>1129181.2506699855</v>
      </c>
      <c r="P43" s="10">
        <v>485575.96649999905</v>
      </c>
      <c r="Q43" s="39">
        <v>2729570.5244999919</v>
      </c>
      <c r="R43" s="10">
        <v>590485.8395499998</v>
      </c>
      <c r="S43" s="10">
        <v>742778.8745999923</v>
      </c>
      <c r="T43" s="10">
        <v>683452.52594000287</v>
      </c>
      <c r="U43" s="10">
        <v>874974.26233002706</v>
      </c>
      <c r="V43" s="39">
        <v>2891691.5024200222</v>
      </c>
      <c r="W43" s="10">
        <v>769945.83706999733</v>
      </c>
      <c r="X43" s="10">
        <v>714679.88839000347</v>
      </c>
      <c r="Y43" s="10">
        <v>308570.4952900004</v>
      </c>
      <c r="Z43" s="10">
        <v>361251.37229999754</v>
      </c>
      <c r="AA43" s="39">
        <v>2154447.5930499989</v>
      </c>
      <c r="AB43" s="10">
        <v>395467.11645000149</v>
      </c>
      <c r="AC43" s="10">
        <v>330495.2076399959</v>
      </c>
      <c r="AD43" s="10">
        <v>287351.7049800026</v>
      </c>
      <c r="AE43" s="10">
        <v>384059</v>
      </c>
      <c r="AF43" s="39">
        <v>1397373.0290700002</v>
      </c>
      <c r="AG43" s="76">
        <f>SUM(AG38:AG42)</f>
        <v>346918</v>
      </c>
      <c r="AH43" s="76">
        <f>SUM(AH38:AH42)</f>
        <v>291833</v>
      </c>
      <c r="AI43" s="76">
        <f>SUM(AI38:AI42)</f>
        <v>355643</v>
      </c>
      <c r="AJ43" s="76">
        <f>SUM(AJ38:AJ42)</f>
        <v>285401</v>
      </c>
      <c r="AK43" s="39">
        <f t="shared" si="26"/>
        <v>1279795</v>
      </c>
      <c r="AL43" s="76">
        <f>SUM(AL38:AL42)</f>
        <v>382222</v>
      </c>
      <c r="AM43" s="76">
        <f>SUM(AM38:AM42)</f>
        <v>397385</v>
      </c>
      <c r="AN43" s="76">
        <f>SUM(AN38:AN42)</f>
        <v>422362</v>
      </c>
      <c r="AO43" s="76">
        <f>SUM(AO38:AO42)</f>
        <v>420077</v>
      </c>
      <c r="AP43" s="39">
        <f t="shared" si="18"/>
        <v>1622046</v>
      </c>
      <c r="AQ43" s="76">
        <f>SUM(AQ38:AQ42)</f>
        <v>358045.50599999999</v>
      </c>
      <c r="AR43" s="76">
        <f>SUM(AR38:AR42)</f>
        <v>259657</v>
      </c>
      <c r="AS43" s="76">
        <f t="shared" ref="AS43:AV43" si="27">SUM(AS38:AS42)</f>
        <v>366571</v>
      </c>
      <c r="AT43" s="76">
        <f t="shared" si="27"/>
        <v>349919</v>
      </c>
      <c r="AU43" s="39">
        <f t="shared" si="19"/>
        <v>1334192.5060000001</v>
      </c>
      <c r="AV43" s="76">
        <f t="shared" si="27"/>
        <v>298917.63299999997</v>
      </c>
      <c r="AW43" s="76">
        <f t="shared" ref="AW43:AY43" si="28">SUM(AW38:AW42)</f>
        <v>364068.49399999995</v>
      </c>
      <c r="AX43" s="76">
        <f t="shared" si="28"/>
        <v>344581</v>
      </c>
      <c r="AY43" s="76">
        <f t="shared" si="28"/>
        <v>354504</v>
      </c>
      <c r="AZ43" s="39">
        <f t="shared" si="20"/>
        <v>1362071.1269999999</v>
      </c>
      <c r="BA43" s="76">
        <f t="shared" ref="BA43" si="29">SUM(BA38:BA42)</f>
        <v>359216</v>
      </c>
    </row>
    <row r="44" spans="1:53">
      <c r="A44" s="11"/>
      <c r="B44" s="11" t="s">
        <v>419</v>
      </c>
      <c r="C44" s="12">
        <v>1243.7828599999998</v>
      </c>
      <c r="D44" s="12">
        <v>-7379.6977499999975</v>
      </c>
      <c r="E44" s="12">
        <v>30.797629999999117</v>
      </c>
      <c r="F44" s="12">
        <v>-17172.676119999996</v>
      </c>
      <c r="G44" s="41">
        <v>-23277.793379999996</v>
      </c>
      <c r="H44" s="12">
        <v>81.195059999999998</v>
      </c>
      <c r="I44" s="12">
        <v>-33374.349900000001</v>
      </c>
      <c r="J44" s="12">
        <v>70.670240000006743</v>
      </c>
      <c r="K44" s="12">
        <v>12354.265349999998</v>
      </c>
      <c r="L44" s="41">
        <v>-20868.219249999998</v>
      </c>
      <c r="M44" s="12">
        <v>113.19705</v>
      </c>
      <c r="N44" s="12">
        <v>51.407659999999979</v>
      </c>
      <c r="O44" s="12">
        <v>-53817.438929999997</v>
      </c>
      <c r="P44" s="12">
        <v>14214.699049999996</v>
      </c>
      <c r="Q44" s="41">
        <v>-39438.135170000001</v>
      </c>
      <c r="R44" s="12">
        <v>2182.6966899999998</v>
      </c>
      <c r="S44" s="12">
        <v>-208914.10391000003</v>
      </c>
      <c r="T44" s="12">
        <v>211.26273999997647</v>
      </c>
      <c r="U44" s="12">
        <v>-11933.813329999946</v>
      </c>
      <c r="V44" s="41">
        <v>-218453.95780999999</v>
      </c>
      <c r="W44" s="12">
        <v>-26225.070740000003</v>
      </c>
      <c r="X44" s="12">
        <v>-3656.011480000001</v>
      </c>
      <c r="Y44" s="12">
        <v>-119.20247999999992</v>
      </c>
      <c r="Z44" s="12">
        <v>-81999.063309999983</v>
      </c>
      <c r="AA44" s="41">
        <v>-111999.34800999999</v>
      </c>
      <c r="AB44" s="12">
        <v>218.32117000000002</v>
      </c>
      <c r="AC44" s="12">
        <v>5084.3722900000002</v>
      </c>
      <c r="AD44" s="12">
        <v>629.05704999999944</v>
      </c>
      <c r="AE44" s="12">
        <v>-56198</v>
      </c>
      <c r="AF44" s="41">
        <v>-50266.249490000002</v>
      </c>
      <c r="AG44" s="110">
        <v>198</v>
      </c>
      <c r="AH44" s="110">
        <v>1</v>
      </c>
      <c r="AI44" s="110">
        <v>19</v>
      </c>
      <c r="AJ44" s="110">
        <v>126425</v>
      </c>
      <c r="AK44" s="41">
        <f t="shared" si="26"/>
        <v>126643</v>
      </c>
      <c r="AL44" s="110">
        <v>500</v>
      </c>
      <c r="AM44" s="110">
        <v>-43733</v>
      </c>
      <c r="AN44" s="110">
        <v>7</v>
      </c>
      <c r="AO44" s="8">
        <v>-32329</v>
      </c>
      <c r="AP44" s="41">
        <f t="shared" si="18"/>
        <v>-75555</v>
      </c>
      <c r="AQ44" s="110">
        <v>11</v>
      </c>
      <c r="AR44" s="8">
        <v>-7043</v>
      </c>
      <c r="AS44" s="8">
        <v>611</v>
      </c>
      <c r="AT44" s="8">
        <v>-47004</v>
      </c>
      <c r="AU44" s="41">
        <f t="shared" si="19"/>
        <v>-53425</v>
      </c>
      <c r="AV44" s="8">
        <v>908</v>
      </c>
      <c r="AW44" s="8">
        <v>-12445</v>
      </c>
      <c r="AX44" s="8">
        <v>446</v>
      </c>
      <c r="AY44" s="8">
        <v>40494</v>
      </c>
      <c r="AZ44" s="170">
        <f t="shared" si="20"/>
        <v>29403</v>
      </c>
      <c r="BA44" s="162">
        <v>0</v>
      </c>
    </row>
    <row r="45" spans="1:53" s="2" customFormat="1">
      <c r="A45" s="9"/>
      <c r="B45" s="9" t="s">
        <v>420</v>
      </c>
      <c r="C45" s="10">
        <v>582047.66157000174</v>
      </c>
      <c r="D45" s="10">
        <v>552963.9968499958</v>
      </c>
      <c r="E45" s="10">
        <v>615123.91119000828</v>
      </c>
      <c r="F45" s="10">
        <v>581598.68871997378</v>
      </c>
      <c r="G45" s="39">
        <v>2331734.2583299796</v>
      </c>
      <c r="H45" s="10">
        <v>569653.56886000058</v>
      </c>
      <c r="I45" s="10">
        <v>543760.47499999416</v>
      </c>
      <c r="J45" s="10">
        <v>436131.86322000279</v>
      </c>
      <c r="K45" s="10">
        <v>657385.38956000225</v>
      </c>
      <c r="L45" s="39">
        <v>2206931.2966399998</v>
      </c>
      <c r="M45" s="10">
        <v>539153.84953000105</v>
      </c>
      <c r="N45" s="10">
        <v>575824.06251000625</v>
      </c>
      <c r="O45" s="10">
        <v>1075363.8117399856</v>
      </c>
      <c r="P45" s="10">
        <v>499790.66554999904</v>
      </c>
      <c r="Q45" s="39">
        <v>2690132.3893299922</v>
      </c>
      <c r="R45" s="10">
        <v>592668.53623999981</v>
      </c>
      <c r="S45" s="10">
        <v>533864.77068999223</v>
      </c>
      <c r="T45" s="10">
        <v>683663.78868000279</v>
      </c>
      <c r="U45" s="10">
        <v>863040.44900002715</v>
      </c>
      <c r="V45" s="39">
        <v>2673237.5446100221</v>
      </c>
      <c r="W45" s="10">
        <v>743720.76632999734</v>
      </c>
      <c r="X45" s="10">
        <v>711023.87691000348</v>
      </c>
      <c r="Y45" s="10">
        <v>308451.29281000042</v>
      </c>
      <c r="Z45" s="10">
        <v>279252.30898999755</v>
      </c>
      <c r="AA45" s="39">
        <v>2042448.2450399988</v>
      </c>
      <c r="AB45" s="10">
        <v>395685.4376200015</v>
      </c>
      <c r="AC45" s="10">
        <v>335579.57992999593</v>
      </c>
      <c r="AD45" s="10">
        <v>287980.7620300026</v>
      </c>
      <c r="AE45" s="10">
        <v>327860</v>
      </c>
      <c r="AF45" s="39">
        <v>1347105.7795800001</v>
      </c>
      <c r="AG45" s="76">
        <f>AG44+AG43</f>
        <v>347116</v>
      </c>
      <c r="AH45" s="76">
        <f>AH44+AH43</f>
        <v>291834</v>
      </c>
      <c r="AI45" s="76">
        <f>AI44+AI43</f>
        <v>355662</v>
      </c>
      <c r="AJ45" s="76">
        <f>AJ44+AJ43</f>
        <v>411826</v>
      </c>
      <c r="AK45" s="39">
        <f t="shared" si="26"/>
        <v>1406438</v>
      </c>
      <c r="AL45" s="76">
        <f>AL44+AL43</f>
        <v>382722</v>
      </c>
      <c r="AM45" s="76">
        <f>AM44+AM43</f>
        <v>353652</v>
      </c>
      <c r="AN45" s="76">
        <f>AN44+AN43</f>
        <v>422369</v>
      </c>
      <c r="AO45" s="76">
        <f>AO44+AO43</f>
        <v>387748</v>
      </c>
      <c r="AP45" s="39">
        <f t="shared" si="18"/>
        <v>1546491</v>
      </c>
      <c r="AQ45" s="76">
        <f>AQ44+AQ43</f>
        <v>358056.50599999999</v>
      </c>
      <c r="AR45" s="76">
        <f>AR44+AR43</f>
        <v>252614</v>
      </c>
      <c r="AS45" s="76">
        <f t="shared" ref="AS45:AV45" si="30">AS44+AS43</f>
        <v>367182</v>
      </c>
      <c r="AT45" s="76">
        <f t="shared" si="30"/>
        <v>302915</v>
      </c>
      <c r="AU45" s="39">
        <f t="shared" si="19"/>
        <v>1280767.5060000001</v>
      </c>
      <c r="AV45" s="76">
        <f t="shared" si="30"/>
        <v>299825.63299999997</v>
      </c>
      <c r="AW45" s="76">
        <f t="shared" ref="AW45:AY45" si="31">AW44+AW43</f>
        <v>351623.49399999995</v>
      </c>
      <c r="AX45" s="76">
        <f t="shared" si="31"/>
        <v>345027</v>
      </c>
      <c r="AY45" s="76">
        <f t="shared" si="31"/>
        <v>394998</v>
      </c>
      <c r="AZ45" s="39">
        <f t="shared" si="20"/>
        <v>1391474.1269999999</v>
      </c>
      <c r="BA45" s="76">
        <f t="shared" ref="BA45" si="32">BA44+BA43</f>
        <v>359216</v>
      </c>
    </row>
    <row r="46" spans="1:53">
      <c r="A46" s="11"/>
      <c r="B46" s="11" t="s">
        <v>421</v>
      </c>
      <c r="C46" s="12">
        <v>-146371.66318999999</v>
      </c>
      <c r="D46" s="12">
        <v>-138711.43930999999</v>
      </c>
      <c r="E46" s="12">
        <v>-154312.35949</v>
      </c>
      <c r="F46" s="12">
        <v>-104871.23023999995</v>
      </c>
      <c r="G46" s="41">
        <v>-544266.69222999993</v>
      </c>
      <c r="H46" s="12">
        <v>-143199.14687</v>
      </c>
      <c r="I46" s="12">
        <v>-137583.68797000003</v>
      </c>
      <c r="J46" s="12">
        <v>-110111.21201000002</v>
      </c>
      <c r="K46" s="12">
        <v>-113306.27387999988</v>
      </c>
      <c r="L46" s="41">
        <v>-504200.32072999992</v>
      </c>
      <c r="M46" s="12">
        <v>-134903.86646000002</v>
      </c>
      <c r="N46" s="12">
        <v>-142939.28221999996</v>
      </c>
      <c r="O46" s="12">
        <v>-268721.0369399999</v>
      </c>
      <c r="P46" s="12">
        <v>-68016.843590000062</v>
      </c>
      <c r="Q46" s="41">
        <v>-614581.02920999995</v>
      </c>
      <c r="R46" s="12">
        <v>-148451.96199000001</v>
      </c>
      <c r="S46" s="12">
        <v>-127158.12982000006</v>
      </c>
      <c r="T46" s="12">
        <v>-166755.51391999994</v>
      </c>
      <c r="U46" s="12">
        <v>-207836.51042000012</v>
      </c>
      <c r="V46" s="41">
        <v>-650202.11615000013</v>
      </c>
      <c r="W46" s="12">
        <v>-186378.45141000001</v>
      </c>
      <c r="X46" s="12">
        <v>-178664.64700999999</v>
      </c>
      <c r="Y46" s="12">
        <v>-76915.885180000041</v>
      </c>
      <c r="Z46" s="12">
        <v>-70614.312549999915</v>
      </c>
      <c r="AA46" s="41">
        <v>-512573.29614999995</v>
      </c>
      <c r="AB46" s="12">
        <v>-98906.186660000007</v>
      </c>
      <c r="AC46" s="12">
        <v>-84121.141520000005</v>
      </c>
      <c r="AD46" s="12">
        <v>-71041.751809999987</v>
      </c>
      <c r="AE46" s="12">
        <v>-50003</v>
      </c>
      <c r="AF46" s="41">
        <v>-304072.07999</v>
      </c>
      <c r="AG46" s="1">
        <v>-86873</v>
      </c>
      <c r="AH46" s="1">
        <v>-73029</v>
      </c>
      <c r="AI46" s="1">
        <v>-88385</v>
      </c>
      <c r="AJ46" s="1">
        <v>-96224</v>
      </c>
      <c r="AK46" s="41">
        <f t="shared" si="26"/>
        <v>-344511</v>
      </c>
      <c r="AL46" s="1">
        <v>-95580</v>
      </c>
      <c r="AM46" s="1">
        <v>-88417</v>
      </c>
      <c r="AN46" s="110">
        <v>-104888</v>
      </c>
      <c r="AO46" s="8">
        <v>-82391</v>
      </c>
      <c r="AP46" s="41">
        <f t="shared" si="18"/>
        <v>-371276</v>
      </c>
      <c r="AQ46" s="1">
        <v>-89602</v>
      </c>
      <c r="AR46" s="8">
        <v>-61018</v>
      </c>
      <c r="AS46" s="8">
        <v>-91744</v>
      </c>
      <c r="AT46" s="8">
        <v>-63682</v>
      </c>
      <c r="AU46" s="41">
        <f t="shared" si="19"/>
        <v>-306046</v>
      </c>
      <c r="AV46" s="8">
        <v>-73409</v>
      </c>
      <c r="AW46" s="8">
        <v>-86778</v>
      </c>
      <c r="AX46" s="8">
        <v>-84968</v>
      </c>
      <c r="AY46" s="8">
        <v>-90182</v>
      </c>
      <c r="AZ46" s="170">
        <f t="shared" si="20"/>
        <v>-335337</v>
      </c>
      <c r="BA46" s="162">
        <v>-88247</v>
      </c>
    </row>
    <row r="47" spans="1:53">
      <c r="A47" s="11"/>
      <c r="B47" s="11" t="s">
        <v>422</v>
      </c>
      <c r="C47" s="12">
        <v>-116398.26811</v>
      </c>
      <c r="D47" s="12">
        <v>-111826.30807999999</v>
      </c>
      <c r="E47" s="12">
        <v>-123888.87407999998</v>
      </c>
      <c r="F47" s="12">
        <v>-96029.685390000057</v>
      </c>
      <c r="G47" s="41">
        <v>-448143.13566000003</v>
      </c>
      <c r="H47" s="12">
        <v>-122909.23819999999</v>
      </c>
      <c r="I47" s="12">
        <v>-105025.52898999999</v>
      </c>
      <c r="J47" s="12">
        <v>-87737.819759999984</v>
      </c>
      <c r="K47" s="12">
        <v>-149083.05364</v>
      </c>
      <c r="L47" s="41">
        <v>-464755.64058999997</v>
      </c>
      <c r="M47" s="12">
        <v>-108647.40242999999</v>
      </c>
      <c r="N47" s="12">
        <v>-120817.34591</v>
      </c>
      <c r="O47" s="12">
        <v>-225229.48223999998</v>
      </c>
      <c r="P47" s="12">
        <v>-70397.73088999989</v>
      </c>
      <c r="Q47" s="41">
        <v>-525091.96146999986</v>
      </c>
      <c r="R47" s="12">
        <v>-89232.260239999989</v>
      </c>
      <c r="S47" s="12">
        <v>-79379.41495000002</v>
      </c>
      <c r="T47" s="12">
        <v>-103968.21133999995</v>
      </c>
      <c r="U47" s="12">
        <v>-131417.73318000004</v>
      </c>
      <c r="V47" s="41">
        <v>-403997.61971</v>
      </c>
      <c r="W47" s="12">
        <v>-112018.48143000001</v>
      </c>
      <c r="X47" s="12">
        <v>-107356.79917999997</v>
      </c>
      <c r="Y47" s="12">
        <v>-46776.70417000007</v>
      </c>
      <c r="Z47" s="12">
        <v>-42687.362670000002</v>
      </c>
      <c r="AA47" s="41">
        <v>-308839.34745000006</v>
      </c>
      <c r="AB47" s="12">
        <v>-59546.115389999999</v>
      </c>
      <c r="AC47" s="12">
        <v>-49833.606129999993</v>
      </c>
      <c r="AD47" s="12">
        <v>-62742.21418000001</v>
      </c>
      <c r="AE47" s="12">
        <v>-43761</v>
      </c>
      <c r="AF47" s="41">
        <v>-215882.9357</v>
      </c>
      <c r="AG47" s="1">
        <v>-52211</v>
      </c>
      <c r="AH47" s="1">
        <v>-43954</v>
      </c>
      <c r="AI47" s="1">
        <v>-56371</v>
      </c>
      <c r="AJ47" s="1">
        <v>-61321</v>
      </c>
      <c r="AK47" s="41">
        <f t="shared" si="26"/>
        <v>-213857</v>
      </c>
      <c r="AL47" s="1">
        <v>-57496</v>
      </c>
      <c r="AM47" s="1">
        <v>-53165</v>
      </c>
      <c r="AN47" s="110">
        <v>-63623</v>
      </c>
      <c r="AO47" s="8">
        <v>-51065</v>
      </c>
      <c r="AP47" s="41">
        <f t="shared" si="18"/>
        <v>-225349</v>
      </c>
      <c r="AQ47" s="1">
        <v>-53906</v>
      </c>
      <c r="AR47" s="8">
        <v>-38480</v>
      </c>
      <c r="AS47" s="8">
        <v>-55234</v>
      </c>
      <c r="AT47" s="8">
        <v>-40347</v>
      </c>
      <c r="AU47" s="41">
        <f t="shared" si="19"/>
        <v>-187967</v>
      </c>
      <c r="AV47" s="8">
        <v>-45244</v>
      </c>
      <c r="AW47" s="8">
        <v>-52774</v>
      </c>
      <c r="AX47" s="8">
        <v>-51923</v>
      </c>
      <c r="AY47" s="8">
        <v>-59285</v>
      </c>
      <c r="AZ47" s="170">
        <f t="shared" si="20"/>
        <v>-209226</v>
      </c>
      <c r="BA47" s="162">
        <v>-54283</v>
      </c>
    </row>
    <row r="48" spans="1:53">
      <c r="A48" s="11"/>
      <c r="B48" s="11" t="s">
        <v>423</v>
      </c>
      <c r="C48" s="12">
        <v>0</v>
      </c>
      <c r="D48" s="12">
        <v>0</v>
      </c>
      <c r="E48" s="12">
        <v>0</v>
      </c>
      <c r="F48" s="12">
        <v>0</v>
      </c>
      <c r="G48" s="41">
        <v>0</v>
      </c>
      <c r="H48" s="12">
        <v>0</v>
      </c>
      <c r="I48" s="12">
        <v>0</v>
      </c>
      <c r="J48" s="12">
        <v>0</v>
      </c>
      <c r="K48" s="12">
        <v>0</v>
      </c>
      <c r="L48" s="41">
        <v>0</v>
      </c>
      <c r="M48" s="12">
        <v>0</v>
      </c>
      <c r="N48" s="12">
        <v>0</v>
      </c>
      <c r="O48" s="12">
        <v>0</v>
      </c>
      <c r="P48" s="12">
        <v>0</v>
      </c>
      <c r="Q48" s="41">
        <v>0</v>
      </c>
      <c r="R48" s="12">
        <v>0</v>
      </c>
      <c r="S48" s="12">
        <v>0</v>
      </c>
      <c r="T48" s="12">
        <v>0</v>
      </c>
      <c r="U48" s="12">
        <v>0</v>
      </c>
      <c r="V48" s="41">
        <v>0</v>
      </c>
      <c r="W48" s="12">
        <v>0</v>
      </c>
      <c r="X48" s="12">
        <v>0</v>
      </c>
      <c r="Y48" s="12">
        <v>0</v>
      </c>
      <c r="Z48" s="12">
        <v>0</v>
      </c>
      <c r="AA48" s="41">
        <v>0</v>
      </c>
      <c r="AB48" s="12">
        <v>0</v>
      </c>
      <c r="AC48" s="12">
        <v>0</v>
      </c>
      <c r="AD48" s="12">
        <v>0</v>
      </c>
      <c r="AE48" s="12">
        <v>0</v>
      </c>
      <c r="AF48" s="41">
        <v>0</v>
      </c>
      <c r="AG48" s="1">
        <v>0</v>
      </c>
      <c r="AH48" s="1">
        <v>0</v>
      </c>
      <c r="AI48" s="1">
        <v>0</v>
      </c>
      <c r="AJ48" s="1">
        <v>0</v>
      </c>
      <c r="AK48" s="41">
        <f t="shared" si="26"/>
        <v>0</v>
      </c>
      <c r="AL48" s="1">
        <v>0</v>
      </c>
      <c r="AM48" s="1">
        <v>0</v>
      </c>
      <c r="AN48" s="110">
        <v>0</v>
      </c>
      <c r="AO48" s="8">
        <v>0</v>
      </c>
      <c r="AP48" s="41">
        <f t="shared" si="18"/>
        <v>0</v>
      </c>
      <c r="AQ48" s="1">
        <v>0</v>
      </c>
      <c r="AR48" s="8">
        <v>0</v>
      </c>
      <c r="AS48" s="8">
        <v>0</v>
      </c>
      <c r="AT48" s="8">
        <v>0</v>
      </c>
      <c r="AU48" s="41">
        <f t="shared" si="19"/>
        <v>0</v>
      </c>
      <c r="AV48" s="8">
        <v>0</v>
      </c>
      <c r="AW48" s="8">
        <v>0</v>
      </c>
      <c r="AX48" s="8">
        <v>0</v>
      </c>
      <c r="AY48" s="8">
        <v>0</v>
      </c>
      <c r="AZ48" s="170">
        <f t="shared" si="20"/>
        <v>0</v>
      </c>
      <c r="BA48" s="162">
        <v>0</v>
      </c>
    </row>
    <row r="49" spans="1:53">
      <c r="A49" s="11"/>
      <c r="B49" s="11" t="s">
        <v>424</v>
      </c>
      <c r="C49" s="12">
        <v>0</v>
      </c>
      <c r="D49" s="12">
        <v>0</v>
      </c>
      <c r="E49" s="12">
        <v>0</v>
      </c>
      <c r="F49" s="12">
        <v>0</v>
      </c>
      <c r="G49" s="41">
        <v>0</v>
      </c>
      <c r="H49" s="12">
        <v>0</v>
      </c>
      <c r="I49" s="12">
        <v>0</v>
      </c>
      <c r="J49" s="12">
        <v>0</v>
      </c>
      <c r="K49" s="12">
        <v>0</v>
      </c>
      <c r="L49" s="41">
        <v>0</v>
      </c>
      <c r="M49" s="12">
        <v>0</v>
      </c>
      <c r="N49" s="12">
        <v>0</v>
      </c>
      <c r="O49" s="12">
        <v>0</v>
      </c>
      <c r="P49" s="12">
        <v>0</v>
      </c>
      <c r="Q49" s="41">
        <v>0</v>
      </c>
      <c r="R49" s="12">
        <v>0</v>
      </c>
      <c r="S49" s="12">
        <v>0</v>
      </c>
      <c r="T49" s="12">
        <v>0</v>
      </c>
      <c r="U49" s="12">
        <v>0</v>
      </c>
      <c r="V49" s="41">
        <v>0</v>
      </c>
      <c r="W49" s="12">
        <v>0</v>
      </c>
      <c r="X49" s="12">
        <v>0</v>
      </c>
      <c r="Y49" s="12">
        <v>0</v>
      </c>
      <c r="Z49" s="12">
        <v>0</v>
      </c>
      <c r="AA49" s="41">
        <v>0</v>
      </c>
      <c r="AB49" s="12">
        <v>0</v>
      </c>
      <c r="AC49" s="12">
        <v>0</v>
      </c>
      <c r="AD49" s="12">
        <v>0</v>
      </c>
      <c r="AE49" s="12">
        <v>0</v>
      </c>
      <c r="AF49" s="41">
        <v>0</v>
      </c>
      <c r="AG49" s="1">
        <v>0</v>
      </c>
      <c r="AH49" s="1">
        <v>0</v>
      </c>
      <c r="AI49" s="1">
        <v>0</v>
      </c>
      <c r="AJ49" s="1">
        <v>0</v>
      </c>
      <c r="AK49" s="41">
        <f t="shared" si="26"/>
        <v>0</v>
      </c>
      <c r="AL49" s="1">
        <v>0</v>
      </c>
      <c r="AM49" s="1">
        <v>0</v>
      </c>
      <c r="AN49" s="110">
        <v>0</v>
      </c>
      <c r="AO49" s="8">
        <v>0</v>
      </c>
      <c r="AP49" s="41">
        <f t="shared" si="18"/>
        <v>0</v>
      </c>
      <c r="AQ49" s="1">
        <v>0</v>
      </c>
      <c r="AR49" s="8">
        <v>0</v>
      </c>
      <c r="AS49" s="8">
        <v>0</v>
      </c>
      <c r="AT49" s="8">
        <v>0</v>
      </c>
      <c r="AU49" s="41">
        <f t="shared" si="19"/>
        <v>0</v>
      </c>
      <c r="AV49" s="8">
        <v>0</v>
      </c>
      <c r="AW49" s="8">
        <v>0</v>
      </c>
      <c r="AX49" s="8">
        <v>0</v>
      </c>
      <c r="AY49" s="8">
        <v>0</v>
      </c>
      <c r="AZ49" s="170">
        <f t="shared" si="20"/>
        <v>0</v>
      </c>
      <c r="BA49" s="162">
        <v>0</v>
      </c>
    </row>
    <row r="50" spans="1:53" s="2" customFormat="1">
      <c r="A50" s="15"/>
      <c r="B50" s="15" t="s">
        <v>450</v>
      </c>
      <c r="C50" s="16">
        <v>319277.73027000175</v>
      </c>
      <c r="D50" s="16">
        <v>302426.24945999583</v>
      </c>
      <c r="E50" s="16">
        <v>336922.6776200083</v>
      </c>
      <c r="F50" s="16">
        <v>380697.77308997378</v>
      </c>
      <c r="G50" s="45">
        <v>1339324.4304399795</v>
      </c>
      <c r="H50" s="16">
        <v>303545.18379000062</v>
      </c>
      <c r="I50" s="16">
        <v>301151.25803999417</v>
      </c>
      <c r="J50" s="16">
        <v>238282.83145000279</v>
      </c>
      <c r="K50" s="16">
        <v>394996.06204000238</v>
      </c>
      <c r="L50" s="45">
        <v>1237975.3353199998</v>
      </c>
      <c r="M50" s="16">
        <v>295602.58064000099</v>
      </c>
      <c r="N50" s="16">
        <v>312067.43438000628</v>
      </c>
      <c r="O50" s="16">
        <v>581413.29255998577</v>
      </c>
      <c r="P50" s="16">
        <v>361376.09106999909</v>
      </c>
      <c r="Q50" s="45">
        <v>1550459.3986499922</v>
      </c>
      <c r="R50" s="16">
        <v>354984.31400999986</v>
      </c>
      <c r="S50" s="16">
        <v>327327.2259199922</v>
      </c>
      <c r="T50" s="16">
        <v>412940.06342000293</v>
      </c>
      <c r="U50" s="16">
        <v>523786.20540002704</v>
      </c>
      <c r="V50" s="45">
        <v>1619037.808750022</v>
      </c>
      <c r="W50" s="16">
        <v>445323.83348999731</v>
      </c>
      <c r="X50" s="16">
        <v>425002.43072000355</v>
      </c>
      <c r="Y50" s="16">
        <v>184758.70346000031</v>
      </c>
      <c r="Z50" s="16">
        <v>165950.63376999763</v>
      </c>
      <c r="AA50" s="45">
        <v>1221035.6014399987</v>
      </c>
      <c r="AB50" s="16">
        <v>237233.1355700015</v>
      </c>
      <c r="AC50" s="16">
        <v>201624.83227999593</v>
      </c>
      <c r="AD50" s="16">
        <v>154196.79604000261</v>
      </c>
      <c r="AE50" s="16">
        <v>234096</v>
      </c>
      <c r="AF50" s="45">
        <v>827150.76389000006</v>
      </c>
      <c r="AG50" s="16">
        <f>SUM(AG45:AG49)</f>
        <v>208032</v>
      </c>
      <c r="AH50" s="16">
        <f>SUM(AH45:AH49)</f>
        <v>174851</v>
      </c>
      <c r="AI50" s="16">
        <f>SUM(AI45:AI49)</f>
        <v>210906</v>
      </c>
      <c r="AJ50" s="16">
        <f>SUM(AJ45:AJ49)</f>
        <v>254281</v>
      </c>
      <c r="AK50" s="45">
        <f t="shared" si="26"/>
        <v>848070</v>
      </c>
      <c r="AL50" s="16">
        <f>SUM(AL45:AL49)</f>
        <v>229646</v>
      </c>
      <c r="AM50" s="16">
        <f>SUM(AM45:AM49)</f>
        <v>212070</v>
      </c>
      <c r="AN50" s="16">
        <f>SUM(AN45:AN49)</f>
        <v>253858</v>
      </c>
      <c r="AO50" s="16">
        <f>SUM(AO45:AO49)</f>
        <v>254292</v>
      </c>
      <c r="AP50" s="45">
        <f t="shared" si="18"/>
        <v>949866</v>
      </c>
      <c r="AQ50" s="16">
        <f>SUM(AQ45:AQ49)</f>
        <v>214548.50599999999</v>
      </c>
      <c r="AR50" s="16">
        <f>SUM(AR45:AR49)</f>
        <v>153116</v>
      </c>
      <c r="AS50" s="16">
        <f t="shared" ref="AS50:AV50" si="33">SUM(AS45:AS49)</f>
        <v>220204</v>
      </c>
      <c r="AT50" s="16">
        <f t="shared" si="33"/>
        <v>198886</v>
      </c>
      <c r="AU50" s="45">
        <f t="shared" si="19"/>
        <v>786754.50600000005</v>
      </c>
      <c r="AV50" s="16">
        <f t="shared" si="33"/>
        <v>181172.63299999997</v>
      </c>
      <c r="AW50" s="16">
        <f t="shared" ref="AW50:AY50" si="34">SUM(AW45:AW49)</f>
        <v>212071.49399999995</v>
      </c>
      <c r="AX50" s="16">
        <f t="shared" si="34"/>
        <v>208136</v>
      </c>
      <c r="AY50" s="16">
        <f t="shared" si="34"/>
        <v>245531</v>
      </c>
      <c r="AZ50" s="45">
        <f t="shared" si="20"/>
        <v>846911.12699999986</v>
      </c>
      <c r="BA50" s="16">
        <f t="shared" ref="BA50" si="35">SUM(BA45:BA49)</f>
        <v>216686</v>
      </c>
    </row>
    <row r="51" spans="1:53">
      <c r="A51" s="11"/>
      <c r="B51" s="11" t="s">
        <v>468</v>
      </c>
      <c r="C51" s="13">
        <v>319278</v>
      </c>
      <c r="D51" s="13">
        <v>302426</v>
      </c>
      <c r="E51" s="13">
        <v>336924</v>
      </c>
      <c r="F51" s="13">
        <v>380696.43043997907</v>
      </c>
      <c r="G51" s="41">
        <v>1339324.4304399791</v>
      </c>
      <c r="H51" s="13">
        <v>303545.18379000062</v>
      </c>
      <c r="I51" s="13">
        <v>301151.25803999417</v>
      </c>
      <c r="J51" s="13">
        <v>238282.83145000279</v>
      </c>
      <c r="K51" s="13">
        <v>394996.06204000238</v>
      </c>
      <c r="L51" s="41">
        <v>1237975.3353199998</v>
      </c>
      <c r="M51" s="13">
        <v>295602.58064000099</v>
      </c>
      <c r="N51" s="13">
        <v>312067.43438000628</v>
      </c>
      <c r="O51" s="13">
        <v>581413.29255998577</v>
      </c>
      <c r="P51" s="13">
        <v>361376.09106999909</v>
      </c>
      <c r="Q51" s="41">
        <v>1550459.3986499922</v>
      </c>
      <c r="R51" s="13">
        <v>354984.31400999986</v>
      </c>
      <c r="S51" s="13">
        <v>327327.2259199922</v>
      </c>
      <c r="T51" s="13">
        <v>412940.06342000293</v>
      </c>
      <c r="U51" s="13">
        <v>523786.20540002704</v>
      </c>
      <c r="V51" s="41">
        <v>1619037.808750022</v>
      </c>
      <c r="W51" s="13">
        <v>445323.83348999731</v>
      </c>
      <c r="X51" s="13">
        <v>425002.43072000355</v>
      </c>
      <c r="Y51" s="13">
        <v>184758.70346000031</v>
      </c>
      <c r="Z51" s="13">
        <v>165950.63376999763</v>
      </c>
      <c r="AA51" s="41">
        <v>1221035.6014399987</v>
      </c>
      <c r="AB51" s="13">
        <v>237233.1355700015</v>
      </c>
      <c r="AC51" s="13">
        <v>201624.96784999821</v>
      </c>
      <c r="AD51" s="13">
        <v>201624.96784999821</v>
      </c>
      <c r="AE51" s="13">
        <v>234096</v>
      </c>
      <c r="AF51" s="41">
        <v>874579.07126999786</v>
      </c>
      <c r="AG51" s="1">
        <v>208032</v>
      </c>
      <c r="AH51" s="1">
        <v>174851</v>
      </c>
      <c r="AI51" s="1">
        <v>210906</v>
      </c>
      <c r="AJ51" s="1">
        <v>254281</v>
      </c>
      <c r="AK51" s="41">
        <f t="shared" si="26"/>
        <v>848070</v>
      </c>
      <c r="AL51" s="1">
        <v>229646</v>
      </c>
      <c r="AM51" s="1">
        <v>212070</v>
      </c>
      <c r="AN51" s="110">
        <v>253858</v>
      </c>
      <c r="AO51" s="8">
        <v>254292</v>
      </c>
      <c r="AP51" s="41">
        <f t="shared" si="18"/>
        <v>949866</v>
      </c>
      <c r="AQ51" s="1">
        <v>214549</v>
      </c>
      <c r="AR51" s="1">
        <v>153116</v>
      </c>
      <c r="AS51" s="8">
        <f>AS50</f>
        <v>220204</v>
      </c>
      <c r="AT51" s="8">
        <f>AT50</f>
        <v>198886</v>
      </c>
      <c r="AU51" s="41">
        <f t="shared" si="19"/>
        <v>786755</v>
      </c>
      <c r="AV51" s="8">
        <f>AV50</f>
        <v>181172.63299999997</v>
      </c>
      <c r="AW51" s="8">
        <f>AW50</f>
        <v>212071.49399999995</v>
      </c>
      <c r="AX51" s="8">
        <f>AX50</f>
        <v>208136</v>
      </c>
      <c r="AY51" s="8">
        <f>AY50</f>
        <v>245531</v>
      </c>
      <c r="AZ51" s="170">
        <f t="shared" si="20"/>
        <v>846911.12699999986</v>
      </c>
      <c r="BA51" s="162">
        <v>216686</v>
      </c>
    </row>
    <row r="52" spans="1:53">
      <c r="A52" s="11"/>
      <c r="B52" s="11" t="s">
        <v>436</v>
      </c>
      <c r="C52" s="13">
        <v>0</v>
      </c>
      <c r="D52" s="13">
        <v>0</v>
      </c>
      <c r="E52" s="13">
        <v>0</v>
      </c>
      <c r="F52" s="13">
        <v>0</v>
      </c>
      <c r="G52" s="41">
        <v>0</v>
      </c>
      <c r="H52" s="13">
        <v>0</v>
      </c>
      <c r="I52" s="13">
        <v>0</v>
      </c>
      <c r="J52" s="13">
        <v>0</v>
      </c>
      <c r="K52" s="13">
        <v>0</v>
      </c>
      <c r="L52" s="41">
        <v>0</v>
      </c>
      <c r="M52" s="13">
        <v>0</v>
      </c>
      <c r="N52" s="13">
        <v>0</v>
      </c>
      <c r="O52" s="13">
        <v>0</v>
      </c>
      <c r="P52" s="13">
        <v>0</v>
      </c>
      <c r="Q52" s="41">
        <v>0</v>
      </c>
      <c r="R52" s="13">
        <v>0</v>
      </c>
      <c r="S52" s="13">
        <v>0</v>
      </c>
      <c r="T52" s="13">
        <v>0</v>
      </c>
      <c r="U52" s="13">
        <v>0</v>
      </c>
      <c r="V52" s="41">
        <v>0</v>
      </c>
      <c r="W52" s="13">
        <v>0</v>
      </c>
      <c r="X52" s="13">
        <v>0</v>
      </c>
      <c r="Y52" s="13">
        <v>0</v>
      </c>
      <c r="Z52" s="13">
        <v>0</v>
      </c>
      <c r="AA52" s="41">
        <v>0</v>
      </c>
      <c r="AB52" s="13">
        <v>0</v>
      </c>
      <c r="AC52" s="13">
        <v>0</v>
      </c>
      <c r="AD52" s="13">
        <v>0</v>
      </c>
      <c r="AE52" s="13">
        <v>0</v>
      </c>
      <c r="AF52" s="41">
        <v>0</v>
      </c>
      <c r="AG52" s="1">
        <v>0</v>
      </c>
      <c r="AH52" s="1">
        <v>0</v>
      </c>
      <c r="AI52" s="1">
        <v>0</v>
      </c>
      <c r="AJ52" s="1">
        <v>0</v>
      </c>
      <c r="AK52" s="41">
        <f t="shared" si="26"/>
        <v>0</v>
      </c>
      <c r="AL52" s="1">
        <v>0</v>
      </c>
      <c r="AM52" s="1">
        <v>0</v>
      </c>
      <c r="AN52" s="110">
        <v>0</v>
      </c>
      <c r="AO52" s="8">
        <v>0</v>
      </c>
      <c r="AP52" s="41">
        <f t="shared" si="18"/>
        <v>0</v>
      </c>
      <c r="AQ52" s="1">
        <v>0</v>
      </c>
      <c r="AR52" s="1">
        <v>0</v>
      </c>
      <c r="AS52" s="8">
        <v>0</v>
      </c>
      <c r="AT52" s="8">
        <v>0</v>
      </c>
      <c r="AU52" s="41">
        <f t="shared" si="19"/>
        <v>0</v>
      </c>
      <c r="AV52" s="8">
        <v>0</v>
      </c>
      <c r="AW52" s="8">
        <v>0</v>
      </c>
      <c r="AX52" s="8">
        <v>0</v>
      </c>
      <c r="AY52" s="8">
        <v>0</v>
      </c>
      <c r="AZ52" s="170">
        <f t="shared" si="20"/>
        <v>0</v>
      </c>
      <c r="BA52" s="162">
        <v>0</v>
      </c>
    </row>
    <row r="53" spans="1:53">
      <c r="A53" s="11"/>
      <c r="B53" s="11" t="s">
        <v>470</v>
      </c>
      <c r="C53" s="13">
        <v>319278</v>
      </c>
      <c r="D53" s="13">
        <v>302426</v>
      </c>
      <c r="E53" s="13">
        <v>336924</v>
      </c>
      <c r="F53" s="13">
        <v>380696.43043997907</v>
      </c>
      <c r="G53" s="41">
        <v>1339324.4304399791</v>
      </c>
      <c r="H53" s="13">
        <v>303545.18379000062</v>
      </c>
      <c r="I53" s="13">
        <v>301151.25803999417</v>
      </c>
      <c r="J53" s="13">
        <v>238282.83145000279</v>
      </c>
      <c r="K53" s="13">
        <v>394996.06204000238</v>
      </c>
      <c r="L53" s="41">
        <v>1237975.3353199998</v>
      </c>
      <c r="M53" s="13">
        <v>295602.58064000099</v>
      </c>
      <c r="N53" s="13">
        <v>312067.43438000628</v>
      </c>
      <c r="O53" s="13">
        <v>581413.29255998577</v>
      </c>
      <c r="P53" s="13">
        <v>361376.09106999909</v>
      </c>
      <c r="Q53" s="41">
        <v>1550459.3986499922</v>
      </c>
      <c r="R53" s="13">
        <v>354984.31400999986</v>
      </c>
      <c r="S53" s="13">
        <v>327327.2259199922</v>
      </c>
      <c r="T53" s="13">
        <v>412940.06342000293</v>
      </c>
      <c r="U53" s="13">
        <v>523786.20540002704</v>
      </c>
      <c r="V53" s="41">
        <v>1619037.808750022</v>
      </c>
      <c r="W53" s="13">
        <v>445323.83348999731</v>
      </c>
      <c r="X53" s="13">
        <v>425002.43072000355</v>
      </c>
      <c r="Y53" s="13">
        <v>184758.70346000031</v>
      </c>
      <c r="Z53" s="13">
        <v>165950.63376999763</v>
      </c>
      <c r="AA53" s="41">
        <v>1221035.6014399987</v>
      </c>
      <c r="AB53" s="13">
        <v>237233.1355700015</v>
      </c>
      <c r="AC53" s="13">
        <v>201624.96784999821</v>
      </c>
      <c r="AD53" s="13">
        <v>201624.96784999821</v>
      </c>
      <c r="AE53" s="13">
        <v>234096</v>
      </c>
      <c r="AF53" s="41">
        <v>874579.07126999786</v>
      </c>
      <c r="AG53" s="1">
        <v>208032</v>
      </c>
      <c r="AH53" s="1">
        <v>174851</v>
      </c>
      <c r="AI53" s="1">
        <v>210906</v>
      </c>
      <c r="AJ53" s="1">
        <v>254281</v>
      </c>
      <c r="AK53" s="41">
        <f t="shared" si="26"/>
        <v>848070</v>
      </c>
      <c r="AL53" s="1">
        <v>229646</v>
      </c>
      <c r="AM53" s="1">
        <v>212070</v>
      </c>
      <c r="AN53" s="110">
        <v>253858</v>
      </c>
      <c r="AO53" s="8">
        <v>254292</v>
      </c>
      <c r="AP53" s="41">
        <f t="shared" si="18"/>
        <v>949866</v>
      </c>
      <c r="AQ53" s="1">
        <v>214549</v>
      </c>
      <c r="AR53" s="1">
        <v>153116</v>
      </c>
      <c r="AS53" s="8">
        <f>AS50</f>
        <v>220204</v>
      </c>
      <c r="AT53" s="8">
        <f>AT50</f>
        <v>198886</v>
      </c>
      <c r="AU53" s="41">
        <f t="shared" si="19"/>
        <v>786755</v>
      </c>
      <c r="AV53" s="8">
        <f>AV51</f>
        <v>181172.63299999997</v>
      </c>
      <c r="AW53" s="8">
        <f>AW51</f>
        <v>212071.49399999995</v>
      </c>
      <c r="AX53" s="8">
        <f>AX51</f>
        <v>208136</v>
      </c>
      <c r="AY53" s="8">
        <f>AY51</f>
        <v>245531</v>
      </c>
      <c r="AZ53" s="170">
        <f t="shared" si="20"/>
        <v>846911.12699999986</v>
      </c>
      <c r="BA53" s="162">
        <v>216686</v>
      </c>
    </row>
    <row r="54" spans="1:53">
      <c r="A54" s="11"/>
      <c r="B54" s="11" t="s">
        <v>471</v>
      </c>
      <c r="C54" s="13">
        <v>0</v>
      </c>
      <c r="D54" s="13">
        <v>0</v>
      </c>
      <c r="E54" s="13">
        <v>0</v>
      </c>
      <c r="F54" s="13">
        <v>0</v>
      </c>
      <c r="G54" s="41">
        <v>0</v>
      </c>
      <c r="H54" s="13">
        <v>0</v>
      </c>
      <c r="I54" s="13">
        <v>0</v>
      </c>
      <c r="J54" s="13">
        <v>0</v>
      </c>
      <c r="K54" s="13">
        <v>0</v>
      </c>
      <c r="L54" s="41">
        <v>0</v>
      </c>
      <c r="M54" s="13">
        <v>0</v>
      </c>
      <c r="N54" s="13">
        <v>0</v>
      </c>
      <c r="O54" s="13">
        <v>0</v>
      </c>
      <c r="P54" s="13">
        <v>0</v>
      </c>
      <c r="Q54" s="41">
        <v>0</v>
      </c>
      <c r="R54" s="13">
        <v>0</v>
      </c>
      <c r="S54" s="13">
        <v>0</v>
      </c>
      <c r="T54" s="13">
        <v>0</v>
      </c>
      <c r="U54" s="13">
        <v>0</v>
      </c>
      <c r="V54" s="41">
        <v>0</v>
      </c>
      <c r="W54" s="13">
        <v>0</v>
      </c>
      <c r="X54" s="13">
        <v>0</v>
      </c>
      <c r="Y54" s="13">
        <v>0</v>
      </c>
      <c r="Z54" s="1">
        <v>0</v>
      </c>
      <c r="AA54" s="41">
        <v>0</v>
      </c>
      <c r="AB54" s="13">
        <v>0</v>
      </c>
      <c r="AC54" s="13">
        <v>0</v>
      </c>
      <c r="AD54" s="13">
        <v>0</v>
      </c>
      <c r="AE54" s="13">
        <v>0</v>
      </c>
      <c r="AF54" s="41">
        <v>0</v>
      </c>
      <c r="AG54" s="1">
        <v>0</v>
      </c>
      <c r="AH54" s="1">
        <v>0</v>
      </c>
      <c r="AI54" s="1">
        <v>0</v>
      </c>
      <c r="AJ54" s="1">
        <v>0</v>
      </c>
      <c r="AK54" s="41">
        <f t="shared" si="26"/>
        <v>0</v>
      </c>
      <c r="AL54" s="1">
        <v>0</v>
      </c>
      <c r="AM54" s="1">
        <v>0</v>
      </c>
      <c r="AN54" s="110">
        <v>0</v>
      </c>
      <c r="AO54" s="8">
        <v>0</v>
      </c>
      <c r="AP54" s="41">
        <f t="shared" si="18"/>
        <v>0</v>
      </c>
      <c r="AQ54" s="1">
        <v>0</v>
      </c>
      <c r="AR54" s="1">
        <v>0</v>
      </c>
      <c r="AS54" s="8">
        <v>0</v>
      </c>
      <c r="AT54" s="8">
        <v>0</v>
      </c>
      <c r="AU54" s="41">
        <f t="shared" si="19"/>
        <v>0</v>
      </c>
      <c r="AV54" s="8">
        <v>0</v>
      </c>
      <c r="AW54" s="8">
        <v>0</v>
      </c>
      <c r="AX54" s="8">
        <v>0</v>
      </c>
      <c r="AY54" s="8">
        <v>0</v>
      </c>
      <c r="AZ54" s="170">
        <f t="shared" si="20"/>
        <v>0</v>
      </c>
      <c r="BA54" s="162">
        <v>0</v>
      </c>
    </row>
    <row r="55" spans="1:53" ht="15.75" thickBot="1">
      <c r="A55" s="17"/>
      <c r="B55" s="17" t="s">
        <v>451</v>
      </c>
      <c r="C55" s="18">
        <v>0.48209999999999997</v>
      </c>
      <c r="D55" s="18">
        <v>0.48209999999999997</v>
      </c>
      <c r="E55" s="18">
        <v>0.48209999999999997</v>
      </c>
      <c r="F55" s="18">
        <v>0.48209999999999997</v>
      </c>
      <c r="G55" s="48">
        <v>0.48209999999999997</v>
      </c>
      <c r="H55" s="18">
        <v>0.48209999999999997</v>
      </c>
      <c r="I55" s="18">
        <v>0.48209999999999997</v>
      </c>
      <c r="J55" s="18">
        <v>0.48209999999999997</v>
      </c>
      <c r="K55" s="18">
        <v>0.48209999999999997</v>
      </c>
      <c r="L55" s="48">
        <v>0.48209999999999997</v>
      </c>
      <c r="M55" s="18">
        <v>0.48209999999999997</v>
      </c>
      <c r="N55" s="18">
        <v>0.48209999999999997</v>
      </c>
      <c r="O55" s="18">
        <v>0.48209999999999997</v>
      </c>
      <c r="P55" s="18">
        <v>0.48209999999999997</v>
      </c>
      <c r="Q55" s="48">
        <v>0.48209999999999997</v>
      </c>
      <c r="R55" s="18">
        <v>0.48209999999999997</v>
      </c>
      <c r="S55" s="18">
        <v>0.48209999999999997</v>
      </c>
      <c r="T55" s="18">
        <v>0.48209999999999997</v>
      </c>
      <c r="U55" s="18">
        <v>0.48209999999999997</v>
      </c>
      <c r="V55" s="48">
        <v>0.48209999999999997</v>
      </c>
      <c r="W55" s="18">
        <v>0.48209999999999997</v>
      </c>
      <c r="X55" s="18">
        <v>0.48209999999999997</v>
      </c>
      <c r="Y55" s="18">
        <v>0.48209999999999997</v>
      </c>
      <c r="Z55" s="18">
        <v>0.48209999999999997</v>
      </c>
      <c r="AA55" s="48">
        <v>0.48209999999999997</v>
      </c>
      <c r="AB55" s="18">
        <v>0.48249999999999998</v>
      </c>
      <c r="AC55" s="18">
        <v>0.48249999999999998</v>
      </c>
      <c r="AD55" s="18">
        <v>0.48249999999999998</v>
      </c>
      <c r="AE55" s="18">
        <v>0.48249999999999998</v>
      </c>
      <c r="AF55" s="48">
        <v>0.48249999999999998</v>
      </c>
      <c r="AG55" s="169">
        <v>0.48249983000000002</v>
      </c>
      <c r="AH55" s="18">
        <v>0.48249983000000002</v>
      </c>
      <c r="AI55" s="169">
        <v>0.48249983000000002</v>
      </c>
      <c r="AJ55" s="169">
        <v>0.48249983000000002</v>
      </c>
      <c r="AK55" s="48">
        <v>0.48249999999999998</v>
      </c>
      <c r="AL55" s="18">
        <v>0.48249983000000002</v>
      </c>
      <c r="AM55" s="18">
        <v>0.48249983000000002</v>
      </c>
      <c r="AN55" s="18">
        <v>0.48249983000000002</v>
      </c>
      <c r="AO55" s="169">
        <v>0.48249999999999998</v>
      </c>
      <c r="AP55" s="48">
        <v>0.48249999999999998</v>
      </c>
      <c r="AQ55" s="18">
        <v>0.48249983000000002</v>
      </c>
      <c r="AR55" s="18">
        <v>0.48249983000000002</v>
      </c>
      <c r="AS55" s="18">
        <v>0.48249983000000002</v>
      </c>
      <c r="AT55" s="169">
        <v>0.48249999999999998</v>
      </c>
      <c r="AU55" s="48">
        <v>0.48249999999999998</v>
      </c>
      <c r="AV55" s="169">
        <v>0.48249999999999998</v>
      </c>
      <c r="AW55" s="169">
        <v>0.48249999999999998</v>
      </c>
      <c r="AX55" s="169">
        <v>0.48249999999999998</v>
      </c>
      <c r="AY55" s="169">
        <v>0.48249999999999998</v>
      </c>
      <c r="AZ55" s="48">
        <v>0.48249999999999998</v>
      </c>
      <c r="BA55" s="18">
        <v>0.48249999999999998</v>
      </c>
    </row>
    <row r="56" spans="1:53" ht="51.75" customHeight="1" thickBot="1">
      <c r="B56" s="513"/>
      <c r="AD56" s="49"/>
      <c r="AK56" s="262"/>
      <c r="AL56" s="262"/>
      <c r="AM56" s="262"/>
      <c r="AN56" s="262"/>
      <c r="AO56" s="262"/>
      <c r="AP56" s="488"/>
      <c r="AQ56" s="262"/>
      <c r="AR56" s="262"/>
      <c r="AS56" s="262"/>
      <c r="AT56" s="262"/>
      <c r="AU56" s="488"/>
      <c r="AV56" s="262"/>
      <c r="AW56" s="262"/>
      <c r="AX56" s="262"/>
      <c r="AY56" s="262"/>
      <c r="AZ56" s="488"/>
      <c r="BA56" s="488"/>
    </row>
    <row r="57" spans="1:53" s="2" customFormat="1">
      <c r="A57" s="625"/>
      <c r="B57" s="625" t="s">
        <v>481</v>
      </c>
      <c r="C57" s="626" t="s">
        <v>224</v>
      </c>
      <c r="D57" s="626" t="s">
        <v>225</v>
      </c>
      <c r="E57" s="626" t="s">
        <v>226</v>
      </c>
      <c r="F57" s="626" t="s">
        <v>227</v>
      </c>
      <c r="G57" s="652">
        <v>2016</v>
      </c>
      <c r="H57" s="626" t="s">
        <v>228</v>
      </c>
      <c r="I57" s="626" t="s">
        <v>229</v>
      </c>
      <c r="J57" s="626" t="s">
        <v>230</v>
      </c>
      <c r="K57" s="626" t="s">
        <v>231</v>
      </c>
      <c r="L57" s="652">
        <v>2017</v>
      </c>
      <c r="M57" s="626" t="s">
        <v>232</v>
      </c>
      <c r="N57" s="626" t="s">
        <v>233</v>
      </c>
      <c r="O57" s="626" t="s">
        <v>234</v>
      </c>
      <c r="P57" s="626" t="s">
        <v>235</v>
      </c>
      <c r="Q57" s="652">
        <v>2018</v>
      </c>
      <c r="R57" s="626" t="s">
        <v>236</v>
      </c>
      <c r="S57" s="626" t="s">
        <v>237</v>
      </c>
      <c r="T57" s="626" t="s">
        <v>238</v>
      </c>
      <c r="U57" s="626" t="s">
        <v>239</v>
      </c>
      <c r="V57" s="652">
        <v>2019</v>
      </c>
      <c r="W57" s="626" t="s">
        <v>240</v>
      </c>
      <c r="X57" s="626" t="s">
        <v>241</v>
      </c>
      <c r="Y57" s="626" t="s">
        <v>242</v>
      </c>
      <c r="Z57" s="626" t="s">
        <v>243</v>
      </c>
      <c r="AA57" s="652">
        <v>2020</v>
      </c>
      <c r="AB57" s="626" t="s">
        <v>244</v>
      </c>
      <c r="AC57" s="626" t="s">
        <v>245</v>
      </c>
      <c r="AD57" s="626" t="s">
        <v>246</v>
      </c>
      <c r="AE57" s="626" t="s">
        <v>247</v>
      </c>
      <c r="AF57" s="652">
        <v>2021</v>
      </c>
      <c r="AG57" s="626" t="s">
        <v>248</v>
      </c>
      <c r="AH57" s="626" t="s">
        <v>249</v>
      </c>
      <c r="AI57" s="626" t="s">
        <v>250</v>
      </c>
      <c r="AJ57" s="626" t="s">
        <v>215</v>
      </c>
      <c r="AK57" s="652">
        <v>2022</v>
      </c>
      <c r="AL57" s="626" t="s">
        <v>252</v>
      </c>
      <c r="AM57" s="626" t="s">
        <v>253</v>
      </c>
      <c r="AN57" s="626" t="s">
        <v>254</v>
      </c>
      <c r="AO57" s="626" t="s">
        <v>219</v>
      </c>
      <c r="AP57" s="652">
        <v>2023</v>
      </c>
      <c r="AQ57" s="626" t="s">
        <v>223</v>
      </c>
      <c r="AR57" s="626" t="s">
        <v>256</v>
      </c>
      <c r="AS57" s="626" t="s">
        <v>357</v>
      </c>
      <c r="AT57" s="626" t="s">
        <v>358</v>
      </c>
      <c r="AU57" s="652">
        <v>2024</v>
      </c>
      <c r="AV57" s="626" t="s">
        <v>359</v>
      </c>
      <c r="AW57" s="626" t="s">
        <v>1115</v>
      </c>
      <c r="AX57" s="626" t="s">
        <v>1116</v>
      </c>
      <c r="AY57" s="626" t="s">
        <v>1117</v>
      </c>
      <c r="AZ57" s="653" t="s">
        <v>1118</v>
      </c>
      <c r="BA57" s="645" t="s">
        <v>1124</v>
      </c>
    </row>
    <row r="58" spans="1:53" s="2" customFormat="1">
      <c r="A58" s="9"/>
      <c r="B58" s="9" t="s">
        <v>482</v>
      </c>
      <c r="C58" s="10">
        <v>1516146.3160000001</v>
      </c>
      <c r="D58" s="10">
        <v>1636678.2859999998</v>
      </c>
      <c r="E58" s="10">
        <v>1842074</v>
      </c>
      <c r="F58" s="10">
        <v>2152371.3629999999</v>
      </c>
      <c r="G58" s="39">
        <v>7147269.9649999999</v>
      </c>
      <c r="H58" s="10">
        <v>2581797.6648900001</v>
      </c>
      <c r="I58" s="10">
        <v>2614161.2647799999</v>
      </c>
      <c r="J58" s="10">
        <v>3251127.2670500004</v>
      </c>
      <c r="K58" s="10">
        <v>3242016.4961799993</v>
      </c>
      <c r="L58" s="39">
        <v>11689102.6929</v>
      </c>
      <c r="M58" s="10">
        <v>3824656.9864300005</v>
      </c>
      <c r="N58" s="10">
        <v>4160659.2593499995</v>
      </c>
      <c r="O58" s="10">
        <v>3691509.6031899997</v>
      </c>
      <c r="P58" s="10">
        <v>4196901.4604500011</v>
      </c>
      <c r="Q58" s="39">
        <v>15873727.309420001</v>
      </c>
      <c r="R58" s="10">
        <v>4638144.1130400011</v>
      </c>
      <c r="S58" s="10">
        <v>5185057.1767500015</v>
      </c>
      <c r="T58" s="10">
        <v>5817083.5121400012</v>
      </c>
      <c r="U58" s="10">
        <v>6147941.0226800023</v>
      </c>
      <c r="V58" s="39">
        <v>21788225.824610006</v>
      </c>
      <c r="W58" s="10">
        <v>5195986.6523200003</v>
      </c>
      <c r="X58" s="10">
        <v>2762735.1909900014</v>
      </c>
      <c r="Y58" s="10">
        <v>8120337.1197699998</v>
      </c>
      <c r="Z58" s="10">
        <v>8860662.3055299949</v>
      </c>
      <c r="AA58" s="39">
        <v>24939721.268609997</v>
      </c>
      <c r="AB58" s="10"/>
      <c r="AC58" s="10"/>
      <c r="AD58" s="10"/>
      <c r="AE58" s="10"/>
      <c r="AF58" s="39"/>
      <c r="AG58" s="76"/>
      <c r="AH58" s="76"/>
      <c r="AI58" s="76"/>
      <c r="AJ58" s="76"/>
      <c r="AK58" s="39"/>
      <c r="AL58" s="76"/>
      <c r="AM58" s="76"/>
      <c r="AN58" s="76"/>
      <c r="AO58" s="76"/>
      <c r="AP58" s="39"/>
      <c r="AQ58" s="76"/>
      <c r="AR58" s="76"/>
      <c r="AS58" s="76"/>
      <c r="AT58" s="76"/>
      <c r="AU58" s="39"/>
      <c r="AV58" s="76"/>
      <c r="AW58" s="76"/>
      <c r="AX58" s="76"/>
      <c r="AY58" s="76"/>
      <c r="AZ58" s="39"/>
      <c r="BA58" s="10"/>
    </row>
    <row r="59" spans="1:53">
      <c r="A59" s="11"/>
      <c r="B59" s="11" t="s">
        <v>483</v>
      </c>
      <c r="C59" s="8">
        <v>-1512156.8359999999</v>
      </c>
      <c r="D59" s="8">
        <v>-1632482.8370000001</v>
      </c>
      <c r="E59" s="8">
        <v>-1838512.5019999999</v>
      </c>
      <c r="F59" s="8">
        <v>-2148582.5030000005</v>
      </c>
      <c r="G59" s="40">
        <v>-7131734.6780000003</v>
      </c>
      <c r="H59" s="110">
        <v>-2578298.2406199998</v>
      </c>
      <c r="I59" s="110">
        <v>-2610918.4387800004</v>
      </c>
      <c r="J59" s="110">
        <v>-3248077.26254</v>
      </c>
      <c r="K59" s="110">
        <v>-3238851.4282099996</v>
      </c>
      <c r="L59" s="40">
        <v>-11676145.37015</v>
      </c>
      <c r="M59" s="110">
        <v>-3821858.0225500003</v>
      </c>
      <c r="N59" s="110">
        <v>-4157835.8738699998</v>
      </c>
      <c r="O59" s="110">
        <v>-3688763.8838899988</v>
      </c>
      <c r="P59" s="110">
        <v>-4194212.5133099984</v>
      </c>
      <c r="Q59" s="40">
        <v>-15862670.293619998</v>
      </c>
      <c r="R59" s="110">
        <v>-4635238.3025400015</v>
      </c>
      <c r="S59" s="110">
        <v>-5182390.334139999</v>
      </c>
      <c r="T59" s="110">
        <v>-5814578.7514600009</v>
      </c>
      <c r="U59" s="110">
        <v>-6145428.6357000005</v>
      </c>
      <c r="V59" s="40">
        <v>-21777636.023840003</v>
      </c>
      <c r="W59" s="110">
        <v>-5193629.7329199985</v>
      </c>
      <c r="X59" s="110">
        <v>-2760591.5914100008</v>
      </c>
      <c r="Y59" s="110">
        <v>-8118322.5141700022</v>
      </c>
      <c r="Z59" s="110">
        <v>-8858124.5605899971</v>
      </c>
      <c r="AA59" s="40">
        <v>-24930668.399089999</v>
      </c>
      <c r="AB59" s="12"/>
      <c r="AC59" s="12"/>
      <c r="AD59" s="12"/>
      <c r="AE59" s="12"/>
      <c r="AF59" s="40"/>
      <c r="AG59" s="12"/>
      <c r="AH59" s="12"/>
      <c r="AI59" s="12"/>
      <c r="AJ59" s="12"/>
      <c r="AK59" s="40"/>
      <c r="AL59" s="12"/>
      <c r="AM59" s="12"/>
      <c r="AN59" s="12"/>
      <c r="AO59" s="12"/>
      <c r="AP59" s="40"/>
      <c r="AQ59" s="12"/>
      <c r="AR59" s="12"/>
      <c r="AS59" s="12"/>
      <c r="AT59" s="12"/>
      <c r="AU59" s="40"/>
      <c r="AV59" s="12"/>
      <c r="AW59" s="12"/>
      <c r="AX59" s="12"/>
      <c r="AY59" s="12"/>
      <c r="AZ59" s="40"/>
      <c r="BA59" s="8"/>
    </row>
    <row r="60" spans="1:53">
      <c r="A60" s="11"/>
      <c r="B60" s="11" t="s">
        <v>484</v>
      </c>
      <c r="C60" s="110">
        <v>3989.4800000002142</v>
      </c>
      <c r="D60" s="110">
        <v>4195.4489999997895</v>
      </c>
      <c r="E60" s="110">
        <v>3561.4980000001378</v>
      </c>
      <c r="F60" s="110">
        <v>3788.859999999404</v>
      </c>
      <c r="G60" s="40">
        <v>15535.286999999546</v>
      </c>
      <c r="H60" s="110">
        <v>3499.4242700003088</v>
      </c>
      <c r="I60" s="110">
        <v>3242.8259999994189</v>
      </c>
      <c r="J60" s="110">
        <v>3050.0045100003481</v>
      </c>
      <c r="K60" s="110">
        <v>3165.0679699997418</v>
      </c>
      <c r="L60" s="40">
        <v>12957.322749999817</v>
      </c>
      <c r="M60" s="110">
        <v>2798.9638800001703</v>
      </c>
      <c r="N60" s="110">
        <v>2823.3854799997061</v>
      </c>
      <c r="O60" s="110">
        <v>2745.7193000009283</v>
      </c>
      <c r="P60" s="110">
        <v>2688.9471400026232</v>
      </c>
      <c r="Q60" s="40">
        <v>11057.015800003428</v>
      </c>
      <c r="R60" s="110">
        <v>2905.8104999996722</v>
      </c>
      <c r="S60" s="110">
        <v>2666.8426100024953</v>
      </c>
      <c r="T60" s="110">
        <v>2504.7606800002977</v>
      </c>
      <c r="U60" s="110">
        <v>2512.3869800018147</v>
      </c>
      <c r="V60" s="40">
        <v>10589.80077000428</v>
      </c>
      <c r="W60" s="110">
        <v>2356.9194000018761</v>
      </c>
      <c r="X60" s="110">
        <v>2143.5995800006203</v>
      </c>
      <c r="Y60" s="110">
        <v>2014.6055999975652</v>
      </c>
      <c r="Z60" s="110">
        <v>2537.7449399977922</v>
      </c>
      <c r="AA60" s="40">
        <v>9052.8695199978538</v>
      </c>
      <c r="AB60" s="12"/>
      <c r="AC60" s="12"/>
      <c r="AD60" s="12"/>
      <c r="AE60" s="12"/>
      <c r="AF60" s="40"/>
      <c r="AG60" s="12"/>
      <c r="AH60" s="12"/>
      <c r="AI60" s="12"/>
      <c r="AJ60" s="12"/>
      <c r="AK60" s="40"/>
      <c r="AL60" s="12"/>
      <c r="AM60" s="12"/>
      <c r="AN60" s="12"/>
      <c r="AO60" s="12"/>
      <c r="AP60" s="40"/>
      <c r="AQ60" s="12"/>
      <c r="AR60" s="12"/>
      <c r="AS60" s="12"/>
      <c r="AT60" s="12"/>
      <c r="AU60" s="40"/>
      <c r="AV60" s="12"/>
      <c r="AW60" s="12"/>
      <c r="AX60" s="12"/>
      <c r="AY60" s="12"/>
      <c r="AZ60" s="40"/>
      <c r="BA60" s="8"/>
    </row>
    <row r="61" spans="1:53" s="2" customFormat="1">
      <c r="A61" s="9"/>
      <c r="B61" s="9" t="s">
        <v>485</v>
      </c>
      <c r="C61" s="10">
        <v>111206.465</v>
      </c>
      <c r="D61" s="10">
        <v>117569.74400000001</v>
      </c>
      <c r="E61" s="10">
        <v>126317.742</v>
      </c>
      <c r="F61" s="10">
        <v>126822.11800000002</v>
      </c>
      <c r="G61" s="39">
        <v>481916.06900000002</v>
      </c>
      <c r="H61" s="10">
        <v>135580.30578</v>
      </c>
      <c r="I61" s="10">
        <v>137910.81178999998</v>
      </c>
      <c r="J61" s="10">
        <v>152261.83271000005</v>
      </c>
      <c r="K61" s="10">
        <v>153165.12448000003</v>
      </c>
      <c r="L61" s="39">
        <v>578918.07476000011</v>
      </c>
      <c r="M61" s="10">
        <v>161302.38502000002</v>
      </c>
      <c r="N61" s="10">
        <v>173725.64987999998</v>
      </c>
      <c r="O61" s="10">
        <v>183581.23886999997</v>
      </c>
      <c r="P61" s="10">
        <v>184953.42895999999</v>
      </c>
      <c r="Q61" s="39">
        <v>703562.70273000002</v>
      </c>
      <c r="R61" s="10">
        <v>192610.84965000002</v>
      </c>
      <c r="S61" s="10">
        <v>203927.13460000002</v>
      </c>
      <c r="T61" s="10">
        <v>228768.64595999991</v>
      </c>
      <c r="U61" s="10">
        <v>232862.40446999992</v>
      </c>
      <c r="V61" s="39">
        <v>858169.03467999992</v>
      </c>
      <c r="W61" s="10">
        <v>241860.15312999999</v>
      </c>
      <c r="X61" s="10">
        <v>232389.69671000002</v>
      </c>
      <c r="Y61" s="10">
        <v>257458.56350999998</v>
      </c>
      <c r="Z61" s="10">
        <v>259640.47462999998</v>
      </c>
      <c r="AA61" s="39">
        <v>991348.88798</v>
      </c>
      <c r="AB61" s="10"/>
      <c r="AC61" s="10"/>
      <c r="AD61" s="10"/>
      <c r="AE61" s="10"/>
      <c r="AF61" s="39"/>
      <c r="AG61" s="10"/>
      <c r="AH61" s="10"/>
      <c r="AI61" s="10"/>
      <c r="AJ61" s="10"/>
      <c r="AK61" s="39"/>
      <c r="AL61" s="10"/>
      <c r="AM61" s="10"/>
      <c r="AN61" s="10"/>
      <c r="AO61" s="10"/>
      <c r="AP61" s="39"/>
      <c r="AQ61" s="10"/>
      <c r="AR61" s="10"/>
      <c r="AS61" s="10"/>
      <c r="AT61" s="10"/>
      <c r="AU61" s="39"/>
      <c r="AV61" s="10"/>
      <c r="AW61" s="10"/>
      <c r="AX61" s="10"/>
      <c r="AY61" s="10"/>
      <c r="AZ61" s="39"/>
      <c r="BA61" s="10"/>
    </row>
    <row r="62" spans="1:53">
      <c r="A62" s="11"/>
      <c r="B62" s="11" t="s">
        <v>486</v>
      </c>
      <c r="C62" s="8">
        <v>-1182.4829999999999</v>
      </c>
      <c r="D62" s="8">
        <v>10796.494000000001</v>
      </c>
      <c r="E62" s="8">
        <v>-1399.7039999999997</v>
      </c>
      <c r="F62" s="8">
        <v>-1650.6940000000004</v>
      </c>
      <c r="G62" s="40">
        <v>6563.6130000000003</v>
      </c>
      <c r="H62" s="12">
        <v>-1955.6217500000002</v>
      </c>
      <c r="I62" s="12">
        <v>-1666.5990300000001</v>
      </c>
      <c r="J62" s="12">
        <v>-2383.0125699999999</v>
      </c>
      <c r="K62" s="12">
        <v>-2081.5887399999997</v>
      </c>
      <c r="L62" s="40">
        <v>-8086.8220899999997</v>
      </c>
      <c r="M62" s="12">
        <v>-2298.0613699999999</v>
      </c>
      <c r="N62" s="12">
        <v>-2157.7630099999997</v>
      </c>
      <c r="O62" s="12">
        <v>-2163.3344999999995</v>
      </c>
      <c r="P62" s="12">
        <v>-3065.3196400000006</v>
      </c>
      <c r="Q62" s="40">
        <v>-9684.4785200000006</v>
      </c>
      <c r="R62" s="12">
        <v>-2781.2803200000003</v>
      </c>
      <c r="S62" s="12">
        <v>-3330.6926999999991</v>
      </c>
      <c r="T62" s="12">
        <v>-3345.1836500000004</v>
      </c>
      <c r="U62" s="12">
        <v>-2901.4345300000009</v>
      </c>
      <c r="V62" s="40">
        <v>-12358.591200000001</v>
      </c>
      <c r="W62" s="12">
        <v>-837.72651999999982</v>
      </c>
      <c r="X62" s="12">
        <v>-1272.1496200000004</v>
      </c>
      <c r="Y62" s="12">
        <v>-4009.6349799999994</v>
      </c>
      <c r="Z62" s="12">
        <v>37287.888280000014</v>
      </c>
      <c r="AA62" s="40">
        <v>31168.377160000015</v>
      </c>
      <c r="AB62" s="12"/>
      <c r="AC62" s="12"/>
      <c r="AD62" s="12"/>
      <c r="AE62" s="12"/>
      <c r="AF62" s="40"/>
      <c r="AG62" s="12"/>
      <c r="AH62" s="12"/>
      <c r="AI62" s="12"/>
      <c r="AJ62" s="12"/>
      <c r="AK62" s="40"/>
      <c r="AL62" s="12"/>
      <c r="AM62" s="12"/>
      <c r="AN62" s="12"/>
      <c r="AO62" s="12"/>
      <c r="AP62" s="40"/>
      <c r="AQ62" s="12"/>
      <c r="AR62" s="12"/>
      <c r="AS62" s="12"/>
      <c r="AT62" s="12"/>
      <c r="AU62" s="40"/>
      <c r="AV62" s="12"/>
      <c r="AW62" s="12"/>
      <c r="AX62" s="12"/>
      <c r="AY62" s="12"/>
      <c r="AZ62" s="40"/>
      <c r="BA62" s="8"/>
    </row>
    <row r="63" spans="1:53">
      <c r="A63" s="11"/>
      <c r="B63" s="11" t="s">
        <v>487</v>
      </c>
      <c r="C63" s="8">
        <v>-766.505</v>
      </c>
      <c r="D63" s="8">
        <v>-1683.337</v>
      </c>
      <c r="E63" s="8">
        <v>-1370.0479999999998</v>
      </c>
      <c r="F63" s="8">
        <v>-4480.8289999999997</v>
      </c>
      <c r="G63" s="40">
        <v>-8300.7189999999991</v>
      </c>
      <c r="H63" s="12">
        <v>-2422.6928800000001</v>
      </c>
      <c r="I63" s="12">
        <v>-4577.1057300000002</v>
      </c>
      <c r="J63" s="12">
        <v>-4626.535319999999</v>
      </c>
      <c r="K63" s="12">
        <v>-2649.6194000000005</v>
      </c>
      <c r="L63" s="40">
        <v>-14275.95333</v>
      </c>
      <c r="M63" s="12">
        <v>-7742.47757</v>
      </c>
      <c r="N63" s="12">
        <v>-2538.8111600000002</v>
      </c>
      <c r="O63" s="12">
        <v>-2931.1288500000005</v>
      </c>
      <c r="P63" s="12">
        <v>-6159.5740099999985</v>
      </c>
      <c r="Q63" s="40">
        <v>-19371.991589999998</v>
      </c>
      <c r="R63" s="12">
        <v>-1458.7788799999926</v>
      </c>
      <c r="S63" s="12">
        <v>-4243.8663799999995</v>
      </c>
      <c r="T63" s="12">
        <v>-3633.3145900000009</v>
      </c>
      <c r="U63" s="12">
        <v>-4892.5795199999975</v>
      </c>
      <c r="V63" s="40">
        <v>-14228.53936999999</v>
      </c>
      <c r="W63" s="12">
        <v>-7201.97343</v>
      </c>
      <c r="X63" s="12">
        <v>-5702.0820299999987</v>
      </c>
      <c r="Y63" s="12">
        <v>-3578.9042800000002</v>
      </c>
      <c r="Z63" s="12">
        <v>5003.7426199999945</v>
      </c>
      <c r="AA63" s="40">
        <v>-11479.217120000005</v>
      </c>
      <c r="AB63" s="12"/>
      <c r="AC63" s="12"/>
      <c r="AD63" s="12"/>
      <c r="AE63" s="12"/>
      <c r="AF63" s="40"/>
      <c r="AG63" s="12"/>
      <c r="AH63" s="12"/>
      <c r="AI63" s="12"/>
      <c r="AJ63" s="12"/>
      <c r="AK63" s="40"/>
      <c r="AL63" s="12"/>
      <c r="AM63" s="12"/>
      <c r="AN63" s="12"/>
      <c r="AO63" s="12"/>
      <c r="AP63" s="40"/>
      <c r="AQ63" s="12"/>
      <c r="AR63" s="12"/>
      <c r="AS63" s="12"/>
      <c r="AT63" s="12"/>
      <c r="AU63" s="40"/>
      <c r="AV63" s="12"/>
      <c r="AW63" s="12"/>
      <c r="AX63" s="12"/>
      <c r="AY63" s="12"/>
      <c r="AZ63" s="40"/>
      <c r="BA63" s="8"/>
    </row>
    <row r="64" spans="1:53">
      <c r="A64" s="11"/>
      <c r="B64" s="11" t="s">
        <v>478</v>
      </c>
      <c r="C64" s="8">
        <v>-17786.044000000002</v>
      </c>
      <c r="D64" s="8">
        <v>-24671.019</v>
      </c>
      <c r="E64" s="8">
        <v>-24517.586000000003</v>
      </c>
      <c r="F64" s="8">
        <v>-30541.630999999994</v>
      </c>
      <c r="G64" s="40">
        <v>-97516.28</v>
      </c>
      <c r="H64" s="12">
        <v>-32651.597519999996</v>
      </c>
      <c r="I64" s="12">
        <v>-40905.312389999999</v>
      </c>
      <c r="J64" s="12">
        <v>-42746.367020000005</v>
      </c>
      <c r="K64" s="12">
        <v>-5885.3886500000099</v>
      </c>
      <c r="L64" s="40">
        <v>-122188.66558</v>
      </c>
      <c r="M64" s="12">
        <v>-34222.59945999999</v>
      </c>
      <c r="N64" s="12">
        <v>-38320.166609999993</v>
      </c>
      <c r="O64" s="12">
        <v>-30107.34714999998</v>
      </c>
      <c r="P64" s="12">
        <v>-40274.71783999999</v>
      </c>
      <c r="Q64" s="40">
        <v>-142924.83105999997</v>
      </c>
      <c r="R64" s="12">
        <v>-41753.783329999962</v>
      </c>
      <c r="S64" s="12">
        <v>-39139.570789999998</v>
      </c>
      <c r="T64" s="12">
        <v>-37592.559920000014</v>
      </c>
      <c r="U64" s="12">
        <v>-34531.384770000019</v>
      </c>
      <c r="V64" s="40">
        <v>-153017.29881000001</v>
      </c>
      <c r="W64" s="12">
        <v>-32528.627049999985</v>
      </c>
      <c r="X64" s="12">
        <v>-25758.671930000011</v>
      </c>
      <c r="Y64" s="12">
        <v>-38732.772469999974</v>
      </c>
      <c r="Z64" s="12">
        <v>-44818.70306</v>
      </c>
      <c r="AA64" s="40">
        <v>-141838.77450999996</v>
      </c>
      <c r="AB64" s="12"/>
      <c r="AC64" s="12"/>
      <c r="AD64" s="12"/>
      <c r="AE64" s="12"/>
      <c r="AF64" s="40"/>
      <c r="AG64" s="12"/>
      <c r="AH64" s="12"/>
      <c r="AI64" s="12"/>
      <c r="AJ64" s="12"/>
      <c r="AK64" s="40"/>
      <c r="AL64" s="12"/>
      <c r="AM64" s="12"/>
      <c r="AN64" s="12"/>
      <c r="AO64" s="12"/>
      <c r="AP64" s="40"/>
      <c r="AQ64" s="12"/>
      <c r="AR64" s="12"/>
      <c r="AS64" s="12"/>
      <c r="AT64" s="12"/>
      <c r="AU64" s="40"/>
      <c r="AV64" s="12"/>
      <c r="AW64" s="12"/>
      <c r="AX64" s="12"/>
      <c r="AY64" s="12"/>
      <c r="AZ64" s="40"/>
      <c r="BA64" s="8"/>
    </row>
    <row r="65" spans="1:53">
      <c r="A65" s="11"/>
      <c r="B65" s="11" t="s">
        <v>479</v>
      </c>
      <c r="C65" s="8">
        <v>-4862.0870000000004</v>
      </c>
      <c r="D65" s="8">
        <v>-1376.4089999999997</v>
      </c>
      <c r="E65" s="8">
        <v>-1569.6890000000003</v>
      </c>
      <c r="F65" s="8">
        <v>-701.60999999999967</v>
      </c>
      <c r="G65" s="40">
        <v>-8509.7950000000001</v>
      </c>
      <c r="H65" s="12">
        <v>-1719.9665100000002</v>
      </c>
      <c r="I65" s="12">
        <v>-2212.0428900000002</v>
      </c>
      <c r="J65" s="12">
        <v>-7155.2911299999987</v>
      </c>
      <c r="K65" s="12">
        <v>-18.771409999999801</v>
      </c>
      <c r="L65" s="40">
        <v>-11106.071939999998</v>
      </c>
      <c r="M65" s="12">
        <v>-3534.8618200000001</v>
      </c>
      <c r="N65" s="12">
        <v>-4077.3807699999998</v>
      </c>
      <c r="O65" s="12">
        <v>-3580.4451399999998</v>
      </c>
      <c r="P65" s="12">
        <v>-5091.2758799999974</v>
      </c>
      <c r="Q65" s="40">
        <v>-16283.963609999997</v>
      </c>
      <c r="R65" s="12">
        <v>-489.37523000000022</v>
      </c>
      <c r="S65" s="12">
        <v>-3650.8923699999991</v>
      </c>
      <c r="T65" s="12">
        <v>-5278.9488699999993</v>
      </c>
      <c r="U65" s="12">
        <v>-3246.2234999999991</v>
      </c>
      <c r="V65" s="40">
        <v>-12665.439969999999</v>
      </c>
      <c r="W65" s="12">
        <v>-3604.50578</v>
      </c>
      <c r="X65" s="12">
        <v>-652.79016999999942</v>
      </c>
      <c r="Y65" s="12">
        <v>-3026.1996400000003</v>
      </c>
      <c r="Z65" s="12">
        <v>-4029.2331299999996</v>
      </c>
      <c r="AA65" s="40">
        <v>-11312.728719999999</v>
      </c>
      <c r="AB65" s="12"/>
      <c r="AC65" s="12"/>
      <c r="AD65" s="12"/>
      <c r="AE65" s="12"/>
      <c r="AF65" s="40"/>
      <c r="AG65" s="12"/>
      <c r="AH65" s="12"/>
      <c r="AI65" s="12"/>
      <c r="AJ65" s="12"/>
      <c r="AK65" s="40"/>
      <c r="AL65" s="12"/>
      <c r="AM65" s="12"/>
      <c r="AN65" s="12"/>
      <c r="AO65" s="12"/>
      <c r="AP65" s="40"/>
      <c r="AQ65" s="12"/>
      <c r="AR65" s="12"/>
      <c r="AS65" s="12"/>
      <c r="AT65" s="12"/>
      <c r="AU65" s="40"/>
      <c r="AV65" s="12"/>
      <c r="AW65" s="12"/>
      <c r="AX65" s="12"/>
      <c r="AY65" s="12"/>
      <c r="AZ65" s="40"/>
      <c r="BA65" s="8"/>
    </row>
    <row r="66" spans="1:53">
      <c r="A66" s="11"/>
      <c r="B66" s="11" t="s">
        <v>488</v>
      </c>
      <c r="C66" s="8">
        <v>0</v>
      </c>
      <c r="D66" s="8">
        <v>0</v>
      </c>
      <c r="E66" s="8">
        <v>0</v>
      </c>
      <c r="F66" s="8">
        <v>0</v>
      </c>
      <c r="G66" s="40">
        <v>0</v>
      </c>
      <c r="H66" s="12">
        <v>0</v>
      </c>
      <c r="I66" s="12">
        <v>0</v>
      </c>
      <c r="J66" s="12">
        <v>0</v>
      </c>
      <c r="K66" s="12">
        <v>0</v>
      </c>
      <c r="L66" s="40">
        <v>0</v>
      </c>
      <c r="M66" s="12">
        <v>0</v>
      </c>
      <c r="N66" s="12">
        <v>0</v>
      </c>
      <c r="O66" s="12">
        <v>0</v>
      </c>
      <c r="P66" s="12">
        <v>0</v>
      </c>
      <c r="Q66" s="40">
        <v>0</v>
      </c>
      <c r="R66" s="12">
        <v>0</v>
      </c>
      <c r="S66" s="12">
        <v>0</v>
      </c>
      <c r="T66" s="12">
        <v>0</v>
      </c>
      <c r="U66" s="12">
        <v>0</v>
      </c>
      <c r="V66" s="40">
        <v>0</v>
      </c>
      <c r="W66" s="12">
        <v>0</v>
      </c>
      <c r="X66" s="12">
        <v>0</v>
      </c>
      <c r="Y66" s="12">
        <v>0</v>
      </c>
      <c r="Z66" s="12">
        <v>0</v>
      </c>
      <c r="AA66" s="40">
        <v>0</v>
      </c>
      <c r="AB66" s="12"/>
      <c r="AC66" s="12"/>
      <c r="AD66" s="12"/>
      <c r="AE66" s="12"/>
      <c r="AF66" s="40"/>
      <c r="AG66" s="12"/>
      <c r="AH66" s="12"/>
      <c r="AI66" s="12"/>
      <c r="AJ66" s="12"/>
      <c r="AK66" s="40"/>
      <c r="AL66" s="12"/>
      <c r="AM66" s="12"/>
      <c r="AN66" s="12"/>
      <c r="AO66" s="12"/>
      <c r="AP66" s="40"/>
      <c r="AQ66" s="12"/>
      <c r="AR66" s="12"/>
      <c r="AS66" s="12"/>
      <c r="AT66" s="12"/>
      <c r="AU66" s="40"/>
      <c r="AV66" s="12"/>
      <c r="AW66" s="12"/>
      <c r="AX66" s="12"/>
      <c r="AY66" s="12"/>
      <c r="AZ66" s="40"/>
      <c r="BA66" s="8"/>
    </row>
    <row r="67" spans="1:53" s="2" customFormat="1">
      <c r="A67" s="9"/>
      <c r="B67" s="9" t="s">
        <v>489</v>
      </c>
      <c r="C67" s="10">
        <v>27940.171999999999</v>
      </c>
      <c r="D67" s="10">
        <v>21913.391000000003</v>
      </c>
      <c r="E67" s="10">
        <v>26574.106999999996</v>
      </c>
      <c r="F67" s="10">
        <v>28185.58</v>
      </c>
      <c r="G67" s="39">
        <v>104613.25</v>
      </c>
      <c r="H67" s="10">
        <v>25844.53744</v>
      </c>
      <c r="I67" s="10">
        <v>33267.518539999997</v>
      </c>
      <c r="J67" s="10">
        <v>30417.328379999999</v>
      </c>
      <c r="K67" s="10">
        <v>31345.856620000002</v>
      </c>
      <c r="L67" s="39">
        <v>120875.24098</v>
      </c>
      <c r="M67" s="10">
        <v>32344.266560000004</v>
      </c>
      <c r="N67" s="10">
        <v>34730.153589999994</v>
      </c>
      <c r="O67" s="10">
        <v>35878.847999999998</v>
      </c>
      <c r="P67" s="10">
        <v>36892.876409999997</v>
      </c>
      <c r="Q67" s="39">
        <v>139846.14455999999</v>
      </c>
      <c r="R67" s="10">
        <v>37801.073920000003</v>
      </c>
      <c r="S67" s="10">
        <v>37881.648930000003</v>
      </c>
      <c r="T67" s="10">
        <v>41077.520549999994</v>
      </c>
      <c r="U67" s="10">
        <v>38657.851659999993</v>
      </c>
      <c r="V67" s="39">
        <v>155418.09505999999</v>
      </c>
      <c r="W67" s="10">
        <v>40407.585189999998</v>
      </c>
      <c r="X67" s="10">
        <v>38570.596200000007</v>
      </c>
      <c r="Y67" s="10">
        <v>1678324.3470600005</v>
      </c>
      <c r="Z67" s="10">
        <v>1257109.3112499998</v>
      </c>
      <c r="AA67" s="39">
        <v>3014411.8397000004</v>
      </c>
      <c r="AB67" s="10"/>
      <c r="AC67" s="10"/>
      <c r="AD67" s="10"/>
      <c r="AE67" s="10"/>
      <c r="AF67" s="39"/>
      <c r="AG67" s="10"/>
      <c r="AH67" s="10"/>
      <c r="AI67" s="10"/>
      <c r="AJ67" s="10"/>
      <c r="AK67" s="39"/>
      <c r="AL67" s="10"/>
      <c r="AM67" s="10"/>
      <c r="AN67" s="10"/>
      <c r="AO67" s="10"/>
      <c r="AP67" s="39"/>
      <c r="AQ67" s="10"/>
      <c r="AR67" s="10"/>
      <c r="AS67" s="10"/>
      <c r="AT67" s="10"/>
      <c r="AU67" s="39"/>
      <c r="AV67" s="10"/>
      <c r="AW67" s="10"/>
      <c r="AX67" s="10"/>
      <c r="AY67" s="10"/>
      <c r="AZ67" s="39"/>
      <c r="BA67" s="10"/>
    </row>
    <row r="68" spans="1:53">
      <c r="A68" s="11"/>
      <c r="B68" s="11" t="s">
        <v>490</v>
      </c>
      <c r="C68" s="8">
        <v>26550.982</v>
      </c>
      <c r="D68" s="8">
        <v>27214.838</v>
      </c>
      <c r="E68" s="8">
        <v>28057.936999999998</v>
      </c>
      <c r="F68" s="8">
        <v>29388.050000000003</v>
      </c>
      <c r="G68" s="40">
        <v>111211.807</v>
      </c>
      <c r="H68" s="12">
        <v>30227.697609999999</v>
      </c>
      <c r="I68" s="12">
        <v>42786.735240000002</v>
      </c>
      <c r="J68" s="12">
        <v>34442.333279999999</v>
      </c>
      <c r="K68" s="12">
        <v>35274.293799999999</v>
      </c>
      <c r="L68" s="40">
        <v>142731.05992999999</v>
      </c>
      <c r="M68" s="12">
        <v>36823.243959999993</v>
      </c>
      <c r="N68" s="12">
        <v>38686.038699999997</v>
      </c>
      <c r="O68" s="12">
        <v>39249.115630000008</v>
      </c>
      <c r="P68" s="12">
        <v>38754.944559999989</v>
      </c>
      <c r="Q68" s="40">
        <v>153513.34285000002</v>
      </c>
      <c r="R68" s="12">
        <v>42872.236499999992</v>
      </c>
      <c r="S68" s="12">
        <v>41496.241750000008</v>
      </c>
      <c r="T68" s="12">
        <v>40749.170870000002</v>
      </c>
      <c r="U68" s="12">
        <v>40738.266890000006</v>
      </c>
      <c r="V68" s="40">
        <v>165855.91601000002</v>
      </c>
      <c r="W68" s="12">
        <v>39133.19277999999</v>
      </c>
      <c r="X68" s="12">
        <v>38675.82559</v>
      </c>
      <c r="Y68" s="12">
        <v>38552.558619999996</v>
      </c>
      <c r="Z68" s="12">
        <v>37960.65707999999</v>
      </c>
      <c r="AA68" s="40">
        <v>154322.23406999998</v>
      </c>
      <c r="AB68" s="12">
        <v>-5.6145379035714073E-2</v>
      </c>
      <c r="AC68" s="12"/>
      <c r="AD68" s="12"/>
      <c r="AE68" s="12"/>
      <c r="AF68" s="40"/>
      <c r="AG68" s="12"/>
      <c r="AH68" s="12"/>
      <c r="AI68" s="12"/>
      <c r="AJ68" s="12"/>
      <c r="AK68" s="40"/>
      <c r="AL68" s="12"/>
      <c r="AM68" s="12"/>
      <c r="AN68" s="12"/>
      <c r="AO68" s="12"/>
      <c r="AP68" s="40"/>
      <c r="AQ68" s="12"/>
      <c r="AR68" s="12"/>
      <c r="AS68" s="12"/>
      <c r="AT68" s="12"/>
      <c r="AU68" s="40"/>
      <c r="AV68" s="12"/>
      <c r="AW68" s="12"/>
      <c r="AX68" s="12"/>
      <c r="AY68" s="12"/>
      <c r="AZ68" s="40"/>
      <c r="BA68" s="8"/>
    </row>
    <row r="69" spans="1:53">
      <c r="A69" s="11"/>
      <c r="B69" s="11" t="s">
        <v>443</v>
      </c>
      <c r="C69" s="8">
        <v>4612.0659999999998</v>
      </c>
      <c r="D69" s="8">
        <v>4078.7140000000009</v>
      </c>
      <c r="E69" s="8">
        <v>4633.9879999999994</v>
      </c>
      <c r="F69" s="8">
        <v>4175.6470000000008</v>
      </c>
      <c r="G69" s="40">
        <v>17500.415000000001</v>
      </c>
      <c r="H69" s="12">
        <v>4014.9830300000012</v>
      </c>
      <c r="I69" s="12">
        <v>2394.9412299999999</v>
      </c>
      <c r="J69" s="12">
        <v>3665.3748899999996</v>
      </c>
      <c r="K69" s="12">
        <v>3721.2972399999999</v>
      </c>
      <c r="L69" s="40">
        <v>13796.596390000001</v>
      </c>
      <c r="M69" s="12">
        <v>3481.0311599999995</v>
      </c>
      <c r="N69" s="12">
        <v>2576.9503300000001</v>
      </c>
      <c r="O69" s="12">
        <v>3244.9280099999996</v>
      </c>
      <c r="P69" s="12">
        <v>5193.8099299999994</v>
      </c>
      <c r="Q69" s="40">
        <v>14496.719429999999</v>
      </c>
      <c r="R69" s="12">
        <v>1655.5934199999976</v>
      </c>
      <c r="S69" s="12">
        <v>2918.0908199999999</v>
      </c>
      <c r="T69" s="12">
        <v>1251.9858999999985</v>
      </c>
      <c r="U69" s="12">
        <v>4085.601650000001</v>
      </c>
      <c r="V69" s="40">
        <v>9911.2717899999971</v>
      </c>
      <c r="W69" s="12">
        <v>2740.255509999999</v>
      </c>
      <c r="X69" s="12">
        <v>2937.7551199999994</v>
      </c>
      <c r="Y69" s="12">
        <v>-881933.93344999978</v>
      </c>
      <c r="Z69" s="12">
        <v>-375958.66466999985</v>
      </c>
      <c r="AA69" s="40">
        <v>-1252214.5874899996</v>
      </c>
      <c r="AB69" s="12"/>
      <c r="AC69" s="12"/>
      <c r="AD69" s="12"/>
      <c r="AE69" s="12"/>
      <c r="AF69" s="40"/>
      <c r="AG69" s="12"/>
      <c r="AH69" s="12"/>
      <c r="AI69" s="12"/>
      <c r="AJ69" s="12"/>
      <c r="AK69" s="40"/>
      <c r="AL69" s="12"/>
      <c r="AM69" s="12"/>
      <c r="AN69" s="12"/>
      <c r="AO69" s="12"/>
      <c r="AP69" s="40"/>
      <c r="AQ69" s="12"/>
      <c r="AR69" s="12"/>
      <c r="AS69" s="12"/>
      <c r="AT69" s="12"/>
      <c r="AU69" s="40"/>
      <c r="AV69" s="12"/>
      <c r="AW69" s="12"/>
      <c r="AX69" s="12"/>
      <c r="AY69" s="12"/>
      <c r="AZ69" s="40"/>
      <c r="BA69" s="8"/>
    </row>
    <row r="70" spans="1:53" s="2" customFormat="1">
      <c r="A70" s="9"/>
      <c r="B70" s="9" t="s">
        <v>491</v>
      </c>
      <c r="C70" s="10">
        <v>59103.219999999994</v>
      </c>
      <c r="D70" s="10">
        <v>53206.943000000007</v>
      </c>
      <c r="E70" s="10">
        <v>59266.031999999992</v>
      </c>
      <c r="F70" s="10">
        <v>61749.277000000002</v>
      </c>
      <c r="G70" s="39">
        <v>233325.47200000001</v>
      </c>
      <c r="H70" s="10">
        <v>60087.218080000006</v>
      </c>
      <c r="I70" s="10">
        <v>78449.195009999996</v>
      </c>
      <c r="J70" s="10">
        <v>68525.036550000004</v>
      </c>
      <c r="K70" s="10">
        <v>70341.447660000005</v>
      </c>
      <c r="L70" s="39">
        <v>277402.89730000001</v>
      </c>
      <c r="M70" s="10">
        <v>72648.541679999995</v>
      </c>
      <c r="N70" s="10">
        <v>75993.142619999999</v>
      </c>
      <c r="O70" s="10">
        <v>78372.891640000016</v>
      </c>
      <c r="P70" s="10">
        <v>80841.630899999989</v>
      </c>
      <c r="Q70" s="39">
        <v>307856.20684</v>
      </c>
      <c r="R70" s="10">
        <v>82328.903839999999</v>
      </c>
      <c r="S70" s="10">
        <v>82295.981500000009</v>
      </c>
      <c r="T70" s="10">
        <v>83078.677319999988</v>
      </c>
      <c r="U70" s="10">
        <v>83481.720199999996</v>
      </c>
      <c r="V70" s="39">
        <v>331185.28285999998</v>
      </c>
      <c r="W70" s="10">
        <v>82281.033479999998</v>
      </c>
      <c r="X70" s="10">
        <v>80184.176910000009</v>
      </c>
      <c r="Y70" s="10">
        <v>834942.97223000077</v>
      </c>
      <c r="Z70" s="10">
        <v>919111.30365999998</v>
      </c>
      <c r="AA70" s="39">
        <v>1916519.4862800008</v>
      </c>
      <c r="AB70" s="10"/>
      <c r="AC70" s="10"/>
      <c r="AD70" s="10"/>
      <c r="AE70" s="10"/>
      <c r="AF70" s="39"/>
      <c r="AG70" s="10"/>
      <c r="AH70" s="10"/>
      <c r="AI70" s="10"/>
      <c r="AJ70" s="10"/>
      <c r="AK70" s="39"/>
      <c r="AL70" s="10"/>
      <c r="AM70" s="10"/>
      <c r="AN70" s="10"/>
      <c r="AO70" s="10"/>
      <c r="AP70" s="39"/>
      <c r="AQ70" s="10"/>
      <c r="AR70" s="10"/>
      <c r="AS70" s="10"/>
      <c r="AT70" s="10"/>
      <c r="AU70" s="39"/>
      <c r="AV70" s="10"/>
      <c r="AW70" s="10"/>
      <c r="AX70" s="10"/>
      <c r="AY70" s="10"/>
      <c r="AZ70" s="39"/>
      <c r="BA70" s="10"/>
    </row>
    <row r="71" spans="1:53">
      <c r="A71" s="11"/>
      <c r="B71" s="11" t="s">
        <v>492</v>
      </c>
      <c r="C71" s="8"/>
      <c r="D71" s="8"/>
      <c r="E71" s="8"/>
      <c r="F71" s="8"/>
      <c r="G71" s="40">
        <v>0</v>
      </c>
      <c r="H71" s="12">
        <v>0</v>
      </c>
      <c r="I71" s="12">
        <v>0</v>
      </c>
      <c r="J71" s="12">
        <v>0</v>
      </c>
      <c r="K71" s="12">
        <v>0</v>
      </c>
      <c r="L71" s="40">
        <v>0</v>
      </c>
      <c r="M71" s="12">
        <v>0</v>
      </c>
      <c r="N71" s="12">
        <v>0</v>
      </c>
      <c r="O71" s="12">
        <v>0</v>
      </c>
      <c r="P71" s="12">
        <v>0</v>
      </c>
      <c r="Q71" s="40">
        <v>0</v>
      </c>
      <c r="R71" s="12">
        <v>0</v>
      </c>
      <c r="S71" s="12">
        <v>0</v>
      </c>
      <c r="T71" s="12">
        <v>0</v>
      </c>
      <c r="U71" s="12">
        <v>0</v>
      </c>
      <c r="V71" s="40">
        <v>0</v>
      </c>
      <c r="W71" s="12">
        <v>0</v>
      </c>
      <c r="X71" s="12">
        <v>0</v>
      </c>
      <c r="Y71" s="12">
        <v>0</v>
      </c>
      <c r="Z71" s="12">
        <v>0</v>
      </c>
      <c r="AA71" s="40">
        <v>0</v>
      </c>
      <c r="AB71" s="12"/>
      <c r="AC71" s="12"/>
      <c r="AD71" s="12"/>
      <c r="AE71" s="12"/>
      <c r="AF71" s="40"/>
      <c r="AG71" s="12"/>
      <c r="AH71" s="12"/>
      <c r="AI71" s="12"/>
      <c r="AJ71" s="12"/>
      <c r="AK71" s="40"/>
      <c r="AL71" s="12"/>
      <c r="AM71" s="12"/>
      <c r="AN71" s="12"/>
      <c r="AO71" s="12"/>
      <c r="AP71" s="40"/>
      <c r="AQ71" s="12"/>
      <c r="AR71" s="12"/>
      <c r="AS71" s="12"/>
      <c r="AT71" s="12"/>
      <c r="AU71" s="40"/>
      <c r="AV71" s="12"/>
      <c r="AW71" s="12"/>
      <c r="AX71" s="12"/>
      <c r="AY71" s="12"/>
      <c r="AZ71" s="40"/>
      <c r="BA71" s="8"/>
    </row>
    <row r="72" spans="1:53">
      <c r="A72" s="11"/>
      <c r="B72" s="11" t="s">
        <v>477</v>
      </c>
      <c r="C72" s="8">
        <v>-7186.4740000000002</v>
      </c>
      <c r="D72" s="8">
        <v>-6172.9689999999991</v>
      </c>
      <c r="E72" s="8">
        <v>-13477.679</v>
      </c>
      <c r="F72" s="8">
        <v>-13315.867999999999</v>
      </c>
      <c r="G72" s="40">
        <v>-40152.99</v>
      </c>
      <c r="H72" s="12">
        <v>-14700.421969999999</v>
      </c>
      <c r="I72" s="12">
        <v>-6268.7014300000001</v>
      </c>
      <c r="J72" s="12">
        <v>-8285.2014500000005</v>
      </c>
      <c r="K72" s="12">
        <v>6206.7802300000003</v>
      </c>
      <c r="L72" s="40">
        <v>-23047.544620000001</v>
      </c>
      <c r="M72" s="12">
        <v>17293.735160000007</v>
      </c>
      <c r="N72" s="12">
        <v>-13395.005329999998</v>
      </c>
      <c r="O72" s="12">
        <v>-9031.7882699999991</v>
      </c>
      <c r="P72" s="12">
        <v>-6993.6587799999998</v>
      </c>
      <c r="Q72" s="40">
        <v>-12126.71721999999</v>
      </c>
      <c r="R72" s="12">
        <v>-5328.0071000000007</v>
      </c>
      <c r="S72" s="12">
        <v>-3233.0747199999996</v>
      </c>
      <c r="T72" s="12">
        <v>-6068.954749999999</v>
      </c>
      <c r="U72" s="12">
        <v>-5143.3345599999993</v>
      </c>
      <c r="V72" s="40">
        <v>-19773.37113</v>
      </c>
      <c r="W72" s="12">
        <v>-9583.0975399999988</v>
      </c>
      <c r="X72" s="12">
        <v>-3703.2380699999994</v>
      </c>
      <c r="Y72" s="12">
        <v>-176510.98906000008</v>
      </c>
      <c r="Z72" s="12">
        <v>-165949.72600999995</v>
      </c>
      <c r="AA72" s="40">
        <v>-355747.05068000004</v>
      </c>
      <c r="AB72" s="12"/>
      <c r="AC72" s="12"/>
      <c r="AD72" s="12"/>
      <c r="AE72" s="12"/>
      <c r="AF72" s="40"/>
      <c r="AG72" s="12"/>
      <c r="AH72" s="12"/>
      <c r="AI72" s="12"/>
      <c r="AJ72" s="12"/>
      <c r="AK72" s="40"/>
      <c r="AL72" s="12"/>
      <c r="AM72" s="12"/>
      <c r="AN72" s="12"/>
      <c r="AO72" s="12"/>
      <c r="AP72" s="40"/>
      <c r="AQ72" s="12"/>
      <c r="AR72" s="12"/>
      <c r="AS72" s="12"/>
      <c r="AT72" s="12"/>
      <c r="AU72" s="40"/>
      <c r="AV72" s="12"/>
      <c r="AW72" s="12"/>
      <c r="AX72" s="12"/>
      <c r="AY72" s="12"/>
      <c r="AZ72" s="40"/>
      <c r="BA72" s="8"/>
    </row>
    <row r="73" spans="1:53">
      <c r="A73" s="11"/>
      <c r="B73" s="11" t="s">
        <v>493</v>
      </c>
      <c r="C73" s="8">
        <v>-2912.4949999999999</v>
      </c>
      <c r="D73" s="8">
        <v>-3368.6040000000003</v>
      </c>
      <c r="E73" s="8">
        <v>-3718.2340000000004</v>
      </c>
      <c r="F73" s="8">
        <v>-3856.732</v>
      </c>
      <c r="G73" s="40">
        <v>-13856.065000000001</v>
      </c>
      <c r="H73" s="12">
        <v>-4085.2620199999997</v>
      </c>
      <c r="I73" s="12">
        <v>1914.0964500000002</v>
      </c>
      <c r="J73" s="12">
        <v>-1877.1452399999998</v>
      </c>
      <c r="K73" s="12">
        <v>-847.11809000000005</v>
      </c>
      <c r="L73" s="40">
        <v>-4895.428899999999</v>
      </c>
      <c r="M73" s="12">
        <v>-1673.7455400000001</v>
      </c>
      <c r="N73" s="12">
        <v>-5891.0155800000002</v>
      </c>
      <c r="O73" s="12">
        <v>-10097.752379999998</v>
      </c>
      <c r="P73" s="12">
        <v>-9014.530249999998</v>
      </c>
      <c r="Q73" s="40">
        <v>-26677.043749999997</v>
      </c>
      <c r="R73" s="12">
        <v>-9119.5203899999979</v>
      </c>
      <c r="S73" s="12">
        <v>-9025.0916500000003</v>
      </c>
      <c r="T73" s="12">
        <v>-9209.1726999999992</v>
      </c>
      <c r="U73" s="12">
        <v>-9364.9877500000002</v>
      </c>
      <c r="V73" s="40">
        <v>-36718.772490000003</v>
      </c>
      <c r="W73" s="12">
        <v>-8455.6457500000015</v>
      </c>
      <c r="X73" s="12">
        <v>-8243.3658700000015</v>
      </c>
      <c r="Y73" s="12">
        <v>-214391.7992400002</v>
      </c>
      <c r="Z73" s="12">
        <v>-270999.04849999992</v>
      </c>
      <c r="AA73" s="40">
        <v>-502089.85936000012</v>
      </c>
      <c r="AB73" s="12"/>
      <c r="AC73" s="12"/>
      <c r="AD73" s="12"/>
      <c r="AE73" s="12"/>
      <c r="AF73" s="40"/>
      <c r="AG73" s="12"/>
      <c r="AH73" s="12"/>
      <c r="AI73" s="12"/>
      <c r="AJ73" s="12"/>
      <c r="AK73" s="40"/>
      <c r="AL73" s="12"/>
      <c r="AM73" s="12"/>
      <c r="AN73" s="12"/>
      <c r="AO73" s="12"/>
      <c r="AP73" s="40"/>
      <c r="AQ73" s="12"/>
      <c r="AR73" s="12"/>
      <c r="AS73" s="12"/>
      <c r="AT73" s="12"/>
      <c r="AU73" s="40"/>
      <c r="AV73" s="12"/>
      <c r="AW73" s="12"/>
      <c r="AX73" s="12"/>
      <c r="AY73" s="12"/>
      <c r="AZ73" s="40"/>
      <c r="BA73" s="8"/>
    </row>
    <row r="74" spans="1:53">
      <c r="A74" s="11"/>
      <c r="B74" s="11" t="s">
        <v>494</v>
      </c>
      <c r="C74" s="8">
        <v>-8250.9920000000002</v>
      </c>
      <c r="D74" s="8">
        <v>-5339.8289999999997</v>
      </c>
      <c r="E74" s="8">
        <v>-5407.0169999999998</v>
      </c>
      <c r="F74" s="8">
        <v>-6299.5540000000001</v>
      </c>
      <c r="G74" s="40">
        <v>-25297.392</v>
      </c>
      <c r="H74" s="12">
        <v>-11420.765260000002</v>
      </c>
      <c r="I74" s="12">
        <v>-9351.2346200000011</v>
      </c>
      <c r="J74" s="12">
        <v>-8160.8560099999995</v>
      </c>
      <c r="K74" s="12">
        <v>-11925.76433</v>
      </c>
      <c r="L74" s="40">
        <v>-40858.620220000004</v>
      </c>
      <c r="M74" s="12">
        <v>-6150.7899900000002</v>
      </c>
      <c r="N74" s="12">
        <v>-6944.0178800000003</v>
      </c>
      <c r="O74" s="12">
        <v>-11953.81134</v>
      </c>
      <c r="P74" s="12">
        <v>-10313.46941</v>
      </c>
      <c r="Q74" s="40">
        <v>-35362.088620000002</v>
      </c>
      <c r="R74" s="172">
        <v>-5230.5481799999998</v>
      </c>
      <c r="S74" s="12">
        <v>-8710.3546999999999</v>
      </c>
      <c r="T74" s="12">
        <v>-14052.755090000001</v>
      </c>
      <c r="U74" s="12">
        <v>-34205.202849999994</v>
      </c>
      <c r="V74" s="40">
        <v>-62198.860819999994</v>
      </c>
      <c r="W74" s="12">
        <v>-6708.01001</v>
      </c>
      <c r="X74" s="12">
        <v>-6161.147930000111</v>
      </c>
      <c r="Y74" s="12">
        <v>-59723.78532000001</v>
      </c>
      <c r="Z74" s="12">
        <v>-51603.852519999993</v>
      </c>
      <c r="AA74" s="40">
        <v>-124196.7957800001</v>
      </c>
      <c r="AB74" s="12"/>
      <c r="AC74" s="12"/>
      <c r="AD74" s="12"/>
      <c r="AE74" s="12"/>
      <c r="AF74" s="40"/>
      <c r="AG74" s="12"/>
      <c r="AH74" s="12"/>
      <c r="AI74" s="12"/>
      <c r="AJ74" s="12"/>
      <c r="AK74" s="40"/>
      <c r="AL74" s="12"/>
      <c r="AM74" s="12"/>
      <c r="AN74" s="12"/>
      <c r="AO74" s="12"/>
      <c r="AP74" s="40"/>
      <c r="AQ74" s="12"/>
      <c r="AR74" s="12"/>
      <c r="AS74" s="12"/>
      <c r="AT74" s="12"/>
      <c r="AU74" s="40"/>
      <c r="AV74" s="12"/>
      <c r="AW74" s="12"/>
      <c r="AX74" s="12"/>
      <c r="AY74" s="12"/>
      <c r="AZ74" s="40"/>
      <c r="BA74" s="8"/>
    </row>
    <row r="75" spans="1:53">
      <c r="A75" s="11"/>
      <c r="B75" s="11" t="s">
        <v>495</v>
      </c>
      <c r="C75" s="8">
        <v>0</v>
      </c>
      <c r="D75" s="8">
        <v>-82.99</v>
      </c>
      <c r="E75" s="8">
        <v>-467.87900000000002</v>
      </c>
      <c r="F75" s="8">
        <v>0</v>
      </c>
      <c r="G75" s="40">
        <v>-550.86900000000003</v>
      </c>
      <c r="H75" s="12">
        <v>0</v>
      </c>
      <c r="I75" s="12">
        <v>-80.128790000000009</v>
      </c>
      <c r="J75" s="12">
        <v>-329.53787</v>
      </c>
      <c r="K75" s="12">
        <v>-198.66177999999999</v>
      </c>
      <c r="L75" s="40">
        <v>-608.32844</v>
      </c>
      <c r="M75" s="12">
        <v>0</v>
      </c>
      <c r="N75" s="12">
        <v>-7.1003799999999995</v>
      </c>
      <c r="O75" s="12">
        <v>-570.09924999999998</v>
      </c>
      <c r="P75" s="12">
        <v>0</v>
      </c>
      <c r="Q75" s="40">
        <v>-577.19962999999996</v>
      </c>
      <c r="R75" s="12">
        <v>-195.30137999999999</v>
      </c>
      <c r="S75" s="12">
        <v>0</v>
      </c>
      <c r="T75" s="12">
        <v>-109</v>
      </c>
      <c r="U75" s="12">
        <v>-216</v>
      </c>
      <c r="V75" s="40">
        <v>-520.30137999999999</v>
      </c>
      <c r="W75" s="12">
        <v>-348.82398000000001</v>
      </c>
      <c r="X75" s="12">
        <v>-208.43191000000004</v>
      </c>
      <c r="Y75" s="12">
        <v>4851.2608099999998</v>
      </c>
      <c r="Z75" s="12">
        <v>-1087.4582800000012</v>
      </c>
      <c r="AA75" s="40">
        <v>3206.5466399999982</v>
      </c>
      <c r="AB75" s="12"/>
      <c r="AC75" s="12"/>
      <c r="AD75" s="12"/>
      <c r="AE75" s="12"/>
      <c r="AF75" s="40"/>
      <c r="AG75" s="12"/>
      <c r="AH75" s="12"/>
      <c r="AI75" s="12"/>
      <c r="AJ75" s="12"/>
      <c r="AK75" s="40"/>
      <c r="AL75" s="12"/>
      <c r="AM75" s="12"/>
      <c r="AN75" s="12"/>
      <c r="AO75" s="12"/>
      <c r="AP75" s="40"/>
      <c r="AQ75" s="12"/>
      <c r="AR75" s="12"/>
      <c r="AS75" s="12"/>
      <c r="AT75" s="12"/>
      <c r="AU75" s="40"/>
      <c r="AV75" s="12"/>
      <c r="AW75" s="12"/>
      <c r="AX75" s="12"/>
      <c r="AY75" s="12"/>
      <c r="AZ75" s="40"/>
      <c r="BA75" s="8"/>
    </row>
    <row r="76" spans="1:53" s="2" customFormat="1">
      <c r="A76" s="9"/>
      <c r="B76" s="9" t="s">
        <v>412</v>
      </c>
      <c r="C76" s="10">
        <v>131352.08619999528</v>
      </c>
      <c r="D76" s="10">
        <v>143073.47116999366</v>
      </c>
      <c r="E76" s="10">
        <v>137217.43510002183</v>
      </c>
      <c r="F76" s="10">
        <v>131513.33875999262</v>
      </c>
      <c r="G76" s="39">
        <v>543156.33123000339</v>
      </c>
      <c r="H76" s="10">
        <v>130210.62022001267</v>
      </c>
      <c r="I76" s="10">
        <v>156455.80436996173</v>
      </c>
      <c r="J76" s="10">
        <v>148272.92716001224</v>
      </c>
      <c r="K76" s="10">
        <v>209271.50794002914</v>
      </c>
      <c r="L76" s="39">
        <v>644210.85969001579</v>
      </c>
      <c r="M76" s="10">
        <v>198421.08999000455</v>
      </c>
      <c r="N76" s="10">
        <v>179210.91725997924</v>
      </c>
      <c r="O76" s="10">
        <v>194264.14292999933</v>
      </c>
      <c r="P76" s="10">
        <v>187571.46119002532</v>
      </c>
      <c r="Q76" s="39">
        <v>759467.61137000844</v>
      </c>
      <c r="R76" s="10">
        <v>211488.96917997359</v>
      </c>
      <c r="S76" s="10">
        <v>217556.41540004162</v>
      </c>
      <c r="T76" s="10">
        <v>235062.25618004031</v>
      </c>
      <c r="U76" s="10">
        <v>224355.51407989883</v>
      </c>
      <c r="V76" s="39">
        <v>888463.15483995434</v>
      </c>
      <c r="W76" s="10">
        <v>257229.69595001126</v>
      </c>
      <c r="X76" s="10">
        <v>263015.59567001439</v>
      </c>
      <c r="Y76" s="10">
        <v>599293.31716006086</v>
      </c>
      <c r="Z76" s="10">
        <v>685093.13262988674</v>
      </c>
      <c r="AA76" s="39">
        <v>1804631.7414099732</v>
      </c>
      <c r="AB76" s="10"/>
      <c r="AC76" s="10"/>
      <c r="AD76" s="10"/>
      <c r="AE76" s="10"/>
      <c r="AF76" s="39"/>
      <c r="AG76" s="10"/>
      <c r="AH76" s="10"/>
      <c r="AI76" s="10"/>
      <c r="AJ76" s="10"/>
      <c r="AK76" s="39"/>
      <c r="AL76" s="10"/>
      <c r="AM76" s="10"/>
      <c r="AN76" s="10"/>
      <c r="AO76" s="10"/>
      <c r="AP76" s="39"/>
      <c r="AQ76" s="10"/>
      <c r="AR76" s="10"/>
      <c r="AS76" s="10"/>
      <c r="AT76" s="10"/>
      <c r="AU76" s="39"/>
      <c r="AV76" s="10"/>
      <c r="AW76" s="10"/>
      <c r="AX76" s="10"/>
      <c r="AY76" s="10"/>
      <c r="AZ76" s="39"/>
      <c r="BA76" s="10"/>
    </row>
    <row r="77" spans="1:53">
      <c r="A77" s="11"/>
      <c r="B77" s="11" t="s">
        <v>413</v>
      </c>
      <c r="C77" s="12">
        <v>-13627.425869999999</v>
      </c>
      <c r="D77" s="12">
        <v>-14150.104949999997</v>
      </c>
      <c r="E77" s="12">
        <v>-14299.907250000015</v>
      </c>
      <c r="F77" s="12">
        <v>-15450.455389999974</v>
      </c>
      <c r="G77" s="40">
        <v>-57527.893459999985</v>
      </c>
      <c r="H77" s="12">
        <v>-12722.8832</v>
      </c>
      <c r="I77" s="12">
        <v>-11944.132860000005</v>
      </c>
      <c r="J77" s="12">
        <v>-11863.379089999991</v>
      </c>
      <c r="K77" s="12">
        <v>-16556.501969999968</v>
      </c>
      <c r="L77" s="40">
        <v>-53086.897119999965</v>
      </c>
      <c r="M77" s="12">
        <v>-10769.948479999999</v>
      </c>
      <c r="N77" s="12">
        <v>-14579.339599999999</v>
      </c>
      <c r="O77" s="12">
        <v>-16730.763599999998</v>
      </c>
      <c r="P77" s="12">
        <v>-19086.531380000044</v>
      </c>
      <c r="Q77" s="40">
        <v>-61166.583060000041</v>
      </c>
      <c r="R77" s="12">
        <v>-14933.487880000001</v>
      </c>
      <c r="S77" s="12">
        <v>-15643.411940000013</v>
      </c>
      <c r="T77" s="12">
        <v>-17680.148149999986</v>
      </c>
      <c r="U77" s="12">
        <v>-19366.74751999999</v>
      </c>
      <c r="V77" s="40">
        <v>-67623.79548999999</v>
      </c>
      <c r="W77" s="12">
        <v>-16002.055710000008</v>
      </c>
      <c r="X77" s="12">
        <v>-20243.755400000002</v>
      </c>
      <c r="Y77" s="12">
        <v>-47311.14354999995</v>
      </c>
      <c r="Z77" s="12">
        <v>-54605.530330000183</v>
      </c>
      <c r="AA77" s="40">
        <v>-138162.48499000014</v>
      </c>
      <c r="AB77" s="12"/>
      <c r="AC77" s="12"/>
      <c r="AD77" s="12"/>
      <c r="AE77" s="12"/>
      <c r="AF77" s="40"/>
      <c r="AG77" s="12"/>
      <c r="AH77" s="12"/>
      <c r="AI77" s="12"/>
      <c r="AJ77" s="12"/>
      <c r="AK77" s="40"/>
      <c r="AL77" s="12"/>
      <c r="AM77" s="12"/>
      <c r="AN77" s="12"/>
      <c r="AO77" s="12"/>
      <c r="AP77" s="40"/>
      <c r="AQ77" s="12"/>
      <c r="AR77" s="12"/>
      <c r="AS77" s="12"/>
      <c r="AT77" s="12"/>
      <c r="AU77" s="40"/>
      <c r="AV77" s="12"/>
      <c r="AW77" s="12"/>
      <c r="AX77" s="12"/>
      <c r="AY77" s="12"/>
      <c r="AZ77" s="40"/>
      <c r="BA77" s="8"/>
    </row>
    <row r="78" spans="1:53">
      <c r="A78" s="11"/>
      <c r="B78" s="11" t="s">
        <v>414</v>
      </c>
      <c r="C78" s="13">
        <v>-11020.264239999997</v>
      </c>
      <c r="D78" s="13">
        <v>-11195.649420000009</v>
      </c>
      <c r="E78" s="13">
        <v>-11907.438920000001</v>
      </c>
      <c r="F78" s="13">
        <v>-11957.00688999999</v>
      </c>
      <c r="G78" s="41">
        <v>-46080.359469999996</v>
      </c>
      <c r="H78" s="13">
        <v>-12456.462819999999</v>
      </c>
      <c r="I78" s="13">
        <v>-13472.136910000003</v>
      </c>
      <c r="J78" s="13">
        <v>-14048.495050000005</v>
      </c>
      <c r="K78" s="13">
        <v>-14549.322219999987</v>
      </c>
      <c r="L78" s="41">
        <v>-54526.416999999994</v>
      </c>
      <c r="M78" s="13">
        <v>-15172.81165</v>
      </c>
      <c r="N78" s="13">
        <v>-16668.996519999997</v>
      </c>
      <c r="O78" s="13">
        <v>-16306.053420000011</v>
      </c>
      <c r="P78" s="13">
        <v>-15425.236619999996</v>
      </c>
      <c r="Q78" s="41">
        <v>-63573.098210000004</v>
      </c>
      <c r="R78" s="13">
        <v>-17506.3989</v>
      </c>
      <c r="S78" s="13">
        <v>-18122.707620000001</v>
      </c>
      <c r="T78" s="13">
        <v>-20025.642169999999</v>
      </c>
      <c r="U78" s="13">
        <v>-20136.960339999983</v>
      </c>
      <c r="V78" s="41">
        <v>-75791.709029999984</v>
      </c>
      <c r="W78" s="13">
        <v>-20234.66459</v>
      </c>
      <c r="X78" s="13">
        <v>-24824.636949999993</v>
      </c>
      <c r="Y78" s="13">
        <v>-47260.321140000022</v>
      </c>
      <c r="Z78" s="13">
        <v>-57452.639159999977</v>
      </c>
      <c r="AA78" s="41">
        <v>-149772.26183999999</v>
      </c>
      <c r="AB78" s="13"/>
      <c r="AC78" s="13"/>
      <c r="AD78" s="13"/>
      <c r="AE78" s="13"/>
      <c r="AF78" s="41"/>
      <c r="AG78" s="13"/>
      <c r="AH78" s="13"/>
      <c r="AI78" s="13"/>
      <c r="AJ78" s="13"/>
      <c r="AK78" s="41"/>
      <c r="AL78" s="13"/>
      <c r="AM78" s="13"/>
      <c r="AN78" s="13"/>
      <c r="AO78" s="13"/>
      <c r="AP78" s="41"/>
      <c r="AQ78" s="13"/>
      <c r="AR78" s="13"/>
      <c r="AS78" s="13"/>
      <c r="AT78" s="13"/>
      <c r="AU78" s="41"/>
      <c r="AV78" s="13"/>
      <c r="AW78" s="13"/>
      <c r="AX78" s="13"/>
      <c r="AY78" s="13"/>
      <c r="AZ78" s="170"/>
      <c r="BA78" s="162"/>
    </row>
    <row r="79" spans="1:53" s="371" customFormat="1">
      <c r="A79" s="372"/>
      <c r="B79" s="56" t="s">
        <v>415</v>
      </c>
      <c r="C79" s="373">
        <v>39584.406700000589</v>
      </c>
      <c r="D79" s="373">
        <v>32586.38536999881</v>
      </c>
      <c r="E79" s="373">
        <v>15283.847199999422</v>
      </c>
      <c r="F79" s="373">
        <v>15886.707979999803</v>
      </c>
      <c r="G79" s="374">
        <v>103341.34724999862</v>
      </c>
      <c r="H79" s="373">
        <v>33500.353020000395</v>
      </c>
      <c r="I79" s="373">
        <v>-8046.7375700010707</v>
      </c>
      <c r="J79" s="373">
        <v>56936.356200000562</v>
      </c>
      <c r="K79" s="373">
        <v>18888.69500999857</v>
      </c>
      <c r="L79" s="374">
        <v>101278.66665999846</v>
      </c>
      <c r="M79" s="373">
        <v>29071.657110000167</v>
      </c>
      <c r="N79" s="373">
        <v>22211.092249999208</v>
      </c>
      <c r="O79" s="373">
        <v>15269.859170000185</v>
      </c>
      <c r="P79" s="373">
        <v>5398.4044999994803</v>
      </c>
      <c r="Q79" s="374">
        <v>71951.013029999041</v>
      </c>
      <c r="R79" s="373">
        <v>42488.205819999894</v>
      </c>
      <c r="S79" s="373">
        <v>27355.173670000229</v>
      </c>
      <c r="T79" s="373">
        <v>17160.799409999032</v>
      </c>
      <c r="U79" s="373">
        <v>39844.921540002615</v>
      </c>
      <c r="V79" s="374">
        <v>126849.10044000177</v>
      </c>
      <c r="W79" s="373">
        <v>-17225.128570000332</v>
      </c>
      <c r="X79" s="373">
        <v>41823.272610000953</v>
      </c>
      <c r="Y79" s="373">
        <v>116663.18623999984</v>
      </c>
      <c r="Z79" s="373">
        <v>81733.675010007748</v>
      </c>
      <c r="AA79" s="374">
        <v>222995.00529000821</v>
      </c>
      <c r="AB79" s="373"/>
      <c r="AC79" s="373"/>
      <c r="AD79" s="373"/>
      <c r="AE79" s="373"/>
      <c r="AF79" s="374"/>
      <c r="AG79" s="373"/>
      <c r="AH79" s="373"/>
      <c r="AI79" s="373"/>
      <c r="AJ79" s="373"/>
      <c r="AK79" s="374"/>
      <c r="AL79" s="373"/>
      <c r="AM79" s="373"/>
      <c r="AN79" s="373"/>
      <c r="AO79" s="373"/>
      <c r="AP79" s="374"/>
      <c r="AQ79" s="373"/>
      <c r="AR79" s="373"/>
      <c r="AS79" s="373"/>
      <c r="AT79" s="373"/>
      <c r="AU79" s="374"/>
      <c r="AV79" s="373"/>
      <c r="AW79" s="373"/>
      <c r="AX79" s="373"/>
      <c r="AY79" s="373"/>
      <c r="AZ79" s="440"/>
      <c r="BA79" s="671"/>
    </row>
    <row r="80" spans="1:53">
      <c r="A80" s="11"/>
      <c r="B80" s="11" t="s">
        <v>416</v>
      </c>
      <c r="C80" s="12">
        <v>0</v>
      </c>
      <c r="D80" s="12">
        <v>0.1525</v>
      </c>
      <c r="E80" s="12">
        <v>0</v>
      </c>
      <c r="F80" s="12">
        <v>0</v>
      </c>
      <c r="G80" s="40">
        <v>0.1525</v>
      </c>
      <c r="H80" s="12">
        <v>0</v>
      </c>
      <c r="I80" s="12">
        <v>0</v>
      </c>
      <c r="J80" s="12">
        <v>0</v>
      </c>
      <c r="K80" s="12">
        <v>0</v>
      </c>
      <c r="L80" s="40">
        <v>0</v>
      </c>
      <c r="M80" s="12">
        <v>0</v>
      </c>
      <c r="N80" s="12">
        <v>6.7890000000000006E-2</v>
      </c>
      <c r="O80" s="12">
        <v>0</v>
      </c>
      <c r="P80" s="12">
        <v>0</v>
      </c>
      <c r="Q80" s="40">
        <v>6.7890000000000006E-2</v>
      </c>
      <c r="R80" s="12">
        <v>0</v>
      </c>
      <c r="S80" s="12">
        <v>0.12958</v>
      </c>
      <c r="T80" s="12">
        <v>0</v>
      </c>
      <c r="U80" s="12">
        <v>0</v>
      </c>
      <c r="V80" s="40">
        <v>0.12958</v>
      </c>
      <c r="W80" s="12">
        <v>0</v>
      </c>
      <c r="X80" s="12">
        <v>9.2290000000000011E-2</v>
      </c>
      <c r="Y80" s="12">
        <v>0</v>
      </c>
      <c r="Z80" s="12">
        <v>-1.4600000000000168E-3</v>
      </c>
      <c r="AA80" s="40">
        <v>9.0829999999999994E-2</v>
      </c>
      <c r="AB80" s="12"/>
      <c r="AC80" s="12"/>
      <c r="AD80" s="12"/>
      <c r="AE80" s="12"/>
      <c r="AF80" s="40"/>
      <c r="AG80" s="12"/>
      <c r="AH80" s="12"/>
      <c r="AI80" s="12"/>
      <c r="AJ80" s="12"/>
      <c r="AK80" s="40"/>
      <c r="AL80" s="12"/>
      <c r="AM80" s="12"/>
      <c r="AN80" s="12"/>
      <c r="AO80" s="12"/>
      <c r="AP80" s="40"/>
      <c r="AQ80" s="12"/>
      <c r="AR80" s="12"/>
      <c r="AS80" s="12"/>
      <c r="AT80" s="12"/>
      <c r="AU80" s="40"/>
      <c r="AV80" s="12"/>
      <c r="AW80" s="12"/>
      <c r="AX80" s="12"/>
      <c r="AY80" s="12"/>
      <c r="AZ80" s="40"/>
      <c r="BA80" s="8"/>
    </row>
    <row r="81" spans="1:53" s="2" customFormat="1">
      <c r="A81" s="9"/>
      <c r="B81" s="9" t="s">
        <v>418</v>
      </c>
      <c r="C81" s="10">
        <v>146288.80278999585</v>
      </c>
      <c r="D81" s="10">
        <v>150314.25466999246</v>
      </c>
      <c r="E81" s="10">
        <v>126293.93613002123</v>
      </c>
      <c r="F81" s="10">
        <v>119992.58445999246</v>
      </c>
      <c r="G81" s="39">
        <v>542889.57805000199</v>
      </c>
      <c r="H81" s="10">
        <v>138531.62722001306</v>
      </c>
      <c r="I81" s="10">
        <v>122992.79702996064</v>
      </c>
      <c r="J81" s="10">
        <v>179297.40922001281</v>
      </c>
      <c r="K81" s="10">
        <v>197054.37876002776</v>
      </c>
      <c r="L81" s="39">
        <v>637876.21223001427</v>
      </c>
      <c r="M81" s="10">
        <v>201549.98697000474</v>
      </c>
      <c r="N81" s="10">
        <v>170173.74127997845</v>
      </c>
      <c r="O81" s="10">
        <v>176497.1850799995</v>
      </c>
      <c r="P81" s="10">
        <v>158458.09769002476</v>
      </c>
      <c r="Q81" s="39">
        <v>706679.01102000743</v>
      </c>
      <c r="R81" s="10">
        <v>221537.28821997347</v>
      </c>
      <c r="S81" s="10">
        <v>211145.59909004183</v>
      </c>
      <c r="T81" s="10">
        <v>214517.26527003932</v>
      </c>
      <c r="U81" s="10">
        <v>224696.72775990149</v>
      </c>
      <c r="V81" s="39">
        <v>871896.88033995614</v>
      </c>
      <c r="W81" s="10">
        <v>203767.84708001092</v>
      </c>
      <c r="X81" s="10">
        <v>259770.56822001535</v>
      </c>
      <c r="Y81" s="10">
        <v>621385.03871006076</v>
      </c>
      <c r="Z81" s="10">
        <v>654768.63668989425</v>
      </c>
      <c r="AA81" s="39">
        <v>1739692.0906999814</v>
      </c>
      <c r="AB81" s="10"/>
      <c r="AC81" s="10"/>
      <c r="AD81" s="10"/>
      <c r="AE81" s="10"/>
      <c r="AF81" s="39"/>
      <c r="AG81" s="10"/>
      <c r="AH81" s="10"/>
      <c r="AI81" s="10"/>
      <c r="AJ81" s="10"/>
      <c r="AK81" s="39"/>
      <c r="AL81" s="10"/>
      <c r="AM81" s="10"/>
      <c r="AN81" s="10"/>
      <c r="AO81" s="10"/>
      <c r="AP81" s="39"/>
      <c r="AQ81" s="10"/>
      <c r="AR81" s="10"/>
      <c r="AS81" s="10"/>
      <c r="AT81" s="10"/>
      <c r="AU81" s="39"/>
      <c r="AV81" s="10"/>
      <c r="AW81" s="10"/>
      <c r="AX81" s="10"/>
      <c r="AY81" s="10"/>
      <c r="AZ81" s="39"/>
      <c r="BA81" s="10"/>
    </row>
    <row r="82" spans="1:53">
      <c r="A82" s="11"/>
      <c r="B82" s="11" t="s">
        <v>419</v>
      </c>
      <c r="C82" s="12">
        <v>0</v>
      </c>
      <c r="D82" s="12">
        <v>0</v>
      </c>
      <c r="E82" s="12">
        <v>0</v>
      </c>
      <c r="F82" s="12">
        <v>-58.502060000000007</v>
      </c>
      <c r="G82" s="41">
        <v>-58.502060000000007</v>
      </c>
      <c r="H82" s="12">
        <v>0</v>
      </c>
      <c r="I82" s="12">
        <v>0</v>
      </c>
      <c r="J82" s="12">
        <v>0</v>
      </c>
      <c r="K82" s="12">
        <v>0</v>
      </c>
      <c r="L82" s="41">
        <v>0</v>
      </c>
      <c r="M82" s="12">
        <v>0</v>
      </c>
      <c r="N82" s="12">
        <v>145.39735999999999</v>
      </c>
      <c r="O82" s="12">
        <v>165.05410999999998</v>
      </c>
      <c r="P82" s="12">
        <v>1.0000000031595846E-5</v>
      </c>
      <c r="Q82" s="41">
        <v>310.45148</v>
      </c>
      <c r="R82" s="12">
        <v>1.9900199999999999</v>
      </c>
      <c r="S82" s="12">
        <v>44.755279999999999</v>
      </c>
      <c r="T82" s="12">
        <v>143.20902999999998</v>
      </c>
      <c r="U82" s="12">
        <v>7.9445700000000272</v>
      </c>
      <c r="V82" s="41">
        <v>197.8989</v>
      </c>
      <c r="W82" s="12">
        <v>20.900020000000001</v>
      </c>
      <c r="X82" s="12">
        <v>0.97679999999999723</v>
      </c>
      <c r="Y82" s="12">
        <v>0</v>
      </c>
      <c r="Z82" s="12">
        <v>0</v>
      </c>
      <c r="AA82" s="41">
        <v>21.876819999999999</v>
      </c>
      <c r="AB82" s="12"/>
      <c r="AC82" s="12"/>
      <c r="AD82" s="12"/>
      <c r="AE82" s="12"/>
      <c r="AF82" s="41"/>
      <c r="AG82" s="12"/>
      <c r="AK82" s="41"/>
      <c r="AP82" s="41"/>
      <c r="AU82" s="41"/>
      <c r="AZ82" s="170"/>
      <c r="BA82" s="162"/>
    </row>
    <row r="83" spans="1:53" s="2" customFormat="1">
      <c r="A83" s="9"/>
      <c r="B83" s="9" t="s">
        <v>420</v>
      </c>
      <c r="C83" s="10">
        <v>146288.80278999585</v>
      </c>
      <c r="D83" s="10">
        <v>150314.25466999246</v>
      </c>
      <c r="E83" s="10">
        <v>126293.93613002123</v>
      </c>
      <c r="F83" s="10">
        <v>119934.08239999246</v>
      </c>
      <c r="G83" s="39">
        <v>542831.07599000202</v>
      </c>
      <c r="H83" s="10">
        <v>138531.62722001306</v>
      </c>
      <c r="I83" s="10">
        <v>122992.79702996064</v>
      </c>
      <c r="J83" s="10">
        <v>179297.40922001281</v>
      </c>
      <c r="K83" s="10">
        <v>197054.37876002776</v>
      </c>
      <c r="L83" s="39">
        <v>637876.21223001427</v>
      </c>
      <c r="M83" s="10">
        <v>201549.98697000474</v>
      </c>
      <c r="N83" s="10">
        <v>170319.13863997845</v>
      </c>
      <c r="O83" s="10">
        <v>176662.2391899995</v>
      </c>
      <c r="P83" s="10">
        <v>158458.09770002475</v>
      </c>
      <c r="Q83" s="39">
        <v>706989.46250000747</v>
      </c>
      <c r="R83" s="10">
        <v>221539.27823997347</v>
      </c>
      <c r="S83" s="10">
        <v>211190.35437004184</v>
      </c>
      <c r="T83" s="10">
        <v>214660.47430003932</v>
      </c>
      <c r="U83" s="10">
        <v>224704.67232990148</v>
      </c>
      <c r="V83" s="39">
        <v>872094.77923995617</v>
      </c>
      <c r="W83" s="10">
        <v>203788.74710001092</v>
      </c>
      <c r="X83" s="10">
        <v>259771.54502001536</v>
      </c>
      <c r="Y83" s="10">
        <v>621385.03871006076</v>
      </c>
      <c r="Z83" s="10">
        <v>654768.63668989425</v>
      </c>
      <c r="AA83" s="39">
        <v>1739713.9675199813</v>
      </c>
      <c r="AB83" s="10"/>
      <c r="AC83" s="10"/>
      <c r="AD83" s="10"/>
      <c r="AE83" s="10"/>
      <c r="AF83" s="39"/>
      <c r="AG83" s="10"/>
      <c r="AH83" s="10"/>
      <c r="AI83" s="10"/>
      <c r="AJ83" s="10"/>
      <c r="AK83" s="39"/>
      <c r="AL83" s="10"/>
      <c r="AM83" s="10"/>
      <c r="AN83" s="10"/>
      <c r="AO83" s="10"/>
      <c r="AP83" s="39"/>
      <c r="AQ83" s="10"/>
      <c r="AR83" s="10"/>
      <c r="AS83" s="10"/>
      <c r="AT83" s="10"/>
      <c r="AU83" s="39"/>
      <c r="AV83" s="10"/>
      <c r="AW83" s="10"/>
      <c r="AX83" s="10"/>
      <c r="AY83" s="10"/>
      <c r="AZ83" s="39"/>
      <c r="BA83" s="10"/>
    </row>
    <row r="84" spans="1:53">
      <c r="A84" s="11"/>
      <c r="B84" s="11" t="s">
        <v>421</v>
      </c>
      <c r="C84" s="12">
        <v>-36652.891750000003</v>
      </c>
      <c r="D84" s="12">
        <v>-37606.62816</v>
      </c>
      <c r="E84" s="12">
        <v>-31596.141479999991</v>
      </c>
      <c r="F84" s="12">
        <v>-20231.66678</v>
      </c>
      <c r="G84" s="41">
        <v>-126087.32816999999</v>
      </c>
      <c r="H84" s="12">
        <v>-34697.795600000005</v>
      </c>
      <c r="I84" s="12">
        <v>-30778.416740000001</v>
      </c>
      <c r="J84" s="12">
        <v>-44851.648370000003</v>
      </c>
      <c r="K84" s="12">
        <v>-36372.76463999995</v>
      </c>
      <c r="L84" s="41">
        <v>-146700.62534999996</v>
      </c>
      <c r="M84" s="12">
        <v>-50384.602699999996</v>
      </c>
      <c r="N84" s="12">
        <v>-42615.422970000021</v>
      </c>
      <c r="O84" s="12">
        <v>-43964.451999999976</v>
      </c>
      <c r="P84" s="12">
        <v>-23565.43862999999</v>
      </c>
      <c r="Q84" s="41">
        <v>-160529.91629999998</v>
      </c>
      <c r="R84" s="12">
        <v>-55410.373639999998</v>
      </c>
      <c r="S84" s="12">
        <v>-52798.034289999989</v>
      </c>
      <c r="T84" s="12">
        <v>-52480.806880000018</v>
      </c>
      <c r="U84" s="12">
        <v>-54867.487999999983</v>
      </c>
      <c r="V84" s="41">
        <v>-215556.70280999999</v>
      </c>
      <c r="W84" s="12">
        <v>-50938.155079999997</v>
      </c>
      <c r="X84" s="12">
        <v>-65795.179080000002</v>
      </c>
      <c r="Y84" s="12">
        <v>-155335.15955999997</v>
      </c>
      <c r="Z84" s="12">
        <v>-160102.16168000002</v>
      </c>
      <c r="AA84" s="41">
        <v>-432170.65539999999</v>
      </c>
      <c r="AB84" s="12"/>
      <c r="AC84" s="12"/>
      <c r="AD84" s="12"/>
      <c r="AE84" s="12"/>
      <c r="AF84" s="41"/>
      <c r="AG84" s="12"/>
      <c r="AK84" s="41"/>
      <c r="AP84" s="41"/>
      <c r="AU84" s="41"/>
      <c r="AZ84" s="170"/>
      <c r="BA84" s="162"/>
    </row>
    <row r="85" spans="1:53">
      <c r="A85" s="11"/>
      <c r="B85" s="11" t="s">
        <v>422</v>
      </c>
      <c r="C85" s="12">
        <v>-29325.834560000003</v>
      </c>
      <c r="D85" s="12">
        <v>-29133.089180000003</v>
      </c>
      <c r="E85" s="12">
        <v>-25291.146759999996</v>
      </c>
      <c r="F85" s="12">
        <v>-16166.828319999986</v>
      </c>
      <c r="G85" s="41">
        <v>-99916.898819999988</v>
      </c>
      <c r="H85" s="12">
        <v>-27762.033189999998</v>
      </c>
      <c r="I85" s="12">
        <v>-24698.164590000004</v>
      </c>
      <c r="J85" s="12">
        <v>-36145.551219999994</v>
      </c>
      <c r="K85" s="12">
        <v>-32878.714939999976</v>
      </c>
      <c r="L85" s="41">
        <v>-121484.46393999997</v>
      </c>
      <c r="M85" s="12">
        <v>-40371.4764</v>
      </c>
      <c r="N85" s="12">
        <v>-34359.29697000001</v>
      </c>
      <c r="O85" s="12">
        <v>-36413.447199999995</v>
      </c>
      <c r="P85" s="12">
        <v>-21765.95173999999</v>
      </c>
      <c r="Q85" s="41">
        <v>-132910.17230999999</v>
      </c>
      <c r="R85" s="12">
        <v>-33256.633750000001</v>
      </c>
      <c r="S85" s="12">
        <v>-31706.294439999998</v>
      </c>
      <c r="T85" s="12">
        <v>-32463.221389999999</v>
      </c>
      <c r="U85" s="12">
        <v>-34010.672060000012</v>
      </c>
      <c r="V85" s="41">
        <v>-131436.82164000001</v>
      </c>
      <c r="W85" s="12">
        <v>-30577.857820000001</v>
      </c>
      <c r="X85" s="12">
        <v>-39493.117109999992</v>
      </c>
      <c r="Y85" s="12">
        <v>-93228.379900000029</v>
      </c>
      <c r="Z85" s="12">
        <v>-96960.783579999988</v>
      </c>
      <c r="AA85" s="41">
        <v>-260260.13841000001</v>
      </c>
      <c r="AB85" s="12"/>
      <c r="AC85" s="12"/>
      <c r="AD85" s="12"/>
      <c r="AE85" s="12"/>
      <c r="AF85" s="41"/>
      <c r="AG85" s="12"/>
      <c r="AK85" s="41"/>
      <c r="AP85" s="41"/>
      <c r="AU85" s="41"/>
      <c r="AZ85" s="170"/>
      <c r="BA85" s="162"/>
    </row>
    <row r="86" spans="1:53">
      <c r="A86" s="11"/>
      <c r="B86" s="11" t="s">
        <v>423</v>
      </c>
      <c r="C86" s="12">
        <v>0</v>
      </c>
      <c r="D86" s="12">
        <v>0</v>
      </c>
      <c r="E86" s="12">
        <v>0</v>
      </c>
      <c r="F86" s="12">
        <v>0</v>
      </c>
      <c r="G86" s="41">
        <v>0</v>
      </c>
      <c r="H86" s="12">
        <v>0</v>
      </c>
      <c r="I86" s="12">
        <v>0</v>
      </c>
      <c r="J86" s="12">
        <v>0</v>
      </c>
      <c r="K86" s="12">
        <v>0</v>
      </c>
      <c r="L86" s="41">
        <v>0</v>
      </c>
      <c r="M86" s="12">
        <v>0</v>
      </c>
      <c r="N86" s="12">
        <v>0</v>
      </c>
      <c r="O86" s="12">
        <v>0</v>
      </c>
      <c r="P86" s="12">
        <v>0</v>
      </c>
      <c r="Q86" s="41">
        <v>0</v>
      </c>
      <c r="R86" s="12">
        <v>0</v>
      </c>
      <c r="S86" s="12">
        <v>0</v>
      </c>
      <c r="T86" s="12">
        <v>0</v>
      </c>
      <c r="U86" s="12">
        <v>0</v>
      </c>
      <c r="V86" s="41">
        <v>0</v>
      </c>
      <c r="W86" s="12">
        <v>0</v>
      </c>
      <c r="X86" s="12">
        <v>0</v>
      </c>
      <c r="Y86" s="12">
        <v>0</v>
      </c>
      <c r="Z86" s="12">
        <v>0</v>
      </c>
      <c r="AA86" s="41">
        <v>0</v>
      </c>
      <c r="AB86" s="12"/>
      <c r="AC86" s="12"/>
      <c r="AD86" s="12"/>
      <c r="AE86" s="12"/>
      <c r="AF86" s="41"/>
      <c r="AG86" s="12"/>
      <c r="AK86" s="41"/>
      <c r="AP86" s="41"/>
      <c r="AU86" s="41"/>
      <c r="AZ86" s="170"/>
      <c r="BA86" s="162"/>
    </row>
    <row r="87" spans="1:53">
      <c r="A87" s="11"/>
      <c r="B87" s="11" t="s">
        <v>424</v>
      </c>
      <c r="C87" s="12">
        <v>0</v>
      </c>
      <c r="D87" s="12">
        <v>0</v>
      </c>
      <c r="E87" s="12">
        <v>0</v>
      </c>
      <c r="F87" s="12">
        <v>0</v>
      </c>
      <c r="G87" s="41">
        <v>0</v>
      </c>
      <c r="H87" s="12">
        <v>0</v>
      </c>
      <c r="I87" s="12">
        <v>0</v>
      </c>
      <c r="J87" s="12">
        <v>0</v>
      </c>
      <c r="K87" s="12">
        <v>0</v>
      </c>
      <c r="L87" s="41">
        <v>0</v>
      </c>
      <c r="M87" s="12">
        <v>0</v>
      </c>
      <c r="N87" s="12">
        <v>0</v>
      </c>
      <c r="O87" s="12">
        <v>0</v>
      </c>
      <c r="P87" s="12">
        <v>0</v>
      </c>
      <c r="Q87" s="41">
        <v>0</v>
      </c>
      <c r="R87" s="12">
        <v>0</v>
      </c>
      <c r="S87" s="12">
        <v>0</v>
      </c>
      <c r="T87" s="12">
        <v>0</v>
      </c>
      <c r="U87" s="12">
        <v>0</v>
      </c>
      <c r="V87" s="41">
        <v>0</v>
      </c>
      <c r="W87" s="12">
        <v>0</v>
      </c>
      <c r="X87" s="12">
        <v>0</v>
      </c>
      <c r="Y87" s="12">
        <v>0</v>
      </c>
      <c r="Z87" s="12">
        <v>0</v>
      </c>
      <c r="AA87" s="41">
        <v>0</v>
      </c>
      <c r="AB87" s="12"/>
      <c r="AC87" s="12"/>
      <c r="AD87" s="12"/>
      <c r="AE87" s="12"/>
      <c r="AF87" s="41"/>
      <c r="AG87" s="12"/>
      <c r="AK87" s="41"/>
      <c r="AP87" s="41"/>
      <c r="AU87" s="41"/>
      <c r="AZ87" s="170"/>
      <c r="BA87" s="162"/>
    </row>
    <row r="88" spans="1:53" s="2" customFormat="1">
      <c r="A88" s="15"/>
      <c r="B88" s="15" t="s">
        <v>450</v>
      </c>
      <c r="C88" s="16">
        <v>80310.076479995842</v>
      </c>
      <c r="D88" s="16">
        <v>83574.537329992454</v>
      </c>
      <c r="E88" s="16">
        <v>69406.647890021239</v>
      </c>
      <c r="F88" s="16">
        <v>83535.587299992476</v>
      </c>
      <c r="G88" s="45">
        <v>316826.84900000202</v>
      </c>
      <c r="H88" s="16">
        <v>76071.798430013048</v>
      </c>
      <c r="I88" s="16">
        <v>67516.215699960638</v>
      </c>
      <c r="J88" s="16">
        <v>98300.209630012803</v>
      </c>
      <c r="K88" s="16">
        <v>127802.89918002783</v>
      </c>
      <c r="L88" s="45">
        <v>369691.12294001435</v>
      </c>
      <c r="M88" s="16">
        <v>110793.90787000475</v>
      </c>
      <c r="N88" s="16">
        <v>93344.418699978429</v>
      </c>
      <c r="O88" s="16">
        <v>96284.339989999542</v>
      </c>
      <c r="P88" s="16">
        <v>113126.70733002477</v>
      </c>
      <c r="Q88" s="45">
        <v>413549.3738900075</v>
      </c>
      <c r="R88" s="16">
        <v>132872.27084997346</v>
      </c>
      <c r="S88" s="16">
        <v>126686.02564004186</v>
      </c>
      <c r="T88" s="16">
        <v>129716.44603003931</v>
      </c>
      <c r="U88" s="16">
        <v>135826.51226990149</v>
      </c>
      <c r="V88" s="45">
        <v>525101.25478995615</v>
      </c>
      <c r="W88" s="16">
        <v>122272.73420001092</v>
      </c>
      <c r="X88" s="16">
        <v>154483.24883001536</v>
      </c>
      <c r="Y88" s="16">
        <v>372821.49925006076</v>
      </c>
      <c r="Z88" s="16">
        <v>397705.69142989424</v>
      </c>
      <c r="AA88" s="45">
        <v>1047283.1737099814</v>
      </c>
      <c r="AB88" s="16"/>
      <c r="AC88" s="16"/>
      <c r="AD88" s="16"/>
      <c r="AE88" s="16"/>
      <c r="AF88" s="45"/>
      <c r="AG88" s="16"/>
      <c r="AH88" s="16"/>
      <c r="AI88" s="16"/>
      <c r="AJ88" s="16"/>
      <c r="AK88" s="45"/>
      <c r="AL88" s="16"/>
      <c r="AM88" s="16"/>
      <c r="AN88" s="16"/>
      <c r="AO88" s="16"/>
      <c r="AP88" s="45"/>
      <c r="AQ88" s="16"/>
      <c r="AR88" s="16"/>
      <c r="AS88" s="16"/>
      <c r="AT88" s="16"/>
      <c r="AU88" s="45"/>
      <c r="AV88" s="16"/>
      <c r="AW88" s="16"/>
      <c r="AX88" s="16"/>
      <c r="AY88" s="16"/>
      <c r="AZ88" s="45"/>
      <c r="BA88" s="666"/>
    </row>
    <row r="89" spans="1:53">
      <c r="A89" s="11"/>
      <c r="B89" s="11" t="s">
        <v>468</v>
      </c>
      <c r="C89" s="13">
        <v>80310.076479995842</v>
      </c>
      <c r="D89" s="13">
        <v>83574.537329992454</v>
      </c>
      <c r="E89" s="13">
        <v>69406.647890021239</v>
      </c>
      <c r="F89" s="13">
        <v>83535.587299992476</v>
      </c>
      <c r="G89" s="41">
        <v>316826.84900000202</v>
      </c>
      <c r="H89" s="13">
        <v>76071.798430013048</v>
      </c>
      <c r="I89" s="13">
        <v>67516.215699960638</v>
      </c>
      <c r="J89" s="13">
        <v>98300.209630012803</v>
      </c>
      <c r="K89" s="13">
        <v>127802.89918002783</v>
      </c>
      <c r="L89" s="41">
        <v>369691.12294001435</v>
      </c>
      <c r="M89" s="13">
        <v>110793.90787000475</v>
      </c>
      <c r="N89" s="13">
        <v>93344.418699978429</v>
      </c>
      <c r="O89" s="13">
        <v>96284.339989999542</v>
      </c>
      <c r="P89" s="13">
        <v>113126.70733002477</v>
      </c>
      <c r="Q89" s="41">
        <v>413549.3738900075</v>
      </c>
      <c r="R89" s="13">
        <v>132872.27084997346</v>
      </c>
      <c r="S89" s="13">
        <v>126686.02564004186</v>
      </c>
      <c r="T89" s="13">
        <v>129716.44603003931</v>
      </c>
      <c r="U89" s="13">
        <v>135826.51226990149</v>
      </c>
      <c r="V89" s="41">
        <v>525101.25478995615</v>
      </c>
      <c r="W89" s="13">
        <v>122272.73420001092</v>
      </c>
      <c r="X89" s="13">
        <v>154483.24883001536</v>
      </c>
      <c r="Y89" s="13">
        <v>372821.49925006076</v>
      </c>
      <c r="Z89" s="13">
        <v>397705.69142989424</v>
      </c>
      <c r="AA89" s="41">
        <v>1047283.1737099814</v>
      </c>
      <c r="AB89" s="13"/>
      <c r="AC89" s="13"/>
      <c r="AD89" s="13"/>
      <c r="AE89" s="13"/>
      <c r="AF89" s="41"/>
      <c r="AG89" s="13"/>
      <c r="AK89" s="41"/>
      <c r="AP89" s="41"/>
      <c r="AU89" s="41"/>
      <c r="AZ89" s="170"/>
      <c r="BA89" s="162"/>
    </row>
    <row r="90" spans="1:53">
      <c r="A90" s="11"/>
      <c r="B90" s="11" t="s">
        <v>436</v>
      </c>
      <c r="C90" s="13">
        <v>0</v>
      </c>
      <c r="D90" s="13">
        <v>0</v>
      </c>
      <c r="E90" s="13">
        <v>0</v>
      </c>
      <c r="F90" s="13">
        <v>0</v>
      </c>
      <c r="G90" s="41">
        <v>0</v>
      </c>
      <c r="H90" s="13">
        <v>0</v>
      </c>
      <c r="I90" s="13">
        <v>0</v>
      </c>
      <c r="J90" s="13">
        <v>0</v>
      </c>
      <c r="K90" s="13">
        <v>0</v>
      </c>
      <c r="L90" s="41">
        <v>0</v>
      </c>
      <c r="M90" s="13">
        <v>0</v>
      </c>
      <c r="N90" s="13">
        <v>0</v>
      </c>
      <c r="O90" s="13">
        <v>0</v>
      </c>
      <c r="P90" s="13">
        <v>0</v>
      </c>
      <c r="Q90" s="41">
        <v>0</v>
      </c>
      <c r="R90" s="13">
        <v>0</v>
      </c>
      <c r="S90" s="13">
        <v>0</v>
      </c>
      <c r="T90" s="13">
        <v>0</v>
      </c>
      <c r="U90" s="13">
        <v>0</v>
      </c>
      <c r="V90" s="41">
        <v>0</v>
      </c>
      <c r="W90" s="13">
        <v>0</v>
      </c>
      <c r="X90" s="13">
        <v>0</v>
      </c>
      <c r="Y90" s="13">
        <v>0</v>
      </c>
      <c r="Z90" s="13">
        <v>0</v>
      </c>
      <c r="AA90" s="41">
        <v>0</v>
      </c>
      <c r="AB90" s="13"/>
      <c r="AC90" s="13"/>
      <c r="AD90" s="13"/>
      <c r="AE90" s="13"/>
      <c r="AF90" s="41"/>
      <c r="AG90" s="13"/>
      <c r="AK90" s="41"/>
      <c r="AP90" s="41"/>
      <c r="AU90" s="41"/>
      <c r="AZ90" s="170"/>
      <c r="BA90" s="162"/>
    </row>
    <row r="91" spans="1:53">
      <c r="A91" s="11"/>
      <c r="B91" s="11" t="s">
        <v>470</v>
      </c>
      <c r="C91" s="13">
        <v>80310.076479995842</v>
      </c>
      <c r="D91" s="13">
        <v>83574.537329992454</v>
      </c>
      <c r="E91" s="13">
        <v>69406.647890021239</v>
      </c>
      <c r="F91" s="13">
        <v>83535.587299992476</v>
      </c>
      <c r="G91" s="41">
        <v>316826.84900000202</v>
      </c>
      <c r="H91" s="13">
        <v>76071.798430013048</v>
      </c>
      <c r="I91" s="13">
        <v>67516.215699960638</v>
      </c>
      <c r="J91" s="13">
        <v>98300.209630012803</v>
      </c>
      <c r="K91" s="13">
        <v>127802.89918002783</v>
      </c>
      <c r="L91" s="41">
        <v>369691.12294001435</v>
      </c>
      <c r="M91" s="13">
        <v>110793.90787000475</v>
      </c>
      <c r="N91" s="13">
        <v>93344.418699978429</v>
      </c>
      <c r="O91" s="13">
        <v>96284.339989999542</v>
      </c>
      <c r="P91" s="13">
        <v>113126.70733002477</v>
      </c>
      <c r="Q91" s="41">
        <v>413549.3738900075</v>
      </c>
      <c r="R91" s="13">
        <v>132872.27084997346</v>
      </c>
      <c r="S91" s="13">
        <v>126686.02564004186</v>
      </c>
      <c r="T91" s="13">
        <v>129716.44603003931</v>
      </c>
      <c r="U91" s="13">
        <v>135826.51226990149</v>
      </c>
      <c r="V91" s="41">
        <v>525101.25478995615</v>
      </c>
      <c r="W91" s="13">
        <v>122272.73420001092</v>
      </c>
      <c r="X91" s="13">
        <v>154483.24883001536</v>
      </c>
      <c r="Y91" s="13">
        <v>372821.49925006076</v>
      </c>
      <c r="Z91" s="13">
        <v>397705.69142989424</v>
      </c>
      <c r="AA91" s="41">
        <v>1047283.1737099814</v>
      </c>
      <c r="AB91" s="13"/>
      <c r="AC91" s="13"/>
      <c r="AD91" s="13"/>
      <c r="AE91" s="13"/>
      <c r="AF91" s="41"/>
      <c r="AG91" s="13"/>
      <c r="AK91" s="41"/>
      <c r="AP91" s="41"/>
      <c r="AU91" s="41"/>
      <c r="AZ91" s="170"/>
      <c r="BA91" s="162"/>
    </row>
    <row r="92" spans="1:53">
      <c r="A92" s="11"/>
      <c r="B92" s="11" t="s">
        <v>471</v>
      </c>
      <c r="C92" s="13">
        <v>0</v>
      </c>
      <c r="D92" s="13">
        <v>0</v>
      </c>
      <c r="E92" s="13">
        <v>0</v>
      </c>
      <c r="F92" s="13">
        <v>0</v>
      </c>
      <c r="G92" s="41">
        <v>0</v>
      </c>
      <c r="H92" s="13">
        <v>0</v>
      </c>
      <c r="I92" s="13">
        <v>0</v>
      </c>
      <c r="J92" s="13">
        <v>0</v>
      </c>
      <c r="K92" s="13">
        <v>0</v>
      </c>
      <c r="L92" s="41">
        <v>0</v>
      </c>
      <c r="M92" s="13">
        <v>0</v>
      </c>
      <c r="N92" s="13">
        <v>0</v>
      </c>
      <c r="O92" s="13">
        <v>0</v>
      </c>
      <c r="P92" s="13">
        <v>0</v>
      </c>
      <c r="Q92" s="41">
        <v>0</v>
      </c>
      <c r="R92" s="13">
        <v>0</v>
      </c>
      <c r="S92" s="13">
        <v>0</v>
      </c>
      <c r="T92" s="13">
        <v>0</v>
      </c>
      <c r="U92" s="13">
        <v>0</v>
      </c>
      <c r="V92" s="41">
        <v>0</v>
      </c>
      <c r="W92" s="13">
        <v>0</v>
      </c>
      <c r="X92" s="13">
        <v>0</v>
      </c>
      <c r="Y92" s="13">
        <v>0</v>
      </c>
      <c r="Z92" s="1">
        <v>0</v>
      </c>
      <c r="AA92" s="41">
        <v>0</v>
      </c>
      <c r="AB92" s="13"/>
      <c r="AC92" s="13"/>
      <c r="AD92" s="13"/>
      <c r="AE92" s="13"/>
      <c r="AF92" s="41"/>
      <c r="AG92" s="13"/>
      <c r="AK92" s="41"/>
      <c r="AP92" s="41"/>
      <c r="AU92" s="41"/>
      <c r="AZ92" s="170"/>
      <c r="BA92" s="162"/>
    </row>
    <row r="93" spans="1:53" s="371" customFormat="1" ht="15.75" thickBot="1">
      <c r="A93" s="375"/>
      <c r="B93" s="17" t="s">
        <v>451</v>
      </c>
      <c r="C93" s="376">
        <v>0.48209999999999997</v>
      </c>
      <c r="D93" s="376">
        <v>0.48209999999999997</v>
      </c>
      <c r="E93" s="376">
        <v>0.48209999999999997</v>
      </c>
      <c r="F93" s="376">
        <v>0.48209999999999997</v>
      </c>
      <c r="G93" s="377">
        <v>0.48209999999999997</v>
      </c>
      <c r="H93" s="376">
        <v>0.48209999999999997</v>
      </c>
      <c r="I93" s="376">
        <v>0.48209999999999997</v>
      </c>
      <c r="J93" s="376">
        <v>0.48209999999999997</v>
      </c>
      <c r="K93" s="376">
        <v>0.48209999999999997</v>
      </c>
      <c r="L93" s="377">
        <v>0.48209999999999997</v>
      </c>
      <c r="M93" s="376">
        <v>0.48209999999999997</v>
      </c>
      <c r="N93" s="376">
        <v>0.48209999999999997</v>
      </c>
      <c r="O93" s="376">
        <v>0.48209999999999997</v>
      </c>
      <c r="P93" s="376">
        <v>0.48209999999999997</v>
      </c>
      <c r="Q93" s="377">
        <v>0.48209999999999997</v>
      </c>
      <c r="R93" s="376">
        <v>0.48209999999999997</v>
      </c>
      <c r="S93" s="376">
        <v>0.48209999999999997</v>
      </c>
      <c r="T93" s="376">
        <v>0.48209999999999997</v>
      </c>
      <c r="U93" s="376">
        <v>0.48209999999999997</v>
      </c>
      <c r="V93" s="377">
        <v>0.48209999999999997</v>
      </c>
      <c r="W93" s="376">
        <v>0.48209999999999997</v>
      </c>
      <c r="X93" s="376">
        <v>0.48209999999999997</v>
      </c>
      <c r="Y93" s="376">
        <v>0.48209999999999997</v>
      </c>
      <c r="Z93" s="376">
        <v>0.48209999999999997</v>
      </c>
      <c r="AA93" s="377">
        <v>0.48209999999999997</v>
      </c>
      <c r="AB93" s="376"/>
      <c r="AC93" s="376"/>
      <c r="AD93" s="376"/>
      <c r="AE93" s="376"/>
      <c r="AF93" s="377"/>
      <c r="AG93" s="376"/>
      <c r="AK93" s="377"/>
      <c r="AP93" s="377"/>
      <c r="AU93" s="377"/>
      <c r="AZ93" s="377"/>
      <c r="BA93" s="376"/>
    </row>
    <row r="94" spans="1:53" ht="15.75" thickBot="1"/>
    <row r="95" spans="1:53" s="2" customFormat="1">
      <c r="A95" s="625"/>
      <c r="B95" s="625" t="s">
        <v>496</v>
      </c>
      <c r="C95" s="626" t="s">
        <v>224</v>
      </c>
      <c r="D95" s="626" t="s">
        <v>225</v>
      </c>
      <c r="E95" s="626" t="s">
        <v>226</v>
      </c>
      <c r="F95" s="626" t="s">
        <v>227</v>
      </c>
      <c r="G95" s="652">
        <v>2016</v>
      </c>
      <c r="H95" s="626" t="s">
        <v>228</v>
      </c>
      <c r="I95" s="626" t="s">
        <v>229</v>
      </c>
      <c r="J95" s="626" t="s">
        <v>230</v>
      </c>
      <c r="K95" s="626" t="s">
        <v>231</v>
      </c>
      <c r="L95" s="652">
        <v>2017</v>
      </c>
      <c r="M95" s="626" t="s">
        <v>232</v>
      </c>
      <c r="N95" s="626" t="s">
        <v>233</v>
      </c>
      <c r="O95" s="626" t="s">
        <v>234</v>
      </c>
      <c r="P95" s="626" t="s">
        <v>235</v>
      </c>
      <c r="Q95" s="652">
        <v>2018</v>
      </c>
      <c r="R95" s="626" t="s">
        <v>236</v>
      </c>
      <c r="S95" s="626" t="s">
        <v>237</v>
      </c>
      <c r="T95" s="626" t="s">
        <v>238</v>
      </c>
      <c r="U95" s="626" t="s">
        <v>239</v>
      </c>
      <c r="V95" s="652">
        <v>2019</v>
      </c>
      <c r="W95" s="626" t="s">
        <v>240</v>
      </c>
      <c r="X95" s="626" t="s">
        <v>241</v>
      </c>
      <c r="Y95" s="626" t="s">
        <v>242</v>
      </c>
      <c r="Z95" s="626" t="s">
        <v>243</v>
      </c>
      <c r="AA95" s="652">
        <v>2020</v>
      </c>
      <c r="AB95" s="626" t="s">
        <v>244</v>
      </c>
      <c r="AC95" s="626" t="s">
        <v>245</v>
      </c>
      <c r="AD95" s="626" t="s">
        <v>246</v>
      </c>
      <c r="AE95" s="626" t="s">
        <v>247</v>
      </c>
      <c r="AF95" s="652">
        <v>2021</v>
      </c>
      <c r="AG95" s="626" t="s">
        <v>248</v>
      </c>
      <c r="AH95" s="626" t="s">
        <v>249</v>
      </c>
      <c r="AI95" s="626" t="s">
        <v>250</v>
      </c>
      <c r="AJ95" s="626" t="s">
        <v>215</v>
      </c>
      <c r="AK95" s="652">
        <v>2022</v>
      </c>
      <c r="AL95" s="626" t="s">
        <v>252</v>
      </c>
      <c r="AM95" s="626" t="s">
        <v>253</v>
      </c>
      <c r="AN95" s="626" t="s">
        <v>254</v>
      </c>
      <c r="AO95" s="626" t="s">
        <v>219</v>
      </c>
      <c r="AP95" s="652">
        <v>2023</v>
      </c>
      <c r="AQ95" s="626" t="s">
        <v>223</v>
      </c>
      <c r="AR95" s="626" t="s">
        <v>256</v>
      </c>
      <c r="AS95" s="626" t="s">
        <v>357</v>
      </c>
      <c r="AT95" s="626" t="s">
        <v>358</v>
      </c>
      <c r="AU95" s="652">
        <v>2024</v>
      </c>
      <c r="AV95" s="626" t="s">
        <v>359</v>
      </c>
      <c r="AW95" s="626" t="s">
        <v>1115</v>
      </c>
      <c r="AX95" s="626" t="s">
        <v>1116</v>
      </c>
      <c r="AY95" s="626" t="s">
        <v>1117</v>
      </c>
      <c r="AZ95" s="653" t="s">
        <v>1118</v>
      </c>
      <c r="BA95" s="645" t="s">
        <v>1124</v>
      </c>
    </row>
    <row r="96" spans="1:53" s="2" customFormat="1">
      <c r="A96" s="9"/>
      <c r="B96" s="9" t="s">
        <v>497</v>
      </c>
      <c r="C96" s="10">
        <v>46748.637000000002</v>
      </c>
      <c r="D96" s="10">
        <v>48153.510999999999</v>
      </c>
      <c r="E96" s="10">
        <v>48986.414000000004</v>
      </c>
      <c r="F96" s="10">
        <v>56912.45199999999</v>
      </c>
      <c r="G96" s="39">
        <v>200801.014</v>
      </c>
      <c r="H96" s="10">
        <v>62073.759600000041</v>
      </c>
      <c r="I96" s="10">
        <v>56079.875619999992</v>
      </c>
      <c r="J96" s="10">
        <v>52771.135099999963</v>
      </c>
      <c r="K96" s="10">
        <v>48634.206610000001</v>
      </c>
      <c r="L96" s="39">
        <v>219558.97692999998</v>
      </c>
      <c r="M96" s="10">
        <v>52787.556800000028</v>
      </c>
      <c r="N96" s="10">
        <v>60645.888789999961</v>
      </c>
      <c r="O96" s="10">
        <v>71949.643370000005</v>
      </c>
      <c r="P96" s="10">
        <v>81424.831979999959</v>
      </c>
      <c r="Q96" s="39">
        <v>266807.92093999998</v>
      </c>
      <c r="R96" s="10">
        <v>79207.086539999975</v>
      </c>
      <c r="S96" s="10">
        <v>84265.416069999992</v>
      </c>
      <c r="T96" s="10">
        <v>77272.27350999997</v>
      </c>
      <c r="U96" s="10">
        <v>74401.498360000012</v>
      </c>
      <c r="V96" s="39">
        <v>315146.27447999996</v>
      </c>
      <c r="W96" s="10">
        <v>69936.039359999966</v>
      </c>
      <c r="X96" s="10">
        <v>54432.163869999931</v>
      </c>
      <c r="Y96" s="10">
        <v>55297.92948000005</v>
      </c>
      <c r="Z96" s="10">
        <v>51405.179180000006</v>
      </c>
      <c r="AA96" s="39">
        <v>231071.31188999995</v>
      </c>
      <c r="AB96" s="10">
        <v>42436.46027000004</v>
      </c>
      <c r="AC96" s="10">
        <v>37613.3073899999</v>
      </c>
      <c r="AD96" s="76">
        <v>27019.259330000059</v>
      </c>
      <c r="AE96" s="76">
        <v>21349.281420000032</v>
      </c>
      <c r="AF96" s="39">
        <v>128418.30841000003</v>
      </c>
      <c r="AG96" s="76">
        <v>17078</v>
      </c>
      <c r="AH96" s="76">
        <v>13290</v>
      </c>
      <c r="AI96" s="76">
        <v>11779</v>
      </c>
      <c r="AJ96" s="76">
        <v>3509</v>
      </c>
      <c r="AK96" s="39">
        <f>SUM(AG96:AJ96)</f>
        <v>45656</v>
      </c>
      <c r="AL96" s="76"/>
      <c r="AM96" s="76"/>
      <c r="AN96" s="76"/>
      <c r="AO96" s="76"/>
      <c r="AP96" s="39">
        <f>SUM(AL96:AO96)</f>
        <v>0</v>
      </c>
      <c r="AQ96" s="76"/>
      <c r="AR96" s="76"/>
      <c r="AS96" s="76"/>
      <c r="AT96" s="76"/>
      <c r="AU96" s="39">
        <f>SUM(AQ96:AT96)</f>
        <v>0</v>
      </c>
      <c r="AV96" s="76"/>
      <c r="AW96" s="76"/>
      <c r="AX96" s="76"/>
      <c r="AY96" s="76"/>
      <c r="AZ96" s="39">
        <f>SUM(AV96:AY96)</f>
        <v>0</v>
      </c>
      <c r="BA96" s="10"/>
    </row>
    <row r="97" spans="1:53">
      <c r="A97" s="11"/>
      <c r="B97" s="11" t="s">
        <v>498</v>
      </c>
      <c r="C97" s="8">
        <v>283931.30800000002</v>
      </c>
      <c r="D97" s="8">
        <v>298195.69899999996</v>
      </c>
      <c r="E97" s="8">
        <v>295249.16399999999</v>
      </c>
      <c r="F97" s="8">
        <v>311515.32699999993</v>
      </c>
      <c r="G97" s="40">
        <v>1188891.4979999999</v>
      </c>
      <c r="H97" s="12">
        <v>305829.71931000007</v>
      </c>
      <c r="I97" s="12">
        <v>309314.83521000005</v>
      </c>
      <c r="J97" s="12">
        <v>300499.06349999999</v>
      </c>
      <c r="K97" s="12">
        <v>292263.90581999999</v>
      </c>
      <c r="L97" s="40">
        <v>1207907.5238400002</v>
      </c>
      <c r="M97" s="12">
        <v>312843.92284000001</v>
      </c>
      <c r="N97" s="12">
        <v>353566.81500999996</v>
      </c>
      <c r="O97" s="12">
        <v>370442.69154000003</v>
      </c>
      <c r="P97" s="12">
        <v>370259.79545999999</v>
      </c>
      <c r="Q97" s="40">
        <v>1407113.2248499999</v>
      </c>
      <c r="R97" s="12">
        <v>384435.65013000002</v>
      </c>
      <c r="S97" s="12">
        <v>425569.90077000001</v>
      </c>
      <c r="T97" s="12">
        <v>393735.64535000001</v>
      </c>
      <c r="U97" s="12">
        <v>400580.11450000003</v>
      </c>
      <c r="V97" s="40">
        <v>1604321.3107500002</v>
      </c>
      <c r="W97" s="12">
        <v>382614.13185999996</v>
      </c>
      <c r="X97" s="12">
        <v>332048.42835999996</v>
      </c>
      <c r="Y97" s="12">
        <v>338577.15459000005</v>
      </c>
      <c r="Z97" s="12">
        <v>324530.33168</v>
      </c>
      <c r="AA97" s="40">
        <v>1377770.0464899999</v>
      </c>
      <c r="AB97" s="12">
        <v>305626.61497000005</v>
      </c>
      <c r="AC97" s="12">
        <v>300265.65397999994</v>
      </c>
      <c r="AD97" s="1">
        <v>274753.95098000002</v>
      </c>
      <c r="AE97" s="1">
        <v>258698.76781999998</v>
      </c>
      <c r="AF97" s="40">
        <v>1139344.9877499999</v>
      </c>
      <c r="AG97" s="12">
        <v>235872</v>
      </c>
      <c r="AH97" s="12">
        <v>217654</v>
      </c>
      <c r="AI97" s="1">
        <v>201274</v>
      </c>
      <c r="AJ97" s="1">
        <v>62185</v>
      </c>
      <c r="AK97" s="40">
        <f t="shared" ref="AK97:AK120" si="36">SUM(AG97:AJ97)</f>
        <v>716985</v>
      </c>
      <c r="AL97" s="12"/>
      <c r="AM97" s="12"/>
      <c r="AN97" s="1"/>
      <c r="AO97" s="1"/>
      <c r="AP97" s="40">
        <f t="shared" ref="AP97:AP120" si="37">SUM(AL97:AO97)</f>
        <v>0</v>
      </c>
      <c r="AQ97" s="12"/>
      <c r="AR97" s="12"/>
      <c r="AS97" s="1"/>
      <c r="AT97" s="1"/>
      <c r="AU97" s="40">
        <f t="shared" ref="AU97:AU120" si="38">SUM(AQ97:AT97)</f>
        <v>0</v>
      </c>
      <c r="AV97" s="1"/>
      <c r="AW97" s="1"/>
      <c r="AX97" s="1"/>
      <c r="AY97" s="1"/>
      <c r="AZ97" s="40">
        <f t="shared" ref="AZ97:AZ120" si="39">SUM(AV97:AY97)</f>
        <v>0</v>
      </c>
      <c r="BA97" s="8"/>
    </row>
    <row r="98" spans="1:53">
      <c r="A98" s="11"/>
      <c r="B98" s="11" t="s">
        <v>499</v>
      </c>
      <c r="C98" s="8">
        <v>-237182.671</v>
      </c>
      <c r="D98" s="8">
        <v>-250042.18799999999</v>
      </c>
      <c r="E98" s="8">
        <v>-246262.75000000006</v>
      </c>
      <c r="F98" s="8">
        <v>-254602.875</v>
      </c>
      <c r="G98" s="40">
        <v>-988090.48400000005</v>
      </c>
      <c r="H98" s="12">
        <v>-243755.95970999997</v>
      </c>
      <c r="I98" s="12">
        <v>-253234.95959000004</v>
      </c>
      <c r="J98" s="12">
        <v>-247727.92840000003</v>
      </c>
      <c r="K98" s="12">
        <v>-243629.69920999999</v>
      </c>
      <c r="L98" s="40">
        <v>-988348.54691000003</v>
      </c>
      <c r="M98" s="12">
        <v>-260056.36604000002</v>
      </c>
      <c r="N98" s="12">
        <v>-292920.92622000002</v>
      </c>
      <c r="O98" s="12">
        <v>-298493.04817000002</v>
      </c>
      <c r="P98" s="12">
        <v>-288834.96348000003</v>
      </c>
      <c r="Q98" s="40">
        <v>-1140305.3039100002</v>
      </c>
      <c r="R98" s="12">
        <v>-305228.56359000003</v>
      </c>
      <c r="S98" s="12">
        <v>-341304.48469999997</v>
      </c>
      <c r="T98" s="12">
        <v>-316463.37184000004</v>
      </c>
      <c r="U98" s="12">
        <v>-326178.61614</v>
      </c>
      <c r="V98" s="40">
        <v>-1289175.03627</v>
      </c>
      <c r="W98" s="12">
        <v>-312678.09250000003</v>
      </c>
      <c r="X98" s="12">
        <v>-277616.26449000003</v>
      </c>
      <c r="Y98" s="12">
        <v>-283279.22511</v>
      </c>
      <c r="Z98" s="12">
        <v>-273125.15250000003</v>
      </c>
      <c r="AA98" s="40">
        <v>-1146698.7346000001</v>
      </c>
      <c r="AB98" s="12">
        <v>-263190.15469999996</v>
      </c>
      <c r="AC98" s="12">
        <v>-262652.34659000003</v>
      </c>
      <c r="AD98" s="1">
        <v>-247734.69164999996</v>
      </c>
      <c r="AE98" s="1">
        <v>-237349.48639999997</v>
      </c>
      <c r="AF98" s="40">
        <v>-1010926.6793399999</v>
      </c>
      <c r="AG98" s="12">
        <v>-218795</v>
      </c>
      <c r="AH98" s="12">
        <v>-204364</v>
      </c>
      <c r="AI98" s="1">
        <v>-189496</v>
      </c>
      <c r="AJ98" s="1">
        <v>-58676</v>
      </c>
      <c r="AK98" s="40">
        <f t="shared" si="36"/>
        <v>-671331</v>
      </c>
      <c r="AL98" s="12"/>
      <c r="AM98" s="12"/>
      <c r="AN98" s="1"/>
      <c r="AO98" s="1"/>
      <c r="AP98" s="40">
        <f t="shared" si="37"/>
        <v>0</v>
      </c>
      <c r="AQ98" s="12"/>
      <c r="AR98" s="12"/>
      <c r="AS98" s="1"/>
      <c r="AT98" s="1"/>
      <c r="AU98" s="40">
        <f t="shared" si="38"/>
        <v>0</v>
      </c>
      <c r="AV98" s="1"/>
      <c r="AW98" s="1"/>
      <c r="AX98" s="1"/>
      <c r="AY98" s="1"/>
      <c r="AZ98" s="40">
        <f t="shared" si="39"/>
        <v>0</v>
      </c>
      <c r="BA98" s="8"/>
    </row>
    <row r="99" spans="1:53">
      <c r="A99" s="11"/>
      <c r="B99" s="73" t="s">
        <v>500</v>
      </c>
      <c r="C99" s="8">
        <v>-31.882999999999999</v>
      </c>
      <c r="D99" s="8">
        <v>272.738</v>
      </c>
      <c r="E99" s="8">
        <v>389.53199999999993</v>
      </c>
      <c r="F99" s="8">
        <v>-563.2109999999999</v>
      </c>
      <c r="G99" s="40">
        <v>67.176000000000045</v>
      </c>
      <c r="H99" s="12">
        <v>115.76826000000351</v>
      </c>
      <c r="I99" s="12">
        <v>53.732369999989871</v>
      </c>
      <c r="J99" s="12">
        <v>49.522540000000966</v>
      </c>
      <c r="K99" s="12">
        <v>7643.3759400000026</v>
      </c>
      <c r="L99" s="40">
        <v>7862.3991099999967</v>
      </c>
      <c r="M99" s="12">
        <v>-5.4028699999982495</v>
      </c>
      <c r="N99" s="12">
        <v>-131.89872000000068</v>
      </c>
      <c r="O99" s="12">
        <v>-170.52324999999999</v>
      </c>
      <c r="P99" s="12">
        <v>-277.87678999999724</v>
      </c>
      <c r="Q99" s="40">
        <v>-585.70162999999616</v>
      </c>
      <c r="R99" s="12">
        <v>-2756.5805400000017</v>
      </c>
      <c r="S99" s="12">
        <v>-589.34432000000959</v>
      </c>
      <c r="T99" s="12">
        <v>-100.92600999999442</v>
      </c>
      <c r="U99" s="12">
        <v>-48.066280000001193</v>
      </c>
      <c r="V99" s="40">
        <v>-3494.917150000007</v>
      </c>
      <c r="W99" s="12">
        <v>-30.878470000004395</v>
      </c>
      <c r="X99" s="12">
        <v>151.63577000000143</v>
      </c>
      <c r="Y99" s="12">
        <v>198.59387000000103</v>
      </c>
      <c r="Z99" s="12">
        <v>181.22758000000007</v>
      </c>
      <c r="AA99" s="40">
        <v>500.57874999999819</v>
      </c>
      <c r="AB99" s="12">
        <v>335.22385999999568</v>
      </c>
      <c r="AC99" s="12">
        <v>639.97229000000095</v>
      </c>
      <c r="AD99" s="1">
        <v>989.85638999999878</v>
      </c>
      <c r="AE99" s="1">
        <v>-4783.9369999999999</v>
      </c>
      <c r="AF99" s="40">
        <v>-2818.8844600000048</v>
      </c>
      <c r="AG99" s="12">
        <v>1034</v>
      </c>
      <c r="AH99" s="12">
        <v>1029</v>
      </c>
      <c r="AI99" s="1">
        <v>305</v>
      </c>
      <c r="AJ99" s="1">
        <v>69</v>
      </c>
      <c r="AK99" s="40">
        <f t="shared" si="36"/>
        <v>2437</v>
      </c>
      <c r="AL99" s="12"/>
      <c r="AM99" s="12"/>
      <c r="AN99" s="1"/>
      <c r="AO99" s="1"/>
      <c r="AP99" s="40">
        <f t="shared" si="37"/>
        <v>0</v>
      </c>
      <c r="AQ99" s="12"/>
      <c r="AR99" s="12"/>
      <c r="AS99" s="1"/>
      <c r="AT99" s="1"/>
      <c r="AU99" s="40">
        <f t="shared" si="38"/>
        <v>0</v>
      </c>
      <c r="AV99" s="1"/>
      <c r="AW99" s="1"/>
      <c r="AX99" s="1"/>
      <c r="AY99" s="1"/>
      <c r="AZ99" s="40">
        <f t="shared" si="39"/>
        <v>0</v>
      </c>
      <c r="BA99" s="8"/>
    </row>
    <row r="100" spans="1:53">
      <c r="A100" s="11"/>
      <c r="B100" s="73" t="s">
        <v>501</v>
      </c>
      <c r="C100" s="8">
        <v>-12715.117</v>
      </c>
      <c r="D100" s="8">
        <v>-12869.457</v>
      </c>
      <c r="E100" s="8">
        <v>-10922.970000000001</v>
      </c>
      <c r="F100" s="8">
        <v>-12498.57</v>
      </c>
      <c r="G100" s="40">
        <v>-49006.114000000001</v>
      </c>
      <c r="H100" s="12">
        <v>-16155.108700000001</v>
      </c>
      <c r="I100" s="12">
        <v>-14590.806199999999</v>
      </c>
      <c r="J100" s="12">
        <v>-10054.78614</v>
      </c>
      <c r="K100" s="12">
        <v>-11538.903179999999</v>
      </c>
      <c r="L100" s="40">
        <v>-52339.604220000001</v>
      </c>
      <c r="M100" s="12">
        <v>-9501.8238600000004</v>
      </c>
      <c r="N100" s="12">
        <v>-11072.5137</v>
      </c>
      <c r="O100" s="12">
        <v>-11431.426089999997</v>
      </c>
      <c r="P100" s="12">
        <v>-13028.511759999998</v>
      </c>
      <c r="Q100" s="40">
        <v>-45034.275409999995</v>
      </c>
      <c r="R100" s="12">
        <v>-11008.117320000001</v>
      </c>
      <c r="S100" s="12">
        <v>-11925.861579999999</v>
      </c>
      <c r="T100" s="12">
        <v>20579.822550000008</v>
      </c>
      <c r="U100" s="12">
        <v>-13871.867009999998</v>
      </c>
      <c r="V100" s="40">
        <v>-16226.023359999992</v>
      </c>
      <c r="W100" s="12">
        <v>-17465.432179999993</v>
      </c>
      <c r="X100" s="12">
        <v>-8548.4704600000005</v>
      </c>
      <c r="Y100" s="12">
        <v>-7366.9462500000009</v>
      </c>
      <c r="Z100" s="12">
        <v>-14768.694890000001</v>
      </c>
      <c r="AA100" s="40">
        <v>-48149.543779999993</v>
      </c>
      <c r="AB100" s="12">
        <v>-8882.0421200000001</v>
      </c>
      <c r="AC100" s="12">
        <v>-8947.0833799999982</v>
      </c>
      <c r="AD100" s="1">
        <v>-9194.4154400000007</v>
      </c>
      <c r="AE100" s="1">
        <v>-7636.4060600000003</v>
      </c>
      <c r="AF100" s="40">
        <v>-34659.947</v>
      </c>
      <c r="AG100" s="12">
        <v>-7732</v>
      </c>
      <c r="AH100" s="12">
        <v>-5667</v>
      </c>
      <c r="AI100" s="1">
        <v>-5800</v>
      </c>
      <c r="AJ100" s="1">
        <v>-1148</v>
      </c>
      <c r="AK100" s="40">
        <f t="shared" si="36"/>
        <v>-20347</v>
      </c>
      <c r="AL100" s="12"/>
      <c r="AM100" s="12"/>
      <c r="AN100" s="1"/>
      <c r="AO100" s="1"/>
      <c r="AP100" s="40">
        <f t="shared" si="37"/>
        <v>0</v>
      </c>
      <c r="AQ100" s="12"/>
      <c r="AR100" s="12"/>
      <c r="AS100" s="1"/>
      <c r="AT100" s="1"/>
      <c r="AU100" s="40">
        <f t="shared" si="38"/>
        <v>0</v>
      </c>
      <c r="AV100" s="1"/>
      <c r="AW100" s="1"/>
      <c r="AX100" s="1"/>
      <c r="AY100" s="1"/>
      <c r="AZ100" s="40">
        <f t="shared" si="39"/>
        <v>0</v>
      </c>
      <c r="BA100" s="8"/>
    </row>
    <row r="101" spans="1:53">
      <c r="A101" s="11"/>
      <c r="B101" s="73" t="s">
        <v>478</v>
      </c>
      <c r="C101" s="8">
        <v>-17207.965</v>
      </c>
      <c r="D101" s="8">
        <v>-19113.526000000002</v>
      </c>
      <c r="E101" s="8">
        <v>-18762.512999999999</v>
      </c>
      <c r="F101" s="8">
        <v>-36430.888000000006</v>
      </c>
      <c r="G101" s="40">
        <v>-91514.892000000007</v>
      </c>
      <c r="H101" s="12">
        <v>-29141.829890000001</v>
      </c>
      <c r="I101" s="12">
        <v>-27870.5121</v>
      </c>
      <c r="J101" s="12">
        <v>-27707.343799999999</v>
      </c>
      <c r="K101" s="12">
        <v>-5453.3964500000047</v>
      </c>
      <c r="L101" s="40">
        <v>-90173.082240000003</v>
      </c>
      <c r="M101" s="12">
        <v>-24818.920919999993</v>
      </c>
      <c r="N101" s="12">
        <v>-24421.224269999999</v>
      </c>
      <c r="O101" s="12">
        <v>-22943.546750000005</v>
      </c>
      <c r="P101" s="12">
        <v>-28501.03614</v>
      </c>
      <c r="Q101" s="40">
        <v>-100684.72808</v>
      </c>
      <c r="R101" s="12">
        <v>-27985.388499999997</v>
      </c>
      <c r="S101" s="12">
        <v>-36486.791879999997</v>
      </c>
      <c r="T101" s="12">
        <v>-34769.030190000005</v>
      </c>
      <c r="U101" s="12">
        <v>-31739.475050000001</v>
      </c>
      <c r="V101" s="40">
        <v>-130980.68562</v>
      </c>
      <c r="W101" s="12">
        <v>-32830.768819999998</v>
      </c>
      <c r="X101" s="12">
        <v>-25083.239120000006</v>
      </c>
      <c r="Y101" s="12">
        <v>-21298.70277</v>
      </c>
      <c r="Z101" s="12">
        <v>-16776.878410000005</v>
      </c>
      <c r="AA101" s="40">
        <v>-95989.589120000004</v>
      </c>
      <c r="AB101" s="12">
        <v>-14104.606299999998</v>
      </c>
      <c r="AC101" s="12">
        <v>-14030.58741</v>
      </c>
      <c r="AD101" s="1">
        <v>-11549.217949999998</v>
      </c>
      <c r="AE101" s="1">
        <v>-10159.658950000001</v>
      </c>
      <c r="AF101" s="40">
        <v>-49844.070609999995</v>
      </c>
      <c r="AG101" s="12">
        <v>-8589</v>
      </c>
      <c r="AH101" s="12">
        <v>-7671</v>
      </c>
      <c r="AI101" s="1">
        <v>-7333</v>
      </c>
      <c r="AJ101" s="1">
        <v>-2152</v>
      </c>
      <c r="AK101" s="40">
        <f t="shared" si="36"/>
        <v>-25745</v>
      </c>
      <c r="AL101" s="12"/>
      <c r="AM101" s="12"/>
      <c r="AN101" s="1"/>
      <c r="AO101" s="1"/>
      <c r="AP101" s="40">
        <f t="shared" si="37"/>
        <v>0</v>
      </c>
      <c r="AQ101" s="12"/>
      <c r="AR101" s="12"/>
      <c r="AS101" s="1"/>
      <c r="AT101" s="1"/>
      <c r="AU101" s="40">
        <f t="shared" si="38"/>
        <v>0</v>
      </c>
      <c r="AV101" s="1"/>
      <c r="AW101" s="1"/>
      <c r="AX101" s="1"/>
      <c r="AY101" s="1"/>
      <c r="AZ101" s="40">
        <f t="shared" si="39"/>
        <v>0</v>
      </c>
      <c r="BA101" s="8"/>
    </row>
    <row r="102" spans="1:53">
      <c r="A102" s="11"/>
      <c r="B102" s="73" t="s">
        <v>502</v>
      </c>
      <c r="C102" s="8">
        <v>0</v>
      </c>
      <c r="D102" s="8">
        <v>0</v>
      </c>
      <c r="E102" s="8">
        <v>0</v>
      </c>
      <c r="F102" s="8">
        <v>0</v>
      </c>
      <c r="G102" s="40">
        <v>0</v>
      </c>
      <c r="H102" s="12">
        <v>0</v>
      </c>
      <c r="I102" s="12">
        <v>0</v>
      </c>
      <c r="J102" s="12">
        <v>0</v>
      </c>
      <c r="K102" s="12">
        <v>0</v>
      </c>
      <c r="L102" s="40">
        <v>0</v>
      </c>
      <c r="M102" s="12">
        <v>0</v>
      </c>
      <c r="N102" s="12">
        <v>0</v>
      </c>
      <c r="O102" s="12">
        <v>0</v>
      </c>
      <c r="P102" s="12">
        <v>0</v>
      </c>
      <c r="Q102" s="40">
        <v>0</v>
      </c>
      <c r="R102" s="12">
        <v>0</v>
      </c>
      <c r="S102" s="12">
        <v>-87.185500000000005</v>
      </c>
      <c r="T102" s="12">
        <v>-467.69846000000001</v>
      </c>
      <c r="U102" s="12">
        <v>-1237.0942500000001</v>
      </c>
      <c r="V102" s="40">
        <v>-1791.9782100000002</v>
      </c>
      <c r="W102" s="12">
        <v>-1484.1258300000002</v>
      </c>
      <c r="X102" s="12">
        <v>-324.06995999999998</v>
      </c>
      <c r="Y102" s="12">
        <v>-1408.4986099999999</v>
      </c>
      <c r="Z102" s="12">
        <v>-376.88328999999999</v>
      </c>
      <c r="AA102" s="40">
        <v>-3593.5776900000001</v>
      </c>
      <c r="AB102" s="12">
        <v>4.6346800000000004</v>
      </c>
      <c r="AC102" s="12">
        <v>-366.75494000000003</v>
      </c>
      <c r="AD102" s="1">
        <v>366.75493999999992</v>
      </c>
      <c r="AE102" s="1">
        <v>0</v>
      </c>
      <c r="AF102" s="40">
        <v>4.6346799999998893</v>
      </c>
      <c r="AG102" s="12">
        <v>0</v>
      </c>
      <c r="AH102" s="12">
        <v>0</v>
      </c>
      <c r="AI102" s="1">
        <v>-16</v>
      </c>
      <c r="AJ102" s="1">
        <v>0</v>
      </c>
      <c r="AK102" s="40">
        <f t="shared" si="36"/>
        <v>-16</v>
      </c>
      <c r="AL102" s="12"/>
      <c r="AM102" s="12"/>
      <c r="AN102" s="1"/>
      <c r="AO102" s="1"/>
      <c r="AP102" s="40">
        <f t="shared" si="37"/>
        <v>0</v>
      </c>
      <c r="AQ102" s="12"/>
      <c r="AR102" s="12"/>
      <c r="AS102" s="1"/>
      <c r="AT102" s="1"/>
      <c r="AU102" s="40">
        <f t="shared" si="38"/>
        <v>0</v>
      </c>
      <c r="AV102" s="1"/>
      <c r="AW102" s="1"/>
      <c r="AX102" s="1"/>
      <c r="AY102" s="1"/>
      <c r="AZ102" s="40">
        <f t="shared" si="39"/>
        <v>0</v>
      </c>
      <c r="BA102" s="8"/>
    </row>
    <row r="103" spans="1:53">
      <c r="A103" s="11"/>
      <c r="B103" s="73" t="s">
        <v>479</v>
      </c>
      <c r="C103" s="8">
        <v>8458.8940000000002</v>
      </c>
      <c r="D103" s="8">
        <v>14489.894</v>
      </c>
      <c r="E103" s="8">
        <v>16304.858999999997</v>
      </c>
      <c r="F103" s="8">
        <v>9557.5889999999999</v>
      </c>
      <c r="G103" s="40">
        <v>48811.235999999997</v>
      </c>
      <c r="H103" s="12">
        <v>9551.4644100000005</v>
      </c>
      <c r="I103" s="12">
        <v>8116.7932999999994</v>
      </c>
      <c r="J103" s="12">
        <v>9371.3807800000013</v>
      </c>
      <c r="K103" s="12">
        <v>-14384.680459999992</v>
      </c>
      <c r="L103" s="40">
        <v>12654.958030000005</v>
      </c>
      <c r="M103" s="12">
        <v>6939.5304799999985</v>
      </c>
      <c r="N103" s="12">
        <v>10884.414249999998</v>
      </c>
      <c r="O103" s="12">
        <v>10091.918570000003</v>
      </c>
      <c r="P103" s="12">
        <v>5750.6364100000001</v>
      </c>
      <c r="Q103" s="40">
        <v>33666.499709999996</v>
      </c>
      <c r="R103" s="12">
        <v>14499.019209999999</v>
      </c>
      <c r="S103" s="12">
        <v>11030.842970000002</v>
      </c>
      <c r="T103" s="12">
        <v>9446.1815000000006</v>
      </c>
      <c r="U103" s="12">
        <v>6895.4089299999996</v>
      </c>
      <c r="V103" s="40">
        <v>41871.45261</v>
      </c>
      <c r="W103" s="12">
        <v>4918.5903799999996</v>
      </c>
      <c r="X103" s="12">
        <v>10121.882950000001</v>
      </c>
      <c r="Y103" s="12">
        <v>8610.2434200000025</v>
      </c>
      <c r="Z103" s="12">
        <v>5989.25108</v>
      </c>
      <c r="AA103" s="40">
        <v>29639.967830000001</v>
      </c>
      <c r="AB103" s="12">
        <v>9448.5044799999996</v>
      </c>
      <c r="AC103" s="12">
        <v>9796.6838800000023</v>
      </c>
      <c r="AD103" s="1">
        <v>10784.104909999998</v>
      </c>
      <c r="AE103" s="1">
        <v>11552.332780000001</v>
      </c>
      <c r="AF103" s="40">
        <v>41581.626049999999</v>
      </c>
      <c r="AG103" s="12">
        <v>17134</v>
      </c>
      <c r="AH103" s="12">
        <v>11267</v>
      </c>
      <c r="AI103" s="1">
        <v>11469</v>
      </c>
      <c r="AJ103" s="1">
        <v>3522</v>
      </c>
      <c r="AK103" s="40">
        <f t="shared" si="36"/>
        <v>43392</v>
      </c>
      <c r="AL103" s="12"/>
      <c r="AM103" s="12"/>
      <c r="AN103" s="1"/>
      <c r="AO103" s="1"/>
      <c r="AP103" s="40">
        <f t="shared" si="37"/>
        <v>0</v>
      </c>
      <c r="AQ103" s="12"/>
      <c r="AR103" s="12"/>
      <c r="AS103" s="1"/>
      <c r="AT103" s="1"/>
      <c r="AU103" s="40">
        <f t="shared" si="38"/>
        <v>0</v>
      </c>
      <c r="AV103" s="1"/>
      <c r="AW103" s="1"/>
      <c r="AX103" s="1"/>
      <c r="AY103" s="1"/>
      <c r="AZ103" s="40">
        <f t="shared" si="39"/>
        <v>0</v>
      </c>
      <c r="BA103" s="8"/>
    </row>
    <row r="104" spans="1:53" s="2" customFormat="1">
      <c r="A104" s="9"/>
      <c r="B104" s="9" t="s">
        <v>412</v>
      </c>
      <c r="C104" s="10">
        <v>25252.567219999954</v>
      </c>
      <c r="D104" s="10">
        <v>30933.159239999994</v>
      </c>
      <c r="E104" s="10">
        <v>35995.321230000176</v>
      </c>
      <c r="F104" s="10">
        <v>16977.372479999991</v>
      </c>
      <c r="G104" s="39">
        <v>109158.42017000011</v>
      </c>
      <c r="H104" s="10">
        <v>26444.053679999724</v>
      </c>
      <c r="I104" s="10">
        <v>21789.082990000414</v>
      </c>
      <c r="J104" s="10">
        <v>24429.908480000217</v>
      </c>
      <c r="K104" s="10">
        <v>24900.602459999543</v>
      </c>
      <c r="L104" s="39">
        <v>97563.647609999898</v>
      </c>
      <c r="M104" s="10">
        <v>25400.939630000012</v>
      </c>
      <c r="N104" s="10">
        <v>35904.666350000116</v>
      </c>
      <c r="O104" s="10">
        <v>47496.065849999155</v>
      </c>
      <c r="P104" s="10">
        <v>45368.043699999689</v>
      </c>
      <c r="Q104" s="39">
        <v>154169.71552999897</v>
      </c>
      <c r="R104" s="10">
        <v>51956.019390000125</v>
      </c>
      <c r="S104" s="10">
        <v>46207.075759999752</v>
      </c>
      <c r="T104" s="10">
        <v>71960.622899999711</v>
      </c>
      <c r="U104" s="10">
        <v>34400.404699999606</v>
      </c>
      <c r="V104" s="39">
        <v>204524.12274999919</v>
      </c>
      <c r="W104" s="10">
        <v>23043.424439999999</v>
      </c>
      <c r="X104" s="10">
        <v>30749.903049999757</v>
      </c>
      <c r="Y104" s="10">
        <v>34032.619140000395</v>
      </c>
      <c r="Z104" s="10">
        <v>25653.201249999562</v>
      </c>
      <c r="AA104" s="39">
        <v>113479.14787999971</v>
      </c>
      <c r="AB104" s="10">
        <v>29238.174870000024</v>
      </c>
      <c r="AC104" s="10">
        <v>24705.537830000569</v>
      </c>
      <c r="AD104" s="76">
        <v>18416.342179999403</v>
      </c>
      <c r="AE104" s="76">
        <v>10321.612190000014</v>
      </c>
      <c r="AF104" s="39">
        <v>82681.66707000001</v>
      </c>
      <c r="AG104" s="10">
        <v>18925</v>
      </c>
      <c r="AH104" s="10">
        <v>12248</v>
      </c>
      <c r="AI104" s="76">
        <v>10404</v>
      </c>
      <c r="AJ104" s="76">
        <v>3800</v>
      </c>
      <c r="AK104" s="39">
        <f t="shared" si="36"/>
        <v>45377</v>
      </c>
      <c r="AL104" s="10"/>
      <c r="AM104" s="10"/>
      <c r="AN104" s="76"/>
      <c r="AO104" s="76"/>
      <c r="AP104" s="39">
        <f t="shared" si="37"/>
        <v>0</v>
      </c>
      <c r="AQ104" s="10"/>
      <c r="AR104" s="10"/>
      <c r="AS104" s="76"/>
      <c r="AT104" s="76"/>
      <c r="AU104" s="39">
        <f t="shared" si="38"/>
        <v>0</v>
      </c>
      <c r="AV104" s="76"/>
      <c r="AW104" s="76"/>
      <c r="AX104" s="76"/>
      <c r="AY104" s="76"/>
      <c r="AZ104" s="39">
        <f t="shared" si="39"/>
        <v>0</v>
      </c>
      <c r="BA104" s="10"/>
    </row>
    <row r="105" spans="1:53">
      <c r="A105" s="11"/>
      <c r="B105" s="11" t="s">
        <v>413</v>
      </c>
      <c r="C105" s="12">
        <v>-7801.0230500000025</v>
      </c>
      <c r="D105" s="12">
        <v>-8565.8103799999953</v>
      </c>
      <c r="E105" s="12">
        <v>-8678.9602600000035</v>
      </c>
      <c r="F105" s="12">
        <v>-9870.1489799999945</v>
      </c>
      <c r="G105" s="40">
        <v>-34915.942669999997</v>
      </c>
      <c r="H105" s="12">
        <v>-8399.6367999999984</v>
      </c>
      <c r="I105" s="12">
        <v>-8094.3598499999989</v>
      </c>
      <c r="J105" s="12">
        <v>-8799.7480300000025</v>
      </c>
      <c r="K105" s="12">
        <v>-9987.8008500000033</v>
      </c>
      <c r="L105" s="40">
        <v>-35281.545530000003</v>
      </c>
      <c r="M105" s="12">
        <v>-8501.7037100000016</v>
      </c>
      <c r="N105" s="12">
        <v>-9641.5636300000006</v>
      </c>
      <c r="O105" s="12">
        <v>-11018.028329999994</v>
      </c>
      <c r="P105" s="12">
        <v>-12659.566620000009</v>
      </c>
      <c r="Q105" s="40">
        <v>-41820.862290000005</v>
      </c>
      <c r="R105" s="12">
        <v>-10624.895550000001</v>
      </c>
      <c r="S105" s="12">
        <v>-10484.584409999999</v>
      </c>
      <c r="T105" s="12">
        <v>-11171.976739999995</v>
      </c>
      <c r="U105" s="12">
        <v>-11668.595800000003</v>
      </c>
      <c r="V105" s="40">
        <v>-43950.052499999998</v>
      </c>
      <c r="W105" s="12">
        <v>-10582.652329999999</v>
      </c>
      <c r="X105" s="12">
        <v>-11494.920899999996</v>
      </c>
      <c r="Y105" s="12">
        <v>-14299.176270000004</v>
      </c>
      <c r="Z105" s="12">
        <v>-14121.68536000001</v>
      </c>
      <c r="AA105" s="40">
        <v>-50498.434860000008</v>
      </c>
      <c r="AB105" s="12">
        <v>-12083.608450000002</v>
      </c>
      <c r="AC105" s="12">
        <v>-10796.295259999997</v>
      </c>
      <c r="AD105" s="12">
        <v>-8934.0062700000017</v>
      </c>
      <c r="AE105" s="12">
        <v>-12663.518550000004</v>
      </c>
      <c r="AF105" s="40">
        <v>-44477.428530000005</v>
      </c>
      <c r="AG105" s="12">
        <v>-10854</v>
      </c>
      <c r="AH105" s="12">
        <v>-9586</v>
      </c>
      <c r="AI105" s="1">
        <v>-11258</v>
      </c>
      <c r="AJ105" s="1">
        <v>-3474</v>
      </c>
      <c r="AK105" s="40">
        <f t="shared" si="36"/>
        <v>-35172</v>
      </c>
      <c r="AL105" s="12"/>
      <c r="AM105" s="12"/>
      <c r="AN105" s="1"/>
      <c r="AO105" s="1"/>
      <c r="AP105" s="40">
        <f t="shared" si="37"/>
        <v>0</v>
      </c>
      <c r="AQ105" s="12"/>
      <c r="AR105" s="12"/>
      <c r="AS105" s="1"/>
      <c r="AT105" s="1"/>
      <c r="AU105" s="40">
        <f t="shared" si="38"/>
        <v>0</v>
      </c>
      <c r="AV105" s="1"/>
      <c r="AW105" s="1"/>
      <c r="AX105" s="1"/>
      <c r="AY105" s="1"/>
      <c r="AZ105" s="40">
        <f t="shared" si="39"/>
        <v>0</v>
      </c>
      <c r="BA105" s="8"/>
    </row>
    <row r="106" spans="1:53">
      <c r="A106" s="11"/>
      <c r="B106" s="11" t="s">
        <v>414</v>
      </c>
      <c r="C106" s="13">
        <v>-2755.4457499999994</v>
      </c>
      <c r="D106" s="13">
        <v>-2948.6222300000013</v>
      </c>
      <c r="E106" s="13">
        <v>-3204.6877299999987</v>
      </c>
      <c r="F106" s="13">
        <v>-3207.422770000001</v>
      </c>
      <c r="G106" s="41">
        <v>-12116.17848</v>
      </c>
      <c r="H106" s="13">
        <v>-3375.7763399999999</v>
      </c>
      <c r="I106" s="13">
        <v>-3019.2882699999996</v>
      </c>
      <c r="J106" s="13">
        <v>-3039.4715099999994</v>
      </c>
      <c r="K106" s="13">
        <v>-2719.5985100000016</v>
      </c>
      <c r="L106" s="41">
        <v>-12154.13463</v>
      </c>
      <c r="M106" s="13">
        <v>-2931.9423500000003</v>
      </c>
      <c r="N106" s="13">
        <v>-3713.948519999999</v>
      </c>
      <c r="O106" s="13">
        <v>-3645.0064199999997</v>
      </c>
      <c r="P106" s="13">
        <v>-4130.6914000000033</v>
      </c>
      <c r="Q106" s="41">
        <v>-14421.588690000002</v>
      </c>
      <c r="R106" s="13">
        <v>-4236.6684999999998</v>
      </c>
      <c r="S106" s="13">
        <v>-4517.1366300000009</v>
      </c>
      <c r="T106" s="13">
        <v>-5710.9651600000016</v>
      </c>
      <c r="U106" s="13">
        <v>-3861.8838400000004</v>
      </c>
      <c r="V106" s="41">
        <v>-18326.654130000003</v>
      </c>
      <c r="W106" s="13">
        <v>-3149.0782400000003</v>
      </c>
      <c r="X106" s="13">
        <v>-3178.366129999999</v>
      </c>
      <c r="Y106" s="13">
        <v>-3160.738150000001</v>
      </c>
      <c r="Z106" s="13">
        <v>-2594.9409399999986</v>
      </c>
      <c r="AA106" s="41">
        <v>-12083.123459999999</v>
      </c>
      <c r="AB106" s="13">
        <v>-2526.3693399999997</v>
      </c>
      <c r="AC106" s="13">
        <v>-2476.2263500000004</v>
      </c>
      <c r="AD106" s="13">
        <v>-1935.3622999999998</v>
      </c>
      <c r="AE106" s="13">
        <v>-1532.4726600000001</v>
      </c>
      <c r="AF106" s="41">
        <v>-8470.4306500000002</v>
      </c>
      <c r="AG106" s="13">
        <v>-1756</v>
      </c>
      <c r="AH106" s="13">
        <v>-1633</v>
      </c>
      <c r="AI106" s="1">
        <v>-1721</v>
      </c>
      <c r="AJ106" s="1">
        <v>-312</v>
      </c>
      <c r="AK106" s="41">
        <f t="shared" si="36"/>
        <v>-5422</v>
      </c>
      <c r="AL106" s="13"/>
      <c r="AM106" s="13"/>
      <c r="AN106" s="1"/>
      <c r="AO106" s="1"/>
      <c r="AP106" s="41">
        <f t="shared" si="37"/>
        <v>0</v>
      </c>
      <c r="AQ106" s="13"/>
      <c r="AR106" s="13"/>
      <c r="AS106" s="1"/>
      <c r="AT106" s="1"/>
      <c r="AU106" s="41">
        <f t="shared" si="38"/>
        <v>0</v>
      </c>
      <c r="AV106" s="1"/>
      <c r="AW106" s="1"/>
      <c r="AX106" s="1"/>
      <c r="AY106" s="1"/>
      <c r="AZ106" s="170">
        <f t="shared" si="39"/>
        <v>0</v>
      </c>
      <c r="BA106" s="162"/>
    </row>
    <row r="107" spans="1:53">
      <c r="A107" s="11"/>
      <c r="B107" s="11" t="s">
        <v>415</v>
      </c>
      <c r="C107" s="13">
        <v>46612.904080000008</v>
      </c>
      <c r="D107" s="13">
        <v>44740.626460000014</v>
      </c>
      <c r="E107" s="13">
        <v>41254.071429999996</v>
      </c>
      <c r="F107" s="13">
        <v>37480.993850000261</v>
      </c>
      <c r="G107" s="41">
        <v>170088.59582000028</v>
      </c>
      <c r="H107" s="13">
        <v>58031.84629000003</v>
      </c>
      <c r="I107" s="13">
        <v>44087.948039999945</v>
      </c>
      <c r="J107" s="13">
        <v>54716.287449999771</v>
      </c>
      <c r="K107" s="13">
        <v>44854.260509999935</v>
      </c>
      <c r="L107" s="41">
        <v>201690.34228999968</v>
      </c>
      <c r="M107" s="13">
        <v>68334.56309000004</v>
      </c>
      <c r="N107" s="13">
        <v>27488.024119999973</v>
      </c>
      <c r="O107" s="13">
        <v>34631.066319999998</v>
      </c>
      <c r="P107" s="13">
        <v>31871.192530000029</v>
      </c>
      <c r="Q107" s="41">
        <v>162324.84606000004</v>
      </c>
      <c r="R107" s="13">
        <v>39490.850349999993</v>
      </c>
      <c r="S107" s="13">
        <v>38196.039470000105</v>
      </c>
      <c r="T107" s="13">
        <v>38894.968389999893</v>
      </c>
      <c r="U107" s="13">
        <v>36504.952909999978</v>
      </c>
      <c r="V107" s="41">
        <v>153086.81111999997</v>
      </c>
      <c r="W107" s="13">
        <v>38295.505619999974</v>
      </c>
      <c r="X107" s="13">
        <v>31704.283060000096</v>
      </c>
      <c r="Y107" s="13">
        <v>33521.166569999928</v>
      </c>
      <c r="Z107" s="13">
        <v>32024.003240000049</v>
      </c>
      <c r="AA107" s="41">
        <v>135544.95849000005</v>
      </c>
      <c r="AB107" s="13">
        <v>48856.995719999977</v>
      </c>
      <c r="AC107" s="13">
        <v>38892.805470000036</v>
      </c>
      <c r="AD107" s="13">
        <v>35747.928769999984</v>
      </c>
      <c r="AE107" s="13">
        <v>33329.119809999997</v>
      </c>
      <c r="AF107" s="41">
        <v>156826.84977</v>
      </c>
      <c r="AG107" s="13">
        <v>31148</v>
      </c>
      <c r="AH107" s="13">
        <v>24196</v>
      </c>
      <c r="AI107" s="1">
        <v>22281</v>
      </c>
      <c r="AJ107" s="1">
        <v>7175</v>
      </c>
      <c r="AK107" s="41">
        <f t="shared" si="36"/>
        <v>84800</v>
      </c>
      <c r="AL107" s="13"/>
      <c r="AM107" s="13"/>
      <c r="AN107" s="1"/>
      <c r="AO107" s="1"/>
      <c r="AP107" s="41">
        <f t="shared" si="37"/>
        <v>0</v>
      </c>
      <c r="AQ107" s="13"/>
      <c r="AR107" s="13"/>
      <c r="AS107" s="1"/>
      <c r="AT107" s="1"/>
      <c r="AU107" s="41">
        <f t="shared" si="38"/>
        <v>0</v>
      </c>
      <c r="AV107" s="1"/>
      <c r="AW107" s="1"/>
      <c r="AX107" s="1"/>
      <c r="AY107" s="1"/>
      <c r="AZ107" s="170">
        <f t="shared" si="39"/>
        <v>0</v>
      </c>
      <c r="BA107" s="162"/>
    </row>
    <row r="108" spans="1:53">
      <c r="A108" s="11"/>
      <c r="B108" s="11" t="s">
        <v>416</v>
      </c>
      <c r="C108" s="12">
        <v>0</v>
      </c>
      <c r="D108" s="12">
        <v>0</v>
      </c>
      <c r="E108" s="12">
        <v>0</v>
      </c>
      <c r="F108" s="12">
        <v>0</v>
      </c>
      <c r="G108" s="40">
        <v>0</v>
      </c>
      <c r="H108" s="12">
        <v>0</v>
      </c>
      <c r="I108" s="12">
        <v>0</v>
      </c>
      <c r="J108" s="12">
        <v>0</v>
      </c>
      <c r="K108" s="12">
        <v>0</v>
      </c>
      <c r="L108" s="40">
        <v>0</v>
      </c>
      <c r="M108" s="12">
        <v>0</v>
      </c>
      <c r="N108" s="12">
        <v>-1.0000000000000001E-5</v>
      </c>
      <c r="O108" s="12">
        <v>0</v>
      </c>
      <c r="P108" s="12">
        <v>0</v>
      </c>
      <c r="Q108" s="40">
        <v>-1.0000000000000001E-5</v>
      </c>
      <c r="R108" s="12">
        <v>0</v>
      </c>
      <c r="S108" s="12">
        <v>0</v>
      </c>
      <c r="T108" s="12">
        <v>0</v>
      </c>
      <c r="U108" s="12">
        <v>0</v>
      </c>
      <c r="V108" s="40">
        <v>0</v>
      </c>
      <c r="W108" s="12">
        <v>0</v>
      </c>
      <c r="X108" s="12">
        <v>0</v>
      </c>
      <c r="Y108" s="12">
        <v>0</v>
      </c>
      <c r="Z108" s="12">
        <v>0</v>
      </c>
      <c r="AA108" s="40">
        <v>0</v>
      </c>
      <c r="AB108" s="12">
        <v>0</v>
      </c>
      <c r="AC108" s="12">
        <v>0</v>
      </c>
      <c r="AD108" s="12">
        <v>0</v>
      </c>
      <c r="AE108" s="12">
        <v>0</v>
      </c>
      <c r="AF108" s="40">
        <v>0</v>
      </c>
      <c r="AG108" s="12">
        <v>0</v>
      </c>
      <c r="AH108" s="12">
        <v>0</v>
      </c>
      <c r="AI108" s="1">
        <v>0</v>
      </c>
      <c r="AJ108" s="1">
        <v>0</v>
      </c>
      <c r="AK108" s="40">
        <f t="shared" si="36"/>
        <v>0</v>
      </c>
      <c r="AL108" s="12"/>
      <c r="AM108" s="12"/>
      <c r="AN108" s="1"/>
      <c r="AO108" s="1"/>
      <c r="AP108" s="40">
        <f t="shared" si="37"/>
        <v>0</v>
      </c>
      <c r="AQ108" s="12"/>
      <c r="AR108" s="12"/>
      <c r="AS108" s="1"/>
      <c r="AT108" s="1"/>
      <c r="AU108" s="40">
        <f t="shared" si="38"/>
        <v>0</v>
      </c>
      <c r="AV108" s="1"/>
      <c r="AW108" s="1"/>
      <c r="AX108" s="1"/>
      <c r="AY108" s="1"/>
      <c r="AZ108" s="40">
        <f t="shared" si="39"/>
        <v>0</v>
      </c>
      <c r="BA108" s="8"/>
    </row>
    <row r="109" spans="1:53" s="2" customFormat="1">
      <c r="A109" s="9"/>
      <c r="B109" s="9" t="s">
        <v>418</v>
      </c>
      <c r="C109" s="10">
        <v>61309.002499999959</v>
      </c>
      <c r="D109" s="10">
        <v>64159.353090000011</v>
      </c>
      <c r="E109" s="10">
        <v>65365.744670000175</v>
      </c>
      <c r="F109" s="10">
        <v>41380.794580000256</v>
      </c>
      <c r="G109" s="39">
        <v>232214.8948400004</v>
      </c>
      <c r="H109" s="10">
        <v>72700.486829999762</v>
      </c>
      <c r="I109" s="10">
        <v>54763.382910000364</v>
      </c>
      <c r="J109" s="10">
        <v>67306.976389999982</v>
      </c>
      <c r="K109" s="10">
        <v>57047.463609999475</v>
      </c>
      <c r="L109" s="39">
        <v>251818.30973999959</v>
      </c>
      <c r="M109" s="10">
        <v>82301.856660000049</v>
      </c>
      <c r="N109" s="10">
        <v>50037.17831000009</v>
      </c>
      <c r="O109" s="10">
        <v>67464.097419999162</v>
      </c>
      <c r="P109" s="10">
        <v>60448.97820999971</v>
      </c>
      <c r="Q109" s="39">
        <v>260252.11059999902</v>
      </c>
      <c r="R109" s="10">
        <v>76585.305690000125</v>
      </c>
      <c r="S109" s="10">
        <v>69401.394189999846</v>
      </c>
      <c r="T109" s="10">
        <v>93972.649389999598</v>
      </c>
      <c r="U109" s="10">
        <v>55374.877969999579</v>
      </c>
      <c r="V109" s="39">
        <v>295334.22723999916</v>
      </c>
      <c r="W109" s="10">
        <v>47607.19948999997</v>
      </c>
      <c r="X109" s="10">
        <v>47780.899079999857</v>
      </c>
      <c r="Y109" s="10">
        <v>50093.871290000316</v>
      </c>
      <c r="Z109" s="10">
        <v>40960.5781899996</v>
      </c>
      <c r="AA109" s="39">
        <v>186442.54804999972</v>
      </c>
      <c r="AB109" s="10">
        <v>63485.192800000004</v>
      </c>
      <c r="AC109" s="10">
        <v>50325.821690000608</v>
      </c>
      <c r="AD109" s="10">
        <v>43294.902379999388</v>
      </c>
      <c r="AE109" s="10">
        <v>29454.740790000007</v>
      </c>
      <c r="AF109" s="39">
        <v>186560.65766000003</v>
      </c>
      <c r="AG109" s="10">
        <v>37463</v>
      </c>
      <c r="AH109" s="10">
        <v>25225</v>
      </c>
      <c r="AI109" s="76">
        <v>19706</v>
      </c>
      <c r="AJ109" s="76">
        <v>7189</v>
      </c>
      <c r="AK109" s="39">
        <f t="shared" si="36"/>
        <v>89583</v>
      </c>
      <c r="AL109" s="10"/>
      <c r="AM109" s="10"/>
      <c r="AN109" s="76"/>
      <c r="AO109" s="76"/>
      <c r="AP109" s="39">
        <f t="shared" si="37"/>
        <v>0</v>
      </c>
      <c r="AQ109" s="10"/>
      <c r="AR109" s="10"/>
      <c r="AS109" s="76"/>
      <c r="AT109" s="76"/>
      <c r="AU109" s="39">
        <f t="shared" si="38"/>
        <v>0</v>
      </c>
      <c r="AV109" s="76"/>
      <c r="AW109" s="76"/>
      <c r="AX109" s="76"/>
      <c r="AY109" s="76"/>
      <c r="AZ109" s="39">
        <f t="shared" si="39"/>
        <v>0</v>
      </c>
      <c r="BA109" s="10"/>
    </row>
    <row r="110" spans="1:53">
      <c r="A110" s="11"/>
      <c r="B110" s="11" t="s">
        <v>419</v>
      </c>
      <c r="C110" s="12">
        <v>0</v>
      </c>
      <c r="D110" s="12">
        <v>0</v>
      </c>
      <c r="E110" s="12">
        <v>0</v>
      </c>
      <c r="F110" s="12">
        <v>-85.677309999999991</v>
      </c>
      <c r="G110" s="41">
        <v>-85.677309999999991</v>
      </c>
      <c r="H110" s="12">
        <v>0</v>
      </c>
      <c r="I110" s="12">
        <v>0</v>
      </c>
      <c r="J110" s="12">
        <v>0</v>
      </c>
      <c r="K110" s="12">
        <v>0</v>
      </c>
      <c r="L110" s="41">
        <v>0</v>
      </c>
      <c r="M110" s="12">
        <v>0</v>
      </c>
      <c r="N110" s="12">
        <v>0</v>
      </c>
      <c r="O110" s="12">
        <v>0</v>
      </c>
      <c r="P110" s="12">
        <v>0</v>
      </c>
      <c r="Q110" s="41">
        <v>0</v>
      </c>
      <c r="R110" s="12">
        <v>0</v>
      </c>
      <c r="S110" s="12">
        <v>0</v>
      </c>
      <c r="T110" s="12">
        <v>0</v>
      </c>
      <c r="U110" s="12">
        <v>0</v>
      </c>
      <c r="V110" s="41">
        <v>0</v>
      </c>
      <c r="W110" s="12">
        <v>0</v>
      </c>
      <c r="X110" s="12">
        <v>0</v>
      </c>
      <c r="Y110" s="12">
        <v>0</v>
      </c>
      <c r="Z110" s="12">
        <v>0</v>
      </c>
      <c r="AA110" s="41">
        <v>0</v>
      </c>
      <c r="AB110" s="12">
        <v>0</v>
      </c>
      <c r="AC110" s="12">
        <v>0</v>
      </c>
      <c r="AD110" s="12">
        <v>0</v>
      </c>
      <c r="AE110" s="13">
        <v>-39.862670000000001</v>
      </c>
      <c r="AF110" s="41">
        <v>-39.862670000000001</v>
      </c>
      <c r="AG110" s="12">
        <v>0</v>
      </c>
      <c r="AH110" s="12">
        <v>182</v>
      </c>
      <c r="AI110" s="1">
        <v>0</v>
      </c>
      <c r="AJ110" s="1">
        <v>0</v>
      </c>
      <c r="AK110" s="41">
        <f t="shared" si="36"/>
        <v>182</v>
      </c>
      <c r="AL110" s="12"/>
      <c r="AM110" s="12"/>
      <c r="AN110" s="1"/>
      <c r="AO110" s="1"/>
      <c r="AP110" s="41">
        <f t="shared" si="37"/>
        <v>0</v>
      </c>
      <c r="AQ110" s="12"/>
      <c r="AR110" s="12"/>
      <c r="AS110" s="1"/>
      <c r="AT110" s="1"/>
      <c r="AU110" s="41">
        <f t="shared" si="38"/>
        <v>0</v>
      </c>
      <c r="AV110" s="1"/>
      <c r="AW110" s="1"/>
      <c r="AX110" s="1"/>
      <c r="AY110" s="1"/>
      <c r="AZ110" s="170">
        <f t="shared" si="39"/>
        <v>0</v>
      </c>
      <c r="BA110" s="162"/>
    </row>
    <row r="111" spans="1:53" s="2" customFormat="1">
      <c r="A111" s="9"/>
      <c r="B111" s="9" t="s">
        <v>420</v>
      </c>
      <c r="C111" s="10">
        <v>61309.002499999959</v>
      </c>
      <c r="D111" s="10">
        <v>64159.353090000011</v>
      </c>
      <c r="E111" s="10">
        <v>65365.744670000175</v>
      </c>
      <c r="F111" s="10">
        <v>41295.117270000257</v>
      </c>
      <c r="G111" s="39">
        <v>232129.2175300004</v>
      </c>
      <c r="H111" s="10">
        <v>72700.486829999762</v>
      </c>
      <c r="I111" s="10">
        <v>54763.382910000364</v>
      </c>
      <c r="J111" s="10">
        <v>67306.976389999982</v>
      </c>
      <c r="K111" s="10">
        <v>57047.463609999475</v>
      </c>
      <c r="L111" s="39">
        <v>251818.30973999959</v>
      </c>
      <c r="M111" s="10">
        <v>82301.856660000049</v>
      </c>
      <c r="N111" s="10">
        <v>50037.17831000009</v>
      </c>
      <c r="O111" s="10">
        <v>67464.097419999162</v>
      </c>
      <c r="P111" s="10">
        <v>60448.97820999971</v>
      </c>
      <c r="Q111" s="39">
        <v>260252.11059999902</v>
      </c>
      <c r="R111" s="10">
        <v>76585.305690000125</v>
      </c>
      <c r="S111" s="10">
        <v>69401.394189999846</v>
      </c>
      <c r="T111" s="10">
        <v>93972.649389999598</v>
      </c>
      <c r="U111" s="10">
        <v>55374.877969999579</v>
      </c>
      <c r="V111" s="39">
        <v>295334.22723999916</v>
      </c>
      <c r="W111" s="10">
        <v>47607.19948999997</v>
      </c>
      <c r="X111" s="10">
        <v>47780.899079999857</v>
      </c>
      <c r="Y111" s="10">
        <v>50093.871290000316</v>
      </c>
      <c r="Z111" s="10">
        <v>40960.5781899996</v>
      </c>
      <c r="AA111" s="39">
        <v>186442.54804999972</v>
      </c>
      <c r="AB111" s="10">
        <v>63485.192800000004</v>
      </c>
      <c r="AC111" s="10">
        <v>50325.821690000608</v>
      </c>
      <c r="AD111" s="10">
        <v>43294.902379999388</v>
      </c>
      <c r="AE111" s="10">
        <v>29414.878120000008</v>
      </c>
      <c r="AF111" s="39">
        <v>186520.79499000002</v>
      </c>
      <c r="AG111" s="10">
        <v>37463</v>
      </c>
      <c r="AH111" s="10">
        <v>25407</v>
      </c>
      <c r="AI111" s="76">
        <v>19706</v>
      </c>
      <c r="AJ111" s="76">
        <v>7189</v>
      </c>
      <c r="AK111" s="39">
        <f t="shared" si="36"/>
        <v>89765</v>
      </c>
      <c r="AL111" s="10"/>
      <c r="AM111" s="10"/>
      <c r="AN111" s="76"/>
      <c r="AO111" s="76"/>
      <c r="AP111" s="39">
        <f t="shared" si="37"/>
        <v>0</v>
      </c>
      <c r="AQ111" s="10"/>
      <c r="AR111" s="10"/>
      <c r="AS111" s="76"/>
      <c r="AT111" s="76"/>
      <c r="AU111" s="39">
        <f t="shared" si="38"/>
        <v>0</v>
      </c>
      <c r="AV111" s="76"/>
      <c r="AW111" s="76"/>
      <c r="AX111" s="76"/>
      <c r="AY111" s="76"/>
      <c r="AZ111" s="39">
        <f t="shared" si="39"/>
        <v>0</v>
      </c>
      <c r="BA111" s="10"/>
    </row>
    <row r="112" spans="1:53">
      <c r="A112" s="11"/>
      <c r="B112" s="11" t="s">
        <v>421</v>
      </c>
      <c r="C112" s="12">
        <v>-15360.460939999999</v>
      </c>
      <c r="D112" s="12">
        <v>-16065.41482</v>
      </c>
      <c r="E112" s="12">
        <v>-16397.969959999999</v>
      </c>
      <c r="F112" s="12">
        <v>-10354.16221000001</v>
      </c>
      <c r="G112" s="41">
        <v>-58178.007930000007</v>
      </c>
      <c r="H112" s="12">
        <v>-18218.331049999997</v>
      </c>
      <c r="I112" s="12">
        <v>-13715.156510000001</v>
      </c>
      <c r="J112" s="12">
        <v>-16849.076169999997</v>
      </c>
      <c r="K112" s="12">
        <v>-13548.166850000001</v>
      </c>
      <c r="L112" s="41">
        <v>-62330.730579999996</v>
      </c>
      <c r="M112" s="12">
        <v>-20564.52664</v>
      </c>
      <c r="N112" s="12">
        <v>-12531.968120000001</v>
      </c>
      <c r="O112" s="12">
        <v>-16870.479209999998</v>
      </c>
      <c r="P112" s="12">
        <v>-14429.741980000006</v>
      </c>
      <c r="Q112" s="41">
        <v>-64396.715950000005</v>
      </c>
      <c r="R112" s="12">
        <v>-19205.005149999997</v>
      </c>
      <c r="S112" s="12">
        <v>-17379.541899999997</v>
      </c>
      <c r="T112" s="12">
        <v>-23517.348740000009</v>
      </c>
      <c r="U112" s="12">
        <v>-13887.599880000002</v>
      </c>
      <c r="V112" s="41">
        <v>-73989.495670000004</v>
      </c>
      <c r="W112" s="12">
        <v>-11930.69924</v>
      </c>
      <c r="X112" s="12">
        <v>-12270.77313</v>
      </c>
      <c r="Y112" s="12">
        <v>-12520.066490000001</v>
      </c>
      <c r="Z112" s="12">
        <v>-9334.4312799999971</v>
      </c>
      <c r="AA112" s="41">
        <v>-46055.970139999998</v>
      </c>
      <c r="AB112" s="12">
        <v>-15890.321320000001</v>
      </c>
      <c r="AC112" s="12">
        <v>-12645.4933</v>
      </c>
      <c r="AD112" s="12">
        <v>-10798.122189999998</v>
      </c>
      <c r="AE112" s="13">
        <v>-8197.6719100000009</v>
      </c>
      <c r="AF112" s="41">
        <v>-47531.608720000004</v>
      </c>
      <c r="AG112" s="12">
        <v>-9369</v>
      </c>
      <c r="AH112" s="12">
        <v>-6537</v>
      </c>
      <c r="AI112" s="1">
        <v>-4775</v>
      </c>
      <c r="AJ112" s="1">
        <v>-1872</v>
      </c>
      <c r="AK112" s="41">
        <f t="shared" si="36"/>
        <v>-22553</v>
      </c>
      <c r="AL112" s="12"/>
      <c r="AM112" s="12"/>
      <c r="AN112" s="1"/>
      <c r="AO112" s="1"/>
      <c r="AP112" s="41">
        <f t="shared" si="37"/>
        <v>0</v>
      </c>
      <c r="AQ112" s="12"/>
      <c r="AR112" s="12"/>
      <c r="AS112" s="1"/>
      <c r="AT112" s="1"/>
      <c r="AU112" s="41">
        <f t="shared" si="38"/>
        <v>0</v>
      </c>
      <c r="AV112" s="1"/>
      <c r="AW112" s="1"/>
      <c r="AX112" s="1"/>
      <c r="AY112" s="1"/>
      <c r="AZ112" s="170">
        <f t="shared" si="39"/>
        <v>0</v>
      </c>
      <c r="BA112" s="162"/>
    </row>
    <row r="113" spans="1:53">
      <c r="A113" s="11"/>
      <c r="B113" s="11" t="s">
        <v>422</v>
      </c>
      <c r="C113" s="12">
        <v>-12319.173929999997</v>
      </c>
      <c r="D113" s="12">
        <v>-11202.260130000006</v>
      </c>
      <c r="E113" s="12">
        <v>-13131.143639999998</v>
      </c>
      <c r="F113" s="12">
        <v>-8416.6420399999988</v>
      </c>
      <c r="G113" s="41">
        <v>-45069.21974</v>
      </c>
      <c r="H113" s="12">
        <v>-14587.497269999998</v>
      </c>
      <c r="I113" s="12">
        <v>-11162.71292</v>
      </c>
      <c r="J113" s="12">
        <v>-13508.170539999999</v>
      </c>
      <c r="K113" s="12">
        <v>-14480.459290000006</v>
      </c>
      <c r="L113" s="41">
        <v>-53738.840020000003</v>
      </c>
      <c r="M113" s="12">
        <v>-16468.968840000001</v>
      </c>
      <c r="N113" s="12">
        <v>-10546.695169999999</v>
      </c>
      <c r="O113" s="12">
        <v>-13479.940039999994</v>
      </c>
      <c r="P113" s="12">
        <v>-13017.52092000001</v>
      </c>
      <c r="Q113" s="41">
        <v>-53513.124970000004</v>
      </c>
      <c r="R113" s="12">
        <v>-11531.024019999999</v>
      </c>
      <c r="S113" s="12">
        <v>-10435.438470000003</v>
      </c>
      <c r="T113" s="12">
        <v>-14117.710969999996</v>
      </c>
      <c r="U113" s="12">
        <v>-8339.5662500000035</v>
      </c>
      <c r="V113" s="41">
        <v>-44423.739710000002</v>
      </c>
      <c r="W113" s="12">
        <v>-7174.7593199999992</v>
      </c>
      <c r="X113" s="12">
        <v>-7372.9356100000005</v>
      </c>
      <c r="Y113" s="12">
        <v>-7532.2979399999986</v>
      </c>
      <c r="Z113" s="12">
        <v>-6204.3819399999993</v>
      </c>
      <c r="AA113" s="41">
        <v>-28284.374809999998</v>
      </c>
      <c r="AB113" s="12">
        <v>-9541.3450099999991</v>
      </c>
      <c r="AC113" s="12">
        <v>-7015.5805200000013</v>
      </c>
      <c r="AD113" s="12">
        <v>-8656.8964799999994</v>
      </c>
      <c r="AE113" s="13">
        <v>-6266.8054599999996</v>
      </c>
      <c r="AF113" s="41">
        <v>-31480.627469999999</v>
      </c>
      <c r="AG113" s="12">
        <v>-5626</v>
      </c>
      <c r="AH113" s="12">
        <v>-3932</v>
      </c>
      <c r="AI113" s="1">
        <v>-3000</v>
      </c>
      <c r="AJ113" s="1">
        <v>-1220</v>
      </c>
      <c r="AK113" s="41">
        <f t="shared" si="36"/>
        <v>-13778</v>
      </c>
      <c r="AL113" s="12"/>
      <c r="AM113" s="12"/>
      <c r="AN113" s="1"/>
      <c r="AO113" s="1"/>
      <c r="AP113" s="41">
        <f t="shared" si="37"/>
        <v>0</v>
      </c>
      <c r="AQ113" s="12"/>
      <c r="AR113" s="12"/>
      <c r="AS113" s="1"/>
      <c r="AT113" s="1"/>
      <c r="AU113" s="41">
        <f t="shared" si="38"/>
        <v>0</v>
      </c>
      <c r="AV113" s="1"/>
      <c r="AW113" s="1"/>
      <c r="AX113" s="1"/>
      <c r="AY113" s="1"/>
      <c r="AZ113" s="170">
        <f t="shared" si="39"/>
        <v>0</v>
      </c>
      <c r="BA113" s="162"/>
    </row>
    <row r="114" spans="1:53">
      <c r="A114" s="11"/>
      <c r="B114" s="11" t="s">
        <v>423</v>
      </c>
      <c r="C114" s="12">
        <v>0</v>
      </c>
      <c r="D114" s="12">
        <v>0</v>
      </c>
      <c r="E114" s="12">
        <v>0</v>
      </c>
      <c r="F114" s="12">
        <v>0</v>
      </c>
      <c r="G114" s="41">
        <v>0</v>
      </c>
      <c r="H114" s="12">
        <v>0</v>
      </c>
      <c r="I114" s="12">
        <v>0</v>
      </c>
      <c r="J114" s="12">
        <v>0</v>
      </c>
      <c r="K114" s="12">
        <v>0</v>
      </c>
      <c r="L114" s="41">
        <v>0</v>
      </c>
      <c r="M114" s="12">
        <v>0</v>
      </c>
      <c r="N114" s="12">
        <v>0</v>
      </c>
      <c r="O114" s="12">
        <v>0</v>
      </c>
      <c r="P114" s="12">
        <v>0</v>
      </c>
      <c r="Q114" s="41">
        <v>0</v>
      </c>
      <c r="R114" s="12">
        <v>0</v>
      </c>
      <c r="S114" s="12">
        <v>0</v>
      </c>
      <c r="T114" s="12">
        <v>0</v>
      </c>
      <c r="U114" s="12">
        <v>0</v>
      </c>
      <c r="V114" s="41">
        <v>0</v>
      </c>
      <c r="W114" s="12">
        <v>0</v>
      </c>
      <c r="X114" s="12">
        <v>0</v>
      </c>
      <c r="Y114" s="12">
        <v>0</v>
      </c>
      <c r="Z114" s="12">
        <v>0</v>
      </c>
      <c r="AA114" s="41">
        <v>0</v>
      </c>
      <c r="AB114" s="12">
        <v>0</v>
      </c>
      <c r="AC114" s="12">
        <v>0</v>
      </c>
      <c r="AD114" s="12">
        <v>0</v>
      </c>
      <c r="AE114" s="13">
        <v>0</v>
      </c>
      <c r="AF114" s="41">
        <v>0</v>
      </c>
      <c r="AG114" s="12">
        <v>0</v>
      </c>
      <c r="AH114" s="12">
        <v>0</v>
      </c>
      <c r="AI114" s="1">
        <v>0</v>
      </c>
      <c r="AJ114" s="1">
        <v>0</v>
      </c>
      <c r="AK114" s="41">
        <f t="shared" si="36"/>
        <v>0</v>
      </c>
      <c r="AL114" s="12"/>
      <c r="AM114" s="12"/>
      <c r="AN114" s="1"/>
      <c r="AO114" s="1"/>
      <c r="AP114" s="41">
        <f t="shared" si="37"/>
        <v>0</v>
      </c>
      <c r="AQ114" s="12"/>
      <c r="AR114" s="12"/>
      <c r="AS114" s="1"/>
      <c r="AT114" s="1"/>
      <c r="AU114" s="41">
        <f t="shared" si="38"/>
        <v>0</v>
      </c>
      <c r="AV114" s="1"/>
      <c r="AW114" s="1"/>
      <c r="AX114" s="1"/>
      <c r="AY114" s="1"/>
      <c r="AZ114" s="170">
        <f t="shared" si="39"/>
        <v>0</v>
      </c>
      <c r="BA114" s="162"/>
    </row>
    <row r="115" spans="1:53">
      <c r="A115" s="11"/>
      <c r="B115" s="11" t="s">
        <v>424</v>
      </c>
      <c r="C115" s="12">
        <v>0</v>
      </c>
      <c r="D115" s="12">
        <v>0</v>
      </c>
      <c r="E115" s="12">
        <v>0</v>
      </c>
      <c r="F115" s="12">
        <v>0</v>
      </c>
      <c r="G115" s="41">
        <v>0</v>
      </c>
      <c r="H115" s="12">
        <v>0</v>
      </c>
      <c r="I115" s="12">
        <v>0</v>
      </c>
      <c r="J115" s="12">
        <v>0</v>
      </c>
      <c r="K115" s="12">
        <v>0</v>
      </c>
      <c r="L115" s="41">
        <v>0</v>
      </c>
      <c r="M115" s="12">
        <v>0</v>
      </c>
      <c r="N115" s="12">
        <v>0</v>
      </c>
      <c r="O115" s="12">
        <v>0</v>
      </c>
      <c r="P115" s="12">
        <v>0</v>
      </c>
      <c r="Q115" s="41">
        <v>0</v>
      </c>
      <c r="R115" s="12">
        <v>0</v>
      </c>
      <c r="S115" s="12">
        <v>0</v>
      </c>
      <c r="T115" s="12">
        <v>0</v>
      </c>
      <c r="U115" s="12">
        <v>0</v>
      </c>
      <c r="V115" s="41">
        <v>0</v>
      </c>
      <c r="W115" s="12">
        <v>0</v>
      </c>
      <c r="X115" s="12">
        <v>0</v>
      </c>
      <c r="Y115" s="12">
        <v>0</v>
      </c>
      <c r="Z115" s="12">
        <v>0</v>
      </c>
      <c r="AA115" s="41">
        <v>0</v>
      </c>
      <c r="AB115" s="12">
        <v>0</v>
      </c>
      <c r="AC115" s="12">
        <v>0</v>
      </c>
      <c r="AD115" s="12">
        <v>0</v>
      </c>
      <c r="AE115" s="13">
        <v>0</v>
      </c>
      <c r="AF115" s="41">
        <v>0</v>
      </c>
      <c r="AG115" s="12">
        <v>0</v>
      </c>
      <c r="AH115" s="12">
        <v>0</v>
      </c>
      <c r="AI115" s="1">
        <v>0</v>
      </c>
      <c r="AJ115" s="1">
        <v>0</v>
      </c>
      <c r="AK115" s="41">
        <f t="shared" si="36"/>
        <v>0</v>
      </c>
      <c r="AL115" s="12"/>
      <c r="AM115" s="12"/>
      <c r="AN115" s="1"/>
      <c r="AO115" s="1"/>
      <c r="AP115" s="41">
        <f t="shared" si="37"/>
        <v>0</v>
      </c>
      <c r="AQ115" s="12"/>
      <c r="AR115" s="12"/>
      <c r="AS115" s="1"/>
      <c r="AT115" s="1"/>
      <c r="AU115" s="41">
        <f t="shared" si="38"/>
        <v>0</v>
      </c>
      <c r="AV115" s="1"/>
      <c r="AW115" s="1"/>
      <c r="AX115" s="1"/>
      <c r="AY115" s="1"/>
      <c r="AZ115" s="170">
        <f t="shared" si="39"/>
        <v>0</v>
      </c>
      <c r="BA115" s="162"/>
    </row>
    <row r="116" spans="1:53" s="2" customFormat="1">
      <c r="A116" s="15"/>
      <c r="B116" s="15" t="s">
        <v>450</v>
      </c>
      <c r="C116" s="16">
        <v>33629.367629999964</v>
      </c>
      <c r="D116" s="16">
        <v>36891.678140000004</v>
      </c>
      <c r="E116" s="16">
        <v>35836.631070000178</v>
      </c>
      <c r="F116" s="16">
        <v>22524.313020000249</v>
      </c>
      <c r="G116" s="45">
        <v>128881.98986000039</v>
      </c>
      <c r="H116" s="16">
        <v>39894.658509999768</v>
      </c>
      <c r="I116" s="16">
        <v>29885.513480000365</v>
      </c>
      <c r="J116" s="16">
        <v>36949.729679999982</v>
      </c>
      <c r="K116" s="16">
        <v>29018.837469999467</v>
      </c>
      <c r="L116" s="45">
        <v>135748.73913999958</v>
      </c>
      <c r="M116" s="16">
        <v>45268.361180000051</v>
      </c>
      <c r="N116" s="16">
        <v>26958.515020000086</v>
      </c>
      <c r="O116" s="16">
        <v>37113.67816999917</v>
      </c>
      <c r="P116" s="16">
        <v>33001.715309999694</v>
      </c>
      <c r="Q116" s="45">
        <v>142342.26967999901</v>
      </c>
      <c r="R116" s="16">
        <v>45849.27652000013</v>
      </c>
      <c r="S116" s="16">
        <v>41586.413819999849</v>
      </c>
      <c r="T116" s="16">
        <v>56337.589679999583</v>
      </c>
      <c r="U116" s="16">
        <v>33147.711839999574</v>
      </c>
      <c r="V116" s="45">
        <v>176920.99185999911</v>
      </c>
      <c r="W116" s="16">
        <v>28501.740929999971</v>
      </c>
      <c r="X116" s="16">
        <v>28137.190339999855</v>
      </c>
      <c r="Y116" s="16">
        <v>30041.506860000321</v>
      </c>
      <c r="Z116" s="16">
        <v>25421.764969999604</v>
      </c>
      <c r="AA116" s="45">
        <v>112102.20309999975</v>
      </c>
      <c r="AB116" s="16">
        <v>38053.526470000004</v>
      </c>
      <c r="AC116" s="16">
        <v>30664.747870000603</v>
      </c>
      <c r="AD116" s="16">
        <v>23839.883709999391</v>
      </c>
      <c r="AE116" s="16">
        <v>14950.400750000008</v>
      </c>
      <c r="AF116" s="45">
        <v>107508.5588</v>
      </c>
      <c r="AG116" s="16">
        <v>22468</v>
      </c>
      <c r="AH116" s="16">
        <v>14938</v>
      </c>
      <c r="AI116" s="16">
        <v>11931</v>
      </c>
      <c r="AJ116" s="16">
        <v>4097</v>
      </c>
      <c r="AK116" s="45">
        <f t="shared" si="36"/>
        <v>53434</v>
      </c>
      <c r="AL116" s="16"/>
      <c r="AM116" s="16"/>
      <c r="AN116" s="16"/>
      <c r="AO116" s="16"/>
      <c r="AP116" s="45">
        <f t="shared" si="37"/>
        <v>0</v>
      </c>
      <c r="AQ116" s="16"/>
      <c r="AR116" s="16"/>
      <c r="AS116" s="16"/>
      <c r="AT116" s="16"/>
      <c r="AU116" s="45">
        <f t="shared" si="38"/>
        <v>0</v>
      </c>
      <c r="AV116" s="16"/>
      <c r="AW116" s="16"/>
      <c r="AX116" s="16"/>
      <c r="AY116" s="16"/>
      <c r="AZ116" s="45">
        <f t="shared" si="39"/>
        <v>0</v>
      </c>
      <c r="BA116" s="666"/>
    </row>
    <row r="117" spans="1:53">
      <c r="A117" s="11"/>
      <c r="B117" s="11" t="s">
        <v>468</v>
      </c>
      <c r="C117" s="13">
        <v>17150.977491299982</v>
      </c>
      <c r="D117" s="13">
        <v>18814.755851400001</v>
      </c>
      <c r="E117" s="13">
        <v>18276.681845700092</v>
      </c>
      <c r="F117" s="13">
        <v>11487.399640200127</v>
      </c>
      <c r="G117" s="41">
        <v>65729.814828600196</v>
      </c>
      <c r="H117" s="13">
        <v>20346.275840099883</v>
      </c>
      <c r="I117" s="13">
        <v>15241.611874800186</v>
      </c>
      <c r="J117" s="13">
        <v>18844.362136799991</v>
      </c>
      <c r="K117" s="13">
        <v>14799.607109699729</v>
      </c>
      <c r="L117" s="41">
        <v>69231.856961399797</v>
      </c>
      <c r="M117" s="13">
        <v>23086.864201800025</v>
      </c>
      <c r="N117" s="13">
        <v>13748.842660200044</v>
      </c>
      <c r="O117" s="13">
        <v>18927.975866699577</v>
      </c>
      <c r="P117" s="13">
        <v>16830.874808099845</v>
      </c>
      <c r="Q117" s="41">
        <v>72594.55753679949</v>
      </c>
      <c r="R117" s="13">
        <v>23383.131025200066</v>
      </c>
      <c r="S117" s="13">
        <v>21209.071048199923</v>
      </c>
      <c r="T117" s="13">
        <v>28732.170736799788</v>
      </c>
      <c r="U117" s="13">
        <v>16905.333038399782</v>
      </c>
      <c r="V117" s="41">
        <v>90229.705848599551</v>
      </c>
      <c r="W117" s="13">
        <v>14535.887874299986</v>
      </c>
      <c r="X117" s="13">
        <v>14349.967073399926</v>
      </c>
      <c r="Y117" s="13">
        <v>15321.168498600164</v>
      </c>
      <c r="Z117" s="13">
        <v>12965.100134699798</v>
      </c>
      <c r="AA117" s="41">
        <v>57172.123580999876</v>
      </c>
      <c r="AB117" s="13">
        <v>19407.298499700002</v>
      </c>
      <c r="AC117" s="13">
        <v>15639.021413700308</v>
      </c>
      <c r="AD117" s="13">
        <v>12158.340692099689</v>
      </c>
      <c r="AE117" s="13">
        <v>7624.7043825000046</v>
      </c>
      <c r="AF117" s="41">
        <v>54829.364988000008</v>
      </c>
      <c r="AG117" s="13">
        <v>11459</v>
      </c>
      <c r="AH117" s="13">
        <v>7618</v>
      </c>
      <c r="AI117" s="1">
        <f>AI116-AI120</f>
        <v>6086</v>
      </c>
      <c r="AJ117" s="1">
        <v>2088</v>
      </c>
      <c r="AK117" s="41">
        <f t="shared" si="36"/>
        <v>27251</v>
      </c>
      <c r="AL117" s="13"/>
      <c r="AM117" s="13"/>
      <c r="AN117" s="1"/>
      <c r="AO117" s="1"/>
      <c r="AP117" s="41">
        <f t="shared" si="37"/>
        <v>0</v>
      </c>
      <c r="AQ117" s="13"/>
      <c r="AR117" s="13"/>
      <c r="AS117" s="1"/>
      <c r="AT117" s="1"/>
      <c r="AU117" s="41">
        <f t="shared" si="38"/>
        <v>0</v>
      </c>
      <c r="AV117" s="1"/>
      <c r="AW117" s="1"/>
      <c r="AX117" s="1"/>
      <c r="AY117" s="1"/>
      <c r="AZ117" s="170">
        <f t="shared" si="39"/>
        <v>0</v>
      </c>
      <c r="BA117" s="162"/>
    </row>
    <row r="118" spans="1:53">
      <c r="A118" s="11"/>
      <c r="B118" s="11" t="s">
        <v>436</v>
      </c>
      <c r="C118" s="13">
        <v>0</v>
      </c>
      <c r="D118" s="13">
        <v>0</v>
      </c>
      <c r="E118" s="13">
        <v>0</v>
      </c>
      <c r="F118" s="13">
        <v>0</v>
      </c>
      <c r="G118" s="41">
        <v>0</v>
      </c>
      <c r="H118" s="13">
        <v>0</v>
      </c>
      <c r="I118" s="13">
        <v>0</v>
      </c>
      <c r="J118" s="13">
        <v>0</v>
      </c>
      <c r="K118" s="13">
        <v>0</v>
      </c>
      <c r="L118" s="41">
        <v>0</v>
      </c>
      <c r="M118" s="13">
        <v>0</v>
      </c>
      <c r="N118" s="13">
        <v>0</v>
      </c>
      <c r="O118" s="13">
        <v>0</v>
      </c>
      <c r="P118" s="13">
        <v>0</v>
      </c>
      <c r="Q118" s="41">
        <v>0</v>
      </c>
      <c r="R118" s="13">
        <v>0</v>
      </c>
      <c r="S118" s="13">
        <v>0</v>
      </c>
      <c r="T118" s="13">
        <v>0</v>
      </c>
      <c r="U118" s="13">
        <v>0</v>
      </c>
      <c r="V118" s="41">
        <v>0</v>
      </c>
      <c r="W118" s="13">
        <v>0</v>
      </c>
      <c r="X118" s="13">
        <v>0</v>
      </c>
      <c r="Y118" s="13">
        <v>0</v>
      </c>
      <c r="Z118" s="13">
        <v>0</v>
      </c>
      <c r="AA118" s="41">
        <v>0</v>
      </c>
      <c r="AB118" s="13">
        <v>0</v>
      </c>
      <c r="AC118" s="13">
        <v>0</v>
      </c>
      <c r="AD118" s="13">
        <v>0</v>
      </c>
      <c r="AE118" s="13">
        <v>0</v>
      </c>
      <c r="AF118" s="41">
        <v>0</v>
      </c>
      <c r="AG118" s="13">
        <v>0</v>
      </c>
      <c r="AH118" s="13">
        <v>0</v>
      </c>
      <c r="AI118" s="1">
        <v>0</v>
      </c>
      <c r="AJ118" s="1">
        <v>0</v>
      </c>
      <c r="AK118" s="41">
        <f t="shared" si="36"/>
        <v>0</v>
      </c>
      <c r="AL118" s="13"/>
      <c r="AM118" s="13"/>
      <c r="AN118" s="1"/>
      <c r="AO118" s="1"/>
      <c r="AP118" s="41">
        <f t="shared" si="37"/>
        <v>0</v>
      </c>
      <c r="AQ118" s="13"/>
      <c r="AR118" s="13"/>
      <c r="AS118" s="1"/>
      <c r="AT118" s="1"/>
      <c r="AU118" s="41">
        <f t="shared" si="38"/>
        <v>0</v>
      </c>
      <c r="AV118" s="1"/>
      <c r="AW118" s="1"/>
      <c r="AX118" s="1"/>
      <c r="AY118" s="1"/>
      <c r="AZ118" s="170">
        <f t="shared" si="39"/>
        <v>0</v>
      </c>
      <c r="BA118" s="162"/>
    </row>
    <row r="119" spans="1:53">
      <c r="A119" s="11"/>
      <c r="B119" s="11" t="s">
        <v>470</v>
      </c>
      <c r="C119" s="13">
        <v>17150.977491299982</v>
      </c>
      <c r="D119" s="13">
        <v>18814.755851400001</v>
      </c>
      <c r="E119" s="13">
        <v>18276.681845700092</v>
      </c>
      <c r="F119" s="13">
        <v>11487.399640200127</v>
      </c>
      <c r="G119" s="41">
        <v>65729.814828600196</v>
      </c>
      <c r="H119" s="13">
        <v>20346.275840099883</v>
      </c>
      <c r="I119" s="13">
        <v>15241.611874800186</v>
      </c>
      <c r="J119" s="13">
        <v>18844.362136799991</v>
      </c>
      <c r="K119" s="13">
        <v>14799.607109699729</v>
      </c>
      <c r="L119" s="41">
        <v>69231.856961399797</v>
      </c>
      <c r="M119" s="13">
        <v>23086.864201800025</v>
      </c>
      <c r="N119" s="13">
        <v>13748.842660200044</v>
      </c>
      <c r="O119" s="13">
        <v>18927.975866699577</v>
      </c>
      <c r="P119" s="13">
        <v>16830.874808099845</v>
      </c>
      <c r="Q119" s="41">
        <v>72594.55753679949</v>
      </c>
      <c r="R119" s="13">
        <v>23383.131025200066</v>
      </c>
      <c r="S119" s="13">
        <v>21209.071048199923</v>
      </c>
      <c r="T119" s="13">
        <v>28732.170736799788</v>
      </c>
      <c r="U119" s="13">
        <v>16905.333038399782</v>
      </c>
      <c r="V119" s="41">
        <v>90229.705848599551</v>
      </c>
      <c r="W119" s="13">
        <v>14535.887874299986</v>
      </c>
      <c r="X119" s="13">
        <v>14349.967073399926</v>
      </c>
      <c r="Y119" s="13">
        <v>15321.168498600164</v>
      </c>
      <c r="Z119" s="13">
        <v>12965.100134699798</v>
      </c>
      <c r="AA119" s="41">
        <v>57172.123580999876</v>
      </c>
      <c r="AB119" s="13">
        <v>19407.298499700002</v>
      </c>
      <c r="AC119" s="13">
        <v>15639.021413700308</v>
      </c>
      <c r="AD119" s="13">
        <v>12158.340692099689</v>
      </c>
      <c r="AE119" s="13">
        <v>7624.7043825000046</v>
      </c>
      <c r="AF119" s="41">
        <v>54829.364988000008</v>
      </c>
      <c r="AG119" s="13">
        <v>11459</v>
      </c>
      <c r="AH119" s="13">
        <v>7618</v>
      </c>
      <c r="AI119" s="1">
        <f>AI117</f>
        <v>6086</v>
      </c>
      <c r="AJ119" s="1">
        <v>2088</v>
      </c>
      <c r="AK119" s="41">
        <f t="shared" si="36"/>
        <v>27251</v>
      </c>
      <c r="AL119" s="13"/>
      <c r="AM119" s="13"/>
      <c r="AN119" s="1"/>
      <c r="AO119" s="1"/>
      <c r="AP119" s="41">
        <f t="shared" si="37"/>
        <v>0</v>
      </c>
      <c r="AQ119" s="13"/>
      <c r="AR119" s="13"/>
      <c r="AS119" s="1"/>
      <c r="AT119" s="1"/>
      <c r="AU119" s="41">
        <f t="shared" si="38"/>
        <v>0</v>
      </c>
      <c r="AV119" s="1"/>
      <c r="AW119" s="1"/>
      <c r="AX119" s="1"/>
      <c r="AY119" s="1"/>
      <c r="AZ119" s="170">
        <f t="shared" si="39"/>
        <v>0</v>
      </c>
      <c r="BA119" s="162"/>
    </row>
    <row r="120" spans="1:53">
      <c r="A120" s="11"/>
      <c r="B120" s="11" t="s">
        <v>471</v>
      </c>
      <c r="C120" s="12">
        <v>16478.390138699982</v>
      </c>
      <c r="D120" s="12">
        <v>18076.922288600003</v>
      </c>
      <c r="E120" s="12">
        <v>17559.949224300086</v>
      </c>
      <c r="F120" s="12">
        <v>11036.913379800122</v>
      </c>
      <c r="G120" s="41">
        <v>63152.175031400191</v>
      </c>
      <c r="H120" s="12">
        <v>19548.382669899886</v>
      </c>
      <c r="I120" s="12">
        <v>14643.901605200179</v>
      </c>
      <c r="J120" s="12">
        <v>18105.367543199991</v>
      </c>
      <c r="K120" s="12">
        <v>14219.230360299738</v>
      </c>
      <c r="L120" s="41">
        <v>66516.882178599801</v>
      </c>
      <c r="M120" s="12">
        <v>22181.496978200026</v>
      </c>
      <c r="N120" s="12">
        <v>13209.672359800043</v>
      </c>
      <c r="O120" s="12">
        <v>18185.702303299593</v>
      </c>
      <c r="P120" s="12">
        <v>16170.840501899849</v>
      </c>
      <c r="Q120" s="41">
        <v>69747.712143199504</v>
      </c>
      <c r="R120" s="12">
        <v>22466.145494800065</v>
      </c>
      <c r="S120" s="12">
        <v>20377.342771799926</v>
      </c>
      <c r="T120" s="12">
        <v>27605.418943199795</v>
      </c>
      <c r="U120" s="12">
        <v>16242.378801599792</v>
      </c>
      <c r="V120" s="41">
        <v>86691.286011399585</v>
      </c>
      <c r="W120" s="12">
        <v>13965.853055699985</v>
      </c>
      <c r="X120" s="12">
        <v>13787.223266599929</v>
      </c>
      <c r="Y120" s="12">
        <v>14720.338361400158</v>
      </c>
      <c r="Z120" s="12">
        <v>12456.664835299795</v>
      </c>
      <c r="AA120" s="41">
        <v>54930.079518999868</v>
      </c>
      <c r="AB120" s="12">
        <v>18646.227970300002</v>
      </c>
      <c r="AC120" s="12">
        <v>15025.726456300295</v>
      </c>
      <c r="AD120" s="12">
        <v>11681.543017899701</v>
      </c>
      <c r="AE120" s="12">
        <v>7325.6963675000034</v>
      </c>
      <c r="AF120" s="41">
        <v>52679.193811999998</v>
      </c>
      <c r="AG120" s="12">
        <v>11009</v>
      </c>
      <c r="AH120" s="13">
        <v>7320</v>
      </c>
      <c r="AI120" s="1">
        <v>5845</v>
      </c>
      <c r="AJ120" s="1">
        <v>2009</v>
      </c>
      <c r="AK120" s="41">
        <f t="shared" si="36"/>
        <v>26183</v>
      </c>
      <c r="AL120" s="13"/>
      <c r="AM120" s="13"/>
      <c r="AN120" s="1"/>
      <c r="AO120" s="1"/>
      <c r="AP120" s="41">
        <f t="shared" si="37"/>
        <v>0</v>
      </c>
      <c r="AQ120" s="13"/>
      <c r="AR120" s="13"/>
      <c r="AS120" s="1"/>
      <c r="AT120" s="1"/>
      <c r="AU120" s="41">
        <f t="shared" si="38"/>
        <v>0</v>
      </c>
      <c r="AV120" s="1"/>
      <c r="AW120" s="1"/>
      <c r="AX120" s="1"/>
      <c r="AY120" s="1"/>
      <c r="AZ120" s="170">
        <f t="shared" si="39"/>
        <v>0</v>
      </c>
      <c r="BA120" s="162"/>
    </row>
    <row r="121" spans="1:53" ht="15.75" thickBot="1">
      <c r="A121" s="17"/>
      <c r="B121" s="17" t="s">
        <v>451</v>
      </c>
      <c r="C121" s="18">
        <v>0.24587099999999998</v>
      </c>
      <c r="D121" s="18">
        <v>0.24587099999999998</v>
      </c>
      <c r="E121" s="18">
        <v>0.24587099999999998</v>
      </c>
      <c r="F121" s="18">
        <v>0.24587099999999998</v>
      </c>
      <c r="G121" s="48">
        <v>0.24587099999999998</v>
      </c>
      <c r="H121" s="18">
        <v>0.24587099999999998</v>
      </c>
      <c r="I121" s="18">
        <v>0.24587099999999998</v>
      </c>
      <c r="J121" s="18">
        <v>0.24587099999999998</v>
      </c>
      <c r="K121" s="18">
        <v>0.24587099999999998</v>
      </c>
      <c r="L121" s="48">
        <v>0.24587099999999998</v>
      </c>
      <c r="M121" s="18">
        <v>0.24587099999999998</v>
      </c>
      <c r="N121" s="18">
        <v>0.24587099999999998</v>
      </c>
      <c r="O121" s="18">
        <v>0.24587099999999998</v>
      </c>
      <c r="P121" s="18">
        <v>0.24587099999999998</v>
      </c>
      <c r="Q121" s="48">
        <v>0.24587099999999998</v>
      </c>
      <c r="R121" s="18">
        <v>0.24587099999999998</v>
      </c>
      <c r="S121" s="18">
        <v>0.24587099999999998</v>
      </c>
      <c r="T121" s="18">
        <v>0.24587099999999998</v>
      </c>
      <c r="U121" s="18">
        <v>0.24587099999999998</v>
      </c>
      <c r="V121" s="48">
        <v>0.24587099999999998</v>
      </c>
      <c r="W121" s="18">
        <v>0.24587099999999998</v>
      </c>
      <c r="X121" s="18">
        <v>0.24587099999999998</v>
      </c>
      <c r="Y121" s="18">
        <v>0.24587099999999998</v>
      </c>
      <c r="Z121" s="18">
        <v>0.24587099999999998</v>
      </c>
      <c r="AA121" s="48">
        <v>0.24587099999999998</v>
      </c>
      <c r="AB121" s="18">
        <v>0.24607499999999999</v>
      </c>
      <c r="AC121" s="18">
        <v>0.24607499999999999</v>
      </c>
      <c r="AD121" s="18">
        <v>0.24607499999999999</v>
      </c>
      <c r="AE121" s="18">
        <v>0.24607499999999999</v>
      </c>
      <c r="AF121" s="48">
        <v>0.24607499999999999</v>
      </c>
      <c r="AG121" s="18">
        <v>0.24607499999999999</v>
      </c>
      <c r="AH121" s="18">
        <v>0.24607499999999999</v>
      </c>
      <c r="AI121" s="169">
        <v>0.24607499999999999</v>
      </c>
      <c r="AJ121" s="169">
        <v>0.24607499999999999</v>
      </c>
      <c r="AK121" s="48">
        <f>AJ121</f>
        <v>0.24607499999999999</v>
      </c>
      <c r="AL121" s="18"/>
      <c r="AM121" s="18"/>
      <c r="AN121" s="169"/>
      <c r="AO121" s="169"/>
      <c r="AP121" s="48"/>
      <c r="AQ121" s="18"/>
      <c r="AR121" s="18"/>
      <c r="AS121" s="169"/>
      <c r="AT121" s="169"/>
      <c r="AU121" s="48"/>
      <c r="AV121" s="169"/>
      <c r="AW121" s="169"/>
      <c r="AX121" s="169"/>
      <c r="AY121" s="169"/>
      <c r="AZ121" s="48"/>
      <c r="BA121" s="18"/>
    </row>
    <row r="122" spans="1:53" ht="15.75" thickBot="1">
      <c r="AG122" s="8"/>
      <c r="AH122" s="8"/>
      <c r="AI122" s="8"/>
      <c r="AJ122" s="8"/>
      <c r="AL122" s="8"/>
      <c r="AM122" s="8"/>
      <c r="AN122" s="8"/>
      <c r="AO122" s="8"/>
      <c r="AQ122" s="8"/>
      <c r="AR122" s="8"/>
      <c r="AS122" s="8"/>
      <c r="AT122" s="8"/>
      <c r="AV122" s="8"/>
      <c r="AW122" s="8"/>
      <c r="AX122" s="8"/>
      <c r="AY122" s="8"/>
    </row>
    <row r="123" spans="1:53" s="2" customFormat="1">
      <c r="A123" s="625"/>
      <c r="B123" s="625" t="s">
        <v>503</v>
      </c>
      <c r="C123" s="626" t="s">
        <v>224</v>
      </c>
      <c r="D123" s="626" t="s">
        <v>225</v>
      </c>
      <c r="E123" s="626" t="s">
        <v>226</v>
      </c>
      <c r="F123" s="626" t="s">
        <v>227</v>
      </c>
      <c r="G123" s="652">
        <v>2016</v>
      </c>
      <c r="H123" s="626" t="s">
        <v>228</v>
      </c>
      <c r="I123" s="626" t="s">
        <v>229</v>
      </c>
      <c r="J123" s="626" t="s">
        <v>230</v>
      </c>
      <c r="K123" s="626" t="s">
        <v>231</v>
      </c>
      <c r="L123" s="652">
        <v>2017</v>
      </c>
      <c r="M123" s="626" t="s">
        <v>232</v>
      </c>
      <c r="N123" s="626" t="s">
        <v>233</v>
      </c>
      <c r="O123" s="626" t="s">
        <v>234</v>
      </c>
      <c r="P123" s="626" t="s">
        <v>235</v>
      </c>
      <c r="Q123" s="652">
        <v>2018</v>
      </c>
      <c r="R123" s="626" t="s">
        <v>236</v>
      </c>
      <c r="S123" s="626" t="s">
        <v>237</v>
      </c>
      <c r="T123" s="626" t="s">
        <v>238</v>
      </c>
      <c r="U123" s="626" t="s">
        <v>239</v>
      </c>
      <c r="V123" s="652">
        <v>2019</v>
      </c>
      <c r="W123" s="626" t="s">
        <v>240</v>
      </c>
      <c r="X123" s="626" t="s">
        <v>241</v>
      </c>
      <c r="Y123" s="626" t="s">
        <v>242</v>
      </c>
      <c r="Z123" s="626" t="s">
        <v>243</v>
      </c>
      <c r="AA123" s="652">
        <v>2020</v>
      </c>
      <c r="AB123" s="626" t="s">
        <v>244</v>
      </c>
      <c r="AC123" s="626" t="s">
        <v>245</v>
      </c>
      <c r="AD123" s="626" t="s">
        <v>246</v>
      </c>
      <c r="AE123" s="626" t="s">
        <v>247</v>
      </c>
      <c r="AF123" s="652">
        <v>2021</v>
      </c>
      <c r="AG123" s="626" t="s">
        <v>248</v>
      </c>
      <c r="AH123" s="626" t="s">
        <v>504</v>
      </c>
      <c r="AI123" s="626" t="s">
        <v>250</v>
      </c>
      <c r="AJ123" s="626" t="s">
        <v>215</v>
      </c>
      <c r="AK123" s="652">
        <v>2022</v>
      </c>
      <c r="AL123" s="626" t="s">
        <v>252</v>
      </c>
      <c r="AM123" s="626" t="s">
        <v>253</v>
      </c>
      <c r="AN123" s="626" t="s">
        <v>254</v>
      </c>
      <c r="AO123" s="626" t="s">
        <v>219</v>
      </c>
      <c r="AP123" s="652">
        <v>2023</v>
      </c>
      <c r="AQ123" s="626" t="s">
        <v>223</v>
      </c>
      <c r="AR123" s="626" t="s">
        <v>256</v>
      </c>
      <c r="AS123" s="626" t="s">
        <v>357</v>
      </c>
      <c r="AT123" s="626" t="s">
        <v>358</v>
      </c>
      <c r="AU123" s="652">
        <v>2024</v>
      </c>
      <c r="AV123" s="626" t="s">
        <v>359</v>
      </c>
      <c r="AW123" s="626" t="s">
        <v>1115</v>
      </c>
      <c r="AX123" s="626" t="s">
        <v>1116</v>
      </c>
      <c r="AY123" s="626" t="s">
        <v>1117</v>
      </c>
      <c r="AZ123" s="653" t="s">
        <v>1118</v>
      </c>
      <c r="BA123" s="645" t="s">
        <v>1124</v>
      </c>
    </row>
    <row r="124" spans="1:53" s="2" customFormat="1">
      <c r="A124" s="9"/>
      <c r="B124" s="9" t="s">
        <v>505</v>
      </c>
      <c r="C124" s="10">
        <v>94217.991739999998</v>
      </c>
      <c r="D124" s="10">
        <v>99178.238779999985</v>
      </c>
      <c r="E124" s="10">
        <v>101168.63438999996</v>
      </c>
      <c r="F124" s="10">
        <v>104532.45653000002</v>
      </c>
      <c r="G124" s="39">
        <v>399097.32143999997</v>
      </c>
      <c r="H124" s="10">
        <v>114657.10603000002</v>
      </c>
      <c r="I124" s="10">
        <v>110571.44656999997</v>
      </c>
      <c r="J124" s="10">
        <v>117051.11085999996</v>
      </c>
      <c r="K124" s="10">
        <v>118844.14063999994</v>
      </c>
      <c r="L124" s="39">
        <v>461123.80409999989</v>
      </c>
      <c r="M124" s="10">
        <v>122172.52727000001</v>
      </c>
      <c r="N124" s="10">
        <v>119358.36675999999</v>
      </c>
      <c r="O124" s="10">
        <v>118850.08931000004</v>
      </c>
      <c r="P124" s="10">
        <v>120598.40334999992</v>
      </c>
      <c r="Q124" s="39">
        <v>480979.38668999996</v>
      </c>
      <c r="R124" s="10">
        <v>123968.35270999999</v>
      </c>
      <c r="S124" s="10">
        <v>130815.01541000001</v>
      </c>
      <c r="T124" s="10">
        <v>145076.08743999986</v>
      </c>
      <c r="U124" s="10">
        <v>146202.77163000003</v>
      </c>
      <c r="V124" s="39">
        <v>546062.22718999989</v>
      </c>
      <c r="W124" s="10">
        <v>149454.32198000001</v>
      </c>
      <c r="X124" s="10">
        <v>143377.73657999997</v>
      </c>
      <c r="Y124" s="10">
        <v>149920.24357999995</v>
      </c>
      <c r="Z124" s="10">
        <v>158168.20924999996</v>
      </c>
      <c r="AA124" s="39">
        <v>600920.51138999988</v>
      </c>
      <c r="AB124" s="10">
        <v>154049.86630000005</v>
      </c>
      <c r="AC124" s="10">
        <v>149714.16021999996</v>
      </c>
      <c r="AD124" s="10">
        <v>155501.17500999995</v>
      </c>
      <c r="AE124" s="10">
        <v>136270</v>
      </c>
      <c r="AF124" s="39">
        <f>SUM(AB124:AE124)</f>
        <v>595535.20152999996</v>
      </c>
      <c r="AG124" s="76">
        <v>135674</v>
      </c>
      <c r="AH124" s="76">
        <v>78148.033650000114</v>
      </c>
      <c r="AI124" s="76">
        <v>120947</v>
      </c>
      <c r="AJ124" s="76">
        <v>22578.903309999791</v>
      </c>
      <c r="AK124" s="39">
        <f>SUM(AG124:AJ124)</f>
        <v>357347.9369599999</v>
      </c>
      <c r="AL124" s="76"/>
      <c r="AM124" s="76"/>
      <c r="AN124" s="76"/>
      <c r="AO124" s="76"/>
      <c r="AP124" s="39">
        <f>SUM(AL124:AO124)</f>
        <v>0</v>
      </c>
      <c r="AQ124" s="76"/>
      <c r="AR124" s="76"/>
      <c r="AS124" s="76"/>
      <c r="AT124" s="76"/>
      <c r="AU124" s="39">
        <f>SUM(AQ124:AT124)</f>
        <v>0</v>
      </c>
      <c r="AV124" s="76"/>
      <c r="AW124" s="76"/>
      <c r="AX124" s="76"/>
      <c r="AY124" s="76"/>
      <c r="AZ124" s="39">
        <f>SUM(AV124:AY124)</f>
        <v>0</v>
      </c>
      <c r="BA124" s="10"/>
    </row>
    <row r="125" spans="1:53">
      <c r="A125" s="11"/>
      <c r="B125" s="11" t="s">
        <v>506</v>
      </c>
      <c r="C125" s="12">
        <v>-48685.246599999999</v>
      </c>
      <c r="D125" s="12">
        <v>-44322.241110000032</v>
      </c>
      <c r="E125" s="12">
        <v>-46965.703820000039</v>
      </c>
      <c r="F125" s="12">
        <v>-56817.098060000135</v>
      </c>
      <c r="G125" s="40">
        <v>-196790.2895900002</v>
      </c>
      <c r="H125" s="12">
        <v>-59248.95045000004</v>
      </c>
      <c r="I125" s="12">
        <v>-66052.511039999983</v>
      </c>
      <c r="J125" s="12">
        <v>-70461.620520000113</v>
      </c>
      <c r="K125" s="12">
        <v>-74990.560199999833</v>
      </c>
      <c r="L125" s="40">
        <v>-270753.64220999996</v>
      </c>
      <c r="M125" s="12">
        <v>-69944.02648000003</v>
      </c>
      <c r="N125" s="12">
        <v>-69398.656999999948</v>
      </c>
      <c r="O125" s="12">
        <v>-72251.142929999973</v>
      </c>
      <c r="P125" s="12">
        <v>-71240.935360000032</v>
      </c>
      <c r="Q125" s="40">
        <v>-282834.76176999998</v>
      </c>
      <c r="R125" s="12">
        <v>-64206.02324000001</v>
      </c>
      <c r="S125" s="12">
        <v>-83807.091309999843</v>
      </c>
      <c r="T125" s="12">
        <v>-98518.986680000235</v>
      </c>
      <c r="U125" s="12">
        <v>-116843.42484999972</v>
      </c>
      <c r="V125" s="40">
        <v>-363375.52607999981</v>
      </c>
      <c r="W125" s="12">
        <v>-92283.881649999967</v>
      </c>
      <c r="X125" s="12">
        <v>-77185.755689999962</v>
      </c>
      <c r="Y125" s="12">
        <v>-85833.616909999924</v>
      </c>
      <c r="Z125" s="12">
        <v>-89133.958610000234</v>
      </c>
      <c r="AA125" s="40">
        <v>-344437.21286000009</v>
      </c>
      <c r="AB125" s="12">
        <v>-86212.105640000023</v>
      </c>
      <c r="AC125" s="12">
        <v>-78986.831129999657</v>
      </c>
      <c r="AD125" s="12">
        <v>-71039.03152000031</v>
      </c>
      <c r="AE125" s="12">
        <v>-68626</v>
      </c>
      <c r="AF125" s="40">
        <f t="shared" ref="AF125" si="40">SUM(AB125:AE125)</f>
        <v>-304863.96828999999</v>
      </c>
      <c r="AG125" s="12">
        <v>-63187</v>
      </c>
      <c r="AH125" s="12">
        <v>-9453.3482500002137</v>
      </c>
      <c r="AI125" s="12">
        <v>-87481</v>
      </c>
      <c r="AJ125" s="12">
        <v>-10716.862949999835</v>
      </c>
      <c r="AK125" s="40">
        <f t="shared" ref="AK125" si="41">SUM(AG125:AJ125)</f>
        <v>-170838.21120000005</v>
      </c>
      <c r="AL125" s="12"/>
      <c r="AM125" s="12"/>
      <c r="AN125" s="12"/>
      <c r="AO125" s="12"/>
      <c r="AP125" s="40">
        <f t="shared" ref="AP125" si="42">SUM(AL125:AO125)</f>
        <v>0</v>
      </c>
      <c r="AQ125" s="12"/>
      <c r="AR125" s="12"/>
      <c r="AS125" s="12"/>
      <c r="AT125" s="12"/>
      <c r="AU125" s="40">
        <f t="shared" ref="AU125" si="43">SUM(AQ125:AT125)</f>
        <v>0</v>
      </c>
      <c r="AV125" s="12"/>
      <c r="AW125" s="12"/>
      <c r="AX125" s="12"/>
      <c r="AY125" s="12"/>
      <c r="AZ125" s="40">
        <f t="shared" ref="AZ125" si="44">SUM(AV125:AY125)</f>
        <v>0</v>
      </c>
      <c r="BA125" s="8"/>
    </row>
    <row r="126" spans="1:53" s="2" customFormat="1">
      <c r="A126" s="9"/>
      <c r="B126" s="9" t="s">
        <v>412</v>
      </c>
      <c r="C126" s="10">
        <v>45532.745139999992</v>
      </c>
      <c r="D126" s="10">
        <v>54855.997669999961</v>
      </c>
      <c r="E126" s="10">
        <v>54202.930569999953</v>
      </c>
      <c r="F126" s="10">
        <v>47715.35846999989</v>
      </c>
      <c r="G126" s="39">
        <v>202307.0318499998</v>
      </c>
      <c r="H126" s="10">
        <v>55408.155579999991</v>
      </c>
      <c r="I126" s="10">
        <v>44518.935529999988</v>
      </c>
      <c r="J126" s="10">
        <v>46589.490339999873</v>
      </c>
      <c r="K126" s="10">
        <v>43853.580440000078</v>
      </c>
      <c r="L126" s="39">
        <v>190370.16188999993</v>
      </c>
      <c r="M126" s="10">
        <v>52228.500789999976</v>
      </c>
      <c r="N126" s="10">
        <v>49959.709760000042</v>
      </c>
      <c r="O126" s="10">
        <v>46598.946380000067</v>
      </c>
      <c r="P126" s="10">
        <v>49357.467989999859</v>
      </c>
      <c r="Q126" s="39">
        <v>198144.62491999994</v>
      </c>
      <c r="R126" s="10">
        <v>59762.329469999982</v>
      </c>
      <c r="S126" s="10">
        <v>47007.924100000164</v>
      </c>
      <c r="T126" s="10">
        <v>46557.100759999652</v>
      </c>
      <c r="U126" s="10">
        <v>29359.346780000342</v>
      </c>
      <c r="V126" s="39">
        <v>182686.70111000014</v>
      </c>
      <c r="W126" s="10">
        <v>57170.440330000056</v>
      </c>
      <c r="X126" s="10">
        <v>66191.980890000035</v>
      </c>
      <c r="Y126" s="10">
        <v>64086.626669999983</v>
      </c>
      <c r="Z126" s="10">
        <v>69034.250639999722</v>
      </c>
      <c r="AA126" s="39">
        <v>256483.2985299998</v>
      </c>
      <c r="AB126" s="10">
        <v>67837.760660000014</v>
      </c>
      <c r="AC126" s="10">
        <v>70727.329090000349</v>
      </c>
      <c r="AD126" s="10">
        <v>84462.143489999638</v>
      </c>
      <c r="AE126" s="10">
        <v>67644</v>
      </c>
      <c r="AF126" s="39">
        <f>SUM(AB126:AE126)</f>
        <v>290671.23323999997</v>
      </c>
      <c r="AG126" s="10">
        <v>72487</v>
      </c>
      <c r="AH126" s="10">
        <v>68694.6853999999</v>
      </c>
      <c r="AI126" s="10">
        <v>33466</v>
      </c>
      <c r="AJ126" s="10">
        <v>11862.040359999955</v>
      </c>
      <c r="AK126" s="39">
        <f>SUM(AG126:AJ126)</f>
        <v>186509.72575999986</v>
      </c>
      <c r="AL126" s="10"/>
      <c r="AM126" s="10"/>
      <c r="AN126" s="10"/>
      <c r="AO126" s="10"/>
      <c r="AP126" s="39">
        <f>SUM(AL126:AO126)</f>
        <v>0</v>
      </c>
      <c r="AQ126" s="10"/>
      <c r="AR126" s="10"/>
      <c r="AS126" s="10"/>
      <c r="AT126" s="10"/>
      <c r="AU126" s="39">
        <f>SUM(AQ126:AT126)</f>
        <v>0</v>
      </c>
      <c r="AV126" s="10"/>
      <c r="AW126" s="10"/>
      <c r="AX126" s="10"/>
      <c r="AY126" s="10"/>
      <c r="AZ126" s="39">
        <f>SUM(AV126:AY126)</f>
        <v>0</v>
      </c>
      <c r="BA126" s="10"/>
    </row>
    <row r="127" spans="1:53">
      <c r="A127" s="11"/>
      <c r="B127" s="11" t="s">
        <v>413</v>
      </c>
      <c r="C127" s="12">
        <v>-11548.378859999997</v>
      </c>
      <c r="D127" s="12">
        <v>-11942.266889999999</v>
      </c>
      <c r="E127" s="12">
        <v>-11637.454270000009</v>
      </c>
      <c r="F127" s="12">
        <v>-12436.231910000002</v>
      </c>
      <c r="G127" s="40">
        <v>-47564.331930000008</v>
      </c>
      <c r="H127" s="12">
        <v>-11026.247210000005</v>
      </c>
      <c r="I127" s="12">
        <v>-10873.961739999999</v>
      </c>
      <c r="J127" s="12">
        <v>-10783.658439999992</v>
      </c>
      <c r="K127" s="12">
        <v>-11949.937120000021</v>
      </c>
      <c r="L127" s="40">
        <v>-44633.804510000016</v>
      </c>
      <c r="M127" s="12">
        <v>-9211.4524000000019</v>
      </c>
      <c r="N127" s="12">
        <v>-11404.171140000006</v>
      </c>
      <c r="O127" s="12">
        <v>-12013.281099999989</v>
      </c>
      <c r="P127" s="12">
        <v>-13985.399170000022</v>
      </c>
      <c r="Q127" s="40">
        <v>-46614.303810000019</v>
      </c>
      <c r="R127" s="12">
        <v>-12485.177739999999</v>
      </c>
      <c r="S127" s="12">
        <v>-13060.036840000008</v>
      </c>
      <c r="T127" s="12">
        <v>-13081.511590000009</v>
      </c>
      <c r="U127" s="12">
        <v>-15663.117689999999</v>
      </c>
      <c r="V127" s="40">
        <v>-54289.843860000015</v>
      </c>
      <c r="W127" s="12">
        <v>-13339.176730000003</v>
      </c>
      <c r="X127" s="12">
        <v>-14195.14546</v>
      </c>
      <c r="Y127" s="12">
        <v>-18292.426159999992</v>
      </c>
      <c r="Z127" s="12">
        <v>-19779.374280000018</v>
      </c>
      <c r="AA127" s="40">
        <v>-65606.122630000013</v>
      </c>
      <c r="AB127" s="12">
        <v>-17339.943459999995</v>
      </c>
      <c r="AC127" s="12">
        <v>-15766.260950000004</v>
      </c>
      <c r="AD127" s="12">
        <v>-13256.225749999998</v>
      </c>
      <c r="AE127" s="12">
        <v>-16195</v>
      </c>
      <c r="AF127" s="40">
        <f t="shared" ref="AF127:AF138" si="45">SUM(AB127:AE127)</f>
        <v>-62557.430159999996</v>
      </c>
      <c r="AG127" s="12">
        <v>-14397</v>
      </c>
      <c r="AH127" s="12">
        <v>-12701.697919999999</v>
      </c>
      <c r="AI127" s="12">
        <v>-18045</v>
      </c>
      <c r="AJ127" s="12">
        <v>-14602.983709999986</v>
      </c>
      <c r="AK127" s="40">
        <f t="shared" ref="AK127:AK138" si="46">SUM(AG127:AJ127)</f>
        <v>-59746.681629999985</v>
      </c>
      <c r="AL127" s="12"/>
      <c r="AM127" s="12"/>
      <c r="AN127" s="12"/>
      <c r="AO127" s="12"/>
      <c r="AP127" s="40">
        <f t="shared" ref="AP127:AP138" si="47">SUM(AL127:AO127)</f>
        <v>0</v>
      </c>
      <c r="AQ127" s="12"/>
      <c r="AR127" s="12"/>
      <c r="AS127" s="12"/>
      <c r="AT127" s="12"/>
      <c r="AU127" s="40">
        <f t="shared" ref="AU127:AU138" si="48">SUM(AQ127:AT127)</f>
        <v>0</v>
      </c>
      <c r="AV127" s="12"/>
      <c r="AW127" s="12"/>
      <c r="AX127" s="12"/>
      <c r="AY127" s="12"/>
      <c r="AZ127" s="40">
        <f t="shared" ref="AZ127:AZ138" si="49">SUM(AV127:AY127)</f>
        <v>0</v>
      </c>
      <c r="BA127" s="8"/>
    </row>
    <row r="128" spans="1:53">
      <c r="A128" s="11"/>
      <c r="B128" s="11" t="s">
        <v>414</v>
      </c>
      <c r="C128" s="13">
        <v>-13873.33022</v>
      </c>
      <c r="D128" s="13">
        <v>-14501.896050000003</v>
      </c>
      <c r="E128" s="13">
        <v>-14811.68154999999</v>
      </c>
      <c r="F128" s="13">
        <v>-15276.154609999998</v>
      </c>
      <c r="G128" s="41">
        <v>-58463.062429999991</v>
      </c>
      <c r="H128" s="13">
        <v>-16705.685249999999</v>
      </c>
      <c r="I128" s="13">
        <v>-13795.759330000001</v>
      </c>
      <c r="J128" s="13">
        <v>-13866.904850000003</v>
      </c>
      <c r="K128" s="13">
        <v>-14039.19057999998</v>
      </c>
      <c r="L128" s="41">
        <v>-58407.540009999982</v>
      </c>
      <c r="M128" s="13">
        <v>-14500.154289999999</v>
      </c>
      <c r="N128" s="13">
        <v>-13883.770250000005</v>
      </c>
      <c r="O128" s="13">
        <v>-13768.641009999996</v>
      </c>
      <c r="P128" s="13">
        <v>-13961.254760000011</v>
      </c>
      <c r="Q128" s="41">
        <v>-56113.82031000001</v>
      </c>
      <c r="R128" s="13">
        <v>-14350.170169999999</v>
      </c>
      <c r="S128" s="13">
        <v>-15065.640950000006</v>
      </c>
      <c r="T128" s="13">
        <v>-16731.554479999999</v>
      </c>
      <c r="U128" s="13">
        <v>-16870.227839999992</v>
      </c>
      <c r="V128" s="41">
        <v>-63017.593439999997</v>
      </c>
      <c r="W128" s="13">
        <v>-17318.273430000005</v>
      </c>
      <c r="X128" s="13">
        <v>-16724.741119999995</v>
      </c>
      <c r="Y128" s="13">
        <v>-17336.095069999996</v>
      </c>
      <c r="Z128" s="13">
        <v>-18308.007319999997</v>
      </c>
      <c r="AA128" s="41">
        <v>-69687.116939999993</v>
      </c>
      <c r="AB128" s="13">
        <v>-17949.553100000001</v>
      </c>
      <c r="AC128" s="13">
        <v>-17564.841700000001</v>
      </c>
      <c r="AD128" s="13">
        <v>-18281.634480000001</v>
      </c>
      <c r="AE128" s="13">
        <v>-16135</v>
      </c>
      <c r="AF128" s="41">
        <f t="shared" si="45"/>
        <v>-69931.029280000002</v>
      </c>
      <c r="AG128" s="13">
        <v>-16272</v>
      </c>
      <c r="AH128" s="13">
        <v>-11262.862580000001</v>
      </c>
      <c r="AI128" s="13">
        <v>-13001</v>
      </c>
      <c r="AJ128" s="13">
        <v>-2866.3736199999985</v>
      </c>
      <c r="AK128" s="41">
        <f t="shared" si="46"/>
        <v>-43402.236199999999</v>
      </c>
      <c r="AL128" s="13"/>
      <c r="AM128" s="13"/>
      <c r="AN128" s="13"/>
      <c r="AO128" s="13"/>
      <c r="AP128" s="41">
        <f t="shared" si="47"/>
        <v>0</v>
      </c>
      <c r="AQ128" s="13"/>
      <c r="AR128" s="13"/>
      <c r="AS128" s="13"/>
      <c r="AT128" s="13"/>
      <c r="AU128" s="41">
        <f t="shared" si="48"/>
        <v>0</v>
      </c>
      <c r="AV128" s="13"/>
      <c r="AW128" s="13"/>
      <c r="AX128" s="13"/>
      <c r="AY128" s="13"/>
      <c r="AZ128" s="170">
        <f t="shared" si="49"/>
        <v>0</v>
      </c>
      <c r="BA128" s="162"/>
    </row>
    <row r="129" spans="1:53">
      <c r="A129" s="11"/>
      <c r="B129" s="11" t="s">
        <v>415</v>
      </c>
      <c r="C129" s="13">
        <v>8002.5771400000003</v>
      </c>
      <c r="D129" s="13">
        <v>7294.6495600000026</v>
      </c>
      <c r="E129" s="13">
        <v>9479.4056799999998</v>
      </c>
      <c r="F129" s="13">
        <v>7959.2655499999855</v>
      </c>
      <c r="G129" s="41">
        <v>32735.897929999988</v>
      </c>
      <c r="H129" s="13">
        <v>7207.099409999998</v>
      </c>
      <c r="I129" s="13">
        <v>5458.3750399999981</v>
      </c>
      <c r="J129" s="13">
        <v>5126.8719799999944</v>
      </c>
      <c r="K129" s="13">
        <v>4526.3222300000125</v>
      </c>
      <c r="L129" s="41">
        <v>22318.668660000003</v>
      </c>
      <c r="M129" s="13">
        <v>8277.6524600000012</v>
      </c>
      <c r="N129" s="13">
        <v>3497.493279999997</v>
      </c>
      <c r="O129" s="13">
        <v>1546.859779999997</v>
      </c>
      <c r="P129" s="13">
        <v>4361.0712899999999</v>
      </c>
      <c r="Q129" s="41">
        <v>17683.076809999995</v>
      </c>
      <c r="R129" s="13">
        <v>3769.2713099999996</v>
      </c>
      <c r="S129" s="13">
        <v>4241.5420999999969</v>
      </c>
      <c r="T129" s="13">
        <v>4020.2174400000004</v>
      </c>
      <c r="U129" s="13">
        <v>3810.430260000001</v>
      </c>
      <c r="V129" s="41">
        <v>15841.461109999998</v>
      </c>
      <c r="W129" s="13">
        <v>3662.3104999999996</v>
      </c>
      <c r="X129" s="13">
        <v>3497.6268599999994</v>
      </c>
      <c r="Y129" s="13">
        <v>3015.049320000001</v>
      </c>
      <c r="Z129" s="13">
        <v>3813.6902100000043</v>
      </c>
      <c r="AA129" s="41">
        <v>13988.676890000004</v>
      </c>
      <c r="AB129" s="13">
        <v>4072.3048900000003</v>
      </c>
      <c r="AC129" s="13">
        <v>4612.9757500000005</v>
      </c>
      <c r="AD129" s="13">
        <v>6876.4893200000006</v>
      </c>
      <c r="AE129" s="13">
        <v>6457</v>
      </c>
      <c r="AF129" s="41">
        <f t="shared" si="45"/>
        <v>22018.769960000001</v>
      </c>
      <c r="AG129" s="13">
        <v>8511</v>
      </c>
      <c r="AH129" s="13">
        <v>6941.0863600000012</v>
      </c>
      <c r="AI129" s="13">
        <v>8494</v>
      </c>
      <c r="AJ129" s="13">
        <v>3041.0227999999988</v>
      </c>
      <c r="AK129" s="41">
        <f t="shared" si="46"/>
        <v>26987.10916</v>
      </c>
      <c r="AL129" s="13"/>
      <c r="AM129" s="13"/>
      <c r="AN129" s="13"/>
      <c r="AO129" s="13"/>
      <c r="AP129" s="41">
        <f t="shared" si="47"/>
        <v>0</v>
      </c>
      <c r="AQ129" s="13"/>
      <c r="AR129" s="13"/>
      <c r="AS129" s="13"/>
      <c r="AT129" s="13"/>
      <c r="AU129" s="41">
        <f t="shared" si="48"/>
        <v>0</v>
      </c>
      <c r="AV129" s="13"/>
      <c r="AW129" s="13"/>
      <c r="AX129" s="13"/>
      <c r="AY129" s="13"/>
      <c r="AZ129" s="170">
        <f t="shared" si="49"/>
        <v>0</v>
      </c>
      <c r="BA129" s="162"/>
    </row>
    <row r="130" spans="1:53">
      <c r="A130" s="11"/>
      <c r="B130" s="11" t="s">
        <v>416</v>
      </c>
      <c r="C130" s="12">
        <v>0</v>
      </c>
      <c r="D130" s="12">
        <v>0</v>
      </c>
      <c r="E130" s="12">
        <v>0</v>
      </c>
      <c r="F130" s="12">
        <v>0</v>
      </c>
      <c r="G130" s="40">
        <v>0</v>
      </c>
      <c r="H130" s="12">
        <v>0</v>
      </c>
      <c r="I130" s="12">
        <v>0</v>
      </c>
      <c r="J130" s="12">
        <v>0</v>
      </c>
      <c r="K130" s="12">
        <v>0</v>
      </c>
      <c r="L130" s="40">
        <v>0</v>
      </c>
      <c r="M130" s="12">
        <v>0</v>
      </c>
      <c r="N130" s="12">
        <v>0</v>
      </c>
      <c r="O130" s="12">
        <v>0</v>
      </c>
      <c r="P130" s="12">
        <v>0</v>
      </c>
      <c r="Q130" s="40">
        <v>0</v>
      </c>
      <c r="R130" s="12">
        <v>0</v>
      </c>
      <c r="S130" s="12">
        <v>0</v>
      </c>
      <c r="T130" s="12">
        <v>0</v>
      </c>
      <c r="U130" s="12">
        <v>0</v>
      </c>
      <c r="V130" s="40">
        <v>0</v>
      </c>
      <c r="W130" s="12">
        <v>0</v>
      </c>
      <c r="X130" s="12">
        <v>0</v>
      </c>
      <c r="Y130" s="12">
        <v>0</v>
      </c>
      <c r="Z130" s="12">
        <v>0</v>
      </c>
      <c r="AA130" s="40">
        <v>0</v>
      </c>
      <c r="AB130" s="12">
        <v>0</v>
      </c>
      <c r="AC130" s="12">
        <v>0</v>
      </c>
      <c r="AD130" s="12">
        <v>0</v>
      </c>
      <c r="AE130" s="12">
        <v>0</v>
      </c>
      <c r="AF130" s="40">
        <f t="shared" si="45"/>
        <v>0</v>
      </c>
      <c r="AG130" s="12">
        <v>0</v>
      </c>
      <c r="AH130" s="12">
        <v>0</v>
      </c>
      <c r="AI130" s="12">
        <v>0</v>
      </c>
      <c r="AJ130" s="12">
        <v>0</v>
      </c>
      <c r="AK130" s="40">
        <f t="shared" si="46"/>
        <v>0</v>
      </c>
      <c r="AL130" s="12"/>
      <c r="AM130" s="12"/>
      <c r="AN130" s="12"/>
      <c r="AO130" s="12"/>
      <c r="AP130" s="40">
        <f t="shared" si="47"/>
        <v>0</v>
      </c>
      <c r="AQ130" s="12"/>
      <c r="AR130" s="12"/>
      <c r="AS130" s="12"/>
      <c r="AT130" s="12"/>
      <c r="AU130" s="40">
        <f t="shared" si="48"/>
        <v>0</v>
      </c>
      <c r="AV130" s="12"/>
      <c r="AW130" s="12"/>
      <c r="AX130" s="12"/>
      <c r="AY130" s="12"/>
      <c r="AZ130" s="40">
        <f t="shared" si="49"/>
        <v>0</v>
      </c>
      <c r="BA130" s="8"/>
    </row>
    <row r="131" spans="1:53" s="2" customFormat="1">
      <c r="A131" s="9"/>
      <c r="B131" s="9" t="s">
        <v>418</v>
      </c>
      <c r="C131" s="10">
        <v>28113.613199999996</v>
      </c>
      <c r="D131" s="10">
        <v>35706.484289999964</v>
      </c>
      <c r="E131" s="10">
        <v>37233.200429999953</v>
      </c>
      <c r="F131" s="10">
        <v>27962.237499999876</v>
      </c>
      <c r="G131" s="39">
        <v>129015.53541999978</v>
      </c>
      <c r="H131" s="10">
        <v>34883.32252999999</v>
      </c>
      <c r="I131" s="10">
        <v>25307.589499999987</v>
      </c>
      <c r="J131" s="10">
        <v>27065.799029999871</v>
      </c>
      <c r="K131" s="10">
        <v>22390.77497000009</v>
      </c>
      <c r="L131" s="39">
        <v>109647.48602999994</v>
      </c>
      <c r="M131" s="10">
        <v>36794.546559999973</v>
      </c>
      <c r="N131" s="10">
        <v>28169.261650000029</v>
      </c>
      <c r="O131" s="10">
        <v>22363.884050000073</v>
      </c>
      <c r="P131" s="10">
        <v>25771.885349999829</v>
      </c>
      <c r="Q131" s="39">
        <v>113099.57760999989</v>
      </c>
      <c r="R131" s="10">
        <v>36696.252869999982</v>
      </c>
      <c r="S131" s="10">
        <v>23123.788410000147</v>
      </c>
      <c r="T131" s="10">
        <v>20764.252129999644</v>
      </c>
      <c r="U131" s="10">
        <v>636.43151000035141</v>
      </c>
      <c r="V131" s="39">
        <v>81220.724920000124</v>
      </c>
      <c r="W131" s="10">
        <v>30175.300670000044</v>
      </c>
      <c r="X131" s="10">
        <v>38769.721170000041</v>
      </c>
      <c r="Y131" s="10">
        <v>31473.154760000001</v>
      </c>
      <c r="Z131" s="10">
        <v>34760.559249999715</v>
      </c>
      <c r="AA131" s="39">
        <v>135178.73584999982</v>
      </c>
      <c r="AB131" s="10">
        <f>SUM(AB126:AB130)</f>
        <v>36620.568990000022</v>
      </c>
      <c r="AC131" s="10">
        <f>SUM(AC126:AC130)</f>
        <v>42009.202190000346</v>
      </c>
      <c r="AD131" s="10">
        <f>SUM(AD126:AD130)</f>
        <v>59800.772579999641</v>
      </c>
      <c r="AE131" s="10">
        <v>41772</v>
      </c>
      <c r="AF131" s="39">
        <f t="shared" si="45"/>
        <v>180202.54376</v>
      </c>
      <c r="AG131" s="10">
        <v>50329</v>
      </c>
      <c r="AH131" s="10">
        <v>51671.21125999988</v>
      </c>
      <c r="AI131" s="10">
        <v>10914</v>
      </c>
      <c r="AJ131" s="10">
        <v>-2566.2941700000301</v>
      </c>
      <c r="AK131" s="39">
        <f t="shared" si="46"/>
        <v>110347.91708999986</v>
      </c>
      <c r="AL131" s="10"/>
      <c r="AM131" s="10"/>
      <c r="AN131" s="10"/>
      <c r="AO131" s="10"/>
      <c r="AP131" s="39">
        <f t="shared" si="47"/>
        <v>0</v>
      </c>
      <c r="AQ131" s="10"/>
      <c r="AR131" s="10"/>
      <c r="AS131" s="10"/>
      <c r="AT131" s="10"/>
      <c r="AU131" s="39">
        <f t="shared" si="48"/>
        <v>0</v>
      </c>
      <c r="AV131" s="10"/>
      <c r="AW131" s="10"/>
      <c r="AX131" s="10"/>
      <c r="AY131" s="10"/>
      <c r="AZ131" s="39">
        <f t="shared" si="49"/>
        <v>0</v>
      </c>
      <c r="BA131" s="10"/>
    </row>
    <row r="132" spans="1:53">
      <c r="A132" s="11"/>
      <c r="B132" s="11" t="s">
        <v>419</v>
      </c>
      <c r="C132" s="12">
        <v>0</v>
      </c>
      <c r="D132" s="12">
        <v>0</v>
      </c>
      <c r="E132" s="12">
        <v>-1.1331600000000002</v>
      </c>
      <c r="F132" s="12">
        <v>-74.917290000000008</v>
      </c>
      <c r="G132" s="41">
        <v>-76.050450000000012</v>
      </c>
      <c r="H132" s="12">
        <v>0</v>
      </c>
      <c r="I132" s="12">
        <v>0</v>
      </c>
      <c r="J132" s="12">
        <v>0</v>
      </c>
      <c r="K132" s="12">
        <v>0</v>
      </c>
      <c r="L132" s="41">
        <v>0</v>
      </c>
      <c r="M132" s="12">
        <v>0</v>
      </c>
      <c r="N132" s="12">
        <v>0</v>
      </c>
      <c r="O132" s="12">
        <v>0.10250999999999999</v>
      </c>
      <c r="P132" s="12">
        <v>61.136920000000003</v>
      </c>
      <c r="Q132" s="41">
        <v>61.239430000000006</v>
      </c>
      <c r="R132" s="12">
        <v>0</v>
      </c>
      <c r="S132" s="12">
        <v>0</v>
      </c>
      <c r="T132" s="12">
        <v>0</v>
      </c>
      <c r="U132" s="12">
        <v>0</v>
      </c>
      <c r="V132" s="41">
        <v>0</v>
      </c>
      <c r="W132" s="12">
        <v>0</v>
      </c>
      <c r="X132" s="12">
        <v>0</v>
      </c>
      <c r="Y132" s="12">
        <v>0</v>
      </c>
      <c r="Z132" s="12">
        <v>0</v>
      </c>
      <c r="AA132" s="41">
        <v>0</v>
      </c>
      <c r="AB132" s="12">
        <v>-57.870359999999998</v>
      </c>
      <c r="AC132" s="12">
        <v>0</v>
      </c>
      <c r="AD132" s="12">
        <v>65.456230000000005</v>
      </c>
      <c r="AE132" s="12">
        <v>347</v>
      </c>
      <c r="AF132" s="41">
        <f t="shared" si="45"/>
        <v>354.58587</v>
      </c>
      <c r="AG132" s="12">
        <v>615</v>
      </c>
      <c r="AH132" s="12">
        <v>481.38445999999999</v>
      </c>
      <c r="AI132" s="12">
        <v>878</v>
      </c>
      <c r="AJ132" s="12">
        <v>0</v>
      </c>
      <c r="AK132" s="41">
        <f t="shared" si="46"/>
        <v>1974.38446</v>
      </c>
      <c r="AL132" s="12"/>
      <c r="AM132" s="12"/>
      <c r="AN132" s="12"/>
      <c r="AO132" s="12"/>
      <c r="AP132" s="41">
        <f t="shared" si="47"/>
        <v>0</v>
      </c>
      <c r="AQ132" s="12"/>
      <c r="AR132" s="12"/>
      <c r="AS132" s="12"/>
      <c r="AT132" s="12"/>
      <c r="AU132" s="41">
        <f t="shared" si="48"/>
        <v>0</v>
      </c>
      <c r="AV132" s="12"/>
      <c r="AW132" s="12"/>
      <c r="AX132" s="12"/>
      <c r="AY132" s="12"/>
      <c r="AZ132" s="170">
        <f t="shared" si="49"/>
        <v>0</v>
      </c>
      <c r="BA132" s="162"/>
    </row>
    <row r="133" spans="1:53" s="2" customFormat="1">
      <c r="A133" s="9"/>
      <c r="B133" s="9" t="s">
        <v>420</v>
      </c>
      <c r="C133" s="10">
        <v>28113.613199999996</v>
      </c>
      <c r="D133" s="10">
        <v>35706.484289999964</v>
      </c>
      <c r="E133" s="10">
        <v>37232.067269999956</v>
      </c>
      <c r="F133" s="10">
        <v>27887.320209999874</v>
      </c>
      <c r="G133" s="39">
        <v>128939.48496999979</v>
      </c>
      <c r="H133" s="10">
        <v>34883.32252999999</v>
      </c>
      <c r="I133" s="10">
        <v>25307.589499999987</v>
      </c>
      <c r="J133" s="10">
        <v>27065.799029999871</v>
      </c>
      <c r="K133" s="10">
        <v>22390.77497000009</v>
      </c>
      <c r="L133" s="39">
        <v>109647.48602999994</v>
      </c>
      <c r="M133" s="10">
        <v>36794.546559999973</v>
      </c>
      <c r="N133" s="10">
        <v>28169.261650000029</v>
      </c>
      <c r="O133" s="10">
        <v>22363.986560000074</v>
      </c>
      <c r="P133" s="10">
        <v>25833.02226999983</v>
      </c>
      <c r="Q133" s="39">
        <v>113160.81703999991</v>
      </c>
      <c r="R133" s="10">
        <v>36696.252869999982</v>
      </c>
      <c r="S133" s="10">
        <v>23123.788410000147</v>
      </c>
      <c r="T133" s="10">
        <v>20764.252129999644</v>
      </c>
      <c r="U133" s="10">
        <v>636.43151000035141</v>
      </c>
      <c r="V133" s="39">
        <v>81220.724920000124</v>
      </c>
      <c r="W133" s="10">
        <v>30175.300670000044</v>
      </c>
      <c r="X133" s="10">
        <v>38769.721170000041</v>
      </c>
      <c r="Y133" s="10">
        <v>31473.154760000001</v>
      </c>
      <c r="Z133" s="10">
        <v>34760.559249999715</v>
      </c>
      <c r="AA133" s="39">
        <v>135178.73584999982</v>
      </c>
      <c r="AB133" s="10">
        <f>SUM(AB131:AB132)</f>
        <v>36562.698630000021</v>
      </c>
      <c r="AC133" s="10">
        <f>SUM(AC131:AC132)</f>
        <v>42009.202190000346</v>
      </c>
      <c r="AD133" s="10">
        <f>SUM(AD131:AD132)</f>
        <v>59866.228809999644</v>
      </c>
      <c r="AE133" s="10">
        <v>42119</v>
      </c>
      <c r="AF133" s="39">
        <f t="shared" si="45"/>
        <v>180557.12963000001</v>
      </c>
      <c r="AG133" s="10">
        <v>50944</v>
      </c>
      <c r="AH133" s="10">
        <v>52152.595719999881</v>
      </c>
      <c r="AI133" s="10">
        <v>11792</v>
      </c>
      <c r="AJ133" s="10">
        <v>-2566.2941700000301</v>
      </c>
      <c r="AK133" s="39">
        <f t="shared" si="46"/>
        <v>112322.30154999986</v>
      </c>
      <c r="AL133" s="10"/>
      <c r="AM133" s="10"/>
      <c r="AN133" s="10"/>
      <c r="AO133" s="10"/>
      <c r="AP133" s="39">
        <f t="shared" si="47"/>
        <v>0</v>
      </c>
      <c r="AQ133" s="10"/>
      <c r="AR133" s="10"/>
      <c r="AS133" s="10"/>
      <c r="AT133" s="10"/>
      <c r="AU133" s="39">
        <f t="shared" si="48"/>
        <v>0</v>
      </c>
      <c r="AV133" s="10"/>
      <c r="AW133" s="10"/>
      <c r="AX133" s="10"/>
      <c r="AY133" s="10"/>
      <c r="AZ133" s="39">
        <f t="shared" si="49"/>
        <v>0</v>
      </c>
      <c r="BA133" s="10"/>
    </row>
    <row r="134" spans="1:53">
      <c r="A134" s="11"/>
      <c r="B134" s="11" t="s">
        <v>421</v>
      </c>
      <c r="C134" s="12">
        <v>-7069.2421299999996</v>
      </c>
      <c r="D134" s="12">
        <v>-8952.0454700000009</v>
      </c>
      <c r="E134" s="12">
        <v>-9328.4442799999997</v>
      </c>
      <c r="F134" s="12">
        <v>-6996.5615200000029</v>
      </c>
      <c r="G134" s="41">
        <v>-32346.293400000002</v>
      </c>
      <c r="H134" s="12">
        <v>-8777.3515300000017</v>
      </c>
      <c r="I134" s="12">
        <v>-6354.6646699999983</v>
      </c>
      <c r="J134" s="12">
        <v>-6804.6620700000003</v>
      </c>
      <c r="K134" s="12">
        <v>-5242.5404499999968</v>
      </c>
      <c r="L134" s="41">
        <v>-27179.218719999997</v>
      </c>
      <c r="M134" s="12">
        <v>-9166.8386699999992</v>
      </c>
      <c r="N134" s="12">
        <v>-7069.602789999999</v>
      </c>
      <c r="O134" s="12">
        <v>-5556.9541500000014</v>
      </c>
      <c r="P134" s="12">
        <v>-6671.9713299999967</v>
      </c>
      <c r="Q134" s="41">
        <v>-28465.366939999996</v>
      </c>
      <c r="R134" s="12">
        <v>-9159.1323799999991</v>
      </c>
      <c r="S134" s="12">
        <v>-5398.9355800000012</v>
      </c>
      <c r="T134" s="12">
        <v>-5187.4803800000009</v>
      </c>
      <c r="U134" s="12">
        <v>-197.80859999999666</v>
      </c>
      <c r="V134" s="41">
        <v>-19943.356939999998</v>
      </c>
      <c r="W134" s="12">
        <v>-7565.7856600000005</v>
      </c>
      <c r="X134" s="12">
        <v>-9680.5527099999963</v>
      </c>
      <c r="Y134" s="12">
        <v>-7855.9692500000019</v>
      </c>
      <c r="Z134" s="12">
        <v>-8141.6710900000035</v>
      </c>
      <c r="AA134" s="41">
        <v>-33243.978710000003</v>
      </c>
      <c r="AB134" s="12">
        <v>-9139.5815999999995</v>
      </c>
      <c r="AC134" s="12">
        <v>-10497.47921</v>
      </c>
      <c r="AD134" s="12">
        <v>-14972.716280000004</v>
      </c>
      <c r="AE134" s="12">
        <v>-10458</v>
      </c>
      <c r="AF134" s="41">
        <f t="shared" si="45"/>
        <v>-45067.777090000003</v>
      </c>
      <c r="AG134" s="12">
        <v>-12821</v>
      </c>
      <c r="AH134" s="12">
        <v>-13126.69929</v>
      </c>
      <c r="AI134" s="12">
        <v>-2942</v>
      </c>
      <c r="AJ134" s="12">
        <v>-959.0710599999984</v>
      </c>
      <c r="AK134" s="41">
        <f t="shared" si="46"/>
        <v>-29848.770349999999</v>
      </c>
      <c r="AL134" s="12"/>
      <c r="AM134" s="12"/>
      <c r="AN134" s="12"/>
      <c r="AO134" s="12"/>
      <c r="AP134" s="41">
        <f t="shared" si="47"/>
        <v>0</v>
      </c>
      <c r="AQ134" s="12"/>
      <c r="AR134" s="12"/>
      <c r="AS134" s="12"/>
      <c r="AT134" s="12"/>
      <c r="AU134" s="41">
        <f t="shared" si="48"/>
        <v>0</v>
      </c>
      <c r="AV134" s="12"/>
      <c r="AW134" s="12"/>
      <c r="AX134" s="12"/>
      <c r="AY134" s="12"/>
      <c r="AZ134" s="170">
        <f t="shared" si="49"/>
        <v>0</v>
      </c>
      <c r="BA134" s="162"/>
    </row>
    <row r="135" spans="1:53">
      <c r="A135" s="11"/>
      <c r="B135" s="11" t="s">
        <v>422</v>
      </c>
      <c r="C135" s="12">
        <v>-2550.3561999999997</v>
      </c>
      <c r="D135" s="12">
        <v>-3228.3703800000008</v>
      </c>
      <c r="E135" s="12">
        <v>-3364.0635900000016</v>
      </c>
      <c r="F135" s="12">
        <v>-2524.5637899999983</v>
      </c>
      <c r="G135" s="41">
        <v>-11667.35396</v>
      </c>
      <c r="H135" s="12">
        <v>-3165.7770599999999</v>
      </c>
      <c r="I135" s="12">
        <v>-2293.4476200000004</v>
      </c>
      <c r="J135" s="12">
        <v>-2455.1427699999995</v>
      </c>
      <c r="K135" s="12">
        <v>-2121.8796500000008</v>
      </c>
      <c r="L135" s="41">
        <v>-10036.247100000001</v>
      </c>
      <c r="M135" s="12">
        <v>-3306.0211999999997</v>
      </c>
      <c r="N135" s="12">
        <v>-2551.1176600000013</v>
      </c>
      <c r="O135" s="12">
        <v>-2006.703669999999</v>
      </c>
      <c r="P135" s="12">
        <v>-2408.505079999999</v>
      </c>
      <c r="Q135" s="41">
        <v>-10272.347609999999</v>
      </c>
      <c r="R135" s="12">
        <v>-3303.8889699999995</v>
      </c>
      <c r="S135" s="12">
        <v>-2090.7670400000002</v>
      </c>
      <c r="T135" s="12">
        <v>-1884.0274700000009</v>
      </c>
      <c r="U135" s="12">
        <v>-85.22935999999936</v>
      </c>
      <c r="V135" s="41">
        <v>-7363.91284</v>
      </c>
      <c r="W135" s="12">
        <v>-2730.5658699999999</v>
      </c>
      <c r="X135" s="12">
        <v>-3496.6459200000004</v>
      </c>
      <c r="Y135" s="12">
        <v>-2843.3621200000007</v>
      </c>
      <c r="Z135" s="12">
        <v>-3206.4590899999985</v>
      </c>
      <c r="AA135" s="41">
        <v>-12277.032999999999</v>
      </c>
      <c r="AB135" s="12">
        <v>-3302.27277</v>
      </c>
      <c r="AC135" s="12">
        <v>-3789.28163</v>
      </c>
      <c r="AD135" s="12">
        <v>-5402.146389999999</v>
      </c>
      <c r="AE135" s="12">
        <v>-3774</v>
      </c>
      <c r="AF135" s="41">
        <f t="shared" si="45"/>
        <v>-16267.700789999999</v>
      </c>
      <c r="AG135" s="12">
        <v>-4587</v>
      </c>
      <c r="AH135" s="12">
        <v>-4710.7805200000003</v>
      </c>
      <c r="AI135" s="12">
        <v>-1065</v>
      </c>
      <c r="AJ135" s="12">
        <v>-347.97749999999905</v>
      </c>
      <c r="AK135" s="41">
        <f t="shared" si="46"/>
        <v>-10710.758019999999</v>
      </c>
      <c r="AL135" s="12"/>
      <c r="AM135" s="12"/>
      <c r="AN135" s="12"/>
      <c r="AO135" s="12"/>
      <c r="AP135" s="41">
        <f t="shared" si="47"/>
        <v>0</v>
      </c>
      <c r="AQ135" s="12"/>
      <c r="AR135" s="12"/>
      <c r="AS135" s="12"/>
      <c r="AT135" s="12"/>
      <c r="AU135" s="41">
        <f t="shared" si="48"/>
        <v>0</v>
      </c>
      <c r="AV135" s="12"/>
      <c r="AW135" s="12"/>
      <c r="AX135" s="12"/>
      <c r="AY135" s="12"/>
      <c r="AZ135" s="170">
        <f t="shared" si="49"/>
        <v>0</v>
      </c>
      <c r="BA135" s="162"/>
    </row>
    <row r="136" spans="1:53">
      <c r="A136" s="11"/>
      <c r="B136" s="11" t="s">
        <v>423</v>
      </c>
      <c r="C136" s="12">
        <v>0</v>
      </c>
      <c r="D136" s="12">
        <v>0</v>
      </c>
      <c r="E136" s="12">
        <v>0</v>
      </c>
      <c r="F136" s="12">
        <v>0</v>
      </c>
      <c r="G136" s="41">
        <v>0</v>
      </c>
      <c r="H136" s="12">
        <v>0</v>
      </c>
      <c r="I136" s="12">
        <v>0</v>
      </c>
      <c r="J136" s="12">
        <v>0</v>
      </c>
      <c r="K136" s="12">
        <v>0</v>
      </c>
      <c r="L136" s="41">
        <v>0</v>
      </c>
      <c r="M136" s="12">
        <v>0</v>
      </c>
      <c r="N136" s="12">
        <v>0</v>
      </c>
      <c r="O136" s="12">
        <v>0</v>
      </c>
      <c r="P136" s="12">
        <v>0</v>
      </c>
      <c r="Q136" s="41">
        <v>0</v>
      </c>
      <c r="R136" s="12">
        <v>0</v>
      </c>
      <c r="S136" s="12">
        <v>0</v>
      </c>
      <c r="T136" s="12">
        <v>0</v>
      </c>
      <c r="U136" s="12">
        <v>0</v>
      </c>
      <c r="V136" s="41">
        <v>0</v>
      </c>
      <c r="W136" s="12">
        <v>0</v>
      </c>
      <c r="X136" s="12">
        <v>0</v>
      </c>
      <c r="Y136" s="12">
        <v>0</v>
      </c>
      <c r="Z136" s="12">
        <v>0</v>
      </c>
      <c r="AA136" s="41">
        <v>0</v>
      </c>
      <c r="AB136" s="12">
        <v>0</v>
      </c>
      <c r="AC136" s="12">
        <v>0</v>
      </c>
      <c r="AD136" s="12">
        <v>0</v>
      </c>
      <c r="AE136" s="12">
        <v>0</v>
      </c>
      <c r="AF136" s="41">
        <f t="shared" si="45"/>
        <v>0</v>
      </c>
      <c r="AG136" s="12">
        <v>0</v>
      </c>
      <c r="AH136" s="12">
        <v>0</v>
      </c>
      <c r="AI136" s="12">
        <v>0</v>
      </c>
      <c r="AJ136" s="12">
        <v>0</v>
      </c>
      <c r="AK136" s="41">
        <f t="shared" si="46"/>
        <v>0</v>
      </c>
      <c r="AL136" s="12"/>
      <c r="AM136" s="12"/>
      <c r="AN136" s="12"/>
      <c r="AO136" s="12"/>
      <c r="AP136" s="41">
        <f t="shared" si="47"/>
        <v>0</v>
      </c>
      <c r="AQ136" s="12"/>
      <c r="AR136" s="12"/>
      <c r="AS136" s="12"/>
      <c r="AT136" s="12"/>
      <c r="AU136" s="41">
        <f t="shared" si="48"/>
        <v>0</v>
      </c>
      <c r="AV136" s="12"/>
      <c r="AW136" s="12"/>
      <c r="AX136" s="12"/>
      <c r="AY136" s="12"/>
      <c r="AZ136" s="170">
        <f t="shared" si="49"/>
        <v>0</v>
      </c>
      <c r="BA136" s="162"/>
    </row>
    <row r="137" spans="1:53">
      <c r="A137" s="11"/>
      <c r="B137" s="11" t="s">
        <v>424</v>
      </c>
      <c r="C137" s="12">
        <v>0</v>
      </c>
      <c r="D137" s="12">
        <v>0</v>
      </c>
      <c r="E137" s="12">
        <v>0</v>
      </c>
      <c r="F137" s="12">
        <v>0</v>
      </c>
      <c r="G137" s="41">
        <v>0</v>
      </c>
      <c r="H137" s="12">
        <v>0</v>
      </c>
      <c r="I137" s="12">
        <v>0</v>
      </c>
      <c r="J137" s="12">
        <v>0</v>
      </c>
      <c r="K137" s="12">
        <v>0</v>
      </c>
      <c r="L137" s="41">
        <v>0</v>
      </c>
      <c r="M137" s="12">
        <v>0</v>
      </c>
      <c r="N137" s="12">
        <v>0</v>
      </c>
      <c r="O137" s="12">
        <v>0</v>
      </c>
      <c r="P137" s="12">
        <v>0</v>
      </c>
      <c r="Q137" s="41">
        <v>0</v>
      </c>
      <c r="R137" s="12">
        <v>0</v>
      </c>
      <c r="S137" s="12">
        <v>0</v>
      </c>
      <c r="T137" s="12">
        <v>0</v>
      </c>
      <c r="U137" s="12">
        <v>0</v>
      </c>
      <c r="V137" s="41">
        <v>0</v>
      </c>
      <c r="W137" s="12">
        <v>0</v>
      </c>
      <c r="X137" s="12">
        <v>0</v>
      </c>
      <c r="Y137" s="12">
        <v>0</v>
      </c>
      <c r="Z137" s="12">
        <v>0</v>
      </c>
      <c r="AA137" s="41">
        <v>0</v>
      </c>
      <c r="AB137" s="12">
        <v>0</v>
      </c>
      <c r="AC137" s="12">
        <v>0</v>
      </c>
      <c r="AD137" s="12">
        <v>0</v>
      </c>
      <c r="AE137" s="12">
        <v>0</v>
      </c>
      <c r="AF137" s="41">
        <f t="shared" si="45"/>
        <v>0</v>
      </c>
      <c r="AG137" s="12">
        <v>0</v>
      </c>
      <c r="AH137" s="12">
        <v>0</v>
      </c>
      <c r="AI137" s="12">
        <v>0</v>
      </c>
      <c r="AJ137" s="12">
        <v>0</v>
      </c>
      <c r="AK137" s="41">
        <f t="shared" si="46"/>
        <v>0</v>
      </c>
      <c r="AL137" s="12"/>
      <c r="AM137" s="12"/>
      <c r="AN137" s="12"/>
      <c r="AO137" s="12"/>
      <c r="AP137" s="41">
        <f t="shared" si="47"/>
        <v>0</v>
      </c>
      <c r="AQ137" s="12"/>
      <c r="AR137" s="12"/>
      <c r="AS137" s="12"/>
      <c r="AT137" s="12"/>
      <c r="AU137" s="41">
        <f t="shared" si="48"/>
        <v>0</v>
      </c>
      <c r="AV137" s="12"/>
      <c r="AW137" s="12"/>
      <c r="AX137" s="12"/>
      <c r="AY137" s="12"/>
      <c r="AZ137" s="170">
        <f t="shared" si="49"/>
        <v>0</v>
      </c>
      <c r="BA137" s="162"/>
    </row>
    <row r="138" spans="1:53" s="2" customFormat="1">
      <c r="A138" s="15"/>
      <c r="B138" s="15" t="s">
        <v>450</v>
      </c>
      <c r="C138" s="16">
        <v>18494.014869999999</v>
      </c>
      <c r="D138" s="16">
        <v>23526.068439999963</v>
      </c>
      <c r="E138" s="16">
        <v>24539.559399999955</v>
      </c>
      <c r="F138" s="16">
        <v>18366.194899999871</v>
      </c>
      <c r="G138" s="45">
        <v>84925.837609999784</v>
      </c>
      <c r="H138" s="16">
        <v>22940.19393999999</v>
      </c>
      <c r="I138" s="16">
        <v>16659.47720999999</v>
      </c>
      <c r="J138" s="16">
        <v>17805.994189999874</v>
      </c>
      <c r="K138" s="16">
        <v>15026.354870000092</v>
      </c>
      <c r="L138" s="45">
        <v>72432.020209999944</v>
      </c>
      <c r="M138" s="16">
        <v>24321.686689999977</v>
      </c>
      <c r="N138" s="16">
        <v>18548.541200000032</v>
      </c>
      <c r="O138" s="16">
        <v>14800.328740000074</v>
      </c>
      <c r="P138" s="16">
        <v>16752.545859999835</v>
      </c>
      <c r="Q138" s="45">
        <v>74423.102489999917</v>
      </c>
      <c r="R138" s="16">
        <v>24233.231519999983</v>
      </c>
      <c r="S138" s="16">
        <v>15634.085790000145</v>
      </c>
      <c r="T138" s="16">
        <v>13692.744279999642</v>
      </c>
      <c r="U138" s="16">
        <v>353.39355000035539</v>
      </c>
      <c r="V138" s="45">
        <v>53913.455140000129</v>
      </c>
      <c r="W138" s="16">
        <v>19878.949140000044</v>
      </c>
      <c r="X138" s="16">
        <v>25592.522540000045</v>
      </c>
      <c r="Y138" s="16">
        <v>20773.823389999998</v>
      </c>
      <c r="Z138" s="16">
        <v>23412.429069999715</v>
      </c>
      <c r="AA138" s="45">
        <v>89657.724139999802</v>
      </c>
      <c r="AB138" s="16">
        <f>SUM(AB133:AB137)</f>
        <v>24120.844260000023</v>
      </c>
      <c r="AC138" s="16">
        <f>SUM(AC133:AC137)</f>
        <v>27722.441350000347</v>
      </c>
      <c r="AD138" s="16">
        <f>SUM(AD133:AD137)</f>
        <v>39491.366139999642</v>
      </c>
      <c r="AE138" s="16">
        <v>27887</v>
      </c>
      <c r="AF138" s="45">
        <f t="shared" si="45"/>
        <v>119221.65175000002</v>
      </c>
      <c r="AG138" s="16">
        <v>33536</v>
      </c>
      <c r="AH138" s="16">
        <v>34315.115909999891</v>
      </c>
      <c r="AI138" s="16">
        <v>7785</v>
      </c>
      <c r="AJ138" s="16">
        <v>-3873.3427300000276</v>
      </c>
      <c r="AK138" s="45">
        <f t="shared" si="46"/>
        <v>71762.773179999858</v>
      </c>
      <c r="AL138" s="16"/>
      <c r="AM138" s="16"/>
      <c r="AN138" s="16"/>
      <c r="AO138" s="16"/>
      <c r="AP138" s="45">
        <f t="shared" si="47"/>
        <v>0</v>
      </c>
      <c r="AQ138" s="16"/>
      <c r="AR138" s="16"/>
      <c r="AS138" s="16"/>
      <c r="AT138" s="16"/>
      <c r="AU138" s="45">
        <f t="shared" si="48"/>
        <v>0</v>
      </c>
      <c r="AV138" s="16"/>
      <c r="AW138" s="16"/>
      <c r="AX138" s="16"/>
      <c r="AY138" s="16"/>
      <c r="AZ138" s="45">
        <f t="shared" si="49"/>
        <v>0</v>
      </c>
      <c r="BA138" s="666"/>
    </row>
    <row r="139" spans="1:53">
      <c r="A139" s="11"/>
      <c r="B139" s="11" t="s">
        <v>468</v>
      </c>
      <c r="C139" s="13">
        <v>18494.014869999999</v>
      </c>
      <c r="D139" s="13">
        <v>23526.068439999963</v>
      </c>
      <c r="E139" s="13">
        <v>24539.559399999955</v>
      </c>
      <c r="F139" s="13">
        <v>18366.194899999871</v>
      </c>
      <c r="G139" s="41">
        <v>84925.837609999784</v>
      </c>
      <c r="H139" s="13">
        <v>22940.19393999999</v>
      </c>
      <c r="I139" s="13">
        <v>16659.47720999999</v>
      </c>
      <c r="J139" s="13">
        <v>17805.994189999874</v>
      </c>
      <c r="K139" s="13">
        <v>15026.354870000092</v>
      </c>
      <c r="L139" s="41">
        <v>72432.020209999944</v>
      </c>
      <c r="M139" s="13">
        <v>24321.686689999977</v>
      </c>
      <c r="N139" s="13">
        <v>18548.541200000032</v>
      </c>
      <c r="O139" s="13">
        <v>14800.328740000074</v>
      </c>
      <c r="P139" s="13">
        <v>16752.545859999835</v>
      </c>
      <c r="Q139" s="41">
        <v>74423.102489999917</v>
      </c>
      <c r="R139" s="13">
        <v>24233.231519999983</v>
      </c>
      <c r="S139" s="13">
        <v>15634.085790000145</v>
      </c>
      <c r="T139" s="13">
        <v>13692.744279999642</v>
      </c>
      <c r="U139" s="13">
        <v>353.39355000035539</v>
      </c>
      <c r="V139" s="41">
        <v>53913.455140000129</v>
      </c>
      <c r="W139" s="13">
        <v>19878.949140000044</v>
      </c>
      <c r="X139" s="13">
        <v>25592.522540000045</v>
      </c>
      <c r="Y139" s="13">
        <v>20773.823389999998</v>
      </c>
      <c r="Z139" s="13">
        <v>23412.429069999715</v>
      </c>
      <c r="AA139" s="41">
        <v>89657.724139999802</v>
      </c>
      <c r="AB139" s="13">
        <f>AB138-AB142</f>
        <v>24120.844260000023</v>
      </c>
      <c r="AC139" s="13">
        <f t="shared" ref="AC139:AD139" si="50">AC138-AC142</f>
        <v>27722.441350000347</v>
      </c>
      <c r="AD139" s="13">
        <f t="shared" si="50"/>
        <v>39491.366139999642</v>
      </c>
      <c r="AE139" s="13">
        <v>27887</v>
      </c>
      <c r="AF139" s="41">
        <f>SUM(AB139:AE139)</f>
        <v>119221.65175000002</v>
      </c>
      <c r="AG139" s="13">
        <v>33536</v>
      </c>
      <c r="AH139" s="13">
        <v>34315</v>
      </c>
      <c r="AI139" s="13">
        <v>7785</v>
      </c>
      <c r="AJ139" s="13">
        <f>AJ138</f>
        <v>-3873.3427300000276</v>
      </c>
      <c r="AK139" s="41">
        <f>SUM(AG139:AJ139)</f>
        <v>71762.657269999967</v>
      </c>
      <c r="AL139" s="13"/>
      <c r="AM139" s="13"/>
      <c r="AN139" s="13"/>
      <c r="AO139" s="13"/>
      <c r="AP139" s="41">
        <f>SUM(AL139:AO139)</f>
        <v>0</v>
      </c>
      <c r="AQ139" s="13"/>
      <c r="AR139" s="13"/>
      <c r="AS139" s="13"/>
      <c r="AT139" s="13"/>
      <c r="AU139" s="41">
        <f>SUM(AQ139:AT139)</f>
        <v>0</v>
      </c>
      <c r="AV139" s="13"/>
      <c r="AW139" s="13"/>
      <c r="AX139" s="13"/>
      <c r="AY139" s="13"/>
      <c r="AZ139" s="170">
        <f>SUM(AV139:AY139)</f>
        <v>0</v>
      </c>
      <c r="BA139" s="162"/>
    </row>
    <row r="140" spans="1:53">
      <c r="A140" s="11"/>
      <c r="B140" s="11" t="s">
        <v>436</v>
      </c>
      <c r="C140" s="13">
        <v>0</v>
      </c>
      <c r="D140" s="13">
        <v>0</v>
      </c>
      <c r="E140" s="13">
        <v>0</v>
      </c>
      <c r="F140" s="13">
        <v>0</v>
      </c>
      <c r="G140" s="41">
        <v>0</v>
      </c>
      <c r="H140" s="13">
        <v>0</v>
      </c>
      <c r="I140" s="13">
        <v>0</v>
      </c>
      <c r="J140" s="13">
        <v>0</v>
      </c>
      <c r="K140" s="13">
        <v>0</v>
      </c>
      <c r="L140" s="41">
        <v>0</v>
      </c>
      <c r="M140" s="13">
        <v>0</v>
      </c>
      <c r="N140" s="13">
        <v>0</v>
      </c>
      <c r="O140" s="13">
        <v>0</v>
      </c>
      <c r="P140" s="13">
        <v>0</v>
      </c>
      <c r="Q140" s="41">
        <v>0</v>
      </c>
      <c r="R140" s="13">
        <v>0</v>
      </c>
      <c r="S140" s="13">
        <v>0</v>
      </c>
      <c r="T140" s="13">
        <v>0</v>
      </c>
      <c r="U140" s="13">
        <v>0</v>
      </c>
      <c r="V140" s="41">
        <v>0</v>
      </c>
      <c r="W140" s="13">
        <v>0</v>
      </c>
      <c r="X140" s="13">
        <v>0</v>
      </c>
      <c r="Y140" s="13">
        <v>0</v>
      </c>
      <c r="Z140" s="13">
        <v>0</v>
      </c>
      <c r="AA140" s="41">
        <v>0</v>
      </c>
      <c r="AB140" s="13">
        <v>0</v>
      </c>
      <c r="AC140" s="13">
        <v>0</v>
      </c>
      <c r="AD140" s="13">
        <v>0</v>
      </c>
      <c r="AE140" s="13">
        <v>0</v>
      </c>
      <c r="AF140" s="41">
        <f t="shared" ref="AF140:AF142" si="51">SUM(AB140:AE140)</f>
        <v>0</v>
      </c>
      <c r="AG140" s="13">
        <v>0</v>
      </c>
      <c r="AH140" s="13">
        <v>0</v>
      </c>
      <c r="AI140" s="13">
        <v>0</v>
      </c>
      <c r="AJ140" s="13">
        <v>0</v>
      </c>
      <c r="AK140" s="41">
        <f t="shared" ref="AK140:AK142" si="52">SUM(AG140:AJ140)</f>
        <v>0</v>
      </c>
      <c r="AL140" s="13"/>
      <c r="AM140" s="13"/>
      <c r="AN140" s="13"/>
      <c r="AO140" s="13"/>
      <c r="AP140" s="41">
        <f t="shared" ref="AP140:AP142" si="53">SUM(AL140:AO140)</f>
        <v>0</v>
      </c>
      <c r="AQ140" s="13"/>
      <c r="AR140" s="13"/>
      <c r="AS140" s="13"/>
      <c r="AT140" s="13"/>
      <c r="AU140" s="41">
        <f t="shared" ref="AU140:AU142" si="54">SUM(AQ140:AT140)</f>
        <v>0</v>
      </c>
      <c r="AV140" s="13"/>
      <c r="AW140" s="13"/>
      <c r="AX140" s="13"/>
      <c r="AY140" s="13"/>
      <c r="AZ140" s="170">
        <f t="shared" ref="AZ140:AZ142" si="55">SUM(AV140:AY140)</f>
        <v>0</v>
      </c>
      <c r="BA140" s="162"/>
    </row>
    <row r="141" spans="1:53">
      <c r="A141" s="11"/>
      <c r="B141" s="11" t="s">
        <v>470</v>
      </c>
      <c r="C141" s="13">
        <v>18494.014869999999</v>
      </c>
      <c r="D141" s="13">
        <v>23526.068439999963</v>
      </c>
      <c r="E141" s="13">
        <v>24539.559399999955</v>
      </c>
      <c r="F141" s="13">
        <v>18366.194899999871</v>
      </c>
      <c r="G141" s="41">
        <v>84925.837609999784</v>
      </c>
      <c r="H141" s="13">
        <v>22940.19393999999</v>
      </c>
      <c r="I141" s="13">
        <v>16659.47720999999</v>
      </c>
      <c r="J141" s="13">
        <v>17805.994189999874</v>
      </c>
      <c r="K141" s="13">
        <v>15026.354870000092</v>
      </c>
      <c r="L141" s="41">
        <v>72432.020209999944</v>
      </c>
      <c r="M141" s="13">
        <v>24321.686689999977</v>
      </c>
      <c r="N141" s="13">
        <v>18548.541200000032</v>
      </c>
      <c r="O141" s="13">
        <v>14800.328740000074</v>
      </c>
      <c r="P141" s="13">
        <v>16752.545859999835</v>
      </c>
      <c r="Q141" s="41">
        <v>74423.102489999917</v>
      </c>
      <c r="R141" s="13">
        <v>24233.231519999983</v>
      </c>
      <c r="S141" s="13">
        <v>15634.085790000145</v>
      </c>
      <c r="T141" s="13">
        <v>13692.744279999642</v>
      </c>
      <c r="U141" s="13">
        <v>353.39355000035539</v>
      </c>
      <c r="V141" s="41">
        <v>53913.455140000129</v>
      </c>
      <c r="W141" s="13">
        <v>19878.949140000044</v>
      </c>
      <c r="X141" s="13">
        <v>25592.522540000045</v>
      </c>
      <c r="Y141" s="13">
        <v>20773.823389999998</v>
      </c>
      <c r="Z141" s="13">
        <v>23412.429069999715</v>
      </c>
      <c r="AA141" s="41">
        <v>89657.724139999802</v>
      </c>
      <c r="AB141" s="13">
        <f>SUM(AB139:AB140)</f>
        <v>24120.844260000023</v>
      </c>
      <c r="AC141" s="13">
        <f t="shared" ref="AC141:AD141" si="56">SUM(AC139:AC140)</f>
        <v>27722.441350000347</v>
      </c>
      <c r="AD141" s="13">
        <f t="shared" si="56"/>
        <v>39491.366139999642</v>
      </c>
      <c r="AE141" s="13">
        <v>27887</v>
      </c>
      <c r="AF141" s="41">
        <f t="shared" si="51"/>
        <v>119221.65175000002</v>
      </c>
      <c r="AG141" s="13">
        <v>33536</v>
      </c>
      <c r="AH141" s="13">
        <v>34315</v>
      </c>
      <c r="AI141" s="13">
        <v>7785</v>
      </c>
      <c r="AJ141" s="13">
        <f>AJ138</f>
        <v>-3873.3427300000276</v>
      </c>
      <c r="AK141" s="41">
        <f t="shared" si="52"/>
        <v>71762.657269999967</v>
      </c>
      <c r="AL141" s="13"/>
      <c r="AM141" s="13"/>
      <c r="AN141" s="13"/>
      <c r="AO141" s="13"/>
      <c r="AP141" s="41">
        <f t="shared" si="53"/>
        <v>0</v>
      </c>
      <c r="AQ141" s="13"/>
      <c r="AR141" s="13"/>
      <c r="AS141" s="13"/>
      <c r="AT141" s="13"/>
      <c r="AU141" s="41">
        <f t="shared" si="54"/>
        <v>0</v>
      </c>
      <c r="AV141" s="13"/>
      <c r="AW141" s="13"/>
      <c r="AX141" s="13"/>
      <c r="AY141" s="13"/>
      <c r="AZ141" s="170">
        <f t="shared" si="55"/>
        <v>0</v>
      </c>
      <c r="BA141" s="162"/>
    </row>
    <row r="142" spans="1:53">
      <c r="A142" s="11"/>
      <c r="B142" s="11" t="s">
        <v>471</v>
      </c>
      <c r="C142" s="13">
        <v>0</v>
      </c>
      <c r="D142" s="13">
        <v>0</v>
      </c>
      <c r="E142" s="13">
        <v>0</v>
      </c>
      <c r="F142" s="13">
        <v>0</v>
      </c>
      <c r="G142" s="41">
        <v>0</v>
      </c>
      <c r="H142" s="13">
        <v>0</v>
      </c>
      <c r="I142" s="13">
        <v>0</v>
      </c>
      <c r="J142" s="13">
        <v>0</v>
      </c>
      <c r="K142" s="13">
        <v>0</v>
      </c>
      <c r="L142" s="41">
        <v>0</v>
      </c>
      <c r="M142" s="13">
        <v>0</v>
      </c>
      <c r="N142" s="13">
        <v>0</v>
      </c>
      <c r="O142" s="13">
        <v>0</v>
      </c>
      <c r="P142" s="13">
        <v>0</v>
      </c>
      <c r="Q142" s="41">
        <v>0</v>
      </c>
      <c r="R142" s="13">
        <v>0</v>
      </c>
      <c r="S142" s="13">
        <v>0</v>
      </c>
      <c r="T142" s="13">
        <v>0</v>
      </c>
      <c r="U142" s="13">
        <v>0</v>
      </c>
      <c r="V142" s="41">
        <v>0</v>
      </c>
      <c r="W142" s="13">
        <v>0</v>
      </c>
      <c r="X142" s="13">
        <v>0</v>
      </c>
      <c r="Y142" s="13">
        <v>0</v>
      </c>
      <c r="Z142" s="1">
        <v>0</v>
      </c>
      <c r="AA142" s="41">
        <v>0</v>
      </c>
      <c r="AB142" s="13">
        <v>0</v>
      </c>
      <c r="AC142" s="13">
        <v>0</v>
      </c>
      <c r="AD142" s="13">
        <v>0</v>
      </c>
      <c r="AE142" s="13">
        <v>0</v>
      </c>
      <c r="AF142" s="41">
        <f t="shared" si="51"/>
        <v>0</v>
      </c>
      <c r="AG142" s="13">
        <v>0</v>
      </c>
      <c r="AH142" s="13">
        <v>0</v>
      </c>
      <c r="AI142" s="13">
        <v>0</v>
      </c>
      <c r="AJ142" s="13">
        <v>0</v>
      </c>
      <c r="AK142" s="41">
        <f t="shared" si="52"/>
        <v>0</v>
      </c>
      <c r="AL142" s="13"/>
      <c r="AM142" s="13"/>
      <c r="AN142" s="13"/>
      <c r="AO142" s="13"/>
      <c r="AP142" s="41">
        <f t="shared" si="53"/>
        <v>0</v>
      </c>
      <c r="AQ142" s="13"/>
      <c r="AR142" s="13"/>
      <c r="AS142" s="13"/>
      <c r="AT142" s="13"/>
      <c r="AU142" s="41">
        <f t="shared" si="54"/>
        <v>0</v>
      </c>
      <c r="AV142" s="13"/>
      <c r="AW142" s="13"/>
      <c r="AX142" s="13"/>
      <c r="AY142" s="13"/>
      <c r="AZ142" s="170">
        <f t="shared" si="55"/>
        <v>0</v>
      </c>
      <c r="BA142" s="162"/>
    </row>
    <row r="143" spans="1:53" ht="15.75" thickBot="1">
      <c r="A143" s="17"/>
      <c r="B143" s="17" t="s">
        <v>451</v>
      </c>
      <c r="C143" s="18">
        <v>0.48209999999999997</v>
      </c>
      <c r="D143" s="18">
        <v>0.48209999999999997</v>
      </c>
      <c r="E143" s="18">
        <v>0.48209999999999997</v>
      </c>
      <c r="F143" s="18">
        <v>0.48209999999999997</v>
      </c>
      <c r="G143" s="48">
        <v>0.48209999999999997</v>
      </c>
      <c r="H143" s="18">
        <v>0.48209999999999997</v>
      </c>
      <c r="I143" s="18">
        <v>0.48209999999999997</v>
      </c>
      <c r="J143" s="18">
        <v>0.48209999999999997</v>
      </c>
      <c r="K143" s="18">
        <v>0.48209999999999997</v>
      </c>
      <c r="L143" s="48">
        <v>0.48209999999999997</v>
      </c>
      <c r="M143" s="18">
        <v>0.48209999999999997</v>
      </c>
      <c r="N143" s="18">
        <v>0.48209999999999997</v>
      </c>
      <c r="O143" s="18">
        <v>0.48209999999999997</v>
      </c>
      <c r="P143" s="18">
        <v>0.48209999999999997</v>
      </c>
      <c r="Q143" s="48">
        <v>0.48209999999999997</v>
      </c>
      <c r="R143" s="18">
        <v>0.48209999999999997</v>
      </c>
      <c r="S143" s="18">
        <v>0.48209999999999997</v>
      </c>
      <c r="T143" s="18">
        <v>0.48209999999999997</v>
      </c>
      <c r="U143" s="18">
        <v>0.48209999999999997</v>
      </c>
      <c r="V143" s="48">
        <v>0.48209999999999997</v>
      </c>
      <c r="W143" s="18">
        <v>0.48209999999999997</v>
      </c>
      <c r="X143" s="18">
        <v>0.48209999999999997</v>
      </c>
      <c r="Y143" s="18">
        <v>0.48209999999999997</v>
      </c>
      <c r="Z143" s="18">
        <v>0.48209999999999997</v>
      </c>
      <c r="AA143" s="48">
        <v>0.48209999999999997</v>
      </c>
      <c r="AB143" s="18">
        <v>0.48249999999999998</v>
      </c>
      <c r="AC143" s="18">
        <v>0.48249999999999998</v>
      </c>
      <c r="AD143" s="18">
        <v>0.48249999999999998</v>
      </c>
      <c r="AE143" s="18">
        <v>0.48249999999999998</v>
      </c>
      <c r="AF143" s="48">
        <v>0.48249999999999998</v>
      </c>
      <c r="AG143" s="18">
        <v>0.48249999999999998</v>
      </c>
      <c r="AH143" s="18">
        <v>0.48249999999999998</v>
      </c>
      <c r="AI143" s="18">
        <v>0.48249999999999998</v>
      </c>
      <c r="AJ143" s="18">
        <v>0.48249999999999998</v>
      </c>
      <c r="AK143" s="48">
        <v>0.48249999999999998</v>
      </c>
      <c r="AL143" s="18"/>
      <c r="AM143" s="18"/>
      <c r="AN143" s="18"/>
      <c r="AO143" s="18"/>
      <c r="AP143" s="48"/>
      <c r="AQ143" s="18"/>
      <c r="AR143" s="18"/>
      <c r="AS143" s="18"/>
      <c r="AT143" s="18"/>
      <c r="AU143" s="48"/>
      <c r="AV143" s="18"/>
      <c r="AW143" s="18"/>
      <c r="AX143" s="18"/>
      <c r="AY143" s="18"/>
      <c r="AZ143" s="48"/>
      <c r="BA143" s="18"/>
    </row>
    <row r="144" spans="1:53" s="253" customFormat="1" ht="60" customHeight="1" thickBot="1">
      <c r="B144" s="253" t="s">
        <v>507</v>
      </c>
    </row>
    <row r="145" spans="1:53" s="2" customFormat="1">
      <c r="A145" s="625"/>
      <c r="B145" s="625" t="s">
        <v>508</v>
      </c>
      <c r="C145" s="626" t="s">
        <v>224</v>
      </c>
      <c r="D145" s="626" t="s">
        <v>225</v>
      </c>
      <c r="E145" s="626" t="s">
        <v>226</v>
      </c>
      <c r="F145" s="626" t="s">
        <v>227</v>
      </c>
      <c r="G145" s="652">
        <v>2016</v>
      </c>
      <c r="H145" s="626" t="s">
        <v>228</v>
      </c>
      <c r="I145" s="626" t="s">
        <v>229</v>
      </c>
      <c r="J145" s="626" t="s">
        <v>230</v>
      </c>
      <c r="K145" s="626" t="s">
        <v>231</v>
      </c>
      <c r="L145" s="652">
        <v>2017</v>
      </c>
      <c r="M145" s="626" t="s">
        <v>232</v>
      </c>
      <c r="N145" s="626" t="s">
        <v>233</v>
      </c>
      <c r="O145" s="626" t="s">
        <v>234</v>
      </c>
      <c r="P145" s="626" t="s">
        <v>235</v>
      </c>
      <c r="Q145" s="652">
        <v>2018</v>
      </c>
      <c r="R145" s="626" t="s">
        <v>236</v>
      </c>
      <c r="S145" s="626" t="s">
        <v>237</v>
      </c>
      <c r="T145" s="626" t="s">
        <v>238</v>
      </c>
      <c r="U145" s="626" t="s">
        <v>239</v>
      </c>
      <c r="V145" s="652">
        <v>2019</v>
      </c>
      <c r="W145" s="626" t="s">
        <v>240</v>
      </c>
      <c r="X145" s="626" t="s">
        <v>241</v>
      </c>
      <c r="Y145" s="626" t="s">
        <v>242</v>
      </c>
      <c r="Z145" s="626" t="s">
        <v>243</v>
      </c>
      <c r="AA145" s="652">
        <v>2020</v>
      </c>
      <c r="AB145" s="626" t="s">
        <v>244</v>
      </c>
      <c r="AC145" s="626" t="s">
        <v>245</v>
      </c>
      <c r="AD145" s="626" t="s">
        <v>246</v>
      </c>
      <c r="AE145" s="626" t="s">
        <v>247</v>
      </c>
      <c r="AF145" s="652">
        <v>2021</v>
      </c>
      <c r="AG145" s="626" t="s">
        <v>248</v>
      </c>
      <c r="AH145" s="626" t="s">
        <v>249</v>
      </c>
      <c r="AI145" s="626" t="s">
        <v>250</v>
      </c>
      <c r="AJ145" s="626" t="s">
        <v>215</v>
      </c>
      <c r="AK145" s="652">
        <v>2022</v>
      </c>
      <c r="AL145" s="626" t="s">
        <v>252</v>
      </c>
      <c r="AM145" s="626" t="s">
        <v>253</v>
      </c>
      <c r="AN145" s="626" t="s">
        <v>254</v>
      </c>
      <c r="AO145" s="626" t="s">
        <v>219</v>
      </c>
      <c r="AP145" s="652">
        <v>2023</v>
      </c>
      <c r="AQ145" s="626" t="s">
        <v>223</v>
      </c>
      <c r="AR145" s="626" t="s">
        <v>256</v>
      </c>
      <c r="AS145" s="626" t="s">
        <v>357</v>
      </c>
      <c r="AT145" s="626" t="s">
        <v>358</v>
      </c>
      <c r="AU145" s="652">
        <v>2024</v>
      </c>
      <c r="AV145" s="626" t="s">
        <v>359</v>
      </c>
      <c r="AW145" s="626" t="s">
        <v>1115</v>
      </c>
      <c r="AX145" s="626" t="s">
        <v>1116</v>
      </c>
      <c r="AY145" s="626" t="s">
        <v>1117</v>
      </c>
      <c r="AZ145" s="653" t="s">
        <v>1118</v>
      </c>
      <c r="BA145" s="645" t="s">
        <v>1124</v>
      </c>
    </row>
    <row r="146" spans="1:53" s="2" customFormat="1">
      <c r="A146" s="9"/>
      <c r="B146" s="9" t="s">
        <v>509</v>
      </c>
      <c r="C146" s="10">
        <v>99154.119480000023</v>
      </c>
      <c r="D146" s="10">
        <v>149612.0371000001</v>
      </c>
      <c r="E146" s="10">
        <v>161997.63606999989</v>
      </c>
      <c r="F146" s="10">
        <v>138931.24057999934</v>
      </c>
      <c r="G146" s="39">
        <v>549695.03322999936</v>
      </c>
      <c r="H146" s="10">
        <v>151516.1106499999</v>
      </c>
      <c r="I146" s="10">
        <v>132781.30392000053</v>
      </c>
      <c r="J146" s="10">
        <v>109319.9088399997</v>
      </c>
      <c r="K146" s="10">
        <v>88378.217419999943</v>
      </c>
      <c r="L146" s="39">
        <v>481995.54083000007</v>
      </c>
      <c r="M146" s="10">
        <v>97525.42816000001</v>
      </c>
      <c r="N146" s="10">
        <v>72008.252530000056</v>
      </c>
      <c r="O146" s="10">
        <v>59596.222619999957</v>
      </c>
      <c r="P146" s="10">
        <v>48368.218810000166</v>
      </c>
      <c r="Q146" s="39">
        <v>277498.12212000019</v>
      </c>
      <c r="R146" s="10">
        <v>31574.455230000003</v>
      </c>
      <c r="S146" s="10">
        <v>4538.9349300000285</v>
      </c>
      <c r="T146" s="10">
        <v>-6.9769999987329356E-2</v>
      </c>
      <c r="U146" s="10">
        <v>-250.50923000002513</v>
      </c>
      <c r="V146" s="39">
        <v>35862.811160000019</v>
      </c>
      <c r="W146" s="10">
        <v>419.75447999999983</v>
      </c>
      <c r="X146" s="10">
        <v>386.41473000000008</v>
      </c>
      <c r="Y146" s="10">
        <v>353.53975000000025</v>
      </c>
      <c r="Z146" s="10">
        <v>271.04871000000003</v>
      </c>
      <c r="AA146" s="39">
        <v>1430.7576700000002</v>
      </c>
      <c r="AB146" s="10">
        <v>294.38751000000002</v>
      </c>
      <c r="AC146" s="10">
        <v>214.08322999999984</v>
      </c>
      <c r="AD146" s="10">
        <v>187.45971000000009</v>
      </c>
      <c r="AE146" s="10">
        <v>188.72350999999989</v>
      </c>
      <c r="AF146" s="39">
        <f>SUM(AB146:AE146)</f>
        <v>884.65395999999987</v>
      </c>
      <c r="AG146" s="76">
        <v>179</v>
      </c>
      <c r="AH146" s="76">
        <v>368</v>
      </c>
      <c r="AI146" s="76">
        <v>248</v>
      </c>
      <c r="AJ146" s="76">
        <v>2191</v>
      </c>
      <c r="AK146" s="39">
        <f>SUM(AG146:AJ146)</f>
        <v>2986</v>
      </c>
      <c r="AL146" s="76">
        <v>217</v>
      </c>
      <c r="AM146" s="76">
        <v>135</v>
      </c>
      <c r="AN146" s="76">
        <v>418</v>
      </c>
      <c r="AO146" s="76">
        <v>146</v>
      </c>
      <c r="AP146" s="39">
        <f>SUM(AL146:AO146)</f>
        <v>916</v>
      </c>
      <c r="AQ146" s="76">
        <v>194</v>
      </c>
      <c r="AR146" s="76">
        <v>27</v>
      </c>
      <c r="AS146" s="76">
        <v>190</v>
      </c>
      <c r="AT146" s="76">
        <v>174</v>
      </c>
      <c r="AU146" s="39">
        <f>SUM(AQ146:AT146)</f>
        <v>585</v>
      </c>
      <c r="AV146" s="76">
        <v>187</v>
      </c>
      <c r="AW146" s="76">
        <v>167</v>
      </c>
      <c r="AX146" s="76">
        <v>187</v>
      </c>
      <c r="AY146" s="76">
        <v>165</v>
      </c>
      <c r="AZ146" s="39">
        <f>SUM(AV146:AY146)</f>
        <v>706</v>
      </c>
      <c r="BA146" s="10">
        <v>157</v>
      </c>
    </row>
    <row r="147" spans="1:53">
      <c r="A147" s="11"/>
      <c r="B147" s="11" t="s">
        <v>510</v>
      </c>
      <c r="C147" s="12">
        <v>-123173.92313000002</v>
      </c>
      <c r="D147" s="12">
        <v>-204835.87498999893</v>
      </c>
      <c r="E147" s="12">
        <v>-230337.80974000139</v>
      </c>
      <c r="F147" s="12">
        <v>-126498.51236999652</v>
      </c>
      <c r="G147" s="40">
        <v>-684846.12022999686</v>
      </c>
      <c r="H147" s="12">
        <v>-150095.07173</v>
      </c>
      <c r="I147" s="12">
        <v>-137246.56506000084</v>
      </c>
      <c r="J147" s="12">
        <v>-115656.22514999873</v>
      </c>
      <c r="K147" s="12">
        <v>-86537.561490000982</v>
      </c>
      <c r="L147" s="40">
        <v>-489535.42343000055</v>
      </c>
      <c r="M147" s="12">
        <v>-87576.19012999993</v>
      </c>
      <c r="N147" s="12">
        <v>-72856.336720000414</v>
      </c>
      <c r="O147" s="12">
        <v>-78807.090319999668</v>
      </c>
      <c r="P147" s="12">
        <v>-46076.390749999468</v>
      </c>
      <c r="Q147" s="40">
        <v>-285316.00791999948</v>
      </c>
      <c r="R147" s="12">
        <v>-29767.144740000032</v>
      </c>
      <c r="S147" s="12">
        <v>-6385.3609099999594</v>
      </c>
      <c r="T147" s="12">
        <v>-5862.0782899999977</v>
      </c>
      <c r="U147" s="12">
        <v>-7372.3952199999694</v>
      </c>
      <c r="V147" s="40">
        <v>-49386.979159999959</v>
      </c>
      <c r="W147" s="12">
        <v>5310.7240699999975</v>
      </c>
      <c r="X147" s="12">
        <v>-10401.851210000001</v>
      </c>
      <c r="Y147" s="12">
        <v>-1769.101990000001</v>
      </c>
      <c r="Z147" s="12">
        <v>-1977.0542200000027</v>
      </c>
      <c r="AA147" s="40">
        <v>-8837.283350000007</v>
      </c>
      <c r="AB147" s="12">
        <v>-913.91007999999795</v>
      </c>
      <c r="AC147" s="12">
        <v>-1125.0067000000022</v>
      </c>
      <c r="AD147" s="12">
        <v>3278.2005300000001</v>
      </c>
      <c r="AE147" s="12">
        <v>646.33711999999082</v>
      </c>
      <c r="AF147" s="40">
        <f t="shared" ref="AF147" si="57">SUM(AB147:AE147)</f>
        <v>1885.6208699999909</v>
      </c>
      <c r="AG147" s="12">
        <v>-2701</v>
      </c>
      <c r="AH147" s="12">
        <v>-5002</v>
      </c>
      <c r="AI147" s="1">
        <v>5328</v>
      </c>
      <c r="AJ147" s="1">
        <v>-3897</v>
      </c>
      <c r="AK147" s="40">
        <f t="shared" ref="AK147" si="58">SUM(AG147:AJ147)</f>
        <v>-6272</v>
      </c>
      <c r="AL147" s="12">
        <v>2061</v>
      </c>
      <c r="AM147" s="12">
        <v>5345</v>
      </c>
      <c r="AN147" s="1">
        <v>-864</v>
      </c>
      <c r="AO147" s="1">
        <v>-2646</v>
      </c>
      <c r="AP147" s="40">
        <f t="shared" ref="AP147:AP164" si="59">SUM(AL147:AO147)</f>
        <v>3896</v>
      </c>
      <c r="AQ147" s="12">
        <v>-1259</v>
      </c>
      <c r="AR147" s="1">
        <v>-831</v>
      </c>
      <c r="AS147" s="1">
        <v>-1935</v>
      </c>
      <c r="AT147" s="1">
        <v>1136</v>
      </c>
      <c r="AU147" s="40">
        <f t="shared" ref="AU147:AU164" si="60">SUM(AQ147:AT147)</f>
        <v>-2889</v>
      </c>
      <c r="AV147" s="1">
        <v>-2400</v>
      </c>
      <c r="AW147" s="1">
        <v>-2264</v>
      </c>
      <c r="AX147" s="1">
        <v>-31</v>
      </c>
      <c r="AY147" s="1">
        <v>175</v>
      </c>
      <c r="AZ147" s="40">
        <f t="shared" ref="AZ147:AZ164" si="61">SUM(AV147:AY147)</f>
        <v>-4520</v>
      </c>
      <c r="BA147" s="8">
        <v>1734</v>
      </c>
    </row>
    <row r="148" spans="1:53" s="2" customFormat="1">
      <c r="A148" s="9"/>
      <c r="B148" s="9" t="s">
        <v>412</v>
      </c>
      <c r="C148" s="10">
        <v>-24019.803650000005</v>
      </c>
      <c r="D148" s="10">
        <v>-55223.837889998802</v>
      </c>
      <c r="E148" s="10">
        <v>-68340.173670001546</v>
      </c>
      <c r="F148" s="10">
        <v>12432.728210002853</v>
      </c>
      <c r="G148" s="39">
        <v>-135151.0869999975</v>
      </c>
      <c r="H148" s="10">
        <v>1421.0389199998974</v>
      </c>
      <c r="I148" s="10">
        <v>-4465.2611400003434</v>
      </c>
      <c r="J148" s="10">
        <v>-6336.3163099989879</v>
      </c>
      <c r="K148" s="10">
        <v>1840.6559299989331</v>
      </c>
      <c r="L148" s="39">
        <v>-7539.882600000501</v>
      </c>
      <c r="M148" s="10">
        <v>9949.238030000075</v>
      </c>
      <c r="N148" s="10">
        <v>-848.08419000036884</v>
      </c>
      <c r="O148" s="10">
        <v>-19210.86769999969</v>
      </c>
      <c r="P148" s="10">
        <v>2291.8280600006865</v>
      </c>
      <c r="Q148" s="39">
        <v>-7817.885799999297</v>
      </c>
      <c r="R148" s="10">
        <v>1807.3104899999723</v>
      </c>
      <c r="S148" s="10">
        <v>-1846.4259799999297</v>
      </c>
      <c r="T148" s="10">
        <v>-5862.1480599999877</v>
      </c>
      <c r="U148" s="10">
        <v>-7622.9044499999945</v>
      </c>
      <c r="V148" s="39">
        <v>-13524.16799999994</v>
      </c>
      <c r="W148" s="10">
        <v>5730.4785499999971</v>
      </c>
      <c r="X148" s="10">
        <v>-10015.43648</v>
      </c>
      <c r="Y148" s="10">
        <v>-1415.5622400000011</v>
      </c>
      <c r="Z148" s="10">
        <v>-1706.0055100000027</v>
      </c>
      <c r="AA148" s="39">
        <v>-7406.525680000007</v>
      </c>
      <c r="AB148" s="10">
        <v>-619.52256999999793</v>
      </c>
      <c r="AC148" s="10">
        <v>-910.92347000000257</v>
      </c>
      <c r="AD148" s="10">
        <v>3465.6602400000002</v>
      </c>
      <c r="AE148" s="10">
        <v>835.06062999999085</v>
      </c>
      <c r="AF148" s="39">
        <f>SUM(AB148:AE148)</f>
        <v>2770.2748299999903</v>
      </c>
      <c r="AG148" s="10">
        <f>SUM(AG146:AG147)</f>
        <v>-2522</v>
      </c>
      <c r="AH148" s="10">
        <f>SUM(AH146:AH147)</f>
        <v>-4634</v>
      </c>
      <c r="AI148" s="76">
        <f>SUM(AI146:AI147)</f>
        <v>5576</v>
      </c>
      <c r="AJ148" s="76">
        <f>SUM(AJ146:AJ147)</f>
        <v>-1706</v>
      </c>
      <c r="AK148" s="39">
        <f>SUM(AG148:AJ148)</f>
        <v>-3286</v>
      </c>
      <c r="AL148" s="10">
        <f>SUM(AL146:AL147)</f>
        <v>2278</v>
      </c>
      <c r="AM148" s="10">
        <f>SUM(AM146:AM147)</f>
        <v>5480</v>
      </c>
      <c r="AN148" s="76">
        <f>SUM(AN146:AN147)</f>
        <v>-446</v>
      </c>
      <c r="AO148" s="76">
        <f>SUM(AO146:AO147)</f>
        <v>-2500</v>
      </c>
      <c r="AP148" s="39">
        <f t="shared" si="59"/>
        <v>4812</v>
      </c>
      <c r="AQ148" s="76">
        <f>SUM(AQ146:AQ147)</f>
        <v>-1065</v>
      </c>
      <c r="AR148" s="76">
        <f>SUM(AR146:AR147)</f>
        <v>-804</v>
      </c>
      <c r="AS148" s="76">
        <f t="shared" ref="AS148:AV148" si="62">SUM(AS146:AS147)</f>
        <v>-1745</v>
      </c>
      <c r="AT148" s="76">
        <f t="shared" si="62"/>
        <v>1310</v>
      </c>
      <c r="AU148" s="39">
        <f t="shared" si="60"/>
        <v>-2304</v>
      </c>
      <c r="AV148" s="76">
        <f t="shared" si="62"/>
        <v>-2213</v>
      </c>
      <c r="AW148" s="76">
        <f t="shared" ref="AW148:AY148" si="63">SUM(AW146:AW147)</f>
        <v>-2097</v>
      </c>
      <c r="AX148" s="76">
        <f t="shared" si="63"/>
        <v>156</v>
      </c>
      <c r="AY148" s="76">
        <f t="shared" si="63"/>
        <v>340</v>
      </c>
      <c r="AZ148" s="39">
        <f t="shared" si="61"/>
        <v>-3814</v>
      </c>
      <c r="BA148" s="76">
        <f t="shared" ref="BA148" si="64">SUM(BA146:BA147)</f>
        <v>1891</v>
      </c>
    </row>
    <row r="149" spans="1:53">
      <c r="A149" s="11"/>
      <c r="B149" s="11" t="s">
        <v>413</v>
      </c>
      <c r="C149" s="12">
        <v>-4821.6321000000007</v>
      </c>
      <c r="D149" s="12">
        <v>-4728.9888799999917</v>
      </c>
      <c r="E149" s="12">
        <v>-3395.0245200000118</v>
      </c>
      <c r="F149" s="12">
        <v>-3565.1697799999984</v>
      </c>
      <c r="G149" s="40">
        <v>-16510.815280000003</v>
      </c>
      <c r="H149" s="12">
        <v>-3460.2284100000002</v>
      </c>
      <c r="I149" s="12">
        <v>-3240.3214399999993</v>
      </c>
      <c r="J149" s="12">
        <v>-3696.6090399999957</v>
      </c>
      <c r="K149" s="12">
        <v>-3628.9993400000058</v>
      </c>
      <c r="L149" s="40">
        <v>-14026.158230000001</v>
      </c>
      <c r="M149" s="12">
        <v>-3203.4575100000011</v>
      </c>
      <c r="N149" s="12">
        <v>-3221.708179999996</v>
      </c>
      <c r="O149" s="12">
        <v>-2372.8362500000067</v>
      </c>
      <c r="P149" s="12">
        <v>-2582.4508699999897</v>
      </c>
      <c r="Q149" s="40">
        <v>-11380.452809999993</v>
      </c>
      <c r="R149" s="12">
        <v>-1712.4257</v>
      </c>
      <c r="S149" s="12">
        <v>-2049.6466500000006</v>
      </c>
      <c r="T149" s="12">
        <v>-1317.2597699999988</v>
      </c>
      <c r="U149" s="12">
        <v>-1078.2651400000004</v>
      </c>
      <c r="V149" s="40">
        <v>-6157.5972599999996</v>
      </c>
      <c r="W149" s="12">
        <v>-980.13167000000044</v>
      </c>
      <c r="X149" s="12">
        <v>-1175.9760299999982</v>
      </c>
      <c r="Y149" s="12">
        <v>-1462.4354100000019</v>
      </c>
      <c r="Z149" s="12">
        <v>-1112.8520599999983</v>
      </c>
      <c r="AA149" s="40">
        <v>-4731.3951699999989</v>
      </c>
      <c r="AB149" s="12">
        <v>-1105.7365500000001</v>
      </c>
      <c r="AC149" s="12">
        <v>-1332.4281499999988</v>
      </c>
      <c r="AD149" s="12">
        <v>-918.39533000000074</v>
      </c>
      <c r="AE149" s="12">
        <v>-992.02393999999902</v>
      </c>
      <c r="AF149" s="40">
        <f t="shared" ref="AF149:AF160" si="65">SUM(AB149:AE149)</f>
        <v>-4348.5839699999988</v>
      </c>
      <c r="AG149" s="12">
        <v>-990</v>
      </c>
      <c r="AH149" s="12">
        <v>-693</v>
      </c>
      <c r="AI149" s="1">
        <v>-832</v>
      </c>
      <c r="AJ149" s="1">
        <v>-915</v>
      </c>
      <c r="AK149" s="40">
        <f t="shared" ref="AK149:AK160" si="66">SUM(AG149:AJ149)</f>
        <v>-3430</v>
      </c>
      <c r="AL149" s="12">
        <v>-790</v>
      </c>
      <c r="AM149" s="12">
        <v>-840</v>
      </c>
      <c r="AN149" s="1">
        <v>-708</v>
      </c>
      <c r="AO149" s="1">
        <v>-800</v>
      </c>
      <c r="AP149" s="40">
        <f t="shared" si="59"/>
        <v>-3138</v>
      </c>
      <c r="AQ149" s="12">
        <v>-524</v>
      </c>
      <c r="AR149" s="12">
        <v>-938</v>
      </c>
      <c r="AS149" s="1">
        <v>-1588</v>
      </c>
      <c r="AT149" s="1">
        <v>-1113</v>
      </c>
      <c r="AU149" s="40">
        <f t="shared" si="60"/>
        <v>-4163</v>
      </c>
      <c r="AV149" s="1">
        <v>-2083</v>
      </c>
      <c r="AW149" s="1">
        <v>-1768</v>
      </c>
      <c r="AX149" s="1">
        <v>-1276</v>
      </c>
      <c r="AY149" s="1">
        <v>-1644</v>
      </c>
      <c r="AZ149" s="40">
        <f t="shared" si="61"/>
        <v>-6771</v>
      </c>
      <c r="BA149" s="8">
        <v>-395</v>
      </c>
    </row>
    <row r="150" spans="1:53">
      <c r="A150" s="11"/>
      <c r="B150" s="11" t="s">
        <v>414</v>
      </c>
      <c r="C150" s="13">
        <v>-1719.29297</v>
      </c>
      <c r="D150" s="13">
        <v>-803.76042999999936</v>
      </c>
      <c r="E150" s="13">
        <v>-137.07405000000017</v>
      </c>
      <c r="F150" s="13">
        <v>0.51934000000028391</v>
      </c>
      <c r="G150" s="41">
        <v>-2659.6081099999992</v>
      </c>
      <c r="H150" s="13">
        <v>-586.92907000000002</v>
      </c>
      <c r="I150" s="13">
        <v>-916.93536999999958</v>
      </c>
      <c r="J150" s="13">
        <v>-720.34534000000008</v>
      </c>
      <c r="K150" s="13">
        <v>-807.28072000000066</v>
      </c>
      <c r="L150" s="41">
        <v>-3031.4905000000003</v>
      </c>
      <c r="M150" s="13">
        <v>-1892.9875099999999</v>
      </c>
      <c r="N150" s="13">
        <v>-781.20013999999992</v>
      </c>
      <c r="O150" s="13">
        <v>-577.09911999999986</v>
      </c>
      <c r="P150" s="13">
        <v>-309.61707999999999</v>
      </c>
      <c r="Q150" s="41">
        <v>-3560.9038499999997</v>
      </c>
      <c r="R150" s="13">
        <v>-204.60762000000003</v>
      </c>
      <c r="S150" s="13">
        <v>-8.8619399999999757</v>
      </c>
      <c r="T150" s="13">
        <v>0</v>
      </c>
      <c r="U150" s="13">
        <v>-30.598709999999983</v>
      </c>
      <c r="V150" s="41">
        <v>-244.06826999999998</v>
      </c>
      <c r="W150" s="13">
        <v>-66.148870000000002</v>
      </c>
      <c r="X150" s="13">
        <v>-166.16336999999999</v>
      </c>
      <c r="Y150" s="13">
        <v>-17.163420000000031</v>
      </c>
      <c r="Z150" s="13">
        <v>-9.9409999999999741</v>
      </c>
      <c r="AA150" s="41">
        <v>-259.41665999999998</v>
      </c>
      <c r="AB150" s="13">
        <v>-4.7339800000000007</v>
      </c>
      <c r="AC150" s="13">
        <v>-65.657560000000004</v>
      </c>
      <c r="AD150" s="13">
        <v>-2.3851999999999975</v>
      </c>
      <c r="AE150" s="13">
        <v>-1.0000000009313226E-5</v>
      </c>
      <c r="AF150" s="41">
        <f t="shared" si="65"/>
        <v>-72.776750000000007</v>
      </c>
      <c r="AG150" s="13">
        <v>-12</v>
      </c>
      <c r="AH150" s="13">
        <v>-73</v>
      </c>
      <c r="AI150" s="1">
        <v>-11</v>
      </c>
      <c r="AJ150" s="1">
        <v>-94</v>
      </c>
      <c r="AK150" s="41">
        <f t="shared" si="66"/>
        <v>-190</v>
      </c>
      <c r="AL150" s="13">
        <v>-39</v>
      </c>
      <c r="AM150" s="13">
        <v>-68</v>
      </c>
      <c r="AN150" s="1">
        <v>-11</v>
      </c>
      <c r="AO150" s="1">
        <v>0</v>
      </c>
      <c r="AP150" s="41">
        <f t="shared" si="59"/>
        <v>-118</v>
      </c>
      <c r="AQ150" s="13">
        <v>-14</v>
      </c>
      <c r="AR150" s="1">
        <v>-74</v>
      </c>
      <c r="AS150" s="1">
        <v>-7</v>
      </c>
      <c r="AT150" s="1">
        <v>-13</v>
      </c>
      <c r="AU150" s="41">
        <f t="shared" si="60"/>
        <v>-108</v>
      </c>
      <c r="AV150" s="1">
        <v>-32</v>
      </c>
      <c r="AW150" s="1">
        <v>-73</v>
      </c>
      <c r="AX150" s="1">
        <v>-4</v>
      </c>
      <c r="AY150" s="1">
        <v>-6</v>
      </c>
      <c r="AZ150" s="170">
        <f t="shared" si="61"/>
        <v>-115</v>
      </c>
      <c r="BA150" s="162">
        <v>-14</v>
      </c>
    </row>
    <row r="151" spans="1:53">
      <c r="A151" s="11"/>
      <c r="B151" s="11" t="s">
        <v>415</v>
      </c>
      <c r="C151" s="13">
        <v>4262.0871500000012</v>
      </c>
      <c r="D151" s="13">
        <v>4175.1103499999972</v>
      </c>
      <c r="E151" s="13">
        <v>6091.4438100000007</v>
      </c>
      <c r="F151" s="13">
        <v>9554.0906000000068</v>
      </c>
      <c r="G151" s="41">
        <v>24082.731910000006</v>
      </c>
      <c r="H151" s="13">
        <v>26603.66057</v>
      </c>
      <c r="I151" s="13">
        <v>23870.461839999996</v>
      </c>
      <c r="J151" s="13">
        <v>27144.829350000015</v>
      </c>
      <c r="K151" s="13">
        <v>20121.598679999966</v>
      </c>
      <c r="L151" s="41">
        <v>97740.550439999977</v>
      </c>
      <c r="M151" s="13">
        <v>16381.384269999997</v>
      </c>
      <c r="N151" s="13">
        <v>15200.953800000005</v>
      </c>
      <c r="O151" s="13">
        <v>15770.943329999991</v>
      </c>
      <c r="P151" s="13">
        <v>15569.707060000008</v>
      </c>
      <c r="Q151" s="41">
        <v>62922.98846</v>
      </c>
      <c r="R151" s="13">
        <v>15527.600690000001</v>
      </c>
      <c r="S151" s="13">
        <v>17133.621219999994</v>
      </c>
      <c r="T151" s="13">
        <v>18959.769730000007</v>
      </c>
      <c r="U151" s="13">
        <v>18206.735430000008</v>
      </c>
      <c r="V151" s="41">
        <v>69827.727070000008</v>
      </c>
      <c r="W151" s="13">
        <v>19886.712869999996</v>
      </c>
      <c r="X151" s="13">
        <v>48317.053659999998</v>
      </c>
      <c r="Y151" s="13">
        <v>20663.031310000006</v>
      </c>
      <c r="Z151" s="13">
        <v>3200.380879999997</v>
      </c>
      <c r="AA151" s="41">
        <v>92067.178719999996</v>
      </c>
      <c r="AB151" s="13">
        <v>2546.9959800000001</v>
      </c>
      <c r="AC151" s="13">
        <v>2753.8512299999998</v>
      </c>
      <c r="AD151" s="13">
        <v>2860.7862300000006</v>
      </c>
      <c r="AE151" s="13">
        <v>2913.4575400000017</v>
      </c>
      <c r="AF151" s="41">
        <f t="shared" si="65"/>
        <v>11075.090980000003</v>
      </c>
      <c r="AG151" s="13">
        <v>3273</v>
      </c>
      <c r="AH151" s="13">
        <v>3422</v>
      </c>
      <c r="AI151" s="1">
        <v>5109</v>
      </c>
      <c r="AJ151" s="1">
        <v>5021</v>
      </c>
      <c r="AK151" s="41">
        <f t="shared" si="66"/>
        <v>16825</v>
      </c>
      <c r="AL151" s="13">
        <v>4909</v>
      </c>
      <c r="AM151" s="13">
        <v>4905</v>
      </c>
      <c r="AN151" s="1">
        <v>5419</v>
      </c>
      <c r="AO151" s="1">
        <v>4695</v>
      </c>
      <c r="AP151" s="41">
        <f t="shared" si="59"/>
        <v>19928</v>
      </c>
      <c r="AQ151" s="13">
        <v>4172</v>
      </c>
      <c r="AR151" s="1">
        <v>4876</v>
      </c>
      <c r="AS151" s="1">
        <v>4683</v>
      </c>
      <c r="AT151" s="1">
        <v>4603</v>
      </c>
      <c r="AU151" s="41">
        <f t="shared" si="60"/>
        <v>18334</v>
      </c>
      <c r="AV151" s="1">
        <v>4782</v>
      </c>
      <c r="AW151" s="1">
        <v>5006</v>
      </c>
      <c r="AX151" s="1">
        <v>5613</v>
      </c>
      <c r="AY151" s="1">
        <v>5506</v>
      </c>
      <c r="AZ151" s="170">
        <f t="shared" si="61"/>
        <v>20907</v>
      </c>
      <c r="BA151" s="162">
        <v>5309</v>
      </c>
    </row>
    <row r="152" spans="1:53">
      <c r="A152" s="11"/>
      <c r="B152" s="11" t="s">
        <v>416</v>
      </c>
      <c r="C152" s="12">
        <v>0</v>
      </c>
      <c r="D152" s="12">
        <v>0</v>
      </c>
      <c r="E152" s="12">
        <v>0</v>
      </c>
      <c r="F152" s="12">
        <v>0</v>
      </c>
      <c r="G152" s="40">
        <v>0</v>
      </c>
      <c r="H152" s="12">
        <v>0</v>
      </c>
      <c r="I152" s="12">
        <v>0</v>
      </c>
      <c r="J152" s="12">
        <v>0</v>
      </c>
      <c r="K152" s="12">
        <v>0</v>
      </c>
      <c r="L152" s="40">
        <v>0</v>
      </c>
      <c r="M152" s="12">
        <v>0</v>
      </c>
      <c r="N152" s="12">
        <v>0</v>
      </c>
      <c r="O152" s="12">
        <v>0</v>
      </c>
      <c r="P152" s="12">
        <v>0</v>
      </c>
      <c r="Q152" s="40">
        <v>0</v>
      </c>
      <c r="R152" s="12">
        <v>0</v>
      </c>
      <c r="S152" s="12">
        <v>0</v>
      </c>
      <c r="T152" s="12">
        <v>0</v>
      </c>
      <c r="U152" s="12">
        <v>0</v>
      </c>
      <c r="V152" s="40">
        <v>0</v>
      </c>
      <c r="W152" s="12">
        <v>0</v>
      </c>
      <c r="X152" s="12">
        <v>0</v>
      </c>
      <c r="Y152" s="12">
        <v>0</v>
      </c>
      <c r="Z152" s="12">
        <v>0</v>
      </c>
      <c r="AA152" s="40">
        <v>0</v>
      </c>
      <c r="AB152" s="12">
        <v>0</v>
      </c>
      <c r="AC152" s="12">
        <v>0</v>
      </c>
      <c r="AD152" s="12">
        <v>0</v>
      </c>
      <c r="AE152" s="12">
        <v>0</v>
      </c>
      <c r="AF152" s="40">
        <f t="shared" si="65"/>
        <v>0</v>
      </c>
      <c r="AG152" s="12">
        <v>0</v>
      </c>
      <c r="AH152" s="12">
        <v>0</v>
      </c>
      <c r="AI152" s="1">
        <v>0</v>
      </c>
      <c r="AJ152" s="1">
        <v>0</v>
      </c>
      <c r="AK152" s="40">
        <f t="shared" si="66"/>
        <v>0</v>
      </c>
      <c r="AL152" s="12">
        <v>0</v>
      </c>
      <c r="AM152" s="12">
        <v>0</v>
      </c>
      <c r="AN152" s="1">
        <v>0</v>
      </c>
      <c r="AO152" s="1">
        <v>0</v>
      </c>
      <c r="AP152" s="40">
        <f t="shared" si="59"/>
        <v>0</v>
      </c>
      <c r="AQ152" s="12">
        <v>0</v>
      </c>
      <c r="AR152" s="12">
        <v>0</v>
      </c>
      <c r="AS152" s="1">
        <v>0</v>
      </c>
      <c r="AT152" s="1">
        <v>0</v>
      </c>
      <c r="AU152" s="40">
        <f t="shared" si="60"/>
        <v>0</v>
      </c>
      <c r="AV152" s="1">
        <v>0</v>
      </c>
      <c r="AW152" s="1">
        <v>0</v>
      </c>
      <c r="AX152" s="1">
        <v>0</v>
      </c>
      <c r="AY152" s="1">
        <v>0</v>
      </c>
      <c r="AZ152" s="40">
        <f t="shared" si="61"/>
        <v>0</v>
      </c>
      <c r="BA152" s="8"/>
    </row>
    <row r="153" spans="1:53" s="2" customFormat="1">
      <c r="A153" s="9"/>
      <c r="B153" s="9" t="s">
        <v>418</v>
      </c>
      <c r="C153" s="10">
        <v>-26298.64157</v>
      </c>
      <c r="D153" s="10">
        <v>-56581.476849998799</v>
      </c>
      <c r="E153" s="10">
        <v>-65780.828430001551</v>
      </c>
      <c r="F153" s="10">
        <v>18422.168370002863</v>
      </c>
      <c r="G153" s="39">
        <v>-130238.77847999749</v>
      </c>
      <c r="H153" s="10">
        <v>23977.542009999896</v>
      </c>
      <c r="I153" s="10">
        <v>15247.943889999655</v>
      </c>
      <c r="J153" s="10">
        <v>16391.558660001032</v>
      </c>
      <c r="K153" s="10">
        <v>17525.974549998893</v>
      </c>
      <c r="L153" s="39">
        <v>73143.01910999947</v>
      </c>
      <c r="M153" s="10">
        <v>21234.177280000069</v>
      </c>
      <c r="N153" s="10">
        <v>10349.961289999639</v>
      </c>
      <c r="O153" s="10">
        <v>-6389.8597399997052</v>
      </c>
      <c r="P153" s="10">
        <v>14969.467170000706</v>
      </c>
      <c r="Q153" s="39">
        <v>40163.746000000712</v>
      </c>
      <c r="R153" s="10">
        <v>15417.877859999973</v>
      </c>
      <c r="S153" s="10">
        <v>13228.686650000063</v>
      </c>
      <c r="T153" s="10">
        <v>11780.361900000022</v>
      </c>
      <c r="U153" s="10">
        <v>9474.9671300000136</v>
      </c>
      <c r="V153" s="39">
        <v>49901.89354000007</v>
      </c>
      <c r="W153" s="10">
        <v>24570.910879999992</v>
      </c>
      <c r="X153" s="10">
        <v>36959.477780000001</v>
      </c>
      <c r="Y153" s="10">
        <v>17767.870240000004</v>
      </c>
      <c r="Z153" s="10">
        <v>371.58230999999614</v>
      </c>
      <c r="AA153" s="39">
        <v>79669.841209999999</v>
      </c>
      <c r="AB153" s="10">
        <f>SUM(AB148:AB152)</f>
        <v>817.00288000000228</v>
      </c>
      <c r="AC153" s="10">
        <f>SUM(AC148:AC152)</f>
        <v>444.84204999999838</v>
      </c>
      <c r="AD153" s="10">
        <f>SUM(AD148:AD152)</f>
        <v>5405.6659399999999</v>
      </c>
      <c r="AE153" s="10">
        <v>2756.4942199999941</v>
      </c>
      <c r="AF153" s="39">
        <f t="shared" si="65"/>
        <v>9424.0050899999951</v>
      </c>
      <c r="AG153" s="10">
        <f>SUM(AG148:AG152)</f>
        <v>-251</v>
      </c>
      <c r="AH153" s="10">
        <f>SUM(AH148:AH152)</f>
        <v>-1978</v>
      </c>
      <c r="AI153" s="76">
        <f>SUM(AI148:AI152)</f>
        <v>9842</v>
      </c>
      <c r="AJ153" s="76">
        <f>SUM(AJ148:AJ152)</f>
        <v>2306</v>
      </c>
      <c r="AK153" s="39">
        <f t="shared" si="66"/>
        <v>9919</v>
      </c>
      <c r="AL153" s="10">
        <f>SUM(AL148:AL152)</f>
        <v>6358</v>
      </c>
      <c r="AM153" s="10">
        <f>SUM(AM148:AM152)</f>
        <v>9477</v>
      </c>
      <c r="AN153" s="76">
        <f>SUM(AN148:AN152)</f>
        <v>4254</v>
      </c>
      <c r="AO153" s="76">
        <f>SUM(AO148:AO152)</f>
        <v>1395</v>
      </c>
      <c r="AP153" s="39">
        <f t="shared" si="59"/>
        <v>21484</v>
      </c>
      <c r="AQ153" s="76">
        <f>SUM(AQ148:AQ152)</f>
        <v>2569</v>
      </c>
      <c r="AR153" s="76">
        <f>SUM(AR148:AR152)</f>
        <v>3060</v>
      </c>
      <c r="AS153" s="76">
        <f t="shared" ref="AS153" si="67">SUM(AS148:AS152)</f>
        <v>1343</v>
      </c>
      <c r="AT153" s="76">
        <f>SUM(AT148:AT152)</f>
        <v>4787</v>
      </c>
      <c r="AU153" s="39">
        <f t="shared" si="60"/>
        <v>11759</v>
      </c>
      <c r="AV153" s="76">
        <f>SUM(AV148:AV152)</f>
        <v>454</v>
      </c>
      <c r="AW153" s="76">
        <f>SUM(AW148:AW152)</f>
        <v>1068</v>
      </c>
      <c r="AX153" s="76">
        <f>SUM(AX148:AX152)</f>
        <v>4489</v>
      </c>
      <c r="AY153" s="76">
        <f>SUM(AY148:AY152)</f>
        <v>4196</v>
      </c>
      <c r="AZ153" s="39">
        <f t="shared" si="61"/>
        <v>10207</v>
      </c>
      <c r="BA153" s="76">
        <f>SUM(BA148:BA152)</f>
        <v>6791</v>
      </c>
    </row>
    <row r="154" spans="1:53">
      <c r="A154" s="11"/>
      <c r="B154" s="11" t="s">
        <v>419</v>
      </c>
      <c r="C154" s="12">
        <v>-15.26008</v>
      </c>
      <c r="D154" s="12">
        <v>0</v>
      </c>
      <c r="E154" s="12">
        <v>0</v>
      </c>
      <c r="F154" s="12">
        <v>-5360.2385100000001</v>
      </c>
      <c r="G154" s="41">
        <v>-5375.4985900000001</v>
      </c>
      <c r="H154" s="12">
        <v>0</v>
      </c>
      <c r="I154" s="12">
        <v>0</v>
      </c>
      <c r="J154" s="12">
        <v>0</v>
      </c>
      <c r="K154" s="12">
        <v>0</v>
      </c>
      <c r="L154" s="41">
        <v>0</v>
      </c>
      <c r="M154" s="12">
        <v>0</v>
      </c>
      <c r="N154" s="12">
        <v>0</v>
      </c>
      <c r="O154" s="12">
        <v>-14.25014</v>
      </c>
      <c r="P154" s="12">
        <v>0</v>
      </c>
      <c r="Q154" s="41">
        <v>-14.25014</v>
      </c>
      <c r="R154" s="12">
        <v>0</v>
      </c>
      <c r="S154" s="12">
        <v>0</v>
      </c>
      <c r="T154" s="12">
        <v>0</v>
      </c>
      <c r="U154" s="12">
        <v>0</v>
      </c>
      <c r="V154" s="41">
        <v>0</v>
      </c>
      <c r="W154" s="12">
        <v>0</v>
      </c>
      <c r="X154" s="12">
        <v>-234.75519</v>
      </c>
      <c r="Y154" s="12">
        <v>-16.491290000000021</v>
      </c>
      <c r="Z154" s="12">
        <v>0</v>
      </c>
      <c r="AA154" s="41">
        <v>-251.24648000000002</v>
      </c>
      <c r="AB154" s="12">
        <v>0</v>
      </c>
      <c r="AC154" s="12">
        <v>302.90436</v>
      </c>
      <c r="AD154" s="12">
        <v>0</v>
      </c>
      <c r="AE154" s="12">
        <v>0</v>
      </c>
      <c r="AF154" s="41">
        <f t="shared" si="65"/>
        <v>302.90436</v>
      </c>
      <c r="AG154" s="12">
        <v>0</v>
      </c>
      <c r="AH154" s="12">
        <v>0</v>
      </c>
      <c r="AI154" s="1">
        <v>0</v>
      </c>
      <c r="AJ154" s="1">
        <v>0</v>
      </c>
      <c r="AK154" s="41">
        <f t="shared" si="66"/>
        <v>0</v>
      </c>
      <c r="AL154" s="12">
        <v>0</v>
      </c>
      <c r="AM154" s="12">
        <v>0</v>
      </c>
      <c r="AN154" s="1">
        <v>8</v>
      </c>
      <c r="AO154" s="1">
        <v>0</v>
      </c>
      <c r="AP154" s="41">
        <f t="shared" si="59"/>
        <v>8</v>
      </c>
      <c r="AQ154" s="12">
        <v>0</v>
      </c>
      <c r="AR154" s="12">
        <v>0</v>
      </c>
      <c r="AS154" s="1">
        <v>0</v>
      </c>
      <c r="AT154" s="1">
        <v>-20</v>
      </c>
      <c r="AU154" s="41">
        <f t="shared" si="60"/>
        <v>-20</v>
      </c>
      <c r="AV154" s="1">
        <v>79</v>
      </c>
      <c r="AW154" s="1">
        <v>-6</v>
      </c>
      <c r="AX154" s="1">
        <v>0</v>
      </c>
      <c r="AY154" s="1">
        <v>0</v>
      </c>
      <c r="AZ154" s="170">
        <f t="shared" si="61"/>
        <v>73</v>
      </c>
      <c r="BA154" s="162">
        <v>15</v>
      </c>
    </row>
    <row r="155" spans="1:53" s="2" customFormat="1">
      <c r="A155" s="9"/>
      <c r="B155" s="9" t="s">
        <v>420</v>
      </c>
      <c r="C155" s="10">
        <v>-26313.90165</v>
      </c>
      <c r="D155" s="10">
        <v>-56581.476849998799</v>
      </c>
      <c r="E155" s="10">
        <v>-65780.828430001551</v>
      </c>
      <c r="F155" s="10">
        <v>13061.929860002863</v>
      </c>
      <c r="G155" s="39">
        <v>-135614.27706999748</v>
      </c>
      <c r="H155" s="10">
        <v>23977.542009999896</v>
      </c>
      <c r="I155" s="10">
        <v>15247.943889999655</v>
      </c>
      <c r="J155" s="10">
        <v>16391.558660001032</v>
      </c>
      <c r="K155" s="10">
        <v>17525.974549998893</v>
      </c>
      <c r="L155" s="39">
        <v>73143.01910999947</v>
      </c>
      <c r="M155" s="10">
        <v>21234.177280000069</v>
      </c>
      <c r="N155" s="10">
        <v>10349.961289999639</v>
      </c>
      <c r="O155" s="10">
        <v>-6404.1098799997053</v>
      </c>
      <c r="P155" s="10">
        <v>14969.467170000706</v>
      </c>
      <c r="Q155" s="39">
        <v>40149.495860000708</v>
      </c>
      <c r="R155" s="10">
        <v>15417.877859999973</v>
      </c>
      <c r="S155" s="10">
        <v>13228.686650000063</v>
      </c>
      <c r="T155" s="10">
        <v>11780.361900000022</v>
      </c>
      <c r="U155" s="10">
        <v>9474.9671300000136</v>
      </c>
      <c r="V155" s="39">
        <v>49901.89354000007</v>
      </c>
      <c r="W155" s="10">
        <v>24570.910879999992</v>
      </c>
      <c r="X155" s="10">
        <v>36724.722589999998</v>
      </c>
      <c r="Y155" s="10">
        <v>17751.378950000002</v>
      </c>
      <c r="Z155" s="10">
        <v>371.58230999999614</v>
      </c>
      <c r="AA155" s="39">
        <v>79418.594729999983</v>
      </c>
      <c r="AB155" s="10">
        <f>SUM(AB153:AB154)</f>
        <v>817.00288000000228</v>
      </c>
      <c r="AC155" s="10">
        <f>SUM(AC153:AC154)</f>
        <v>747.74640999999838</v>
      </c>
      <c r="AD155" s="10">
        <f>SUM(AD153:AD154)</f>
        <v>5405.6659399999999</v>
      </c>
      <c r="AE155" s="10">
        <v>2756.4942199999932</v>
      </c>
      <c r="AF155" s="39">
        <f t="shared" si="65"/>
        <v>9726.9094499999937</v>
      </c>
      <c r="AG155" s="10">
        <f>AG154+AG153</f>
        <v>-251</v>
      </c>
      <c r="AH155" s="10">
        <f>AH154+AH153</f>
        <v>-1978</v>
      </c>
      <c r="AI155" s="76">
        <f>AI154+AI153</f>
        <v>9842</v>
      </c>
      <c r="AJ155" s="76">
        <f>AJ154+AJ153</f>
        <v>2306</v>
      </c>
      <c r="AK155" s="39">
        <f t="shared" si="66"/>
        <v>9919</v>
      </c>
      <c r="AL155" s="10">
        <f>AL154+AL153</f>
        <v>6358</v>
      </c>
      <c r="AM155" s="10">
        <f>AM154+AM153</f>
        <v>9477</v>
      </c>
      <c r="AN155" s="76">
        <f>AN154+AN153</f>
        <v>4262</v>
      </c>
      <c r="AO155" s="76">
        <f>AO154+AO153</f>
        <v>1395</v>
      </c>
      <c r="AP155" s="39">
        <f t="shared" si="59"/>
        <v>21492</v>
      </c>
      <c r="AQ155" s="76">
        <f>AQ154+AQ153</f>
        <v>2569</v>
      </c>
      <c r="AR155" s="76">
        <f>AR154+AR153</f>
        <v>3060</v>
      </c>
      <c r="AS155" s="76">
        <f t="shared" ref="AS155:AV155" si="68">AS154+AS153</f>
        <v>1343</v>
      </c>
      <c r="AT155" s="76">
        <f t="shared" si="68"/>
        <v>4767</v>
      </c>
      <c r="AU155" s="39">
        <f t="shared" si="60"/>
        <v>11739</v>
      </c>
      <c r="AV155" s="76">
        <f t="shared" si="68"/>
        <v>533</v>
      </c>
      <c r="AW155" s="76">
        <f t="shared" ref="AW155:AY155" si="69">AW154+AW153</f>
        <v>1062</v>
      </c>
      <c r="AX155" s="76">
        <f t="shared" si="69"/>
        <v>4489</v>
      </c>
      <c r="AY155" s="76">
        <f t="shared" si="69"/>
        <v>4196</v>
      </c>
      <c r="AZ155" s="39">
        <f t="shared" si="61"/>
        <v>10280</v>
      </c>
      <c r="BA155" s="76">
        <f t="shared" ref="BA155" si="70">BA154+BA153</f>
        <v>6806</v>
      </c>
    </row>
    <row r="156" spans="1:53">
      <c r="A156" s="11"/>
      <c r="B156" s="11" t="s">
        <v>421</v>
      </c>
      <c r="C156" s="12">
        <v>0</v>
      </c>
      <c r="D156" s="12">
        <v>0</v>
      </c>
      <c r="E156" s="12">
        <v>0</v>
      </c>
      <c r="F156" s="12">
        <v>0</v>
      </c>
      <c r="G156" s="41">
        <v>0</v>
      </c>
      <c r="H156" s="12">
        <v>-4345.8229700000011</v>
      </c>
      <c r="I156" s="12">
        <v>-3222.3119599999982</v>
      </c>
      <c r="J156" s="12">
        <v>-3308.3429999999998</v>
      </c>
      <c r="K156" s="12">
        <v>-910.19571000000178</v>
      </c>
      <c r="L156" s="41">
        <v>-11786.673640000001</v>
      </c>
      <c r="M156" s="12">
        <v>-3236.86303</v>
      </c>
      <c r="N156" s="12">
        <v>-1132.0201499999998</v>
      </c>
      <c r="O156" s="12">
        <v>1097.1127999999999</v>
      </c>
      <c r="P156" s="12">
        <v>-2877.6650799999989</v>
      </c>
      <c r="Q156" s="41">
        <v>-6149.4354599999988</v>
      </c>
      <c r="R156" s="12">
        <v>-2528.5161800000001</v>
      </c>
      <c r="S156" s="12">
        <v>-1784.2053099999998</v>
      </c>
      <c r="T156" s="12">
        <v>-1964.6103800000001</v>
      </c>
      <c r="U156" s="12">
        <v>-1722.7027100000005</v>
      </c>
      <c r="V156" s="41">
        <v>-8000.0345800000005</v>
      </c>
      <c r="W156" s="12">
        <v>-4125.8826099999997</v>
      </c>
      <c r="X156" s="12">
        <v>-8738.7147599999989</v>
      </c>
      <c r="Y156" s="12">
        <v>-3022.1981699999997</v>
      </c>
      <c r="Z156" s="12">
        <v>-21.847910000000411</v>
      </c>
      <c r="AA156" s="41">
        <v>-15908.64345</v>
      </c>
      <c r="AB156" s="12">
        <v>-60.060019999999994</v>
      </c>
      <c r="AC156" s="12">
        <v>-122.26051</v>
      </c>
      <c r="AD156" s="12">
        <v>182.32052999999999</v>
      </c>
      <c r="AE156" s="12">
        <v>0</v>
      </c>
      <c r="AF156" s="41">
        <f t="shared" si="65"/>
        <v>0</v>
      </c>
      <c r="AG156" s="12">
        <v>0</v>
      </c>
      <c r="AH156" s="12">
        <v>0</v>
      </c>
      <c r="AI156" s="1">
        <v>-1421</v>
      </c>
      <c r="AJ156" s="1">
        <v>-408</v>
      </c>
      <c r="AK156" s="41">
        <f t="shared" si="66"/>
        <v>-1829</v>
      </c>
      <c r="AL156" s="12">
        <v>-1071</v>
      </c>
      <c r="AM156" s="12">
        <v>-1638</v>
      </c>
      <c r="AN156" s="1">
        <v>-767</v>
      </c>
      <c r="AO156" s="1">
        <v>-618</v>
      </c>
      <c r="AP156" s="41">
        <f t="shared" si="59"/>
        <v>-4094</v>
      </c>
      <c r="AQ156" s="12">
        <v>-494</v>
      </c>
      <c r="AR156" s="12">
        <v>-667</v>
      </c>
      <c r="AS156" s="1">
        <v>-316</v>
      </c>
      <c r="AT156" s="1">
        <v>-312</v>
      </c>
      <c r="AU156" s="41">
        <f t="shared" si="60"/>
        <v>-1789</v>
      </c>
      <c r="AV156" s="1">
        <v>0</v>
      </c>
      <c r="AW156" s="1">
        <v>-110</v>
      </c>
      <c r="AX156" s="1">
        <v>-776</v>
      </c>
      <c r="AY156" s="1">
        <v>-560</v>
      </c>
      <c r="AZ156" s="170">
        <f t="shared" si="61"/>
        <v>-1446</v>
      </c>
      <c r="BA156" s="162">
        <v>-1195</v>
      </c>
    </row>
    <row r="157" spans="1:53">
      <c r="A157" s="11"/>
      <c r="B157" s="11" t="s">
        <v>422</v>
      </c>
      <c r="C157" s="12">
        <v>0</v>
      </c>
      <c r="D157" s="12">
        <v>0</v>
      </c>
      <c r="E157" s="12">
        <v>0</v>
      </c>
      <c r="F157" s="12">
        <v>0</v>
      </c>
      <c r="G157" s="41">
        <v>0</v>
      </c>
      <c r="H157" s="12">
        <v>-3511.3570099999997</v>
      </c>
      <c r="I157" s="12">
        <v>-2589.1725600000009</v>
      </c>
      <c r="J157" s="12">
        <v>-2658.6714900000006</v>
      </c>
      <c r="K157" s="12">
        <v>-740.41519999999764</v>
      </c>
      <c r="L157" s="41">
        <v>-9499.6162599999989</v>
      </c>
      <c r="M157" s="12">
        <v>-2602.2317799999996</v>
      </c>
      <c r="N157" s="12">
        <v>-917.24339000000009</v>
      </c>
      <c r="O157" s="12">
        <v>865.82524999999987</v>
      </c>
      <c r="P157" s="12">
        <v>-2312.7848900000008</v>
      </c>
      <c r="Q157" s="41">
        <v>-4966.4348100000007</v>
      </c>
      <c r="R157" s="12">
        <v>-1524.7277799999999</v>
      </c>
      <c r="S157" s="12">
        <v>-1077.6773099999998</v>
      </c>
      <c r="T157" s="12">
        <v>-1185.7792800000002</v>
      </c>
      <c r="U157" s="12">
        <v>-1040.16464</v>
      </c>
      <c r="V157" s="41">
        <v>-4828.3490099999999</v>
      </c>
      <c r="W157" s="12">
        <v>-2482.0168599999997</v>
      </c>
      <c r="X157" s="12">
        <v>-5249.8539099999998</v>
      </c>
      <c r="Y157" s="12">
        <v>-1822.1188999999995</v>
      </c>
      <c r="Z157" s="12">
        <v>-25.678260000000591</v>
      </c>
      <c r="AA157" s="41">
        <v>-9579.6679299999996</v>
      </c>
      <c r="AB157" s="12">
        <v>-43.891260000000003</v>
      </c>
      <c r="AC157" s="12">
        <v>-77.437510000000003</v>
      </c>
      <c r="AD157" s="12">
        <v>121.32877000000001</v>
      </c>
      <c r="AE157" s="12">
        <v>0</v>
      </c>
      <c r="AF157" s="41">
        <f t="shared" si="65"/>
        <v>0</v>
      </c>
      <c r="AG157" s="12">
        <v>0</v>
      </c>
      <c r="AH157" s="12">
        <v>0</v>
      </c>
      <c r="AI157" s="1">
        <v>-900</v>
      </c>
      <c r="AJ157" s="1">
        <v>-272</v>
      </c>
      <c r="AK157" s="41">
        <f t="shared" si="66"/>
        <v>-1172</v>
      </c>
      <c r="AL157" s="12">
        <v>-647</v>
      </c>
      <c r="AM157" s="12">
        <v>-987</v>
      </c>
      <c r="AN157" s="1">
        <v>-464</v>
      </c>
      <c r="AO157" s="1">
        <v>-376</v>
      </c>
      <c r="AP157" s="41">
        <f t="shared" si="59"/>
        <v>-2474</v>
      </c>
      <c r="AQ157" s="12">
        <v>-301</v>
      </c>
      <c r="AR157" s="12">
        <v>-404</v>
      </c>
      <c r="AS157" s="1">
        <v>-193</v>
      </c>
      <c r="AT157" s="1">
        <v>-192</v>
      </c>
      <c r="AU157" s="41">
        <f t="shared" si="60"/>
        <v>-1090</v>
      </c>
      <c r="AV157" s="1">
        <v>0</v>
      </c>
      <c r="AW157" s="1">
        <v>-74</v>
      </c>
      <c r="AX157" s="1">
        <v>-469</v>
      </c>
      <c r="AY157" s="1">
        <v>-340</v>
      </c>
      <c r="AZ157" s="170">
        <f t="shared" si="61"/>
        <v>-883</v>
      </c>
      <c r="BA157" s="162">
        <v>-721</v>
      </c>
    </row>
    <row r="158" spans="1:53">
      <c r="A158" s="11"/>
      <c r="B158" s="11" t="s">
        <v>423</v>
      </c>
      <c r="C158" s="12">
        <v>0</v>
      </c>
      <c r="D158" s="12">
        <v>0</v>
      </c>
      <c r="E158" s="12">
        <v>0</v>
      </c>
      <c r="F158" s="12">
        <v>0</v>
      </c>
      <c r="G158" s="41">
        <v>0</v>
      </c>
      <c r="H158" s="12">
        <v>0</v>
      </c>
      <c r="I158" s="12">
        <v>0</v>
      </c>
      <c r="J158" s="12">
        <v>0</v>
      </c>
      <c r="K158" s="12">
        <v>0</v>
      </c>
      <c r="L158" s="41">
        <v>0</v>
      </c>
      <c r="M158" s="12">
        <v>0</v>
      </c>
      <c r="N158" s="12">
        <v>0</v>
      </c>
      <c r="O158" s="12">
        <v>0</v>
      </c>
      <c r="P158" s="12">
        <v>0</v>
      </c>
      <c r="Q158" s="41">
        <v>0</v>
      </c>
      <c r="R158" s="12">
        <v>0</v>
      </c>
      <c r="S158" s="12">
        <v>0</v>
      </c>
      <c r="T158" s="12">
        <v>0</v>
      </c>
      <c r="U158" s="12">
        <v>0</v>
      </c>
      <c r="V158" s="41">
        <v>0</v>
      </c>
      <c r="W158" s="12">
        <v>0</v>
      </c>
      <c r="X158" s="12">
        <v>0</v>
      </c>
      <c r="Y158" s="12">
        <v>0</v>
      </c>
      <c r="Z158" s="12">
        <v>0</v>
      </c>
      <c r="AA158" s="41">
        <v>0</v>
      </c>
      <c r="AB158" s="12">
        <v>0</v>
      </c>
      <c r="AC158" s="12">
        <v>0</v>
      </c>
      <c r="AD158" s="12">
        <v>0</v>
      </c>
      <c r="AE158" s="12">
        <v>0</v>
      </c>
      <c r="AF158" s="41">
        <f t="shared" si="65"/>
        <v>0</v>
      </c>
      <c r="AG158" s="12">
        <v>0</v>
      </c>
      <c r="AH158" s="12">
        <v>0</v>
      </c>
      <c r="AI158" s="1">
        <v>0</v>
      </c>
      <c r="AJ158" s="1">
        <v>0</v>
      </c>
      <c r="AK158" s="41">
        <f t="shared" si="66"/>
        <v>0</v>
      </c>
      <c r="AL158" s="12">
        <v>0</v>
      </c>
      <c r="AM158" s="12">
        <v>0</v>
      </c>
      <c r="AN158" s="1">
        <v>0</v>
      </c>
      <c r="AO158" s="1">
        <v>0</v>
      </c>
      <c r="AP158" s="41">
        <f t="shared" si="59"/>
        <v>0</v>
      </c>
      <c r="AQ158" s="12">
        <v>0</v>
      </c>
      <c r="AR158" s="12">
        <v>0</v>
      </c>
      <c r="AS158" s="1">
        <v>0</v>
      </c>
      <c r="AT158" s="1">
        <v>0</v>
      </c>
      <c r="AU158" s="41">
        <f t="shared" si="60"/>
        <v>0</v>
      </c>
      <c r="AV158" s="1">
        <v>0</v>
      </c>
      <c r="AW158" s="1">
        <v>0</v>
      </c>
      <c r="AX158" s="1">
        <v>0</v>
      </c>
      <c r="AY158" s="1">
        <v>0</v>
      </c>
      <c r="AZ158" s="170">
        <f t="shared" si="61"/>
        <v>0</v>
      </c>
      <c r="BA158" s="162">
        <v>0</v>
      </c>
    </row>
    <row r="159" spans="1:53">
      <c r="A159" s="11"/>
      <c r="B159" s="11" t="s">
        <v>424</v>
      </c>
      <c r="C159" s="12">
        <v>0</v>
      </c>
      <c r="D159" s="12">
        <v>0</v>
      </c>
      <c r="E159" s="12">
        <v>0</v>
      </c>
      <c r="F159" s="12">
        <v>0</v>
      </c>
      <c r="G159" s="41">
        <v>0</v>
      </c>
      <c r="H159" s="12">
        <v>0</v>
      </c>
      <c r="I159" s="12">
        <v>0</v>
      </c>
      <c r="J159" s="12">
        <v>0</v>
      </c>
      <c r="K159" s="12">
        <v>0</v>
      </c>
      <c r="L159" s="41">
        <v>0</v>
      </c>
      <c r="M159" s="12">
        <v>0</v>
      </c>
      <c r="N159" s="12">
        <v>0</v>
      </c>
      <c r="O159" s="12">
        <v>0</v>
      </c>
      <c r="P159" s="12">
        <v>0</v>
      </c>
      <c r="Q159" s="41">
        <v>0</v>
      </c>
      <c r="R159" s="12">
        <v>0</v>
      </c>
      <c r="S159" s="12">
        <v>0</v>
      </c>
      <c r="T159" s="12">
        <v>0</v>
      </c>
      <c r="U159" s="12">
        <v>0</v>
      </c>
      <c r="V159" s="41">
        <v>0</v>
      </c>
      <c r="W159" s="12">
        <v>0</v>
      </c>
      <c r="X159" s="12">
        <v>0</v>
      </c>
      <c r="Y159" s="12">
        <v>0</v>
      </c>
      <c r="Z159" s="12">
        <v>0</v>
      </c>
      <c r="AA159" s="41">
        <v>0</v>
      </c>
      <c r="AB159" s="12">
        <v>0</v>
      </c>
      <c r="AC159" s="12">
        <v>0</v>
      </c>
      <c r="AD159" s="12">
        <v>0</v>
      </c>
      <c r="AE159" s="12">
        <v>0</v>
      </c>
      <c r="AF159" s="41">
        <f t="shared" si="65"/>
        <v>0</v>
      </c>
      <c r="AG159" s="12">
        <v>0</v>
      </c>
      <c r="AH159" s="12">
        <v>0</v>
      </c>
      <c r="AI159" s="1">
        <v>0</v>
      </c>
      <c r="AJ159" s="1">
        <v>0</v>
      </c>
      <c r="AK159" s="41">
        <f t="shared" si="66"/>
        <v>0</v>
      </c>
      <c r="AL159" s="12">
        <v>0</v>
      </c>
      <c r="AM159" s="12">
        <v>0</v>
      </c>
      <c r="AN159" s="1">
        <v>0</v>
      </c>
      <c r="AO159" s="1">
        <v>0</v>
      </c>
      <c r="AP159" s="41">
        <f t="shared" si="59"/>
        <v>0</v>
      </c>
      <c r="AQ159" s="12">
        <v>0</v>
      </c>
      <c r="AR159" s="12">
        <v>0</v>
      </c>
      <c r="AS159" s="1">
        <v>0</v>
      </c>
      <c r="AT159" s="1">
        <v>0</v>
      </c>
      <c r="AU159" s="41">
        <f t="shared" si="60"/>
        <v>0</v>
      </c>
      <c r="AV159" s="1">
        <v>0</v>
      </c>
      <c r="AW159" s="1">
        <v>0</v>
      </c>
      <c r="AX159" s="1">
        <v>0</v>
      </c>
      <c r="AY159" s="1">
        <v>0</v>
      </c>
      <c r="AZ159" s="170">
        <f t="shared" si="61"/>
        <v>0</v>
      </c>
      <c r="BA159" s="162">
        <v>0</v>
      </c>
    </row>
    <row r="160" spans="1:53" s="2" customFormat="1">
      <c r="A160" s="15"/>
      <c r="B160" s="15" t="s">
        <v>450</v>
      </c>
      <c r="C160" s="16">
        <v>-26313.90165</v>
      </c>
      <c r="D160" s="16">
        <v>-56581.476849998799</v>
      </c>
      <c r="E160" s="16">
        <v>-65780.828430001551</v>
      </c>
      <c r="F160" s="16">
        <v>13061.929860002863</v>
      </c>
      <c r="G160" s="45">
        <v>-135614.27706999748</v>
      </c>
      <c r="H160" s="16">
        <v>16120.362029999895</v>
      </c>
      <c r="I160" s="16">
        <v>9436.4593699996567</v>
      </c>
      <c r="J160" s="16">
        <v>10424.544170001031</v>
      </c>
      <c r="K160" s="16">
        <v>15875.363639998895</v>
      </c>
      <c r="L160" s="45">
        <v>51856.729209999474</v>
      </c>
      <c r="M160" s="16">
        <v>15395.082470000068</v>
      </c>
      <c r="N160" s="16">
        <v>8300.6977499996392</v>
      </c>
      <c r="O160" s="16">
        <v>-4441.1718299997056</v>
      </c>
      <c r="P160" s="16">
        <v>9779.017200000706</v>
      </c>
      <c r="Q160" s="45">
        <v>29033.625590000709</v>
      </c>
      <c r="R160" s="16">
        <v>11364.633899999973</v>
      </c>
      <c r="S160" s="16">
        <v>10366.804030000065</v>
      </c>
      <c r="T160" s="16">
        <v>8629.972240000021</v>
      </c>
      <c r="U160" s="16">
        <v>6712.0997800000132</v>
      </c>
      <c r="V160" s="45">
        <v>37073.509950000072</v>
      </c>
      <c r="W160" s="16">
        <v>17963.011409999992</v>
      </c>
      <c r="X160" s="16">
        <v>22736.153919999997</v>
      </c>
      <c r="Y160" s="16">
        <v>12907.061880000003</v>
      </c>
      <c r="Z160" s="16">
        <v>324.05613999999514</v>
      </c>
      <c r="AA160" s="45">
        <v>53930.283349999983</v>
      </c>
      <c r="AB160" s="16">
        <f>SUM(AB155:AB159)</f>
        <v>713.05160000000228</v>
      </c>
      <c r="AC160" s="16">
        <f>SUM(AC155:AC159)</f>
        <v>548.04838999999845</v>
      </c>
      <c r="AD160" s="16">
        <f>SUM(AD155:AD159)</f>
        <v>5709.3152399999999</v>
      </c>
      <c r="AE160" s="16">
        <v>2756.4942199999932</v>
      </c>
      <c r="AF160" s="45">
        <f t="shared" si="65"/>
        <v>9726.9094499999937</v>
      </c>
      <c r="AG160" s="16">
        <f>SUM(AG155:AG159)</f>
        <v>-251</v>
      </c>
      <c r="AH160" s="16">
        <f>SUM(AH155:AH159)</f>
        <v>-1978</v>
      </c>
      <c r="AI160" s="16">
        <f>SUM(AI155:AI159)</f>
        <v>7521</v>
      </c>
      <c r="AJ160" s="16">
        <f>SUM(AJ155:AJ159)</f>
        <v>1626</v>
      </c>
      <c r="AK160" s="45">
        <f t="shared" si="66"/>
        <v>6918</v>
      </c>
      <c r="AL160" s="16">
        <f>SUM(AL155:AL159)</f>
        <v>4640</v>
      </c>
      <c r="AM160" s="16">
        <f>SUM(AM155:AM159)</f>
        <v>6852</v>
      </c>
      <c r="AN160" s="16">
        <f>SUM(AN155:AN159)</f>
        <v>3031</v>
      </c>
      <c r="AO160" s="16">
        <f>SUM(AO155:AO159)</f>
        <v>401</v>
      </c>
      <c r="AP160" s="45">
        <f t="shared" si="59"/>
        <v>14924</v>
      </c>
      <c r="AQ160" s="16">
        <f>SUM(AQ155:AQ159)</f>
        <v>1774</v>
      </c>
      <c r="AR160" s="16">
        <f>SUM(AR155:AR159)</f>
        <v>1989</v>
      </c>
      <c r="AS160" s="16">
        <f t="shared" ref="AS160:AV160" si="71">SUM(AS155:AS159)</f>
        <v>834</v>
      </c>
      <c r="AT160" s="16">
        <f t="shared" si="71"/>
        <v>4263</v>
      </c>
      <c r="AU160" s="45">
        <f t="shared" si="60"/>
        <v>8860</v>
      </c>
      <c r="AV160" s="16">
        <f t="shared" si="71"/>
        <v>533</v>
      </c>
      <c r="AW160" s="16">
        <f t="shared" ref="AW160:AY160" si="72">SUM(AW155:AW159)</f>
        <v>878</v>
      </c>
      <c r="AX160" s="16">
        <f t="shared" si="72"/>
        <v>3244</v>
      </c>
      <c r="AY160" s="16">
        <f t="shared" si="72"/>
        <v>3296</v>
      </c>
      <c r="AZ160" s="45">
        <f t="shared" si="61"/>
        <v>7951</v>
      </c>
      <c r="BA160" s="16">
        <f t="shared" ref="BA160" si="73">SUM(BA155:BA159)</f>
        <v>4890</v>
      </c>
    </row>
    <row r="161" spans="1:53">
      <c r="A161" s="11"/>
      <c r="B161" s="11" t="s">
        <v>468</v>
      </c>
      <c r="C161" s="13">
        <v>-26313.90165</v>
      </c>
      <c r="D161" s="13">
        <v>-56581.476849998799</v>
      </c>
      <c r="E161" s="13">
        <v>-65780.828430001551</v>
      </c>
      <c r="F161" s="13">
        <v>13061.929860002863</v>
      </c>
      <c r="G161" s="41">
        <v>-135614.27706999748</v>
      </c>
      <c r="H161" s="13">
        <v>16120.362029999895</v>
      </c>
      <c r="I161" s="13">
        <v>9436.4593699996567</v>
      </c>
      <c r="J161" s="13">
        <v>10424.544170001031</v>
      </c>
      <c r="K161" s="13">
        <v>15875.363639998895</v>
      </c>
      <c r="L161" s="41">
        <v>51856.729209999474</v>
      </c>
      <c r="M161" s="13">
        <v>15395.082470000068</v>
      </c>
      <c r="N161" s="13">
        <v>8300.6977499996392</v>
      </c>
      <c r="O161" s="13">
        <v>-4441.1718299997056</v>
      </c>
      <c r="P161" s="13">
        <v>9779.017200000706</v>
      </c>
      <c r="Q161" s="41">
        <v>29033.625590000709</v>
      </c>
      <c r="R161" s="13">
        <v>11364.633899999973</v>
      </c>
      <c r="S161" s="13">
        <v>10366.804030000065</v>
      </c>
      <c r="T161" s="13">
        <v>8629.972240000021</v>
      </c>
      <c r="U161" s="13">
        <v>6712.0997800000132</v>
      </c>
      <c r="V161" s="41">
        <v>37073.509950000072</v>
      </c>
      <c r="W161" s="13">
        <v>17963.011409999992</v>
      </c>
      <c r="X161" s="13">
        <v>22736.153919999997</v>
      </c>
      <c r="Y161" s="13">
        <v>12907.061880000003</v>
      </c>
      <c r="Z161" s="13">
        <v>324.05613999999514</v>
      </c>
      <c r="AA161" s="41">
        <v>53930.283349999983</v>
      </c>
      <c r="AB161" s="13">
        <f>AB160</f>
        <v>713.05160000000228</v>
      </c>
      <c r="AC161" s="13">
        <f t="shared" ref="AC161:AD161" si="74">AC160</f>
        <v>548.04838999999845</v>
      </c>
      <c r="AD161" s="13">
        <f t="shared" si="74"/>
        <v>5709.3152399999999</v>
      </c>
      <c r="AE161" s="13">
        <f t="shared" ref="AE161" si="75">AE160</f>
        <v>2756.4942199999932</v>
      </c>
      <c r="AF161" s="41">
        <f>SUM(AB161:AE161)</f>
        <v>9726.9094499999937</v>
      </c>
      <c r="AG161" s="13">
        <v>-251</v>
      </c>
      <c r="AH161" s="13">
        <v>-1978</v>
      </c>
      <c r="AI161" s="1">
        <v>7270</v>
      </c>
      <c r="AJ161" s="1">
        <v>1877</v>
      </c>
      <c r="AK161" s="41">
        <f>SUM(AG161:AJ161)</f>
        <v>6918</v>
      </c>
      <c r="AL161" s="13">
        <v>4640</v>
      </c>
      <c r="AM161" s="13">
        <v>6852</v>
      </c>
      <c r="AN161" s="1">
        <v>3031</v>
      </c>
      <c r="AO161" s="1">
        <v>401</v>
      </c>
      <c r="AP161" s="41">
        <f t="shared" si="59"/>
        <v>14924</v>
      </c>
      <c r="AQ161" s="13">
        <v>1774</v>
      </c>
      <c r="AR161" s="1">
        <v>1989</v>
      </c>
      <c r="AS161" s="1">
        <v>834</v>
      </c>
      <c r="AT161" s="1">
        <f>AT160</f>
        <v>4263</v>
      </c>
      <c r="AU161" s="41">
        <f t="shared" si="60"/>
        <v>8860</v>
      </c>
      <c r="AV161" s="1">
        <f>AV160</f>
        <v>533</v>
      </c>
      <c r="AW161" s="1">
        <f>AW160</f>
        <v>878</v>
      </c>
      <c r="AX161" s="1">
        <f>AX160</f>
        <v>3244</v>
      </c>
      <c r="AY161" s="1">
        <f>AY160</f>
        <v>3296</v>
      </c>
      <c r="AZ161" s="170">
        <f t="shared" si="61"/>
        <v>7951</v>
      </c>
      <c r="BA161" s="162">
        <v>4889</v>
      </c>
    </row>
    <row r="162" spans="1:53">
      <c r="A162" s="11"/>
      <c r="B162" s="11" t="s">
        <v>436</v>
      </c>
      <c r="C162" s="13">
        <v>0</v>
      </c>
      <c r="D162" s="13">
        <v>0</v>
      </c>
      <c r="E162" s="13">
        <v>0</v>
      </c>
      <c r="F162" s="13">
        <v>0</v>
      </c>
      <c r="G162" s="41">
        <v>0</v>
      </c>
      <c r="H162" s="13">
        <v>0</v>
      </c>
      <c r="I162" s="13">
        <v>0</v>
      </c>
      <c r="J162" s="13">
        <v>0</v>
      </c>
      <c r="K162" s="13">
        <v>0</v>
      </c>
      <c r="L162" s="41">
        <v>0</v>
      </c>
      <c r="M162" s="13">
        <v>0</v>
      </c>
      <c r="N162" s="13">
        <v>0</v>
      </c>
      <c r="O162" s="13">
        <v>0</v>
      </c>
      <c r="P162" s="13">
        <v>0</v>
      </c>
      <c r="Q162" s="41">
        <v>0</v>
      </c>
      <c r="R162" s="13">
        <v>0</v>
      </c>
      <c r="S162" s="13">
        <v>0</v>
      </c>
      <c r="T162" s="13">
        <v>0</v>
      </c>
      <c r="U162" s="13">
        <v>0</v>
      </c>
      <c r="V162" s="41">
        <v>0</v>
      </c>
      <c r="W162" s="13">
        <v>0</v>
      </c>
      <c r="X162" s="13">
        <v>0</v>
      </c>
      <c r="Y162" s="13">
        <v>0</v>
      </c>
      <c r="Z162" s="13">
        <v>0</v>
      </c>
      <c r="AA162" s="41">
        <v>0</v>
      </c>
      <c r="AB162" s="13">
        <v>0</v>
      </c>
      <c r="AC162" s="13">
        <v>0</v>
      </c>
      <c r="AD162" s="13">
        <v>0</v>
      </c>
      <c r="AE162" s="13">
        <v>0</v>
      </c>
      <c r="AF162" s="41">
        <v>0</v>
      </c>
      <c r="AG162" s="13">
        <v>0</v>
      </c>
      <c r="AH162" s="13">
        <v>0</v>
      </c>
      <c r="AI162" s="1">
        <v>0</v>
      </c>
      <c r="AJ162" s="1">
        <v>0</v>
      </c>
      <c r="AK162" s="41">
        <v>0</v>
      </c>
      <c r="AL162" s="13">
        <v>0</v>
      </c>
      <c r="AM162" s="13">
        <v>0</v>
      </c>
      <c r="AN162" s="1">
        <v>0</v>
      </c>
      <c r="AO162" s="1">
        <v>0</v>
      </c>
      <c r="AP162" s="41">
        <f t="shared" si="59"/>
        <v>0</v>
      </c>
      <c r="AQ162" s="13">
        <v>0</v>
      </c>
      <c r="AR162" s="1">
        <v>0</v>
      </c>
      <c r="AS162" s="1">
        <v>0</v>
      </c>
      <c r="AT162" s="1">
        <v>0</v>
      </c>
      <c r="AU162" s="41">
        <f t="shared" si="60"/>
        <v>0</v>
      </c>
      <c r="AV162" s="1">
        <v>0</v>
      </c>
      <c r="AW162" s="1">
        <v>0</v>
      </c>
      <c r="AX162" s="1">
        <v>0</v>
      </c>
      <c r="AY162" s="1">
        <v>0</v>
      </c>
      <c r="AZ162" s="170">
        <f t="shared" si="61"/>
        <v>0</v>
      </c>
      <c r="BA162" s="162">
        <v>0</v>
      </c>
    </row>
    <row r="163" spans="1:53">
      <c r="A163" s="11"/>
      <c r="B163" s="11" t="s">
        <v>470</v>
      </c>
      <c r="C163" s="13">
        <v>-26313.90165</v>
      </c>
      <c r="D163" s="13">
        <v>-56581.476849998799</v>
      </c>
      <c r="E163" s="13">
        <v>-65780.828430001551</v>
      </c>
      <c r="F163" s="13">
        <v>13061.929860002863</v>
      </c>
      <c r="G163" s="41">
        <v>-135614.27706999748</v>
      </c>
      <c r="H163" s="13">
        <v>16120.362029999895</v>
      </c>
      <c r="I163" s="13">
        <v>9436.4593699996567</v>
      </c>
      <c r="J163" s="13">
        <v>10424.544170001031</v>
      </c>
      <c r="K163" s="13">
        <v>15875.363639998895</v>
      </c>
      <c r="L163" s="41">
        <v>51856.729209999474</v>
      </c>
      <c r="M163" s="13">
        <v>15395.082470000068</v>
      </c>
      <c r="N163" s="13">
        <v>8300.6977499996392</v>
      </c>
      <c r="O163" s="13">
        <v>-4441.1718299997056</v>
      </c>
      <c r="P163" s="13">
        <v>9779.017200000706</v>
      </c>
      <c r="Q163" s="41">
        <v>29033.625590000709</v>
      </c>
      <c r="R163" s="13">
        <v>11364.633899999973</v>
      </c>
      <c r="S163" s="13">
        <v>10366.804030000065</v>
      </c>
      <c r="T163" s="13">
        <v>8629.972240000021</v>
      </c>
      <c r="U163" s="13">
        <v>6712.0997800000132</v>
      </c>
      <c r="V163" s="41">
        <v>37073.509950000072</v>
      </c>
      <c r="W163" s="13">
        <v>17963.011409999992</v>
      </c>
      <c r="X163" s="13">
        <v>22736.153919999997</v>
      </c>
      <c r="Y163" s="13">
        <v>12907.061880000003</v>
      </c>
      <c r="Z163" s="13">
        <v>324.05613999999514</v>
      </c>
      <c r="AA163" s="41">
        <v>53930.283349999983</v>
      </c>
      <c r="AB163" s="13">
        <f>SUM(AB161:AB162)</f>
        <v>713.05160000000228</v>
      </c>
      <c r="AC163" s="13">
        <f t="shared" ref="AC163:AD163" si="76">SUM(AC161:AC162)</f>
        <v>548.04838999999845</v>
      </c>
      <c r="AD163" s="13">
        <f t="shared" si="76"/>
        <v>5709.3152399999999</v>
      </c>
      <c r="AE163" s="13">
        <f t="shared" ref="AE163" si="77">SUM(AE161:AE162)</f>
        <v>2756.4942199999932</v>
      </c>
      <c r="AF163" s="41">
        <f>SUM(AB163:AE163)</f>
        <v>9726.9094499999937</v>
      </c>
      <c r="AG163" s="13">
        <v>-251</v>
      </c>
      <c r="AH163" s="13">
        <v>-1978</v>
      </c>
      <c r="AI163" s="1">
        <v>7270</v>
      </c>
      <c r="AJ163" s="1">
        <v>1877</v>
      </c>
      <c r="AK163" s="41">
        <f>SUM(AG163:AJ163)</f>
        <v>6918</v>
      </c>
      <c r="AL163" s="13">
        <v>4640</v>
      </c>
      <c r="AM163" s="13">
        <v>6852</v>
      </c>
      <c r="AN163" s="1">
        <v>3031</v>
      </c>
      <c r="AO163" s="1">
        <v>401</v>
      </c>
      <c r="AP163" s="41">
        <f t="shared" si="59"/>
        <v>14924</v>
      </c>
      <c r="AQ163" s="13">
        <v>1774</v>
      </c>
      <c r="AR163" s="1">
        <v>1989</v>
      </c>
      <c r="AS163" s="1">
        <v>834</v>
      </c>
      <c r="AT163" s="1">
        <f>AT161</f>
        <v>4263</v>
      </c>
      <c r="AU163" s="41">
        <f t="shared" si="60"/>
        <v>8860</v>
      </c>
      <c r="AV163" s="1">
        <f>AV160</f>
        <v>533</v>
      </c>
      <c r="AW163" s="1">
        <f>AW161</f>
        <v>878</v>
      </c>
      <c r="AX163" s="1">
        <f>AX161</f>
        <v>3244</v>
      </c>
      <c r="AY163" s="1">
        <f>AY161</f>
        <v>3296</v>
      </c>
      <c r="AZ163" s="170">
        <f t="shared" si="61"/>
        <v>7951</v>
      </c>
      <c r="BA163" s="162">
        <v>4889</v>
      </c>
    </row>
    <row r="164" spans="1:53">
      <c r="A164" s="11"/>
      <c r="B164" s="11" t="s">
        <v>471</v>
      </c>
      <c r="C164" s="13">
        <v>0</v>
      </c>
      <c r="D164" s="13">
        <v>0</v>
      </c>
      <c r="E164" s="13">
        <v>0</v>
      </c>
      <c r="F164" s="13">
        <v>0</v>
      </c>
      <c r="G164" s="41">
        <v>0</v>
      </c>
      <c r="H164" s="13">
        <v>0</v>
      </c>
      <c r="I164" s="13">
        <v>0</v>
      </c>
      <c r="J164" s="13">
        <v>0</v>
      </c>
      <c r="K164" s="13">
        <v>0</v>
      </c>
      <c r="L164" s="41">
        <v>0</v>
      </c>
      <c r="M164" s="13">
        <v>0</v>
      </c>
      <c r="N164" s="13">
        <v>0</v>
      </c>
      <c r="O164" s="13">
        <v>0</v>
      </c>
      <c r="P164" s="13">
        <v>0</v>
      </c>
      <c r="Q164" s="41">
        <v>0</v>
      </c>
      <c r="R164" s="13">
        <v>0</v>
      </c>
      <c r="S164" s="13">
        <v>0</v>
      </c>
      <c r="T164" s="13">
        <v>0</v>
      </c>
      <c r="U164" s="13">
        <v>0</v>
      </c>
      <c r="V164" s="41">
        <v>0</v>
      </c>
      <c r="W164" s="13">
        <v>0</v>
      </c>
      <c r="X164" s="13">
        <v>0</v>
      </c>
      <c r="Y164" s="13">
        <v>0</v>
      </c>
      <c r="Z164" s="1">
        <v>0</v>
      </c>
      <c r="AA164" s="41">
        <v>0</v>
      </c>
      <c r="AB164" s="13">
        <v>0</v>
      </c>
      <c r="AC164" s="13">
        <v>0</v>
      </c>
      <c r="AD164" s="13">
        <v>0</v>
      </c>
      <c r="AE164" s="13">
        <v>0</v>
      </c>
      <c r="AF164" s="41">
        <v>0</v>
      </c>
      <c r="AG164" s="13">
        <v>0</v>
      </c>
      <c r="AH164" s="13">
        <v>0</v>
      </c>
      <c r="AI164" s="1">
        <v>0</v>
      </c>
      <c r="AJ164" s="1">
        <v>0</v>
      </c>
      <c r="AK164" s="41">
        <v>0</v>
      </c>
      <c r="AL164" s="13">
        <v>0</v>
      </c>
      <c r="AM164" s="13">
        <v>0</v>
      </c>
      <c r="AN164" s="1">
        <v>0</v>
      </c>
      <c r="AO164" s="1">
        <v>0</v>
      </c>
      <c r="AP164" s="41">
        <f t="shared" si="59"/>
        <v>0</v>
      </c>
      <c r="AQ164" s="13">
        <v>0</v>
      </c>
      <c r="AR164" s="1">
        <v>0</v>
      </c>
      <c r="AS164" s="1">
        <v>0</v>
      </c>
      <c r="AT164" s="1">
        <v>0</v>
      </c>
      <c r="AU164" s="41">
        <f t="shared" si="60"/>
        <v>0</v>
      </c>
      <c r="AV164" s="1">
        <v>0</v>
      </c>
      <c r="AW164" s="1">
        <v>0</v>
      </c>
      <c r="AX164" s="1">
        <v>0</v>
      </c>
      <c r="AY164" s="1">
        <v>0</v>
      </c>
      <c r="AZ164" s="170">
        <f t="shared" si="61"/>
        <v>0</v>
      </c>
      <c r="BA164" s="162">
        <v>0</v>
      </c>
    </row>
    <row r="165" spans="1:53" ht="15.75" thickBot="1">
      <c r="A165" s="17"/>
      <c r="B165" s="17" t="s">
        <v>451</v>
      </c>
      <c r="C165" s="18">
        <v>0.48209999999999997</v>
      </c>
      <c r="D165" s="18">
        <v>0.48209999999999997</v>
      </c>
      <c r="E165" s="18">
        <v>0.48209999999999997</v>
      </c>
      <c r="F165" s="18">
        <v>0.48209999999999997</v>
      </c>
      <c r="G165" s="48">
        <v>0.48209999999999997</v>
      </c>
      <c r="H165" s="18">
        <v>0.48209999999999997</v>
      </c>
      <c r="I165" s="18">
        <v>0.48209999999999997</v>
      </c>
      <c r="J165" s="18">
        <v>0.48209999999999997</v>
      </c>
      <c r="K165" s="18">
        <v>0.48209999999999997</v>
      </c>
      <c r="L165" s="48">
        <v>0.48209999999999997</v>
      </c>
      <c r="M165" s="18">
        <v>0.48209999999999997</v>
      </c>
      <c r="N165" s="18">
        <v>0.48209999999999997</v>
      </c>
      <c r="O165" s="18">
        <v>0.48209999999999997</v>
      </c>
      <c r="P165" s="18">
        <v>0.48209999999999997</v>
      </c>
      <c r="Q165" s="48">
        <v>0.48209999999999997</v>
      </c>
      <c r="R165" s="18">
        <v>0.48209999999999997</v>
      </c>
      <c r="S165" s="18">
        <v>0.48209999999999997</v>
      </c>
      <c r="T165" s="18">
        <v>0.48209999999999997</v>
      </c>
      <c r="U165" s="18">
        <v>0.48209999999999997</v>
      </c>
      <c r="V165" s="48">
        <v>0.48209999999999997</v>
      </c>
      <c r="W165" s="18">
        <v>0.48209999999999997</v>
      </c>
      <c r="X165" s="18">
        <v>0.48209999999999997</v>
      </c>
      <c r="Y165" s="18">
        <v>0.48209999999999997</v>
      </c>
      <c r="Z165" s="18">
        <v>0.48209999999999997</v>
      </c>
      <c r="AA165" s="48">
        <v>0.48209999999999997</v>
      </c>
      <c r="AB165" s="18">
        <v>0.48249999999999998</v>
      </c>
      <c r="AC165" s="18">
        <v>0.48249999999999998</v>
      </c>
      <c r="AD165" s="18">
        <v>0.48249999999999998</v>
      </c>
      <c r="AE165" s="18">
        <v>0.48249999999999998</v>
      </c>
      <c r="AF165" s="48">
        <v>0.48209999999999997</v>
      </c>
      <c r="AG165" s="18">
        <v>0.48249999999999998</v>
      </c>
      <c r="AH165" s="18">
        <v>0.48249999999999998</v>
      </c>
      <c r="AI165" s="169">
        <v>0.48249999999999998</v>
      </c>
      <c r="AJ165" s="169">
        <v>0.48249999999999998</v>
      </c>
      <c r="AK165" s="48">
        <v>0.48209999999999997</v>
      </c>
      <c r="AL165" s="18">
        <v>0.48249999999999998</v>
      </c>
      <c r="AM165" s="18">
        <v>0.48249999999999998</v>
      </c>
      <c r="AN165" s="18">
        <v>0.48249999999999998</v>
      </c>
      <c r="AO165" s="169">
        <v>0.48249999999999998</v>
      </c>
      <c r="AP165" s="18">
        <v>0.48249999999999998</v>
      </c>
      <c r="AQ165" s="18">
        <v>0.48249999999999998</v>
      </c>
      <c r="AR165" s="18">
        <v>0.48249999999999998</v>
      </c>
      <c r="AS165" s="18">
        <v>0.48249999999999998</v>
      </c>
      <c r="AT165" s="169">
        <v>0.48249999999999998</v>
      </c>
      <c r="AU165" s="18">
        <v>0.48249999999999998</v>
      </c>
      <c r="AV165" s="169">
        <v>0.48249999999999998</v>
      </c>
      <c r="AW165" s="169">
        <v>0.48249999999999998</v>
      </c>
      <c r="AX165" s="169">
        <v>0.48249999999999998</v>
      </c>
      <c r="AY165" s="169">
        <v>0.48249999999999998</v>
      </c>
      <c r="AZ165" s="48">
        <v>0.48249999999999998</v>
      </c>
      <c r="BA165" s="18">
        <v>0.48249999999999998</v>
      </c>
    </row>
    <row r="166" spans="1:53">
      <c r="AK166" s="262"/>
      <c r="AL166" s="262"/>
      <c r="AM166" s="262"/>
      <c r="AN166" s="262"/>
      <c r="AO166" s="262"/>
      <c r="AP166" s="488"/>
      <c r="AQ166" s="262"/>
      <c r="AR166" s="262"/>
      <c r="AS166" s="262"/>
      <c r="AT166" s="262"/>
      <c r="AU166" s="488"/>
      <c r="AV166" s="262"/>
      <c r="AW166" s="262"/>
      <c r="AX166" s="262"/>
      <c r="AY166" s="262"/>
      <c r="AZ166" s="488"/>
      <c r="BA166" s="488"/>
    </row>
    <row r="167" spans="1:53" s="103" customFormat="1" ht="23.25">
      <c r="A167" s="74"/>
      <c r="B167" s="74" t="s">
        <v>511</v>
      </c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</row>
    <row r="168" spans="1:53" ht="15.75" thickBot="1"/>
    <row r="169" spans="1:53" s="2" customFormat="1">
      <c r="A169" s="625"/>
      <c r="B169" s="625" t="s">
        <v>512</v>
      </c>
      <c r="C169" s="626" t="s">
        <v>224</v>
      </c>
      <c r="D169" s="626" t="s">
        <v>225</v>
      </c>
      <c r="E169" s="626" t="s">
        <v>226</v>
      </c>
      <c r="F169" s="626" t="s">
        <v>227</v>
      </c>
      <c r="G169" s="652">
        <v>2016</v>
      </c>
      <c r="H169" s="626" t="s">
        <v>228</v>
      </c>
      <c r="I169" s="626" t="s">
        <v>229</v>
      </c>
      <c r="J169" s="626" t="s">
        <v>230</v>
      </c>
      <c r="K169" s="626" t="s">
        <v>231</v>
      </c>
      <c r="L169" s="652">
        <v>2017</v>
      </c>
      <c r="M169" s="626" t="s">
        <v>232</v>
      </c>
      <c r="N169" s="626" t="s">
        <v>233</v>
      </c>
      <c r="O169" s="626" t="s">
        <v>234</v>
      </c>
      <c r="P169" s="626" t="s">
        <v>235</v>
      </c>
      <c r="Q169" s="652">
        <v>2018</v>
      </c>
      <c r="R169" s="626" t="s">
        <v>236</v>
      </c>
      <c r="S169" s="626" t="s">
        <v>237</v>
      </c>
      <c r="T169" s="626" t="s">
        <v>238</v>
      </c>
      <c r="U169" s="626" t="s">
        <v>239</v>
      </c>
      <c r="V169" s="652">
        <v>2019</v>
      </c>
      <c r="W169" s="626" t="s">
        <v>240</v>
      </c>
      <c r="X169" s="626" t="s">
        <v>241</v>
      </c>
      <c r="Y169" s="626" t="s">
        <v>242</v>
      </c>
      <c r="Z169" s="626" t="s">
        <v>243</v>
      </c>
      <c r="AA169" s="652">
        <v>2020</v>
      </c>
      <c r="AB169" s="626" t="s">
        <v>244</v>
      </c>
      <c r="AC169" s="626" t="s">
        <v>245</v>
      </c>
      <c r="AD169" s="626" t="s">
        <v>246</v>
      </c>
      <c r="AE169" s="626" t="s">
        <v>247</v>
      </c>
      <c r="AF169" s="652">
        <v>2021</v>
      </c>
      <c r="AG169" s="626" t="s">
        <v>248</v>
      </c>
      <c r="AH169" s="626" t="s">
        <v>249</v>
      </c>
      <c r="AI169" s="626" t="s">
        <v>250</v>
      </c>
      <c r="AJ169" s="626" t="s">
        <v>215</v>
      </c>
      <c r="AK169" s="652">
        <v>2022</v>
      </c>
      <c r="AL169" s="626" t="s">
        <v>252</v>
      </c>
      <c r="AM169" s="626" t="s">
        <v>253</v>
      </c>
      <c r="AN169" s="626" t="s">
        <v>254</v>
      </c>
      <c r="AO169" s="626" t="s">
        <v>219</v>
      </c>
      <c r="AP169" s="652">
        <v>2023</v>
      </c>
      <c r="AQ169" s="626" t="s">
        <v>223</v>
      </c>
      <c r="AR169" s="626" t="s">
        <v>256</v>
      </c>
      <c r="AS169" s="626" t="s">
        <v>357</v>
      </c>
      <c r="AT169" s="626" t="s">
        <v>358</v>
      </c>
      <c r="AU169" s="652">
        <v>2024</v>
      </c>
      <c r="AV169" s="626" t="s">
        <v>359</v>
      </c>
      <c r="AW169" s="626" t="s">
        <v>1115</v>
      </c>
      <c r="AX169" s="626" t="s">
        <v>1116</v>
      </c>
      <c r="AY169" s="626" t="s">
        <v>1117</v>
      </c>
      <c r="AZ169" s="653" t="s">
        <v>1118</v>
      </c>
      <c r="BA169" s="645" t="s">
        <v>1124</v>
      </c>
    </row>
    <row r="170" spans="1:53" s="2" customFormat="1">
      <c r="A170" s="9"/>
      <c r="B170" s="9" t="s">
        <v>474</v>
      </c>
      <c r="C170" s="10"/>
      <c r="D170" s="10"/>
      <c r="E170" s="10"/>
      <c r="F170" s="10"/>
      <c r="G170" s="39"/>
      <c r="H170" s="10"/>
      <c r="I170" s="10"/>
      <c r="J170" s="10"/>
      <c r="K170" s="10"/>
      <c r="L170" s="39"/>
      <c r="M170" s="10">
        <v>101375.79435</v>
      </c>
      <c r="N170" s="10">
        <v>91818.622080000016</v>
      </c>
      <c r="O170" s="10">
        <v>90509.760829999985</v>
      </c>
      <c r="P170" s="10">
        <v>91281.925760000027</v>
      </c>
      <c r="Q170" s="39">
        <v>374986.10302000004</v>
      </c>
      <c r="R170" s="10">
        <v>105288.63240000002</v>
      </c>
      <c r="S170" s="10">
        <v>98982.439029999965</v>
      </c>
      <c r="T170" s="10">
        <v>82190.167840000009</v>
      </c>
      <c r="U170" s="10">
        <v>81806.614530000006</v>
      </c>
      <c r="V170" s="39">
        <v>368267.85380000004</v>
      </c>
      <c r="W170" s="10">
        <v>76542.325120000009</v>
      </c>
      <c r="X170" s="10">
        <v>64627.924090000015</v>
      </c>
      <c r="Y170" s="10">
        <v>60962.555730000015</v>
      </c>
      <c r="Z170" s="10">
        <v>61161.254779999974</v>
      </c>
      <c r="AA170" s="39">
        <v>263294.05972000002</v>
      </c>
      <c r="AB170" s="10">
        <v>56391.209109999996</v>
      </c>
      <c r="AC170" s="10">
        <v>52197.164479999992</v>
      </c>
      <c r="AD170" s="10">
        <v>65917.398850000012</v>
      </c>
      <c r="AE170" s="10">
        <v>65421.84319</v>
      </c>
      <c r="AF170" s="39">
        <f t="shared" ref="AF170:AF171" si="78">SUM(AB170:AE170)</f>
        <v>239927.61563000001</v>
      </c>
      <c r="AG170" s="10">
        <v>68875</v>
      </c>
      <c r="AH170" s="10">
        <v>53471</v>
      </c>
      <c r="AI170" s="10">
        <v>62272</v>
      </c>
      <c r="AJ170" s="10">
        <v>69490</v>
      </c>
      <c r="AK170" s="39">
        <f t="shared" ref="AK170:AK171" si="79">SUM(AG170:AJ170)</f>
        <v>254108</v>
      </c>
      <c r="AL170" s="10"/>
      <c r="AM170" s="10"/>
      <c r="AN170" s="10"/>
      <c r="AO170" s="10"/>
      <c r="AP170" s="39">
        <f t="shared" ref="AP170:AP171" si="80">SUM(AL170:AO170)</f>
        <v>0</v>
      </c>
      <c r="AQ170" s="10"/>
      <c r="AR170" s="10"/>
      <c r="AS170" s="10"/>
      <c r="AT170" s="10"/>
      <c r="AU170" s="39">
        <f t="shared" ref="AU170:AU171" si="81">SUM(AQ170:AT170)</f>
        <v>0</v>
      </c>
      <c r="AV170" s="10"/>
      <c r="AW170" s="10"/>
      <c r="AX170" s="10"/>
      <c r="AY170" s="10"/>
      <c r="AZ170" s="39">
        <f t="shared" ref="AZ170:AZ171" si="82">SUM(AV170:AY170)</f>
        <v>0</v>
      </c>
      <c r="BA170" s="10"/>
    </row>
    <row r="171" spans="1:53">
      <c r="A171" s="11"/>
      <c r="B171" s="11" t="s">
        <v>443</v>
      </c>
      <c r="C171" s="8"/>
      <c r="D171" s="8"/>
      <c r="E171" s="8"/>
      <c r="F171" s="8"/>
      <c r="G171" s="40"/>
      <c r="H171" s="8"/>
      <c r="I171" s="8"/>
      <c r="J171" s="8"/>
      <c r="K171" s="8"/>
      <c r="L171" s="40"/>
      <c r="M171" s="8">
        <v>-1472.7341500000005</v>
      </c>
      <c r="N171" s="8">
        <v>-300.99821000000003</v>
      </c>
      <c r="O171" s="8">
        <v>634.11664999999994</v>
      </c>
      <c r="P171" s="8">
        <v>532.05924000000016</v>
      </c>
      <c r="Q171" s="40">
        <v>-607.55647000000033</v>
      </c>
      <c r="R171" s="8">
        <v>-2117.7336799999998</v>
      </c>
      <c r="S171" s="8">
        <v>-1757.4712200000001</v>
      </c>
      <c r="T171" s="8">
        <v>960.50236000000166</v>
      </c>
      <c r="U171" s="8">
        <v>1960.2873</v>
      </c>
      <c r="V171" s="40">
        <v>-954.41523999999799</v>
      </c>
      <c r="W171" s="8">
        <v>913.5288599999999</v>
      </c>
      <c r="X171" s="8">
        <v>264.91813000000002</v>
      </c>
      <c r="Y171" s="8">
        <v>1407.6090300000001</v>
      </c>
      <c r="Z171" s="8">
        <v>-943.76476999999954</v>
      </c>
      <c r="AA171" s="40">
        <v>1642.2912500000004</v>
      </c>
      <c r="AB171" s="8">
        <v>232.03999999999954</v>
      </c>
      <c r="AC171" s="8">
        <v>90.080590000000015</v>
      </c>
      <c r="AD171" s="8">
        <v>1671.4782500000024</v>
      </c>
      <c r="AE171" s="8">
        <v>2023.55483</v>
      </c>
      <c r="AF171" s="40">
        <f t="shared" si="78"/>
        <v>4017.153670000002</v>
      </c>
      <c r="AG171" s="8">
        <v>-64.301528309999853</v>
      </c>
      <c r="AH171" s="8">
        <v>-1618</v>
      </c>
      <c r="AI171" s="8">
        <v>-78</v>
      </c>
      <c r="AJ171" s="8">
        <v>-1801</v>
      </c>
      <c r="AK171" s="40">
        <f t="shared" si="79"/>
        <v>-3561.3015283099999</v>
      </c>
      <c r="AL171" s="8"/>
      <c r="AM171" s="8"/>
      <c r="AN171" s="8"/>
      <c r="AO171" s="8"/>
      <c r="AP171" s="40">
        <f t="shared" si="80"/>
        <v>0</v>
      </c>
      <c r="AQ171" s="8"/>
      <c r="AR171" s="8"/>
      <c r="AS171" s="8"/>
      <c r="AT171" s="8"/>
      <c r="AU171" s="40">
        <f t="shared" si="81"/>
        <v>0</v>
      </c>
      <c r="AV171" s="8"/>
      <c r="AW171" s="8"/>
      <c r="AX171" s="8"/>
      <c r="AY171" s="8"/>
      <c r="AZ171" s="40">
        <f t="shared" si="82"/>
        <v>0</v>
      </c>
      <c r="BA171" s="8"/>
    </row>
    <row r="172" spans="1:53" s="2" customFormat="1">
      <c r="A172" s="9"/>
      <c r="B172" s="9" t="s">
        <v>513</v>
      </c>
      <c r="C172" s="117"/>
      <c r="D172" s="117"/>
      <c r="E172" s="117"/>
      <c r="F172" s="117"/>
      <c r="G172" s="118"/>
      <c r="H172" s="117"/>
      <c r="I172" s="117"/>
      <c r="J172" s="117"/>
      <c r="K172" s="117"/>
      <c r="L172" s="118"/>
      <c r="M172" s="117">
        <v>99903.060199999993</v>
      </c>
      <c r="N172" s="117">
        <v>91517.62387000001</v>
      </c>
      <c r="O172" s="117">
        <v>91143.877479999996</v>
      </c>
      <c r="P172" s="117">
        <v>91813.985000000015</v>
      </c>
      <c r="Q172" s="118">
        <v>374378.54654999997</v>
      </c>
      <c r="R172" s="117">
        <v>103170.89872</v>
      </c>
      <c r="S172" s="117">
        <v>97224.967809999987</v>
      </c>
      <c r="T172" s="117">
        <v>83150.670200000008</v>
      </c>
      <c r="U172" s="117">
        <v>83766.901830000003</v>
      </c>
      <c r="V172" s="118">
        <v>367313.43855999998</v>
      </c>
      <c r="W172" s="117">
        <v>77455.85398</v>
      </c>
      <c r="X172" s="117">
        <v>64892.84222000002</v>
      </c>
      <c r="Y172" s="117">
        <v>62370.164760000007</v>
      </c>
      <c r="Z172" s="117">
        <v>60217.490009999972</v>
      </c>
      <c r="AA172" s="118">
        <v>264936.35096999997</v>
      </c>
      <c r="AB172" s="117">
        <v>56623.249110000004</v>
      </c>
      <c r="AC172" s="117">
        <v>52287.24506999999</v>
      </c>
      <c r="AD172" s="117">
        <v>67588.877100000027</v>
      </c>
      <c r="AE172" s="117">
        <v>67445.398020000008</v>
      </c>
      <c r="AF172" s="118">
        <f>SUM(AB172:AE172)</f>
        <v>243944.76930000004</v>
      </c>
      <c r="AG172" s="117">
        <v>69021</v>
      </c>
      <c r="AH172" s="117">
        <v>51853</v>
      </c>
      <c r="AI172" s="160">
        <v>62194</v>
      </c>
      <c r="AJ172" s="160">
        <v>67689</v>
      </c>
      <c r="AK172" s="118">
        <f>SUM(AG172:AJ172)</f>
        <v>250757</v>
      </c>
      <c r="AL172" s="117"/>
      <c r="AM172" s="117"/>
      <c r="AN172" s="160"/>
      <c r="AO172" s="160"/>
      <c r="AP172" s="118">
        <f>SUM(AL172:AO172)</f>
        <v>0</v>
      </c>
      <c r="AQ172" s="117"/>
      <c r="AR172" s="117"/>
      <c r="AS172" s="160"/>
      <c r="AT172" s="160"/>
      <c r="AU172" s="118">
        <f>SUM(AQ172:AT172)</f>
        <v>0</v>
      </c>
      <c r="AV172" s="160"/>
      <c r="AW172" s="160"/>
      <c r="AX172" s="160"/>
      <c r="AY172" s="160"/>
      <c r="AZ172" s="118">
        <f>SUM(AV172:AY172)</f>
        <v>0</v>
      </c>
      <c r="BA172" s="117"/>
    </row>
    <row r="173" spans="1:53">
      <c r="A173" s="11"/>
      <c r="B173" s="11" t="s">
        <v>476</v>
      </c>
      <c r="C173" s="153"/>
      <c r="D173" s="153"/>
      <c r="E173" s="153"/>
      <c r="F173" s="153"/>
      <c r="G173" s="144"/>
      <c r="H173" s="153"/>
      <c r="I173" s="153"/>
      <c r="J173" s="153"/>
      <c r="K173" s="153"/>
      <c r="L173" s="144"/>
      <c r="M173" s="153">
        <v>1005.95701</v>
      </c>
      <c r="N173" s="153">
        <v>624.69047</v>
      </c>
      <c r="O173" s="153">
        <v>534.24297999999999</v>
      </c>
      <c r="P173" s="153">
        <v>422.60730999999998</v>
      </c>
      <c r="Q173" s="144"/>
      <c r="R173" s="153">
        <v>1312.9182200000002</v>
      </c>
      <c r="S173" s="153">
        <v>561.29165</v>
      </c>
      <c r="T173" s="153">
        <v>650.70480000000009</v>
      </c>
      <c r="U173" s="153">
        <v>406.23370999999997</v>
      </c>
      <c r="V173" s="144"/>
      <c r="W173" s="153">
        <v>0</v>
      </c>
      <c r="X173" s="153">
        <v>0</v>
      </c>
      <c r="Y173" s="153">
        <v>0</v>
      </c>
      <c r="Z173" s="153">
        <v>0</v>
      </c>
      <c r="AA173" s="144"/>
      <c r="AB173" s="153">
        <v>0</v>
      </c>
      <c r="AC173" s="153">
        <v>0</v>
      </c>
      <c r="AD173" s="153">
        <v>0</v>
      </c>
      <c r="AE173" s="153">
        <v>0</v>
      </c>
      <c r="AF173" s="144">
        <f t="shared" ref="AF173:AF193" si="83">SUM(AB173:AE173)</f>
        <v>0</v>
      </c>
      <c r="AG173" s="153">
        <v>0</v>
      </c>
      <c r="AH173" s="153">
        <v>0</v>
      </c>
      <c r="AI173" s="121">
        <v>0</v>
      </c>
      <c r="AJ173" s="121">
        <v>0</v>
      </c>
      <c r="AK173" s="144">
        <f t="shared" ref="AK173:AK193" si="84">SUM(AG173:AJ173)</f>
        <v>0</v>
      </c>
      <c r="AL173" s="153"/>
      <c r="AM173" s="153"/>
      <c r="AN173" s="121"/>
      <c r="AO173" s="121"/>
      <c r="AP173" s="144">
        <f t="shared" ref="AP173:AP193" si="85">SUM(AL173:AO173)</f>
        <v>0</v>
      </c>
      <c r="AQ173" s="153"/>
      <c r="AR173" s="153"/>
      <c r="AS173" s="121"/>
      <c r="AT173" s="121"/>
      <c r="AU173" s="144">
        <f t="shared" ref="AU173:AU193" si="86">SUM(AQ173:AT173)</f>
        <v>0</v>
      </c>
      <c r="AV173" s="121"/>
      <c r="AW173" s="121"/>
      <c r="AX173" s="121"/>
      <c r="AY173" s="121"/>
      <c r="AZ173" s="144">
        <f t="shared" ref="AZ173:AZ193" si="87">SUM(AV173:AY173)</f>
        <v>0</v>
      </c>
      <c r="BA173" s="123"/>
    </row>
    <row r="174" spans="1:53">
      <c r="A174" s="11"/>
      <c r="B174" s="11" t="s">
        <v>477</v>
      </c>
      <c r="C174" s="153"/>
      <c r="D174" s="153"/>
      <c r="E174" s="153"/>
      <c r="F174" s="153"/>
      <c r="G174" s="144"/>
      <c r="H174" s="153"/>
      <c r="I174" s="153"/>
      <c r="J174" s="153"/>
      <c r="K174" s="153"/>
      <c r="L174" s="144"/>
      <c r="M174" s="153">
        <v>-29618.399750000004</v>
      </c>
      <c r="N174" s="153">
        <v>-38996.488749999997</v>
      </c>
      <c r="O174" s="153">
        <v>-32520.81808999999</v>
      </c>
      <c r="P174" s="153">
        <v>-28687.098709999998</v>
      </c>
      <c r="Q174" s="144"/>
      <c r="R174" s="153">
        <v>-28934.535390000008</v>
      </c>
      <c r="S174" s="153">
        <v>-34119.870639999986</v>
      </c>
      <c r="T174" s="153">
        <v>-29765.256649999996</v>
      </c>
      <c r="U174" s="153">
        <v>-37759.430129999986</v>
      </c>
      <c r="V174" s="144"/>
      <c r="W174" s="153">
        <v>-20812.316579999999</v>
      </c>
      <c r="X174" s="153">
        <v>-21198.685260000002</v>
      </c>
      <c r="Y174" s="153">
        <v>-24539.835009999999</v>
      </c>
      <c r="Z174" s="153">
        <v>-15129.873000000011</v>
      </c>
      <c r="AA174" s="144"/>
      <c r="AB174" s="153">
        <v>-32130.009569999991</v>
      </c>
      <c r="AC174" s="153">
        <v>-20272.859640000006</v>
      </c>
      <c r="AD174" s="153">
        <v>-31294.389469999991</v>
      </c>
      <c r="AE174" s="153">
        <v>-30552.720360000003</v>
      </c>
      <c r="AF174" s="144">
        <f t="shared" si="83"/>
        <v>-114249.97903999999</v>
      </c>
      <c r="AG174" s="153">
        <v>-29965</v>
      </c>
      <c r="AH174" s="153">
        <v>-37722</v>
      </c>
      <c r="AI174" s="121">
        <v>-23600</v>
      </c>
      <c r="AJ174" s="121">
        <v>-20096</v>
      </c>
      <c r="AK174" s="144">
        <f t="shared" si="84"/>
        <v>-111383</v>
      </c>
      <c r="AL174" s="153"/>
      <c r="AM174" s="153"/>
      <c r="AN174" s="121"/>
      <c r="AO174" s="121"/>
      <c r="AP174" s="144">
        <f t="shared" si="85"/>
        <v>0</v>
      </c>
      <c r="AQ174" s="153"/>
      <c r="AR174" s="153"/>
      <c r="AS174" s="121"/>
      <c r="AT174" s="121"/>
      <c r="AU174" s="144">
        <f t="shared" si="86"/>
        <v>0</v>
      </c>
      <c r="AV174" s="121"/>
      <c r="AW174" s="121"/>
      <c r="AX174" s="121"/>
      <c r="AY174" s="121"/>
      <c r="AZ174" s="144">
        <f t="shared" si="87"/>
        <v>0</v>
      </c>
      <c r="BA174" s="123"/>
    </row>
    <row r="175" spans="1:53">
      <c r="A175" s="11"/>
      <c r="B175" s="11" t="s">
        <v>478</v>
      </c>
      <c r="C175" s="153"/>
      <c r="D175" s="153"/>
      <c r="E175" s="153"/>
      <c r="F175" s="153"/>
      <c r="G175" s="144"/>
      <c r="H175" s="153"/>
      <c r="I175" s="153"/>
      <c r="J175" s="153"/>
      <c r="K175" s="153"/>
      <c r="L175" s="144"/>
      <c r="M175" s="153">
        <v>-25580.893699999997</v>
      </c>
      <c r="N175" s="153">
        <v>-29770.333900000005</v>
      </c>
      <c r="O175" s="153">
        <v>-28648.695100000008</v>
      </c>
      <c r="P175" s="153">
        <v>-30015.058040000014</v>
      </c>
      <c r="Q175" s="144">
        <v>-114014.98074000003</v>
      </c>
      <c r="R175" s="153">
        <v>-32927.260689999996</v>
      </c>
      <c r="S175" s="153">
        <v>-34224.417780000011</v>
      </c>
      <c r="T175" s="153">
        <v>-23727.289719999997</v>
      </c>
      <c r="U175" s="153">
        <v>-25405.766760000002</v>
      </c>
      <c r="V175" s="144">
        <v>-116284.73495000001</v>
      </c>
      <c r="W175" s="153">
        <v>-24492.845690000002</v>
      </c>
      <c r="X175" s="153">
        <v>-21241.465610000003</v>
      </c>
      <c r="Y175" s="153">
        <v>-20719.509819999999</v>
      </c>
      <c r="Z175" s="153">
        <v>-19422.393920000002</v>
      </c>
      <c r="AA175" s="144">
        <v>-85876.21504000001</v>
      </c>
      <c r="AB175" s="153">
        <v>-15504.988050000011</v>
      </c>
      <c r="AC175" s="153">
        <v>-15710.729650000003</v>
      </c>
      <c r="AD175" s="153">
        <v>-18717.110570000001</v>
      </c>
      <c r="AE175" s="153">
        <v>-18616.513539999996</v>
      </c>
      <c r="AF175" s="144">
        <f t="shared" si="83"/>
        <v>-68549.341810000013</v>
      </c>
      <c r="AG175" s="153">
        <v>-17880</v>
      </c>
      <c r="AH175" s="153">
        <v>-12948</v>
      </c>
      <c r="AI175" s="121">
        <v>-14326</v>
      </c>
      <c r="AJ175" s="121">
        <v>-13656</v>
      </c>
      <c r="AK175" s="144">
        <f t="shared" si="84"/>
        <v>-58810</v>
      </c>
      <c r="AL175" s="153"/>
      <c r="AM175" s="153"/>
      <c r="AN175" s="121"/>
      <c r="AO175" s="121"/>
      <c r="AP175" s="144">
        <f t="shared" si="85"/>
        <v>0</v>
      </c>
      <c r="AQ175" s="153"/>
      <c r="AR175" s="153"/>
      <c r="AS175" s="121"/>
      <c r="AT175" s="121"/>
      <c r="AU175" s="144">
        <f t="shared" si="86"/>
        <v>0</v>
      </c>
      <c r="AV175" s="121"/>
      <c r="AW175" s="121"/>
      <c r="AX175" s="121"/>
      <c r="AY175" s="121"/>
      <c r="AZ175" s="144">
        <f t="shared" si="87"/>
        <v>0</v>
      </c>
      <c r="BA175" s="123"/>
    </row>
    <row r="176" spans="1:53">
      <c r="A176" s="11"/>
      <c r="B176" s="11" t="s">
        <v>479</v>
      </c>
      <c r="C176" s="153"/>
      <c r="D176" s="153"/>
      <c r="E176" s="153"/>
      <c r="F176" s="153"/>
      <c r="G176" s="144"/>
      <c r="H176" s="153"/>
      <c r="I176" s="153"/>
      <c r="J176" s="153"/>
      <c r="K176" s="153"/>
      <c r="L176" s="144"/>
      <c r="M176" s="153">
        <v>-24719.287509999995</v>
      </c>
      <c r="N176" s="153">
        <v>-10237.980139999994</v>
      </c>
      <c r="O176" s="153">
        <v>-22386.088530000001</v>
      </c>
      <c r="P176" s="153">
        <v>-19778.530169999998</v>
      </c>
      <c r="Q176" s="144"/>
      <c r="R176" s="153">
        <v>-17172.697600000003</v>
      </c>
      <c r="S176" s="153">
        <v>-12503.671620000001</v>
      </c>
      <c r="T176" s="153">
        <v>-13264.847589999996</v>
      </c>
      <c r="U176" s="153">
        <v>-13628.615310000007</v>
      </c>
      <c r="V176" s="144"/>
      <c r="W176" s="153">
        <v>-12952.173490000003</v>
      </c>
      <c r="X176" s="153">
        <v>-11696.367059999999</v>
      </c>
      <c r="Y176" s="153">
        <v>-12852.749049999997</v>
      </c>
      <c r="Z176" s="153">
        <v>-10641.919900000001</v>
      </c>
      <c r="AA176" s="144"/>
      <c r="AB176" s="153">
        <v>-10181.992719999991</v>
      </c>
      <c r="AC176" s="153">
        <v>-16583.734170000007</v>
      </c>
      <c r="AD176" s="153">
        <v>-14476.026239999996</v>
      </c>
      <c r="AE176" s="153">
        <v>-16464.99568</v>
      </c>
      <c r="AF176" s="144">
        <f t="shared" si="83"/>
        <v>-57706.748809999997</v>
      </c>
      <c r="AG176" s="153">
        <f>AG178-AG177-AG175-AG174-AG172</f>
        <v>-15999.730469999857</v>
      </c>
      <c r="AH176" s="153">
        <v>-19900</v>
      </c>
      <c r="AI176" s="121">
        <v>-14472</v>
      </c>
      <c r="AJ176" s="121">
        <v>-20858</v>
      </c>
      <c r="AK176" s="144">
        <f t="shared" si="84"/>
        <v>-71229.730469999864</v>
      </c>
      <c r="AL176" s="153"/>
      <c r="AM176" s="153"/>
      <c r="AN176" s="121"/>
      <c r="AO176" s="121"/>
      <c r="AP176" s="144">
        <f t="shared" si="85"/>
        <v>0</v>
      </c>
      <c r="AQ176" s="153"/>
      <c r="AR176" s="153"/>
      <c r="AS176" s="121"/>
      <c r="AT176" s="121"/>
      <c r="AU176" s="144">
        <f t="shared" si="86"/>
        <v>0</v>
      </c>
      <c r="AV176" s="121"/>
      <c r="AW176" s="121"/>
      <c r="AX176" s="121"/>
      <c r="AY176" s="121"/>
      <c r="AZ176" s="144">
        <f t="shared" si="87"/>
        <v>0</v>
      </c>
      <c r="BA176" s="123"/>
    </row>
    <row r="177" spans="1:53">
      <c r="A177" s="11"/>
      <c r="B177" s="11" t="s">
        <v>480</v>
      </c>
      <c r="C177" s="153"/>
      <c r="D177" s="153"/>
      <c r="E177" s="153"/>
      <c r="F177" s="153"/>
      <c r="G177" s="144"/>
      <c r="H177" s="153"/>
      <c r="I177" s="153"/>
      <c r="J177" s="153"/>
      <c r="K177" s="153"/>
      <c r="L177" s="144"/>
      <c r="M177" s="153">
        <v>-1187.5446399999998</v>
      </c>
      <c r="N177" s="153">
        <v>762.07336000000021</v>
      </c>
      <c r="O177" s="153">
        <v>78.707640000000126</v>
      </c>
      <c r="P177" s="153">
        <v>-1494.1766200000002</v>
      </c>
      <c r="Q177" s="144"/>
      <c r="R177" s="153">
        <v>2521.0910199999998</v>
      </c>
      <c r="S177" s="153">
        <v>225.97739000000007</v>
      </c>
      <c r="T177" s="153">
        <v>2107.6069700000003</v>
      </c>
      <c r="U177" s="153">
        <v>-651.49147000000005</v>
      </c>
      <c r="V177" s="144"/>
      <c r="W177" s="153">
        <v>-1135.0177099999996</v>
      </c>
      <c r="X177" s="153">
        <v>-1363.5454199999999</v>
      </c>
      <c r="Y177" s="153">
        <v>-885.77474999999993</v>
      </c>
      <c r="Z177" s="153">
        <v>-2579.5264499999998</v>
      </c>
      <c r="AA177" s="144"/>
      <c r="AB177" s="153">
        <v>-657.1792399999996</v>
      </c>
      <c r="AC177" s="153">
        <v>1902.6092399999993</v>
      </c>
      <c r="AD177" s="153">
        <v>1716.8085499999997</v>
      </c>
      <c r="AE177" s="153">
        <v>471.86466000000013</v>
      </c>
      <c r="AF177" s="144">
        <f t="shared" si="83"/>
        <v>3434.1032099999998</v>
      </c>
      <c r="AG177" s="153">
        <v>-603</v>
      </c>
      <c r="AH177" s="153">
        <v>1181</v>
      </c>
      <c r="AI177" s="121">
        <v>-1051</v>
      </c>
      <c r="AJ177" s="121">
        <v>-1541</v>
      </c>
      <c r="AK177" s="144">
        <f t="shared" si="84"/>
        <v>-2014</v>
      </c>
      <c r="AL177" s="153"/>
      <c r="AM177" s="153"/>
      <c r="AN177" s="121"/>
      <c r="AO177" s="121"/>
      <c r="AP177" s="144">
        <f t="shared" si="85"/>
        <v>0</v>
      </c>
      <c r="AQ177" s="153"/>
      <c r="AR177" s="153"/>
      <c r="AS177" s="121"/>
      <c r="AT177" s="121"/>
      <c r="AU177" s="144">
        <f t="shared" si="86"/>
        <v>0</v>
      </c>
      <c r="AV177" s="121"/>
      <c r="AW177" s="121"/>
      <c r="AX177" s="121"/>
      <c r="AY177" s="121"/>
      <c r="AZ177" s="144">
        <f t="shared" si="87"/>
        <v>0</v>
      </c>
      <c r="BA177" s="123"/>
    </row>
    <row r="178" spans="1:53" s="2" customFormat="1">
      <c r="A178" s="9"/>
      <c r="B178" s="9" t="s">
        <v>412</v>
      </c>
      <c r="C178" s="117"/>
      <c r="D178" s="117"/>
      <c r="E178" s="117"/>
      <c r="F178" s="117"/>
      <c r="G178" s="118"/>
      <c r="H178" s="117"/>
      <c r="I178" s="117"/>
      <c r="J178" s="117"/>
      <c r="K178" s="117"/>
      <c r="L178" s="118"/>
      <c r="M178" s="117">
        <v>19802.891609999984</v>
      </c>
      <c r="N178" s="117">
        <v>13899.584910000016</v>
      </c>
      <c r="O178" s="117">
        <v>8201.2263799999964</v>
      </c>
      <c r="P178" s="117">
        <v>12261.728770000014</v>
      </c>
      <c r="Q178" s="118">
        <v>54165.431670000005</v>
      </c>
      <c r="R178" s="117">
        <v>27970.414280000001</v>
      </c>
      <c r="S178" s="117">
        <v>17164.276809999988</v>
      </c>
      <c r="T178" s="117">
        <v>19151.588010000029</v>
      </c>
      <c r="U178" s="117">
        <v>6727.8318700000082</v>
      </c>
      <c r="V178" s="118">
        <v>71014.110970000023</v>
      </c>
      <c r="W178" s="117">
        <v>18063.500509999998</v>
      </c>
      <c r="X178" s="117">
        <v>9392.7788700000201</v>
      </c>
      <c r="Y178" s="117">
        <v>3372.2961300000084</v>
      </c>
      <c r="Z178" s="117">
        <v>12443.776739999956</v>
      </c>
      <c r="AA178" s="118">
        <v>43272.352249999982</v>
      </c>
      <c r="AB178" s="117">
        <f>SUM(AB172:AB177)</f>
        <v>-1850.9204699999882</v>
      </c>
      <c r="AC178" s="117">
        <f>SUM(AC172:AC177)</f>
        <v>1622.5308499999733</v>
      </c>
      <c r="AD178" s="117">
        <f>SUM(AD172:AD177)</f>
        <v>4818.1593700000358</v>
      </c>
      <c r="AE178" s="117">
        <f>SUM(AE172:AE177)</f>
        <v>2283.0331000000051</v>
      </c>
      <c r="AF178" s="118">
        <f t="shared" si="83"/>
        <v>6872.8028500000264</v>
      </c>
      <c r="AG178" s="117">
        <v>4573.2695300001424</v>
      </c>
      <c r="AH178" s="117">
        <v>-17536</v>
      </c>
      <c r="AI178" s="160">
        <v>8745</v>
      </c>
      <c r="AJ178" s="160">
        <v>11538</v>
      </c>
      <c r="AK178" s="118">
        <f t="shared" si="84"/>
        <v>7320.2695300001433</v>
      </c>
      <c r="AL178" s="117"/>
      <c r="AM178" s="117"/>
      <c r="AN178" s="160"/>
      <c r="AO178" s="160"/>
      <c r="AP178" s="118">
        <f t="shared" si="85"/>
        <v>0</v>
      </c>
      <c r="AQ178" s="117"/>
      <c r="AR178" s="117"/>
      <c r="AS178" s="160"/>
      <c r="AT178" s="160"/>
      <c r="AU178" s="118">
        <f t="shared" si="86"/>
        <v>0</v>
      </c>
      <c r="AV178" s="160"/>
      <c r="AW178" s="160"/>
      <c r="AX178" s="160"/>
      <c r="AY178" s="160"/>
      <c r="AZ178" s="118">
        <f t="shared" si="87"/>
        <v>0</v>
      </c>
      <c r="BA178" s="117"/>
    </row>
    <row r="179" spans="1:53">
      <c r="A179" s="11"/>
      <c r="B179" s="11" t="s">
        <v>413</v>
      </c>
      <c r="C179" s="153"/>
      <c r="D179" s="153"/>
      <c r="E179" s="153"/>
      <c r="F179" s="153"/>
      <c r="G179" s="144"/>
      <c r="H179" s="153"/>
      <c r="I179" s="153"/>
      <c r="J179" s="153"/>
      <c r="K179" s="153"/>
      <c r="L179" s="144"/>
      <c r="M179" s="153">
        <v>-14064.37139</v>
      </c>
      <c r="N179" s="153">
        <v>-9971.5290599999989</v>
      </c>
      <c r="O179" s="153">
        <v>-11655.598229999998</v>
      </c>
      <c r="P179" s="153">
        <v>-12844.918529999997</v>
      </c>
      <c r="Q179" s="144">
        <v>-48536.417209999992</v>
      </c>
      <c r="R179" s="153">
        <v>-13187.246999999999</v>
      </c>
      <c r="S179" s="153">
        <v>-11734.61004</v>
      </c>
      <c r="T179" s="153">
        <v>-14311.37759</v>
      </c>
      <c r="U179" s="153">
        <v>-13972.551130000002</v>
      </c>
      <c r="V179" s="144">
        <v>-53205.785759999999</v>
      </c>
      <c r="W179" s="153">
        <v>-11970.923309999998</v>
      </c>
      <c r="X179" s="153">
        <v>-10209.313790000002</v>
      </c>
      <c r="Y179" s="153">
        <v>-12713.263910000001</v>
      </c>
      <c r="Z179" s="153">
        <v>-13045.805109999998</v>
      </c>
      <c r="AA179" s="144">
        <v>-47939.306119999994</v>
      </c>
      <c r="AB179" s="153">
        <v>-11422.362279999996</v>
      </c>
      <c r="AC179" s="153">
        <v>-11765.557239999998</v>
      </c>
      <c r="AD179" s="153">
        <v>-12332.067879999995</v>
      </c>
      <c r="AE179" s="153">
        <v>-11512.158350000002</v>
      </c>
      <c r="AF179" s="144">
        <f t="shared" si="83"/>
        <v>-47032.145749999996</v>
      </c>
      <c r="AG179" s="153">
        <v>-9683.0310999999965</v>
      </c>
      <c r="AH179" s="153">
        <v>-10651</v>
      </c>
      <c r="AI179" s="121">
        <v>-13169</v>
      </c>
      <c r="AJ179" s="121">
        <v>-14359</v>
      </c>
      <c r="AK179" s="144">
        <f t="shared" si="84"/>
        <v>-47862.031099999993</v>
      </c>
      <c r="AL179" s="153"/>
      <c r="AM179" s="153"/>
      <c r="AN179" s="121"/>
      <c r="AO179" s="121"/>
      <c r="AP179" s="144">
        <f t="shared" si="85"/>
        <v>0</v>
      </c>
      <c r="AQ179" s="153"/>
      <c r="AR179" s="153"/>
      <c r="AS179" s="121"/>
      <c r="AT179" s="121"/>
      <c r="AU179" s="144">
        <f t="shared" si="86"/>
        <v>0</v>
      </c>
      <c r="AV179" s="121"/>
      <c r="AW179" s="121"/>
      <c r="AX179" s="121"/>
      <c r="AY179" s="121"/>
      <c r="AZ179" s="144">
        <f t="shared" si="87"/>
        <v>0</v>
      </c>
      <c r="BA179" s="123"/>
    </row>
    <row r="180" spans="1:53">
      <c r="A180" s="11"/>
      <c r="B180" s="11" t="s">
        <v>414</v>
      </c>
      <c r="C180" s="120"/>
      <c r="D180" s="120"/>
      <c r="E180" s="120"/>
      <c r="F180" s="120"/>
      <c r="G180" s="154"/>
      <c r="H180" s="120"/>
      <c r="I180" s="120"/>
      <c r="J180" s="120"/>
      <c r="K180" s="120"/>
      <c r="L180" s="154"/>
      <c r="M180" s="153">
        <v>-789.9666299999999</v>
      </c>
      <c r="N180" s="153">
        <v>-701.06309999999996</v>
      </c>
      <c r="O180" s="153">
        <v>-712.34263999999985</v>
      </c>
      <c r="P180" s="153">
        <v>-751.36874</v>
      </c>
      <c r="Q180" s="154">
        <v>-2954.7411099999995</v>
      </c>
      <c r="R180" s="153">
        <v>-744.17595999999992</v>
      </c>
      <c r="S180" s="153">
        <v>-689.74761999999998</v>
      </c>
      <c r="T180" s="153">
        <v>-621.86052000000007</v>
      </c>
      <c r="U180" s="153">
        <v>-594.61811999999998</v>
      </c>
      <c r="V180" s="154">
        <v>-2650.4022199999999</v>
      </c>
      <c r="W180" s="153">
        <v>-611.46149000000003</v>
      </c>
      <c r="X180" s="153">
        <v>-546.26711000000012</v>
      </c>
      <c r="Y180" s="153">
        <v>-490.40051</v>
      </c>
      <c r="Z180" s="153">
        <v>-527.03426000000002</v>
      </c>
      <c r="AA180" s="154">
        <v>-2175.1633700000002</v>
      </c>
      <c r="AB180" s="153">
        <v>-525.87617</v>
      </c>
      <c r="AC180" s="153">
        <v>-483.84166999999997</v>
      </c>
      <c r="AD180" s="153">
        <v>-515.89533999999992</v>
      </c>
      <c r="AE180" s="153">
        <v>-546.66835000000003</v>
      </c>
      <c r="AF180" s="154">
        <f t="shared" si="83"/>
        <v>-2072.2815299999997</v>
      </c>
      <c r="AG180" s="153">
        <v>-825</v>
      </c>
      <c r="AH180" s="153">
        <v>-445</v>
      </c>
      <c r="AI180" s="121">
        <v>-556</v>
      </c>
      <c r="AJ180" s="121">
        <v>-684</v>
      </c>
      <c r="AK180" s="154">
        <f t="shared" si="84"/>
        <v>-2510</v>
      </c>
      <c r="AL180" s="153"/>
      <c r="AM180" s="153"/>
      <c r="AN180" s="121"/>
      <c r="AO180" s="121"/>
      <c r="AP180" s="154">
        <f t="shared" si="85"/>
        <v>0</v>
      </c>
      <c r="AQ180" s="153"/>
      <c r="AR180" s="153"/>
      <c r="AS180" s="121"/>
      <c r="AT180" s="121"/>
      <c r="AU180" s="154">
        <f t="shared" si="86"/>
        <v>0</v>
      </c>
      <c r="AV180" s="121"/>
      <c r="AW180" s="121"/>
      <c r="AX180" s="121"/>
      <c r="AY180" s="121"/>
      <c r="AZ180" s="142">
        <f t="shared" si="87"/>
        <v>0</v>
      </c>
      <c r="BA180" s="651"/>
    </row>
    <row r="181" spans="1:53">
      <c r="A181" s="11"/>
      <c r="B181" s="11" t="s">
        <v>415</v>
      </c>
      <c r="C181" s="120"/>
      <c r="D181" s="120"/>
      <c r="E181" s="120"/>
      <c r="F181" s="120"/>
      <c r="G181" s="154"/>
      <c r="H181" s="120"/>
      <c r="I181" s="120"/>
      <c r="J181" s="120"/>
      <c r="K181" s="120"/>
      <c r="L181" s="154"/>
      <c r="M181" s="153">
        <v>4628.2504900000004</v>
      </c>
      <c r="N181" s="153">
        <v>2507.8239399999998</v>
      </c>
      <c r="O181" s="153">
        <v>3928.2312100000008</v>
      </c>
      <c r="P181" s="153">
        <v>3084.2063300000004</v>
      </c>
      <c r="Q181" s="154">
        <v>14148.511970000003</v>
      </c>
      <c r="R181" s="153">
        <v>4412.0595000000003</v>
      </c>
      <c r="S181" s="153">
        <v>3894.1421900000023</v>
      </c>
      <c r="T181" s="153">
        <v>3285.3233099999998</v>
      </c>
      <c r="U181" s="153">
        <v>3755.5911500000002</v>
      </c>
      <c r="V181" s="154">
        <v>15347.116150000002</v>
      </c>
      <c r="W181" s="153">
        <v>4511.271389999999</v>
      </c>
      <c r="X181" s="153">
        <v>1642.98109</v>
      </c>
      <c r="Y181" s="153">
        <v>2153.0842699999994</v>
      </c>
      <c r="Z181" s="153">
        <v>3513.5129299999999</v>
      </c>
      <c r="AA181" s="154">
        <v>11820.849679999999</v>
      </c>
      <c r="AB181" s="153">
        <v>1765.5275600000004</v>
      </c>
      <c r="AC181" s="153">
        <v>4954.7438000000002</v>
      </c>
      <c r="AD181" s="153">
        <v>2932.7318699999983</v>
      </c>
      <c r="AE181" s="153">
        <v>1978.32817</v>
      </c>
      <c r="AF181" s="154">
        <f t="shared" si="83"/>
        <v>11631.331399999999</v>
      </c>
      <c r="AG181" s="153">
        <v>1689</v>
      </c>
      <c r="AH181" s="153">
        <v>1797</v>
      </c>
      <c r="AI181" s="121">
        <v>3197</v>
      </c>
      <c r="AJ181" s="121">
        <v>3960</v>
      </c>
      <c r="AK181" s="154">
        <f t="shared" si="84"/>
        <v>10643</v>
      </c>
      <c r="AL181" s="153"/>
      <c r="AM181" s="153"/>
      <c r="AN181" s="121"/>
      <c r="AO181" s="121"/>
      <c r="AP181" s="154">
        <f t="shared" si="85"/>
        <v>0</v>
      </c>
      <c r="AQ181" s="153"/>
      <c r="AR181" s="153"/>
      <c r="AS181" s="121"/>
      <c r="AT181" s="121"/>
      <c r="AU181" s="154">
        <f t="shared" si="86"/>
        <v>0</v>
      </c>
      <c r="AV181" s="121"/>
      <c r="AW181" s="121"/>
      <c r="AX181" s="121"/>
      <c r="AY181" s="121"/>
      <c r="AZ181" s="142">
        <f t="shared" si="87"/>
        <v>0</v>
      </c>
      <c r="BA181" s="651"/>
    </row>
    <row r="182" spans="1:53">
      <c r="A182" s="11"/>
      <c r="B182" s="11" t="s">
        <v>416</v>
      </c>
      <c r="C182" s="153"/>
      <c r="D182" s="153"/>
      <c r="E182" s="153"/>
      <c r="F182" s="153"/>
      <c r="G182" s="144"/>
      <c r="H182" s="153"/>
      <c r="I182" s="153"/>
      <c r="J182" s="153"/>
      <c r="K182" s="153"/>
      <c r="L182" s="144"/>
      <c r="M182" s="153">
        <v>3.1318099999999998</v>
      </c>
      <c r="N182" s="153">
        <v>39.369959999999999</v>
      </c>
      <c r="O182" s="153">
        <v>3.15916</v>
      </c>
      <c r="P182" s="153">
        <v>1.6254200000000001</v>
      </c>
      <c r="Q182" s="144">
        <v>47.286349999999999</v>
      </c>
      <c r="R182" s="153">
        <v>2.9843299999999999</v>
      </c>
      <c r="S182" s="153">
        <v>3.3713499999999996</v>
      </c>
      <c r="T182" s="153">
        <v>-0.96131999999999973</v>
      </c>
      <c r="U182" s="153">
        <v>0</v>
      </c>
      <c r="V182" s="144">
        <v>5.3943599999999998</v>
      </c>
      <c r="W182" s="153">
        <v>0</v>
      </c>
      <c r="X182" s="153">
        <v>0.8</v>
      </c>
      <c r="Y182" s="153">
        <v>372.88870000000003</v>
      </c>
      <c r="Z182" s="153">
        <v>-48.242009999999993</v>
      </c>
      <c r="AA182" s="144">
        <v>325.44669000000005</v>
      </c>
      <c r="AB182" s="153">
        <v>-105.02649</v>
      </c>
      <c r="AC182" s="153">
        <v>-110.92964000000001</v>
      </c>
      <c r="AD182" s="153">
        <v>-112.77793</v>
      </c>
      <c r="AE182" s="153">
        <v>-114.61797</v>
      </c>
      <c r="AF182" s="144">
        <f t="shared" si="83"/>
        <v>-443.35203000000001</v>
      </c>
      <c r="AG182" s="153">
        <v>19.440000000000001</v>
      </c>
      <c r="AH182" s="153">
        <v>-110</v>
      </c>
      <c r="AI182" s="121">
        <v>-80</v>
      </c>
      <c r="AJ182" s="121">
        <v>-62</v>
      </c>
      <c r="AK182" s="144">
        <f t="shared" si="84"/>
        <v>-232.56</v>
      </c>
      <c r="AL182" s="153"/>
      <c r="AM182" s="153"/>
      <c r="AN182" s="121"/>
      <c r="AO182" s="121"/>
      <c r="AP182" s="144">
        <f t="shared" si="85"/>
        <v>0</v>
      </c>
      <c r="AQ182" s="153"/>
      <c r="AR182" s="153"/>
      <c r="AS182" s="121"/>
      <c r="AT182" s="121"/>
      <c r="AU182" s="144">
        <f t="shared" si="86"/>
        <v>0</v>
      </c>
      <c r="AV182" s="121"/>
      <c r="AW182" s="121"/>
      <c r="AX182" s="121"/>
      <c r="AY182" s="121"/>
      <c r="AZ182" s="144">
        <f t="shared" si="87"/>
        <v>0</v>
      </c>
      <c r="BA182" s="123"/>
    </row>
    <row r="183" spans="1:53" s="2" customFormat="1">
      <c r="A183" s="9"/>
      <c r="B183" s="9" t="s">
        <v>418</v>
      </c>
      <c r="C183" s="117"/>
      <c r="D183" s="117"/>
      <c r="E183" s="117"/>
      <c r="F183" s="117"/>
      <c r="G183" s="118"/>
      <c r="H183" s="117"/>
      <c r="I183" s="117"/>
      <c r="J183" s="117"/>
      <c r="K183" s="117"/>
      <c r="L183" s="118"/>
      <c r="M183" s="117">
        <v>9579.9358899999843</v>
      </c>
      <c r="N183" s="117">
        <v>5774.1866500000169</v>
      </c>
      <c r="O183" s="117">
        <v>-235.32412000000039</v>
      </c>
      <c r="P183" s="117">
        <v>1751.2732500000177</v>
      </c>
      <c r="Q183" s="118">
        <v>16870.071670000016</v>
      </c>
      <c r="R183" s="117">
        <v>18454.03515</v>
      </c>
      <c r="S183" s="117">
        <v>8637.4326899999905</v>
      </c>
      <c r="T183" s="117">
        <v>7502.7118900000278</v>
      </c>
      <c r="U183" s="117">
        <v>-4083.7462299999934</v>
      </c>
      <c r="V183" s="118">
        <v>30510.433500000025</v>
      </c>
      <c r="W183" s="117">
        <v>9992.3870999999999</v>
      </c>
      <c r="X183" s="117">
        <v>280.97906000001791</v>
      </c>
      <c r="Y183" s="117">
        <v>-7305.3953199999933</v>
      </c>
      <c r="Z183" s="117">
        <v>2336.2082899999582</v>
      </c>
      <c r="AA183" s="118">
        <v>5304.1791299999823</v>
      </c>
      <c r="AB183" s="117">
        <f>SUM(AB178:AB182)</f>
        <v>-12138.657849999983</v>
      </c>
      <c r="AC183" s="117">
        <f>SUM(AC178:AC182)</f>
        <v>-5783.0539000000244</v>
      </c>
      <c r="AD183" s="117">
        <f>SUM(AD178:AD182)</f>
        <v>-5209.8499099999608</v>
      </c>
      <c r="AE183" s="117">
        <f>SUM(AE178:AE182)</f>
        <v>-7912.0833999999977</v>
      </c>
      <c r="AF183" s="118">
        <f t="shared" si="83"/>
        <v>-31043.645059999966</v>
      </c>
      <c r="AG183" s="117">
        <v>-4226</v>
      </c>
      <c r="AH183" s="117">
        <v>-26945</v>
      </c>
      <c r="AI183" s="160">
        <v>-1863</v>
      </c>
      <c r="AJ183" s="160">
        <v>393</v>
      </c>
      <c r="AK183" s="118">
        <f t="shared" si="84"/>
        <v>-32641</v>
      </c>
      <c r="AL183" s="117"/>
      <c r="AM183" s="117"/>
      <c r="AN183" s="160"/>
      <c r="AO183" s="160"/>
      <c r="AP183" s="118">
        <f t="shared" si="85"/>
        <v>0</v>
      </c>
      <c r="AQ183" s="117"/>
      <c r="AR183" s="117"/>
      <c r="AS183" s="160"/>
      <c r="AT183" s="160"/>
      <c r="AU183" s="118">
        <f t="shared" si="86"/>
        <v>0</v>
      </c>
      <c r="AV183" s="160"/>
      <c r="AW183" s="160"/>
      <c r="AX183" s="160"/>
      <c r="AY183" s="160"/>
      <c r="AZ183" s="118">
        <f t="shared" si="87"/>
        <v>0</v>
      </c>
      <c r="BA183" s="117"/>
    </row>
    <row r="184" spans="1:53">
      <c r="A184" s="11"/>
      <c r="B184" s="11" t="s">
        <v>419</v>
      </c>
      <c r="C184" s="153"/>
      <c r="D184" s="153"/>
      <c r="E184" s="153"/>
      <c r="F184" s="153"/>
      <c r="G184" s="154"/>
      <c r="H184" s="153"/>
      <c r="I184" s="153"/>
      <c r="J184" s="153"/>
      <c r="K184" s="153"/>
      <c r="L184" s="154"/>
      <c r="M184" s="153">
        <v>-6.9476600000000008</v>
      </c>
      <c r="N184" s="153">
        <v>-0.72548000000000001</v>
      </c>
      <c r="O184" s="153">
        <v>-5.9543999999999997</v>
      </c>
      <c r="P184" s="153">
        <v>-0.98680000000004653</v>
      </c>
      <c r="Q184" s="154">
        <v>-14.614340000000047</v>
      </c>
      <c r="R184" s="153">
        <v>-7.3779399999999997</v>
      </c>
      <c r="S184" s="153">
        <v>-4.7397099999999996</v>
      </c>
      <c r="T184" s="153">
        <v>789.48487999999998</v>
      </c>
      <c r="U184" s="153">
        <v>-787.09294999999986</v>
      </c>
      <c r="V184" s="154">
        <v>-9.7257199999999102</v>
      </c>
      <c r="W184" s="153">
        <v>-51.449169999999995</v>
      </c>
      <c r="X184" s="153">
        <v>-160.54138</v>
      </c>
      <c r="Y184" s="153">
        <v>-234.24163999999999</v>
      </c>
      <c r="Z184" s="153">
        <v>-52.45215000000001</v>
      </c>
      <c r="AA184" s="154">
        <v>-498.68433999999996</v>
      </c>
      <c r="AB184" s="153">
        <v>1.0000000002037268E-5</v>
      </c>
      <c r="AC184" s="153">
        <v>-1306.2241999999999</v>
      </c>
      <c r="AD184" s="153">
        <v>-30.81428</v>
      </c>
      <c r="AE184" s="153">
        <v>-129.7919</v>
      </c>
      <c r="AF184" s="154">
        <f t="shared" si="83"/>
        <v>-1466.8303699999999</v>
      </c>
      <c r="AG184" s="153">
        <v>25</v>
      </c>
      <c r="AH184" s="153">
        <v>-97</v>
      </c>
      <c r="AI184" s="121">
        <v>-460</v>
      </c>
      <c r="AJ184" s="121">
        <v>-2353</v>
      </c>
      <c r="AK184" s="154">
        <f t="shared" si="84"/>
        <v>-2885</v>
      </c>
      <c r="AL184" s="153"/>
      <c r="AM184" s="153"/>
      <c r="AN184" s="121"/>
      <c r="AO184" s="121"/>
      <c r="AP184" s="154">
        <f t="shared" si="85"/>
        <v>0</v>
      </c>
      <c r="AQ184" s="153"/>
      <c r="AR184" s="153"/>
      <c r="AS184" s="121"/>
      <c r="AT184" s="121"/>
      <c r="AU184" s="154">
        <f t="shared" si="86"/>
        <v>0</v>
      </c>
      <c r="AV184" s="121"/>
      <c r="AW184" s="121"/>
      <c r="AX184" s="121"/>
      <c r="AY184" s="121"/>
      <c r="AZ184" s="142">
        <f t="shared" si="87"/>
        <v>0</v>
      </c>
      <c r="BA184" s="651"/>
    </row>
    <row r="185" spans="1:53" s="2" customFormat="1">
      <c r="A185" s="9"/>
      <c r="B185" s="9" t="s">
        <v>420</v>
      </c>
      <c r="C185" s="117"/>
      <c r="D185" s="117"/>
      <c r="E185" s="117"/>
      <c r="F185" s="117"/>
      <c r="G185" s="118"/>
      <c r="H185" s="117"/>
      <c r="I185" s="117"/>
      <c r="J185" s="117"/>
      <c r="K185" s="117"/>
      <c r="L185" s="118"/>
      <c r="M185" s="117">
        <v>9572.9882299999845</v>
      </c>
      <c r="N185" s="117">
        <v>5773.4611700000169</v>
      </c>
      <c r="O185" s="117">
        <v>-241.27852000000038</v>
      </c>
      <c r="P185" s="117">
        <v>1750.2864500000176</v>
      </c>
      <c r="Q185" s="118">
        <v>16855.457330000019</v>
      </c>
      <c r="R185" s="117">
        <v>18446.657210000001</v>
      </c>
      <c r="S185" s="117">
        <v>8632.6929799999907</v>
      </c>
      <c r="T185" s="117">
        <v>8292.1967700000278</v>
      </c>
      <c r="U185" s="117">
        <v>-4870.8391799999936</v>
      </c>
      <c r="V185" s="118">
        <v>30500.707780000026</v>
      </c>
      <c r="W185" s="117">
        <v>9940.9379300000001</v>
      </c>
      <c r="X185" s="117">
        <v>120.43768000001791</v>
      </c>
      <c r="Y185" s="117">
        <v>-7539.6369599999935</v>
      </c>
      <c r="Z185" s="117">
        <v>2283.7561399999581</v>
      </c>
      <c r="AA185" s="118">
        <v>4805.4947899999825</v>
      </c>
      <c r="AB185" s="117">
        <f>SUM(AB183:AB184)</f>
        <v>-12138.657839999983</v>
      </c>
      <c r="AC185" s="117">
        <f>SUM(AC183:AC184)</f>
        <v>-7089.2781000000241</v>
      </c>
      <c r="AD185" s="117">
        <f>SUM(AD183:AD184)</f>
        <v>-5240.6641899999604</v>
      </c>
      <c r="AE185" s="117">
        <f>SUM(AE183:AE184)</f>
        <v>-8041.8752999999979</v>
      </c>
      <c r="AF185" s="118">
        <f t="shared" si="83"/>
        <v>-32510.475429999962</v>
      </c>
      <c r="AG185" s="117">
        <v>-4201</v>
      </c>
      <c r="AH185" s="117">
        <v>-27042</v>
      </c>
      <c r="AI185" s="160">
        <v>-2323</v>
      </c>
      <c r="AJ185" s="160">
        <v>-1960</v>
      </c>
      <c r="AK185" s="118">
        <f t="shared" si="84"/>
        <v>-35526</v>
      </c>
      <c r="AL185" s="117"/>
      <c r="AM185" s="117"/>
      <c r="AN185" s="160"/>
      <c r="AO185" s="160"/>
      <c r="AP185" s="118">
        <f t="shared" si="85"/>
        <v>0</v>
      </c>
      <c r="AQ185" s="117"/>
      <c r="AR185" s="117"/>
      <c r="AS185" s="160"/>
      <c r="AT185" s="160"/>
      <c r="AU185" s="118">
        <f t="shared" si="86"/>
        <v>0</v>
      </c>
      <c r="AV185" s="160"/>
      <c r="AW185" s="160"/>
      <c r="AX185" s="160"/>
      <c r="AY185" s="160"/>
      <c r="AZ185" s="118">
        <f t="shared" si="87"/>
        <v>0</v>
      </c>
      <c r="BA185" s="117"/>
    </row>
    <row r="186" spans="1:53">
      <c r="A186" s="11"/>
      <c r="B186" s="11" t="s">
        <v>421</v>
      </c>
      <c r="C186" s="153"/>
      <c r="D186" s="153"/>
      <c r="E186" s="153"/>
      <c r="F186" s="153"/>
      <c r="G186" s="154"/>
      <c r="H186" s="153"/>
      <c r="I186" s="153"/>
      <c r="J186" s="153"/>
      <c r="K186" s="153"/>
      <c r="L186" s="154"/>
      <c r="M186" s="153">
        <v>-2602.1004700000003</v>
      </c>
      <c r="N186" s="153">
        <v>-1080.37625</v>
      </c>
      <c r="O186" s="153">
        <v>333.89296999999976</v>
      </c>
      <c r="P186" s="153">
        <v>-131.95204000000004</v>
      </c>
      <c r="Q186" s="154">
        <v>-3480.5357900000008</v>
      </c>
      <c r="R186" s="153">
        <v>-4422.6004699999994</v>
      </c>
      <c r="S186" s="153">
        <v>-1627.25108</v>
      </c>
      <c r="T186" s="153">
        <v>-1032.03998</v>
      </c>
      <c r="U186" s="153">
        <v>1991.19526</v>
      </c>
      <c r="V186" s="154">
        <v>-5090.6962699999985</v>
      </c>
      <c r="W186" s="153">
        <v>-2401.3089500000001</v>
      </c>
      <c r="X186" s="153">
        <v>-471.72070999999994</v>
      </c>
      <c r="Y186" s="153">
        <v>2098.5118900000002</v>
      </c>
      <c r="Z186" s="153">
        <v>-369.12361000000004</v>
      </c>
      <c r="AA186" s="154">
        <v>-1143.64138</v>
      </c>
      <c r="AB186" s="153">
        <v>2374.7527699999996</v>
      </c>
      <c r="AC186" s="153">
        <v>2325.7300399999999</v>
      </c>
      <c r="AD186" s="153">
        <v>1378.0217000000002</v>
      </c>
      <c r="AE186" s="153">
        <v>2290.7608499999997</v>
      </c>
      <c r="AF186" s="154">
        <f t="shared" si="83"/>
        <v>8369.2653599999994</v>
      </c>
      <c r="AG186" s="153">
        <v>982</v>
      </c>
      <c r="AH186" s="153">
        <v>6520</v>
      </c>
      <c r="AI186" s="121">
        <v>537</v>
      </c>
      <c r="AJ186" s="121">
        <v>-24388</v>
      </c>
      <c r="AK186" s="154">
        <f t="shared" si="84"/>
        <v>-16349</v>
      </c>
      <c r="AL186" s="153"/>
      <c r="AM186" s="153"/>
      <c r="AN186" s="121"/>
      <c r="AO186" s="121"/>
      <c r="AP186" s="154">
        <f t="shared" si="85"/>
        <v>0</v>
      </c>
      <c r="AQ186" s="153"/>
      <c r="AR186" s="153"/>
      <c r="AS186" s="121"/>
      <c r="AT186" s="121"/>
      <c r="AU186" s="154">
        <f t="shared" si="86"/>
        <v>0</v>
      </c>
      <c r="AV186" s="121"/>
      <c r="AW186" s="121"/>
      <c r="AX186" s="121"/>
      <c r="AY186" s="121"/>
      <c r="AZ186" s="142">
        <f t="shared" si="87"/>
        <v>0</v>
      </c>
      <c r="BA186" s="651"/>
    </row>
    <row r="187" spans="1:53">
      <c r="A187" s="11"/>
      <c r="B187" s="11" t="s">
        <v>422</v>
      </c>
      <c r="C187" s="153"/>
      <c r="D187" s="153"/>
      <c r="E187" s="153"/>
      <c r="F187" s="153"/>
      <c r="G187" s="154"/>
      <c r="H187" s="153"/>
      <c r="I187" s="153"/>
      <c r="J187" s="153"/>
      <c r="K187" s="153"/>
      <c r="L187" s="154"/>
      <c r="M187" s="153">
        <v>-2089.2412800000002</v>
      </c>
      <c r="N187" s="153">
        <v>-871.91971999999998</v>
      </c>
      <c r="O187" s="153">
        <v>-78.023830000000075</v>
      </c>
      <c r="P187" s="153">
        <v>-707.10762</v>
      </c>
      <c r="Q187" s="154">
        <v>-3746.2924499999999</v>
      </c>
      <c r="R187" s="153">
        <v>-2663.4192599999997</v>
      </c>
      <c r="S187" s="153">
        <v>-995.5612799999999</v>
      </c>
      <c r="T187" s="153">
        <v>-519.56429999999989</v>
      </c>
      <c r="U187" s="153">
        <v>1126.7737500000003</v>
      </c>
      <c r="V187" s="154">
        <v>-3051.7710899999993</v>
      </c>
      <c r="W187" s="153">
        <v>-1471.9194300000001</v>
      </c>
      <c r="X187" s="153">
        <v>-293.95253000000002</v>
      </c>
      <c r="Y187" s="153">
        <v>1230.1150300000002</v>
      </c>
      <c r="Z187" s="153">
        <v>-241.29199999999997</v>
      </c>
      <c r="AA187" s="154">
        <v>-777.04892999999993</v>
      </c>
      <c r="AB187" s="153">
        <v>1424.8516700000002</v>
      </c>
      <c r="AC187" s="153">
        <v>1395.43803</v>
      </c>
      <c r="AD187" s="153">
        <v>869.6834600000002</v>
      </c>
      <c r="AE187" s="153">
        <v>1374.45651</v>
      </c>
      <c r="AF187" s="154">
        <f t="shared" si="83"/>
        <v>5064.4296700000004</v>
      </c>
      <c r="AG187" s="153">
        <v>589</v>
      </c>
      <c r="AH187" s="153">
        <v>3913</v>
      </c>
      <c r="AI187" s="121">
        <v>323</v>
      </c>
      <c r="AJ187" s="121">
        <v>-14633</v>
      </c>
      <c r="AK187" s="154">
        <f t="shared" si="84"/>
        <v>-9808</v>
      </c>
      <c r="AL187" s="153"/>
      <c r="AM187" s="153"/>
      <c r="AN187" s="121"/>
      <c r="AO187" s="121"/>
      <c r="AP187" s="154">
        <f t="shared" si="85"/>
        <v>0</v>
      </c>
      <c r="AQ187" s="153"/>
      <c r="AR187" s="153"/>
      <c r="AS187" s="121"/>
      <c r="AT187" s="121"/>
      <c r="AU187" s="154">
        <f t="shared" si="86"/>
        <v>0</v>
      </c>
      <c r="AV187" s="121"/>
      <c r="AW187" s="121"/>
      <c r="AX187" s="121"/>
      <c r="AY187" s="121"/>
      <c r="AZ187" s="142">
        <f t="shared" si="87"/>
        <v>0</v>
      </c>
      <c r="BA187" s="651"/>
    </row>
    <row r="188" spans="1:53">
      <c r="A188" s="11"/>
      <c r="B188" s="11" t="s">
        <v>423</v>
      </c>
      <c r="C188" s="153"/>
      <c r="D188" s="153"/>
      <c r="E188" s="153"/>
      <c r="F188" s="153"/>
      <c r="G188" s="154"/>
      <c r="H188" s="153"/>
      <c r="I188" s="153"/>
      <c r="J188" s="153"/>
      <c r="K188" s="153"/>
      <c r="L188" s="154"/>
      <c r="M188" s="153">
        <v>-229.68346</v>
      </c>
      <c r="N188" s="153">
        <v>-1847.11922</v>
      </c>
      <c r="O188" s="153">
        <v>-107.07791999999998</v>
      </c>
      <c r="P188" s="153">
        <v>-14.900270000000004</v>
      </c>
      <c r="Q188" s="154">
        <v>-2198.7808700000005</v>
      </c>
      <c r="R188" s="153">
        <v>-2444.0559200000002</v>
      </c>
      <c r="S188" s="153">
        <v>-2321.6864400000004</v>
      </c>
      <c r="T188" s="153">
        <v>-2518.5479999999998</v>
      </c>
      <c r="U188" s="153">
        <v>45.987150000000021</v>
      </c>
      <c r="V188" s="154">
        <v>-7238.30321</v>
      </c>
      <c r="W188" s="153">
        <v>-1334.82564</v>
      </c>
      <c r="X188" s="153">
        <v>1984.0928600000004</v>
      </c>
      <c r="Y188" s="153">
        <v>-1362.9544799999999</v>
      </c>
      <c r="Z188" s="153">
        <v>-929.25184000000013</v>
      </c>
      <c r="AA188" s="154">
        <v>-1642.9390999999996</v>
      </c>
      <c r="AB188" s="153">
        <v>2164.68824</v>
      </c>
      <c r="AC188" s="153">
        <v>-860.02718999999991</v>
      </c>
      <c r="AD188" s="153">
        <v>-1254.5288699999999</v>
      </c>
      <c r="AE188" s="153">
        <v>-1254.5288699999999</v>
      </c>
      <c r="AF188" s="154">
        <f t="shared" si="83"/>
        <v>-1204.3966899999996</v>
      </c>
      <c r="AG188" s="153">
        <v>0</v>
      </c>
      <c r="AH188" s="153">
        <v>0</v>
      </c>
      <c r="AI188" s="121">
        <v>0</v>
      </c>
      <c r="AJ188" s="121">
        <v>0</v>
      </c>
      <c r="AK188" s="154">
        <f t="shared" si="84"/>
        <v>0</v>
      </c>
      <c r="AL188" s="153"/>
      <c r="AM188" s="153"/>
      <c r="AN188" s="121"/>
      <c r="AO188" s="121"/>
      <c r="AP188" s="154">
        <f t="shared" si="85"/>
        <v>0</v>
      </c>
      <c r="AQ188" s="153"/>
      <c r="AR188" s="153"/>
      <c r="AS188" s="121"/>
      <c r="AT188" s="121"/>
      <c r="AU188" s="154">
        <f t="shared" si="86"/>
        <v>0</v>
      </c>
      <c r="AV188" s="121"/>
      <c r="AW188" s="121"/>
      <c r="AX188" s="121"/>
      <c r="AY188" s="121"/>
      <c r="AZ188" s="142">
        <f t="shared" si="87"/>
        <v>0</v>
      </c>
      <c r="BA188" s="651"/>
    </row>
    <row r="189" spans="1:53" s="2" customFormat="1">
      <c r="A189" s="15"/>
      <c r="B189" s="15" t="s">
        <v>450</v>
      </c>
      <c r="C189" s="155"/>
      <c r="D189" s="155"/>
      <c r="E189" s="155"/>
      <c r="F189" s="155"/>
      <c r="G189" s="156"/>
      <c r="H189" s="155"/>
      <c r="I189" s="155"/>
      <c r="J189" s="155"/>
      <c r="K189" s="155"/>
      <c r="L189" s="156"/>
      <c r="M189" s="155">
        <v>4651.9630199999929</v>
      </c>
      <c r="N189" s="155">
        <v>1974.0459799999985</v>
      </c>
      <c r="O189" s="155">
        <v>-92.487300000000744</v>
      </c>
      <c r="P189" s="155">
        <v>896.32652000001542</v>
      </c>
      <c r="Q189" s="156">
        <v>7429.8482200000053</v>
      </c>
      <c r="R189" s="155">
        <v>8916.5815600000042</v>
      </c>
      <c r="S189" s="155">
        <v>3688.1941799999881</v>
      </c>
      <c r="T189" s="155">
        <v>4222.044490000002</v>
      </c>
      <c r="U189" s="155">
        <v>-1706.8830200000014</v>
      </c>
      <c r="V189" s="156">
        <v>15119.937209999993</v>
      </c>
      <c r="W189" s="155">
        <v>4732.8839099999914</v>
      </c>
      <c r="X189" s="155">
        <v>1338.8573000000167</v>
      </c>
      <c r="Y189" s="155">
        <v>-5573.9645199999932</v>
      </c>
      <c r="Z189" s="155">
        <v>744.08868999996412</v>
      </c>
      <c r="AA189" s="156">
        <v>1241.8653799999793</v>
      </c>
      <c r="AB189" s="155">
        <v>-6174.3651599999876</v>
      </c>
      <c r="AC189" s="155">
        <v>-4228.137220000016</v>
      </c>
      <c r="AD189" s="155">
        <v>-4247.4878999999719</v>
      </c>
      <c r="AE189" s="155">
        <v>-5631.1868100000047</v>
      </c>
      <c r="AF189" s="156">
        <f t="shared" si="83"/>
        <v>-20281.177089999983</v>
      </c>
      <c r="AG189" s="155">
        <v>-2630</v>
      </c>
      <c r="AH189" s="155">
        <v>-16609</v>
      </c>
      <c r="AI189" s="155">
        <v>-1463</v>
      </c>
      <c r="AJ189" s="155">
        <v>-40981</v>
      </c>
      <c r="AK189" s="156">
        <f t="shared" si="84"/>
        <v>-61683</v>
      </c>
      <c r="AL189" s="155"/>
      <c r="AM189" s="155"/>
      <c r="AN189" s="155"/>
      <c r="AO189" s="155"/>
      <c r="AP189" s="156">
        <f t="shared" si="85"/>
        <v>0</v>
      </c>
      <c r="AQ189" s="155"/>
      <c r="AR189" s="155"/>
      <c r="AS189" s="155"/>
      <c r="AT189" s="155"/>
      <c r="AU189" s="156">
        <f t="shared" si="86"/>
        <v>0</v>
      </c>
      <c r="AV189" s="155"/>
      <c r="AW189" s="155"/>
      <c r="AX189" s="155"/>
      <c r="AY189" s="155"/>
      <c r="AZ189" s="156">
        <f t="shared" si="87"/>
        <v>0</v>
      </c>
      <c r="BA189" s="667"/>
    </row>
    <row r="190" spans="1:53">
      <c r="A190" s="11"/>
      <c r="B190" s="11" t="s">
        <v>468</v>
      </c>
      <c r="C190" s="120"/>
      <c r="D190" s="120"/>
      <c r="E190" s="120"/>
      <c r="F190" s="120"/>
      <c r="G190" s="154"/>
      <c r="H190" s="120"/>
      <c r="I190" s="120"/>
      <c r="J190" s="120"/>
      <c r="K190" s="120"/>
      <c r="L190" s="154"/>
      <c r="M190" s="120">
        <v>4651.9630199999929</v>
      </c>
      <c r="N190" s="120">
        <v>1974.0459799999985</v>
      </c>
      <c r="O190" s="120">
        <v>-92.487300000000744</v>
      </c>
      <c r="P190" s="120">
        <v>896.32652000001542</v>
      </c>
      <c r="Q190" s="154">
        <v>7429.8482200000053</v>
      </c>
      <c r="R190" s="120">
        <v>8916.5815600000042</v>
      </c>
      <c r="S190" s="120">
        <v>3688.1941799999881</v>
      </c>
      <c r="T190" s="120">
        <v>4222.044490000002</v>
      </c>
      <c r="U190" s="120">
        <v>-1706.8830200000014</v>
      </c>
      <c r="V190" s="154">
        <v>15119.937209999993</v>
      </c>
      <c r="W190" s="120">
        <v>4732.8839099999914</v>
      </c>
      <c r="X190" s="120">
        <v>1338.8573000000167</v>
      </c>
      <c r="Y190" s="120">
        <v>-5573.9645199999932</v>
      </c>
      <c r="Z190" s="120">
        <v>744.08868999996412</v>
      </c>
      <c r="AA190" s="154">
        <v>1241.8653799999793</v>
      </c>
      <c r="AB190" s="120">
        <f>AB189</f>
        <v>-6174.3651599999876</v>
      </c>
      <c r="AC190" s="120">
        <f t="shared" ref="AC190:AD190" si="88">AC189</f>
        <v>-4228.137220000016</v>
      </c>
      <c r="AD190" s="120">
        <f t="shared" si="88"/>
        <v>-4247.4878999999719</v>
      </c>
      <c r="AE190" s="120">
        <f t="shared" ref="AE190" si="89">AE189</f>
        <v>-5631.1868100000047</v>
      </c>
      <c r="AF190" s="154">
        <f t="shared" si="83"/>
        <v>-20281.177089999983</v>
      </c>
      <c r="AG190" s="120">
        <v>-2630</v>
      </c>
      <c r="AH190" s="120">
        <v>-16609</v>
      </c>
      <c r="AI190" s="121">
        <f>AI189</f>
        <v>-1463</v>
      </c>
      <c r="AJ190" s="121">
        <f>AJ189</f>
        <v>-40981</v>
      </c>
      <c r="AK190" s="154">
        <f t="shared" si="84"/>
        <v>-61683</v>
      </c>
      <c r="AL190" s="120"/>
      <c r="AM190" s="120"/>
      <c r="AN190" s="121"/>
      <c r="AO190" s="121"/>
      <c r="AP190" s="154">
        <f t="shared" si="85"/>
        <v>0</v>
      </c>
      <c r="AQ190" s="120"/>
      <c r="AR190" s="120"/>
      <c r="AS190" s="121"/>
      <c r="AT190" s="121"/>
      <c r="AU190" s="154">
        <f t="shared" si="86"/>
        <v>0</v>
      </c>
      <c r="AV190" s="121"/>
      <c r="AW190" s="121"/>
      <c r="AX190" s="121"/>
      <c r="AY190" s="121"/>
      <c r="AZ190" s="142">
        <f t="shared" si="87"/>
        <v>0</v>
      </c>
      <c r="BA190" s="651"/>
    </row>
    <row r="191" spans="1:53">
      <c r="A191" s="11"/>
      <c r="B191" s="11" t="s">
        <v>436</v>
      </c>
      <c r="C191" s="120"/>
      <c r="D191" s="120"/>
      <c r="E191" s="120"/>
      <c r="F191" s="120"/>
      <c r="G191" s="154"/>
      <c r="H191" s="120"/>
      <c r="I191" s="120"/>
      <c r="J191" s="120"/>
      <c r="K191" s="120"/>
      <c r="L191" s="154"/>
      <c r="M191" s="120">
        <v>0</v>
      </c>
      <c r="N191" s="120">
        <v>0</v>
      </c>
      <c r="O191" s="120">
        <v>0</v>
      </c>
      <c r="P191" s="120">
        <v>0</v>
      </c>
      <c r="Q191" s="154">
        <v>0</v>
      </c>
      <c r="R191" s="120">
        <v>0</v>
      </c>
      <c r="S191" s="120">
        <v>0</v>
      </c>
      <c r="T191" s="120">
        <v>0</v>
      </c>
      <c r="U191" s="120">
        <v>0</v>
      </c>
      <c r="V191" s="154">
        <v>0</v>
      </c>
      <c r="W191" s="120">
        <v>0</v>
      </c>
      <c r="X191" s="120">
        <v>0</v>
      </c>
      <c r="Y191" s="120">
        <v>0</v>
      </c>
      <c r="Z191" s="120">
        <v>0</v>
      </c>
      <c r="AA191" s="154">
        <v>0</v>
      </c>
      <c r="AB191" s="120">
        <v>0</v>
      </c>
      <c r="AC191" s="120">
        <v>0</v>
      </c>
      <c r="AD191" s="120">
        <v>0</v>
      </c>
      <c r="AE191" s="120">
        <v>0</v>
      </c>
      <c r="AF191" s="154">
        <f t="shared" si="83"/>
        <v>0</v>
      </c>
      <c r="AG191" s="120">
        <v>0</v>
      </c>
      <c r="AH191" s="120">
        <v>0</v>
      </c>
      <c r="AI191" s="121">
        <v>0</v>
      </c>
      <c r="AJ191" s="121">
        <v>0</v>
      </c>
      <c r="AK191" s="154">
        <f t="shared" si="84"/>
        <v>0</v>
      </c>
      <c r="AL191" s="120"/>
      <c r="AM191" s="120"/>
      <c r="AN191" s="121"/>
      <c r="AO191" s="121"/>
      <c r="AP191" s="154">
        <f t="shared" si="85"/>
        <v>0</v>
      </c>
      <c r="AQ191" s="120"/>
      <c r="AR191" s="120"/>
      <c r="AS191" s="121"/>
      <c r="AT191" s="121"/>
      <c r="AU191" s="154">
        <f t="shared" si="86"/>
        <v>0</v>
      </c>
      <c r="AV191" s="121"/>
      <c r="AW191" s="121"/>
      <c r="AX191" s="121"/>
      <c r="AY191" s="121"/>
      <c r="AZ191" s="142">
        <f t="shared" si="87"/>
        <v>0</v>
      </c>
      <c r="BA191" s="651"/>
    </row>
    <row r="192" spans="1:53">
      <c r="A192" s="11"/>
      <c r="B192" s="11" t="s">
        <v>470</v>
      </c>
      <c r="C192" s="120"/>
      <c r="D192" s="120"/>
      <c r="E192" s="120"/>
      <c r="F192" s="120"/>
      <c r="G192" s="154"/>
      <c r="H192" s="120"/>
      <c r="I192" s="120"/>
      <c r="J192" s="120"/>
      <c r="K192" s="120"/>
      <c r="L192" s="154"/>
      <c r="M192" s="120">
        <v>4651.9630199999929</v>
      </c>
      <c r="N192" s="120">
        <v>1974.0459799999985</v>
      </c>
      <c r="O192" s="120">
        <v>-92.487300000000744</v>
      </c>
      <c r="P192" s="120">
        <v>896.32652000001542</v>
      </c>
      <c r="Q192" s="154">
        <v>7429.8482200000053</v>
      </c>
      <c r="R192" s="120">
        <v>8916.5815600000042</v>
      </c>
      <c r="S192" s="120">
        <v>3688.1941799999881</v>
      </c>
      <c r="T192" s="120">
        <v>4222.044490000002</v>
      </c>
      <c r="U192" s="120">
        <v>-1706.8830200000014</v>
      </c>
      <c r="V192" s="154">
        <v>15119.937209999993</v>
      </c>
      <c r="W192" s="120">
        <v>4732.8839099999914</v>
      </c>
      <c r="X192" s="120">
        <v>1338.8573000000167</v>
      </c>
      <c r="Y192" s="120">
        <v>-5573.9645199999932</v>
      </c>
      <c r="Z192" s="120">
        <v>744.08868999996412</v>
      </c>
      <c r="AA192" s="154">
        <v>1241.8653799999793</v>
      </c>
      <c r="AB192" s="120">
        <f>SUM(AB190:AB191)</f>
        <v>-6174.3651599999876</v>
      </c>
      <c r="AC192" s="120">
        <f t="shared" ref="AC192:AD192" si="90">SUM(AC190:AC191)</f>
        <v>-4228.137220000016</v>
      </c>
      <c r="AD192" s="120">
        <f t="shared" si="90"/>
        <v>-4247.4878999999719</v>
      </c>
      <c r="AE192" s="120">
        <f t="shared" ref="AE192" si="91">SUM(AE190:AE191)</f>
        <v>-5631.1868100000047</v>
      </c>
      <c r="AF192" s="154">
        <f t="shared" si="83"/>
        <v>-20281.177089999983</v>
      </c>
      <c r="AG192" s="120">
        <v>-2630</v>
      </c>
      <c r="AH192" s="120">
        <v>-16609</v>
      </c>
      <c r="AI192" s="121">
        <f>AI189</f>
        <v>-1463</v>
      </c>
      <c r="AJ192" s="121">
        <f>AJ189</f>
        <v>-40981</v>
      </c>
      <c r="AK192" s="154">
        <f t="shared" si="84"/>
        <v>-61683</v>
      </c>
      <c r="AL192" s="120"/>
      <c r="AM192" s="120"/>
      <c r="AN192" s="121"/>
      <c r="AO192" s="121"/>
      <c r="AP192" s="154">
        <f t="shared" si="85"/>
        <v>0</v>
      </c>
      <c r="AQ192" s="120"/>
      <c r="AR192" s="120"/>
      <c r="AS192" s="121"/>
      <c r="AT192" s="121"/>
      <c r="AU192" s="154">
        <f t="shared" si="86"/>
        <v>0</v>
      </c>
      <c r="AV192" s="121"/>
      <c r="AW192" s="121"/>
      <c r="AX192" s="121"/>
      <c r="AY192" s="121"/>
      <c r="AZ192" s="142">
        <f t="shared" si="87"/>
        <v>0</v>
      </c>
      <c r="BA192" s="651"/>
    </row>
    <row r="193" spans="1:53">
      <c r="A193" s="11"/>
      <c r="B193" s="11" t="s">
        <v>471</v>
      </c>
      <c r="C193" s="120"/>
      <c r="D193" s="120"/>
      <c r="E193" s="120"/>
      <c r="F193" s="120"/>
      <c r="G193" s="154"/>
      <c r="H193" s="120"/>
      <c r="I193" s="120"/>
      <c r="J193" s="120"/>
      <c r="K193" s="120"/>
      <c r="L193" s="154"/>
      <c r="M193" s="120">
        <v>0</v>
      </c>
      <c r="N193" s="120">
        <v>0</v>
      </c>
      <c r="O193" s="120">
        <v>0</v>
      </c>
      <c r="P193" s="120">
        <v>0</v>
      </c>
      <c r="Q193" s="154">
        <v>0</v>
      </c>
      <c r="R193" s="120">
        <v>0</v>
      </c>
      <c r="S193" s="120">
        <v>0</v>
      </c>
      <c r="T193" s="120">
        <v>0</v>
      </c>
      <c r="U193" s="120">
        <v>0</v>
      </c>
      <c r="V193" s="154">
        <v>0</v>
      </c>
      <c r="W193" s="120">
        <v>0</v>
      </c>
      <c r="X193" s="120">
        <v>0</v>
      </c>
      <c r="Y193" s="120">
        <v>0</v>
      </c>
      <c r="Z193" s="121">
        <v>0</v>
      </c>
      <c r="AA193" s="154">
        <v>0</v>
      </c>
      <c r="AB193" s="120">
        <v>0</v>
      </c>
      <c r="AC193" s="120">
        <v>0</v>
      </c>
      <c r="AD193" s="120">
        <v>0</v>
      </c>
      <c r="AE193" s="120">
        <v>0</v>
      </c>
      <c r="AF193" s="154">
        <f t="shared" si="83"/>
        <v>0</v>
      </c>
      <c r="AG193" s="120">
        <v>0</v>
      </c>
      <c r="AH193" s="120">
        <v>0</v>
      </c>
      <c r="AI193" s="121">
        <v>0</v>
      </c>
      <c r="AJ193" s="121">
        <v>0</v>
      </c>
      <c r="AK193" s="154">
        <f t="shared" si="84"/>
        <v>0</v>
      </c>
      <c r="AL193" s="120"/>
      <c r="AM193" s="120"/>
      <c r="AN193" s="121"/>
      <c r="AO193" s="121"/>
      <c r="AP193" s="154">
        <f t="shared" si="85"/>
        <v>0</v>
      </c>
      <c r="AQ193" s="120"/>
      <c r="AR193" s="120"/>
      <c r="AS193" s="121"/>
      <c r="AT193" s="121"/>
      <c r="AU193" s="154">
        <f t="shared" si="86"/>
        <v>0</v>
      </c>
      <c r="AV193" s="121"/>
      <c r="AW193" s="121"/>
      <c r="AX193" s="121"/>
      <c r="AY193" s="121"/>
      <c r="AZ193" s="142">
        <f t="shared" si="87"/>
        <v>0</v>
      </c>
      <c r="BA193" s="651"/>
    </row>
    <row r="194" spans="1:53" ht="15.75" thickBot="1">
      <c r="A194" s="17"/>
      <c r="B194" s="182" t="s">
        <v>451</v>
      </c>
      <c r="C194" s="18">
        <v>0.48209999999999997</v>
      </c>
      <c r="D194" s="18"/>
      <c r="E194" s="18"/>
      <c r="F194" s="18"/>
      <c r="G194" s="48"/>
      <c r="H194" s="18"/>
      <c r="I194" s="18"/>
      <c r="J194" s="18"/>
      <c r="K194" s="18"/>
      <c r="L194" s="48"/>
      <c r="M194" s="18">
        <v>0.48209999999999997</v>
      </c>
      <c r="N194" s="18">
        <v>0.48209999999999997</v>
      </c>
      <c r="O194" s="18">
        <v>0.48209999999999997</v>
      </c>
      <c r="P194" s="18">
        <v>0.48209999999999997</v>
      </c>
      <c r="Q194" s="48">
        <v>0.48209999999999997</v>
      </c>
      <c r="R194" s="18">
        <v>0.48209999999999997</v>
      </c>
      <c r="S194" s="18">
        <v>0.48209999999999997</v>
      </c>
      <c r="T194" s="18">
        <v>0.48209999999999997</v>
      </c>
      <c r="U194" s="18">
        <v>0.48209999999999997</v>
      </c>
      <c r="V194" s="48">
        <v>0.48209999999999997</v>
      </c>
      <c r="W194" s="18">
        <v>0.48209999999999997</v>
      </c>
      <c r="X194" s="18">
        <v>0.48209999999999997</v>
      </c>
      <c r="Y194" s="18">
        <v>0.48209999999999997</v>
      </c>
      <c r="Z194" s="18">
        <v>0.48209999999999997</v>
      </c>
      <c r="AA194" s="48">
        <v>0.48209999999999997</v>
      </c>
      <c r="AB194" s="18">
        <v>0.48249999999999998</v>
      </c>
      <c r="AC194" s="18">
        <v>0.48249999999999998</v>
      </c>
      <c r="AD194" s="18">
        <v>0.48249999999999998</v>
      </c>
      <c r="AE194" s="18">
        <v>0.48249999999999998</v>
      </c>
      <c r="AF194" s="48">
        <v>0.48209999999999997</v>
      </c>
      <c r="AG194" s="18">
        <v>0.48249999999999998</v>
      </c>
      <c r="AH194" s="18">
        <v>0.48249999999999998</v>
      </c>
      <c r="AI194" s="169">
        <v>0.48249999999999998</v>
      </c>
      <c r="AJ194" s="169">
        <v>0.48249999999999998</v>
      </c>
      <c r="AK194" s="48">
        <v>0.48209999999999997</v>
      </c>
      <c r="AL194" s="18"/>
      <c r="AM194" s="18"/>
      <c r="AN194" s="169"/>
      <c r="AO194" s="169"/>
      <c r="AP194" s="48"/>
      <c r="AQ194" s="18"/>
      <c r="AR194" s="18"/>
      <c r="AS194" s="169"/>
      <c r="AT194" s="169"/>
      <c r="AU194" s="48"/>
      <c r="AV194" s="169"/>
      <c r="AW194" s="169"/>
      <c r="AX194" s="169"/>
      <c r="AY194" s="169"/>
      <c r="AZ194" s="48"/>
      <c r="BA194" s="18"/>
    </row>
    <row r="195" spans="1:53" ht="15.75" thickBot="1"/>
    <row r="196" spans="1:53" s="2" customFormat="1">
      <c r="A196" s="625"/>
      <c r="B196" s="625" t="s">
        <v>514</v>
      </c>
      <c r="C196" s="626" t="s">
        <v>224</v>
      </c>
      <c r="D196" s="626" t="s">
        <v>225</v>
      </c>
      <c r="E196" s="626" t="s">
        <v>226</v>
      </c>
      <c r="F196" s="626" t="s">
        <v>227</v>
      </c>
      <c r="G196" s="652">
        <v>2016</v>
      </c>
      <c r="H196" s="626" t="s">
        <v>228</v>
      </c>
      <c r="I196" s="626" t="s">
        <v>229</v>
      </c>
      <c r="J196" s="626" t="s">
        <v>230</v>
      </c>
      <c r="K196" s="626" t="s">
        <v>231</v>
      </c>
      <c r="L196" s="652">
        <v>2017</v>
      </c>
      <c r="M196" s="626" t="s">
        <v>232</v>
      </c>
      <c r="N196" s="626" t="s">
        <v>233</v>
      </c>
      <c r="O196" s="626" t="s">
        <v>234</v>
      </c>
      <c r="P196" s="626" t="s">
        <v>235</v>
      </c>
      <c r="Q196" s="652">
        <v>2018</v>
      </c>
      <c r="R196" s="626" t="s">
        <v>236</v>
      </c>
      <c r="S196" s="626" t="s">
        <v>237</v>
      </c>
      <c r="T196" s="626" t="s">
        <v>238</v>
      </c>
      <c r="U196" s="626" t="s">
        <v>239</v>
      </c>
      <c r="V196" s="652">
        <v>2019</v>
      </c>
      <c r="W196" s="626" t="s">
        <v>240</v>
      </c>
      <c r="X196" s="626" t="s">
        <v>241</v>
      </c>
      <c r="Y196" s="626" t="s">
        <v>242</v>
      </c>
      <c r="Z196" s="626" t="s">
        <v>243</v>
      </c>
      <c r="AA196" s="652">
        <v>2020</v>
      </c>
      <c r="AB196" s="626" t="s">
        <v>244</v>
      </c>
      <c r="AC196" s="626" t="s">
        <v>245</v>
      </c>
      <c r="AD196" s="626" t="s">
        <v>246</v>
      </c>
      <c r="AE196" s="626" t="s">
        <v>247</v>
      </c>
      <c r="AF196" s="652">
        <v>2021</v>
      </c>
      <c r="AG196" s="626" t="s">
        <v>248</v>
      </c>
      <c r="AH196" s="626" t="s">
        <v>249</v>
      </c>
      <c r="AI196" s="626" t="s">
        <v>250</v>
      </c>
      <c r="AJ196" s="626" t="s">
        <v>215</v>
      </c>
      <c r="AK196" s="652">
        <v>2022</v>
      </c>
      <c r="AL196" s="626" t="s">
        <v>252</v>
      </c>
      <c r="AM196" s="626" t="s">
        <v>253</v>
      </c>
      <c r="AN196" s="626" t="s">
        <v>254</v>
      </c>
      <c r="AO196" s="626" t="s">
        <v>219</v>
      </c>
      <c r="AP196" s="652">
        <v>2023</v>
      </c>
      <c r="AQ196" s="626" t="s">
        <v>223</v>
      </c>
      <c r="AR196" s="626" t="s">
        <v>256</v>
      </c>
      <c r="AS196" s="626" t="s">
        <v>357</v>
      </c>
      <c r="AT196" s="626" t="s">
        <v>358</v>
      </c>
      <c r="AU196" s="652">
        <v>2024</v>
      </c>
      <c r="AV196" s="626" t="s">
        <v>359</v>
      </c>
      <c r="AW196" s="626" t="s">
        <v>1115</v>
      </c>
      <c r="AX196" s="626" t="s">
        <v>1116</v>
      </c>
      <c r="AY196" s="626" t="s">
        <v>1117</v>
      </c>
      <c r="AZ196" s="653" t="s">
        <v>1118</v>
      </c>
      <c r="BA196" s="645" t="s">
        <v>1124</v>
      </c>
    </row>
    <row r="197" spans="1:53" s="2" customFormat="1">
      <c r="A197" s="9"/>
      <c r="B197" s="9" t="s">
        <v>509</v>
      </c>
      <c r="C197" s="117">
        <v>21671.507650000003</v>
      </c>
      <c r="D197" s="117">
        <v>21130.886609999998</v>
      </c>
      <c r="E197" s="117">
        <v>21138.661640000013</v>
      </c>
      <c r="F197" s="117">
        <v>22003.517949999987</v>
      </c>
      <c r="G197" s="118">
        <v>85944.573850000001</v>
      </c>
      <c r="H197" s="117">
        <v>21238.158729999999</v>
      </c>
      <c r="I197" s="117">
        <v>21780.914110000002</v>
      </c>
      <c r="J197" s="117">
        <v>22299.198459999992</v>
      </c>
      <c r="K197" s="117">
        <v>22307.296740000005</v>
      </c>
      <c r="L197" s="118">
        <v>87625.568039999998</v>
      </c>
      <c r="M197" s="117">
        <v>21454.254729999997</v>
      </c>
      <c r="N197" s="117">
        <v>20750.199060000003</v>
      </c>
      <c r="O197" s="117">
        <v>20227.657789999997</v>
      </c>
      <c r="P197" s="117">
        <v>20988.156850000028</v>
      </c>
      <c r="Q197" s="118">
        <v>83420.268430000026</v>
      </c>
      <c r="R197" s="117">
        <v>20571.775640000003</v>
      </c>
      <c r="S197" s="117">
        <v>19523.190700000003</v>
      </c>
      <c r="T197" s="117">
        <v>19095.130770000003</v>
      </c>
      <c r="U197" s="117">
        <v>19634.217059999959</v>
      </c>
      <c r="V197" s="118">
        <v>78824.314169999969</v>
      </c>
      <c r="W197" s="117">
        <v>19265.945580000003</v>
      </c>
      <c r="X197" s="117">
        <v>16601.770809999998</v>
      </c>
      <c r="Y197" s="117">
        <v>15804.519759999959</v>
      </c>
      <c r="Z197" s="117">
        <v>16157.220160000048</v>
      </c>
      <c r="AA197" s="118">
        <v>67829.456310000009</v>
      </c>
      <c r="AB197" s="117">
        <v>15375.405169999998</v>
      </c>
      <c r="AC197" s="117">
        <v>15019.322230000005</v>
      </c>
      <c r="AD197" s="117">
        <v>14920.596689999998</v>
      </c>
      <c r="AE197" s="117">
        <v>15306.706229999996</v>
      </c>
      <c r="AF197" s="118">
        <f>SUM(AB197:AE197)</f>
        <v>60622.030319999998</v>
      </c>
      <c r="AG197" s="160">
        <v>14712</v>
      </c>
      <c r="AH197" s="160">
        <v>14455</v>
      </c>
      <c r="AI197" s="160">
        <v>15403</v>
      </c>
      <c r="AJ197" s="160">
        <v>9738</v>
      </c>
      <c r="AK197" s="118">
        <f>SUM(AG197:AJ197)</f>
        <v>54308</v>
      </c>
      <c r="AL197" s="160"/>
      <c r="AM197" s="160"/>
      <c r="AN197" s="160"/>
      <c r="AO197" s="160"/>
      <c r="AP197" s="118">
        <f>SUM(AL197:AO197)</f>
        <v>0</v>
      </c>
      <c r="AQ197" s="160"/>
      <c r="AR197" s="160"/>
      <c r="AS197" s="160"/>
      <c r="AT197" s="160"/>
      <c r="AU197" s="118">
        <f>SUM(AQ197:AT197)</f>
        <v>0</v>
      </c>
      <c r="AV197" s="160"/>
      <c r="AW197" s="160"/>
      <c r="AX197" s="160"/>
      <c r="AY197" s="160"/>
      <c r="AZ197" s="118">
        <f>SUM(AV197:AY197)</f>
        <v>0</v>
      </c>
      <c r="BA197" s="117"/>
    </row>
    <row r="198" spans="1:53">
      <c r="A198" s="11"/>
      <c r="B198" s="11" t="s">
        <v>510</v>
      </c>
      <c r="C198" s="153">
        <v>-11177.961120000002</v>
      </c>
      <c r="D198" s="153">
        <v>-12507.627649999993</v>
      </c>
      <c r="E198" s="153">
        <v>-12702.018660000002</v>
      </c>
      <c r="F198" s="153">
        <v>-14057.345299999994</v>
      </c>
      <c r="G198" s="144">
        <v>-50444.95272999999</v>
      </c>
      <c r="H198" s="153">
        <v>-11973.8523</v>
      </c>
      <c r="I198" s="153">
        <v>-13970.147719999999</v>
      </c>
      <c r="J198" s="153">
        <v>-13828.285259999997</v>
      </c>
      <c r="K198" s="153">
        <v>-12427.448230000002</v>
      </c>
      <c r="L198" s="144">
        <v>-52199.733509999998</v>
      </c>
      <c r="M198" s="153">
        <v>-12552.054140000002</v>
      </c>
      <c r="N198" s="153">
        <v>-13717.512700000001</v>
      </c>
      <c r="O198" s="153">
        <v>-13134.552359999991</v>
      </c>
      <c r="P198" s="153">
        <v>-12698.997200000013</v>
      </c>
      <c r="Q198" s="144">
        <v>-52103.116400000006</v>
      </c>
      <c r="R198" s="153">
        <v>-12912.181440000002</v>
      </c>
      <c r="S198" s="153">
        <v>-13813.542519999979</v>
      </c>
      <c r="T198" s="153">
        <v>-12591.830999999998</v>
      </c>
      <c r="U198" s="153">
        <v>-15758.255000000026</v>
      </c>
      <c r="V198" s="144">
        <v>-55075.809960000006</v>
      </c>
      <c r="W198" s="153">
        <v>-11395.545919999995</v>
      </c>
      <c r="X198" s="153">
        <v>-6451.9167400000024</v>
      </c>
      <c r="Y198" s="153">
        <v>-9969.5300100000022</v>
      </c>
      <c r="Z198" s="153">
        <v>-8440.568950000008</v>
      </c>
      <c r="AA198" s="144">
        <v>-36257.561620000008</v>
      </c>
      <c r="AB198" s="153">
        <v>-8061.9632899999951</v>
      </c>
      <c r="AC198" s="153">
        <v>-7587.3086600000051</v>
      </c>
      <c r="AD198" s="153">
        <v>-9249.0984100000005</v>
      </c>
      <c r="AE198" s="153">
        <v>-8793.6619100000335</v>
      </c>
      <c r="AF198" s="144">
        <f t="shared" ref="AF198" si="92">SUM(AB198:AE198)</f>
        <v>-33692.032270000032</v>
      </c>
      <c r="AG198" s="153">
        <v>-8906</v>
      </c>
      <c r="AH198" s="153">
        <v>-9192</v>
      </c>
      <c r="AI198" s="121">
        <v>-10109</v>
      </c>
      <c r="AJ198" s="121">
        <v>-6751</v>
      </c>
      <c r="AK198" s="144">
        <f t="shared" ref="AK198" si="93">SUM(AG198:AJ198)</f>
        <v>-34958</v>
      </c>
      <c r="AL198" s="153"/>
      <c r="AM198" s="153"/>
      <c r="AN198" s="121"/>
      <c r="AO198" s="121"/>
      <c r="AP198" s="144">
        <f t="shared" ref="AP198" si="94">SUM(AL198:AO198)</f>
        <v>0</v>
      </c>
      <c r="AQ198" s="153"/>
      <c r="AR198" s="153"/>
      <c r="AS198" s="121"/>
      <c r="AT198" s="121"/>
      <c r="AU198" s="144">
        <f t="shared" ref="AU198" si="95">SUM(AQ198:AT198)</f>
        <v>0</v>
      </c>
      <c r="AV198" s="121"/>
      <c r="AW198" s="121"/>
      <c r="AX198" s="121"/>
      <c r="AY198" s="121"/>
      <c r="AZ198" s="144">
        <f t="shared" ref="AZ198" si="96">SUM(AV198:AY198)</f>
        <v>0</v>
      </c>
      <c r="BA198" s="123"/>
    </row>
    <row r="199" spans="1:53" s="2" customFormat="1">
      <c r="A199" s="9"/>
      <c r="B199" s="9" t="s">
        <v>412</v>
      </c>
      <c r="C199" s="117">
        <v>10493.546530000001</v>
      </c>
      <c r="D199" s="117">
        <v>8623.258960000001</v>
      </c>
      <c r="E199" s="117">
        <v>8436.6429800000114</v>
      </c>
      <c r="F199" s="117">
        <v>7946.1726499999895</v>
      </c>
      <c r="G199" s="118">
        <v>35499.621120000003</v>
      </c>
      <c r="H199" s="117">
        <v>9264.3064300000005</v>
      </c>
      <c r="I199" s="117">
        <v>7810.7663900000043</v>
      </c>
      <c r="J199" s="117">
        <v>8470.9131999999918</v>
      </c>
      <c r="K199" s="117">
        <v>9879.8485099999962</v>
      </c>
      <c r="L199" s="118">
        <v>35425.834529999993</v>
      </c>
      <c r="M199" s="117">
        <v>8902.2005899999949</v>
      </c>
      <c r="N199" s="117">
        <v>7032.6863600000015</v>
      </c>
      <c r="O199" s="117">
        <v>7093.1054300000069</v>
      </c>
      <c r="P199" s="117">
        <v>8289.1596500000123</v>
      </c>
      <c r="Q199" s="118">
        <v>31317.152030000016</v>
      </c>
      <c r="R199" s="117">
        <v>7659.5942000000032</v>
      </c>
      <c r="S199" s="117">
        <v>5709.6481800000183</v>
      </c>
      <c r="T199" s="117">
        <v>6503.2997700000051</v>
      </c>
      <c r="U199" s="117">
        <v>3875.9620599999362</v>
      </c>
      <c r="V199" s="118">
        <v>23748.504209999963</v>
      </c>
      <c r="W199" s="117">
        <v>7870.3996600000073</v>
      </c>
      <c r="X199" s="117">
        <v>10149.854069999998</v>
      </c>
      <c r="Y199" s="117">
        <v>5834.9897499999606</v>
      </c>
      <c r="Z199" s="117">
        <v>7716.6512100000327</v>
      </c>
      <c r="AA199" s="118">
        <v>31571.894689999997</v>
      </c>
      <c r="AB199" s="117">
        <v>7313.441880000003</v>
      </c>
      <c r="AC199" s="117">
        <v>7432.0135699999983</v>
      </c>
      <c r="AD199" s="117">
        <v>5671.4982799999998</v>
      </c>
      <c r="AE199" s="117">
        <v>6513.0443199999663</v>
      </c>
      <c r="AF199" s="118">
        <f>SUM(AB199:AE199)</f>
        <v>26929.998049999966</v>
      </c>
      <c r="AG199" s="117">
        <v>5806</v>
      </c>
      <c r="AH199" s="117">
        <v>5263</v>
      </c>
      <c r="AI199" s="160">
        <v>5294</v>
      </c>
      <c r="AJ199" s="160">
        <v>2987</v>
      </c>
      <c r="AK199" s="118">
        <f>SUM(AG199:AJ199)</f>
        <v>19350</v>
      </c>
      <c r="AL199" s="117"/>
      <c r="AM199" s="117"/>
      <c r="AN199" s="160"/>
      <c r="AO199" s="160"/>
      <c r="AP199" s="118">
        <f>SUM(AL199:AO199)</f>
        <v>0</v>
      </c>
      <c r="AQ199" s="117"/>
      <c r="AR199" s="117"/>
      <c r="AS199" s="160"/>
      <c r="AT199" s="160"/>
      <c r="AU199" s="118">
        <f>SUM(AQ199:AT199)</f>
        <v>0</v>
      </c>
      <c r="AV199" s="160"/>
      <c r="AW199" s="160"/>
      <c r="AX199" s="160"/>
      <c r="AY199" s="160"/>
      <c r="AZ199" s="118">
        <f>SUM(AV199:AY199)</f>
        <v>0</v>
      </c>
      <c r="BA199" s="117"/>
    </row>
    <row r="200" spans="1:53">
      <c r="A200" s="11"/>
      <c r="B200" s="11" t="s">
        <v>413</v>
      </c>
      <c r="C200" s="153">
        <v>-7787.3304800000014</v>
      </c>
      <c r="D200" s="153">
        <v>-7640.8733900000016</v>
      </c>
      <c r="E200" s="153">
        <v>-6294.2265800000005</v>
      </c>
      <c r="F200" s="153">
        <v>-7335.1014499999874</v>
      </c>
      <c r="G200" s="144">
        <v>-29057.531899999991</v>
      </c>
      <c r="H200" s="153">
        <v>-6949.1141799999987</v>
      </c>
      <c r="I200" s="153">
        <v>-6747.5085800000015</v>
      </c>
      <c r="J200" s="153">
        <v>-7160.3744499999866</v>
      </c>
      <c r="K200" s="153">
        <v>-7464.8817999999956</v>
      </c>
      <c r="L200" s="144">
        <v>-28321.879009999982</v>
      </c>
      <c r="M200" s="153">
        <v>-8244.2453100000021</v>
      </c>
      <c r="N200" s="153">
        <v>-7995.2995799999971</v>
      </c>
      <c r="O200" s="153">
        <v>-7989.5583900000074</v>
      </c>
      <c r="P200" s="153">
        <v>-7896.3155599999955</v>
      </c>
      <c r="Q200" s="144">
        <v>-32125.418840000002</v>
      </c>
      <c r="R200" s="153">
        <v>-6201.7379000000019</v>
      </c>
      <c r="S200" s="153">
        <v>-6742.4199600000011</v>
      </c>
      <c r="T200" s="153">
        <v>-6752.5987000000023</v>
      </c>
      <c r="U200" s="153">
        <v>-11279.024869999997</v>
      </c>
      <c r="V200" s="144">
        <v>-30975.781430000003</v>
      </c>
      <c r="W200" s="153">
        <v>-4667.9414400000014</v>
      </c>
      <c r="X200" s="153">
        <v>-5376.3564299999989</v>
      </c>
      <c r="Y200" s="153">
        <v>-3875.3891700000004</v>
      </c>
      <c r="Z200" s="153">
        <v>-6165.7389300000068</v>
      </c>
      <c r="AA200" s="144">
        <v>-20085.425970000008</v>
      </c>
      <c r="AB200" s="153">
        <v>-5848.1204399999988</v>
      </c>
      <c r="AC200" s="153">
        <v>-4084.4443700000029</v>
      </c>
      <c r="AD200" s="153">
        <v>-3841.593109999998</v>
      </c>
      <c r="AE200" s="153">
        <v>-4997.5362300000024</v>
      </c>
      <c r="AF200" s="144">
        <f t="shared" ref="AF200:AF211" si="97">SUM(AB200:AE200)</f>
        <v>-18771.694150000003</v>
      </c>
      <c r="AG200" s="153">
        <v>-4420</v>
      </c>
      <c r="AH200" s="153">
        <v>-6321</v>
      </c>
      <c r="AI200" s="121">
        <v>-5453</v>
      </c>
      <c r="AJ200" s="121">
        <v>-3401</v>
      </c>
      <c r="AK200" s="144">
        <f t="shared" ref="AK200:AK211" si="98">SUM(AG200:AJ200)</f>
        <v>-19595</v>
      </c>
      <c r="AL200" s="153"/>
      <c r="AM200" s="153"/>
      <c r="AN200" s="121"/>
      <c r="AO200" s="121"/>
      <c r="AP200" s="144">
        <f t="shared" ref="AP200:AP211" si="99">SUM(AL200:AO200)</f>
        <v>0</v>
      </c>
      <c r="AQ200" s="153"/>
      <c r="AR200" s="153"/>
      <c r="AS200" s="121"/>
      <c r="AT200" s="121"/>
      <c r="AU200" s="144">
        <f t="shared" ref="AU200:AU211" si="100">SUM(AQ200:AT200)</f>
        <v>0</v>
      </c>
      <c r="AV200" s="121"/>
      <c r="AW200" s="121"/>
      <c r="AX200" s="121"/>
      <c r="AY200" s="121"/>
      <c r="AZ200" s="144">
        <f t="shared" ref="AZ200:AZ211" si="101">SUM(AV200:AY200)</f>
        <v>0</v>
      </c>
      <c r="BA200" s="123"/>
    </row>
    <row r="201" spans="1:53">
      <c r="A201" s="11"/>
      <c r="B201" s="11" t="s">
        <v>414</v>
      </c>
      <c r="C201" s="120">
        <v>-1388.0320300000001</v>
      </c>
      <c r="D201" s="120">
        <v>-1723.1989499999993</v>
      </c>
      <c r="E201" s="120">
        <v>-2095.60257</v>
      </c>
      <c r="F201" s="120">
        <v>-1804.0795699999999</v>
      </c>
      <c r="G201" s="154">
        <v>-7010.9131199999993</v>
      </c>
      <c r="H201" s="120">
        <v>-1399.61824</v>
      </c>
      <c r="I201" s="120">
        <v>-1217.0603199999998</v>
      </c>
      <c r="J201" s="120">
        <v>-1223.2703300000003</v>
      </c>
      <c r="K201" s="120">
        <v>-1125.8949499999985</v>
      </c>
      <c r="L201" s="154">
        <v>-4965.8438399999986</v>
      </c>
      <c r="M201" s="120">
        <v>-1462.8966799999998</v>
      </c>
      <c r="N201" s="120">
        <v>-1412.7437200000008</v>
      </c>
      <c r="O201" s="120">
        <v>-1291.1877199999985</v>
      </c>
      <c r="P201" s="120">
        <v>-1768.8124800000005</v>
      </c>
      <c r="Q201" s="154">
        <v>-5935.6405999999997</v>
      </c>
      <c r="R201" s="120">
        <v>-1017.7492100000001</v>
      </c>
      <c r="S201" s="120">
        <v>-911.18250000000046</v>
      </c>
      <c r="T201" s="120">
        <v>-853.53037999999947</v>
      </c>
      <c r="U201" s="120">
        <v>-862.56103000000076</v>
      </c>
      <c r="V201" s="154">
        <v>-3645.0231200000007</v>
      </c>
      <c r="W201" s="120">
        <v>-1237.17923</v>
      </c>
      <c r="X201" s="120">
        <v>-879.33839999999987</v>
      </c>
      <c r="Y201" s="120">
        <v>-3132.2237399999999</v>
      </c>
      <c r="Z201" s="120">
        <v>-781.8387900000007</v>
      </c>
      <c r="AA201" s="154">
        <v>-6030.5801600000004</v>
      </c>
      <c r="AB201" s="120">
        <v>-776.03315999999995</v>
      </c>
      <c r="AC201" s="120">
        <v>-1078.2984799999999</v>
      </c>
      <c r="AD201" s="120">
        <v>-687.46640000000025</v>
      </c>
      <c r="AE201" s="120">
        <v>-731.85462999999993</v>
      </c>
      <c r="AF201" s="154">
        <f t="shared" si="97"/>
        <v>-3273.6526699999999</v>
      </c>
      <c r="AG201" s="120">
        <v>-711</v>
      </c>
      <c r="AH201" s="120">
        <v>-656</v>
      </c>
      <c r="AI201" s="121">
        <v>-740</v>
      </c>
      <c r="AJ201" s="121">
        <v>-442</v>
      </c>
      <c r="AK201" s="154">
        <f t="shared" si="98"/>
        <v>-2549</v>
      </c>
      <c r="AL201" s="120"/>
      <c r="AM201" s="120"/>
      <c r="AN201" s="121"/>
      <c r="AO201" s="121"/>
      <c r="AP201" s="154">
        <f t="shared" si="99"/>
        <v>0</v>
      </c>
      <c r="AQ201" s="120"/>
      <c r="AR201" s="120"/>
      <c r="AS201" s="121"/>
      <c r="AT201" s="121"/>
      <c r="AU201" s="154">
        <f t="shared" si="100"/>
        <v>0</v>
      </c>
      <c r="AV201" s="121"/>
      <c r="AW201" s="121"/>
      <c r="AX201" s="121"/>
      <c r="AY201" s="121"/>
      <c r="AZ201" s="142">
        <f t="shared" si="101"/>
        <v>0</v>
      </c>
      <c r="BA201" s="651"/>
    </row>
    <row r="202" spans="1:53">
      <c r="A202" s="11"/>
      <c r="B202" s="11" t="s">
        <v>415</v>
      </c>
      <c r="C202" s="120">
        <v>856.80244999999979</v>
      </c>
      <c r="D202" s="120">
        <v>694.99446000000046</v>
      </c>
      <c r="E202" s="120">
        <v>652.31563999999912</v>
      </c>
      <c r="F202" s="120">
        <v>859.12374000000091</v>
      </c>
      <c r="G202" s="154">
        <v>3063.2362900000003</v>
      </c>
      <c r="H202" s="120">
        <v>959.73573999999985</v>
      </c>
      <c r="I202" s="120">
        <v>848.07328000000007</v>
      </c>
      <c r="J202" s="120">
        <v>790.70307000000071</v>
      </c>
      <c r="K202" s="120">
        <v>540.63235999999961</v>
      </c>
      <c r="L202" s="154">
        <v>3139.1444500000002</v>
      </c>
      <c r="M202" s="120">
        <v>521.4093499999999</v>
      </c>
      <c r="N202" s="120">
        <v>497.12423999999987</v>
      </c>
      <c r="O202" s="120">
        <v>410.11826000000019</v>
      </c>
      <c r="P202" s="120">
        <v>534.42372</v>
      </c>
      <c r="Q202" s="154">
        <v>1963.07557</v>
      </c>
      <c r="R202" s="120">
        <v>417.50639000000001</v>
      </c>
      <c r="S202" s="120">
        <v>405.53406000000018</v>
      </c>
      <c r="T202" s="120">
        <v>423.15403999999944</v>
      </c>
      <c r="U202" s="120">
        <v>292.41201000000046</v>
      </c>
      <c r="V202" s="154">
        <v>1538.6065000000001</v>
      </c>
      <c r="W202" s="120">
        <v>94.033770000000047</v>
      </c>
      <c r="X202" s="120">
        <v>169.39692999999988</v>
      </c>
      <c r="Y202" s="120">
        <v>-901.96732999999995</v>
      </c>
      <c r="Z202" s="120">
        <v>8.3391300000000683</v>
      </c>
      <c r="AA202" s="154">
        <v>-630.19749999999999</v>
      </c>
      <c r="AB202" s="120">
        <v>54.776710000000008</v>
      </c>
      <c r="AC202" s="120">
        <v>152.28307000000004</v>
      </c>
      <c r="AD202" s="120">
        <v>350.75756999999999</v>
      </c>
      <c r="AE202" s="120">
        <v>510.30389000000048</v>
      </c>
      <c r="AF202" s="154">
        <f t="shared" si="97"/>
        <v>1068.1212400000004</v>
      </c>
      <c r="AG202" s="120">
        <v>527</v>
      </c>
      <c r="AH202" s="120">
        <v>771</v>
      </c>
      <c r="AI202" s="121">
        <v>955</v>
      </c>
      <c r="AJ202" s="121">
        <v>646</v>
      </c>
      <c r="AK202" s="154">
        <f t="shared" si="98"/>
        <v>2899</v>
      </c>
      <c r="AL202" s="120"/>
      <c r="AM202" s="120"/>
      <c r="AN202" s="121"/>
      <c r="AO202" s="121"/>
      <c r="AP202" s="154">
        <f t="shared" si="99"/>
        <v>0</v>
      </c>
      <c r="AQ202" s="120"/>
      <c r="AR202" s="120"/>
      <c r="AS202" s="121"/>
      <c r="AT202" s="121"/>
      <c r="AU202" s="154">
        <f t="shared" si="100"/>
        <v>0</v>
      </c>
      <c r="AV202" s="121"/>
      <c r="AW202" s="121"/>
      <c r="AX202" s="121"/>
      <c r="AY202" s="121"/>
      <c r="AZ202" s="142">
        <f t="shared" si="101"/>
        <v>0</v>
      </c>
      <c r="BA202" s="651"/>
    </row>
    <row r="203" spans="1:53">
      <c r="A203" s="11"/>
      <c r="B203" s="11" t="s">
        <v>416</v>
      </c>
      <c r="C203" s="153">
        <v>6.548000000000001E-2</v>
      </c>
      <c r="D203" s="153">
        <v>0</v>
      </c>
      <c r="E203" s="153">
        <v>0</v>
      </c>
      <c r="F203" s="153">
        <v>0</v>
      </c>
      <c r="G203" s="144">
        <v>6.548000000000001E-2</v>
      </c>
      <c r="H203" s="153">
        <v>-130.26139999999998</v>
      </c>
      <c r="I203" s="153">
        <v>0</v>
      </c>
      <c r="J203" s="153">
        <v>0</v>
      </c>
      <c r="K203" s="153">
        <v>0</v>
      </c>
      <c r="L203" s="144">
        <v>-130.26139999999998</v>
      </c>
      <c r="M203" s="153">
        <v>0</v>
      </c>
      <c r="N203" s="153">
        <v>0</v>
      </c>
      <c r="O203" s="153">
        <v>0</v>
      </c>
      <c r="P203" s="153">
        <v>0</v>
      </c>
      <c r="Q203" s="144">
        <v>0</v>
      </c>
      <c r="R203" s="153">
        <v>0</v>
      </c>
      <c r="S203" s="153">
        <v>0</v>
      </c>
      <c r="T203" s="153">
        <v>0</v>
      </c>
      <c r="U203" s="153">
        <v>0</v>
      </c>
      <c r="V203" s="144">
        <v>0</v>
      </c>
      <c r="W203" s="153">
        <v>0</v>
      </c>
      <c r="X203" s="153">
        <v>0</v>
      </c>
      <c r="Y203" s="153">
        <v>0</v>
      </c>
      <c r="Z203" s="153">
        <v>0</v>
      </c>
      <c r="AA203" s="144">
        <v>0</v>
      </c>
      <c r="AB203" s="153">
        <v>0</v>
      </c>
      <c r="AC203" s="153">
        <v>0</v>
      </c>
      <c r="AD203" s="153">
        <v>0</v>
      </c>
      <c r="AE203" s="153">
        <v>0</v>
      </c>
      <c r="AF203" s="144">
        <f t="shared" si="97"/>
        <v>0</v>
      </c>
      <c r="AG203" s="153">
        <v>0</v>
      </c>
      <c r="AH203" s="153">
        <v>0</v>
      </c>
      <c r="AI203" s="121">
        <v>0</v>
      </c>
      <c r="AJ203" s="121">
        <v>0</v>
      </c>
      <c r="AK203" s="144">
        <f t="shared" si="98"/>
        <v>0</v>
      </c>
      <c r="AL203" s="153"/>
      <c r="AM203" s="153"/>
      <c r="AN203" s="121"/>
      <c r="AO203" s="121"/>
      <c r="AP203" s="144">
        <f t="shared" si="99"/>
        <v>0</v>
      </c>
      <c r="AQ203" s="153"/>
      <c r="AR203" s="153"/>
      <c r="AS203" s="121"/>
      <c r="AT203" s="121"/>
      <c r="AU203" s="144">
        <f t="shared" si="100"/>
        <v>0</v>
      </c>
      <c r="AV203" s="121"/>
      <c r="AW203" s="121"/>
      <c r="AX203" s="121"/>
      <c r="AY203" s="121"/>
      <c r="AZ203" s="144">
        <f t="shared" si="101"/>
        <v>0</v>
      </c>
      <c r="BA203" s="123"/>
    </row>
    <row r="204" spans="1:53" s="2" customFormat="1">
      <c r="A204" s="9"/>
      <c r="B204" s="9" t="s">
        <v>418</v>
      </c>
      <c r="C204" s="117">
        <v>2175.05195</v>
      </c>
      <c r="D204" s="117">
        <v>-45.818919999999366</v>
      </c>
      <c r="E204" s="117">
        <v>699.12947000001009</v>
      </c>
      <c r="F204" s="117">
        <v>-333.88462999999683</v>
      </c>
      <c r="G204" s="118">
        <v>2494.4778700000143</v>
      </c>
      <c r="H204" s="117">
        <v>1745.0483500000018</v>
      </c>
      <c r="I204" s="117">
        <v>694.27077000000304</v>
      </c>
      <c r="J204" s="117">
        <v>877.97149000000559</v>
      </c>
      <c r="K204" s="117">
        <v>1829.7041200000017</v>
      </c>
      <c r="L204" s="118">
        <v>5146.9947300000113</v>
      </c>
      <c r="M204" s="117">
        <v>-283.53205000000708</v>
      </c>
      <c r="N204" s="117">
        <v>-1878.2326999999966</v>
      </c>
      <c r="O204" s="117">
        <v>-1777.5224199999989</v>
      </c>
      <c r="P204" s="117">
        <v>-841.54466999998363</v>
      </c>
      <c r="Q204" s="118">
        <v>-4780.8318399999862</v>
      </c>
      <c r="R204" s="117">
        <v>857.61348000000123</v>
      </c>
      <c r="S204" s="117">
        <v>-1538.4202199999829</v>
      </c>
      <c r="T204" s="117">
        <v>-679.67526999999723</v>
      </c>
      <c r="U204" s="117">
        <v>-7973.211830000062</v>
      </c>
      <c r="V204" s="118">
        <v>-9333.6938400000399</v>
      </c>
      <c r="W204" s="117">
        <v>2059.3127600000062</v>
      </c>
      <c r="X204" s="117">
        <v>4063.5561699999989</v>
      </c>
      <c r="Y204" s="117">
        <v>-2074.5904900000396</v>
      </c>
      <c r="Z204" s="117">
        <v>777.4126200000253</v>
      </c>
      <c r="AA204" s="118">
        <v>4825.691059999991</v>
      </c>
      <c r="AB204" s="117">
        <f>SUM(AB199:AB203)</f>
        <v>744.06499000000429</v>
      </c>
      <c r="AC204" s="117">
        <f>SUM(AC199:AC203)</f>
        <v>2421.5537899999954</v>
      </c>
      <c r="AD204" s="117">
        <f>SUM(AD199:AD203)</f>
        <v>1493.1963400000016</v>
      </c>
      <c r="AE204" s="117">
        <v>1293.9573499999651</v>
      </c>
      <c r="AF204" s="118">
        <f t="shared" si="97"/>
        <v>5952.7724699999662</v>
      </c>
      <c r="AG204" s="117">
        <v>1202</v>
      </c>
      <c r="AH204" s="117">
        <v>-943</v>
      </c>
      <c r="AI204" s="160">
        <v>56</v>
      </c>
      <c r="AJ204" s="160">
        <v>-210</v>
      </c>
      <c r="AK204" s="118">
        <f t="shared" si="98"/>
        <v>105</v>
      </c>
      <c r="AL204" s="117"/>
      <c r="AM204" s="117"/>
      <c r="AN204" s="160"/>
      <c r="AO204" s="160"/>
      <c r="AP204" s="118">
        <f t="shared" si="99"/>
        <v>0</v>
      </c>
      <c r="AQ204" s="117"/>
      <c r="AR204" s="117"/>
      <c r="AS204" s="160"/>
      <c r="AT204" s="160"/>
      <c r="AU204" s="118">
        <f t="shared" si="100"/>
        <v>0</v>
      </c>
      <c r="AV204" s="160"/>
      <c r="AW204" s="160"/>
      <c r="AX204" s="160"/>
      <c r="AY204" s="160"/>
      <c r="AZ204" s="118">
        <f t="shared" si="101"/>
        <v>0</v>
      </c>
      <c r="BA204" s="117"/>
    </row>
    <row r="205" spans="1:53">
      <c r="A205" s="11"/>
      <c r="B205" s="11" t="s">
        <v>419</v>
      </c>
      <c r="C205" s="153">
        <v>0</v>
      </c>
      <c r="D205" s="153">
        <v>0</v>
      </c>
      <c r="E205" s="153">
        <v>0</v>
      </c>
      <c r="F205" s="153">
        <v>0</v>
      </c>
      <c r="G205" s="154">
        <v>0</v>
      </c>
      <c r="H205" s="153">
        <v>0</v>
      </c>
      <c r="I205" s="153">
        <v>0</v>
      </c>
      <c r="J205" s="153">
        <v>0</v>
      </c>
      <c r="K205" s="153">
        <v>0</v>
      </c>
      <c r="L205" s="154">
        <v>0</v>
      </c>
      <c r="M205" s="153">
        <v>0</v>
      </c>
      <c r="N205" s="153">
        <v>0</v>
      </c>
      <c r="O205" s="153">
        <v>0</v>
      </c>
      <c r="P205" s="153">
        <v>0</v>
      </c>
      <c r="Q205" s="154">
        <v>0</v>
      </c>
      <c r="R205" s="153">
        <v>0</v>
      </c>
      <c r="S205" s="153">
        <v>0</v>
      </c>
      <c r="T205" s="153">
        <v>0</v>
      </c>
      <c r="U205" s="153">
        <v>0</v>
      </c>
      <c r="V205" s="154">
        <v>0</v>
      </c>
      <c r="W205" s="153">
        <v>0</v>
      </c>
      <c r="X205" s="153">
        <v>0.17693999999999999</v>
      </c>
      <c r="Y205" s="153">
        <v>4.1539999999999994E-2</v>
      </c>
      <c r="Z205" s="153">
        <v>17.43197</v>
      </c>
      <c r="AA205" s="154">
        <v>17.650449999999999</v>
      </c>
      <c r="AB205" s="153">
        <v>2.077E-2</v>
      </c>
      <c r="AC205" s="153">
        <v>2.3549999999999998E-2</v>
      </c>
      <c r="AD205" s="153">
        <v>6.6479999999999997E-2</v>
      </c>
      <c r="AE205" s="153">
        <v>6.6479999999999997E-2</v>
      </c>
      <c r="AF205" s="154">
        <f t="shared" si="97"/>
        <v>0.17727999999999999</v>
      </c>
      <c r="AG205" s="153">
        <v>1</v>
      </c>
      <c r="AH205" s="153">
        <v>-12</v>
      </c>
      <c r="AI205" s="121">
        <v>13</v>
      </c>
      <c r="AJ205" s="121">
        <v>17</v>
      </c>
      <c r="AK205" s="154">
        <f t="shared" si="98"/>
        <v>19</v>
      </c>
      <c r="AL205" s="153"/>
      <c r="AM205" s="153"/>
      <c r="AN205" s="121"/>
      <c r="AO205" s="121"/>
      <c r="AP205" s="154">
        <f t="shared" si="99"/>
        <v>0</v>
      </c>
      <c r="AQ205" s="153"/>
      <c r="AR205" s="153"/>
      <c r="AS205" s="121"/>
      <c r="AT205" s="121"/>
      <c r="AU205" s="154">
        <f t="shared" si="100"/>
        <v>0</v>
      </c>
      <c r="AV205" s="121"/>
      <c r="AW205" s="121"/>
      <c r="AX205" s="121"/>
      <c r="AY205" s="121"/>
      <c r="AZ205" s="142">
        <f t="shared" si="101"/>
        <v>0</v>
      </c>
      <c r="BA205" s="651"/>
    </row>
    <row r="206" spans="1:53" s="2" customFormat="1">
      <c r="A206" s="9"/>
      <c r="B206" s="9" t="s">
        <v>420</v>
      </c>
      <c r="C206" s="117">
        <v>2175.05195</v>
      </c>
      <c r="D206" s="117">
        <v>-45.818919999999366</v>
      </c>
      <c r="E206" s="117">
        <v>699.12947000001009</v>
      </c>
      <c r="F206" s="117">
        <v>-333.88462999999683</v>
      </c>
      <c r="G206" s="118">
        <v>2494.4778700000143</v>
      </c>
      <c r="H206" s="117">
        <v>1745.0483500000018</v>
      </c>
      <c r="I206" s="117">
        <v>694.27077000000304</v>
      </c>
      <c r="J206" s="117">
        <v>877.97149000000559</v>
      </c>
      <c r="K206" s="117">
        <v>1829.7041200000017</v>
      </c>
      <c r="L206" s="118">
        <v>5146.9947300000113</v>
      </c>
      <c r="M206" s="117">
        <v>-283.53205000000708</v>
      </c>
      <c r="N206" s="117">
        <v>-1878.2326999999966</v>
      </c>
      <c r="O206" s="117">
        <v>-1777.5224199999989</v>
      </c>
      <c r="P206" s="117">
        <v>-841.54466999998363</v>
      </c>
      <c r="Q206" s="118">
        <v>-4780.8318399999862</v>
      </c>
      <c r="R206" s="117">
        <v>857.61348000000123</v>
      </c>
      <c r="S206" s="117">
        <v>-1538.4202199999829</v>
      </c>
      <c r="T206" s="117">
        <v>-679.67526999999723</v>
      </c>
      <c r="U206" s="117">
        <v>-7973.211830000062</v>
      </c>
      <c r="V206" s="118">
        <v>-9333.6938400000399</v>
      </c>
      <c r="W206" s="117">
        <v>2059.3127600000062</v>
      </c>
      <c r="X206" s="117">
        <v>4063.7331099999988</v>
      </c>
      <c r="Y206" s="117">
        <v>-2074.5489500000394</v>
      </c>
      <c r="Z206" s="117">
        <v>794.84459000002528</v>
      </c>
      <c r="AA206" s="118">
        <v>4843.3415099999911</v>
      </c>
      <c r="AB206" s="117">
        <f>SUM(AB204:AB205)</f>
        <v>744.08576000000426</v>
      </c>
      <c r="AC206" s="117">
        <f>SUM(AC204:AC205)</f>
        <v>2421.5773399999953</v>
      </c>
      <c r="AD206" s="117">
        <f>SUM(AD204:AD205)</f>
        <v>1493.2628200000015</v>
      </c>
      <c r="AE206" s="117">
        <v>1294.0238299999655</v>
      </c>
      <c r="AF206" s="118">
        <f t="shared" si="97"/>
        <v>5952.949749999967</v>
      </c>
      <c r="AG206" s="117">
        <v>1203</v>
      </c>
      <c r="AH206" s="117">
        <v>-955</v>
      </c>
      <c r="AI206" s="160">
        <v>69</v>
      </c>
      <c r="AJ206" s="160">
        <v>-193</v>
      </c>
      <c r="AK206" s="118">
        <f t="shared" si="98"/>
        <v>124</v>
      </c>
      <c r="AL206" s="117"/>
      <c r="AM206" s="117"/>
      <c r="AN206" s="160"/>
      <c r="AO206" s="160"/>
      <c r="AP206" s="118">
        <f t="shared" si="99"/>
        <v>0</v>
      </c>
      <c r="AQ206" s="117"/>
      <c r="AR206" s="117"/>
      <c r="AS206" s="160"/>
      <c r="AT206" s="160"/>
      <c r="AU206" s="118">
        <f t="shared" si="100"/>
        <v>0</v>
      </c>
      <c r="AV206" s="160"/>
      <c r="AW206" s="160"/>
      <c r="AX206" s="160"/>
      <c r="AY206" s="160"/>
      <c r="AZ206" s="118">
        <f t="shared" si="101"/>
        <v>0</v>
      </c>
      <c r="BA206" s="117"/>
    </row>
    <row r="207" spans="1:53">
      <c r="A207" s="11"/>
      <c r="B207" s="11" t="s">
        <v>421</v>
      </c>
      <c r="C207" s="153">
        <v>-68.211179999999999</v>
      </c>
      <c r="D207" s="153">
        <v>406.96002000000004</v>
      </c>
      <c r="E207" s="153">
        <v>-39.073789999999974</v>
      </c>
      <c r="F207" s="153">
        <v>401.13214999999991</v>
      </c>
      <c r="G207" s="154">
        <v>700.80719999999997</v>
      </c>
      <c r="H207" s="153">
        <v>-175.49486999999999</v>
      </c>
      <c r="I207" s="153">
        <v>417.68405000000007</v>
      </c>
      <c r="J207" s="153">
        <v>64.474199999999939</v>
      </c>
      <c r="K207" s="153">
        <v>381.5365900000001</v>
      </c>
      <c r="L207" s="154">
        <v>688.19997000000012</v>
      </c>
      <c r="M207" s="153">
        <v>601.14868000000001</v>
      </c>
      <c r="N207" s="153">
        <v>973.76021999999989</v>
      </c>
      <c r="O207" s="153">
        <v>952.57509000000027</v>
      </c>
      <c r="P207" s="153">
        <v>583.37433999999985</v>
      </c>
      <c r="Q207" s="154">
        <v>3110.85833</v>
      </c>
      <c r="R207" s="153">
        <v>-202.24269999999999</v>
      </c>
      <c r="S207" s="153">
        <v>329.85355999999996</v>
      </c>
      <c r="T207" s="153">
        <v>103.83903000000001</v>
      </c>
      <c r="U207" s="153">
        <v>-18923.019539999998</v>
      </c>
      <c r="V207" s="154">
        <v>-18691.569649999998</v>
      </c>
      <c r="W207" s="153">
        <v>-156.55195000000001</v>
      </c>
      <c r="X207" s="153">
        <v>-918.42304999999988</v>
      </c>
      <c r="Y207" s="153">
        <v>473.44598999999994</v>
      </c>
      <c r="Z207" s="153">
        <v>-117.50350000000003</v>
      </c>
      <c r="AA207" s="154">
        <v>-719.03251</v>
      </c>
      <c r="AB207" s="153">
        <v>-237.92010000000002</v>
      </c>
      <c r="AC207" s="153">
        <v>-131.70525999999998</v>
      </c>
      <c r="AD207" s="153">
        <v>-234.27489000000003</v>
      </c>
      <c r="AE207" s="153">
        <v>160.57901000000001</v>
      </c>
      <c r="AF207" s="154">
        <f t="shared" si="97"/>
        <v>-443.32123999999999</v>
      </c>
      <c r="AG207" s="153">
        <v>-225</v>
      </c>
      <c r="AH207" s="153">
        <v>-379</v>
      </c>
      <c r="AI207" s="121">
        <v>-304</v>
      </c>
      <c r="AJ207" s="121">
        <v>-67</v>
      </c>
      <c r="AK207" s="154">
        <f t="shared" si="98"/>
        <v>-975</v>
      </c>
      <c r="AL207" s="153"/>
      <c r="AM207" s="153"/>
      <c r="AN207" s="121"/>
      <c r="AO207" s="121"/>
      <c r="AP207" s="154">
        <f t="shared" si="99"/>
        <v>0</v>
      </c>
      <c r="AQ207" s="153"/>
      <c r="AR207" s="153"/>
      <c r="AS207" s="121"/>
      <c r="AT207" s="121"/>
      <c r="AU207" s="154">
        <f t="shared" si="100"/>
        <v>0</v>
      </c>
      <c r="AV207" s="121"/>
      <c r="AW207" s="121"/>
      <c r="AX207" s="121"/>
      <c r="AY207" s="121"/>
      <c r="AZ207" s="142">
        <f t="shared" si="101"/>
        <v>0</v>
      </c>
      <c r="BA207" s="651"/>
    </row>
    <row r="208" spans="1:53">
      <c r="A208" s="11"/>
      <c r="B208" s="11" t="s">
        <v>422</v>
      </c>
      <c r="C208" s="153">
        <v>-26.716030000000007</v>
      </c>
      <c r="D208" s="153">
        <v>144.34561000000002</v>
      </c>
      <c r="E208" s="153">
        <v>-10.32435000000001</v>
      </c>
      <c r="F208" s="153">
        <v>144.98536000000001</v>
      </c>
      <c r="G208" s="154">
        <v>252.29059000000001</v>
      </c>
      <c r="H208" s="153">
        <v>-67.283850000000001</v>
      </c>
      <c r="I208" s="153">
        <v>141.44321000000002</v>
      </c>
      <c r="J208" s="153">
        <v>60.08317999999997</v>
      </c>
      <c r="K208" s="153">
        <v>183.89356999999998</v>
      </c>
      <c r="L208" s="154">
        <v>318.13610999999997</v>
      </c>
      <c r="M208" s="153">
        <v>216.41353000000001</v>
      </c>
      <c r="N208" s="153">
        <v>350.5536699999999</v>
      </c>
      <c r="O208" s="153">
        <v>342.92702000000008</v>
      </c>
      <c r="P208" s="153">
        <v>210.01476999999988</v>
      </c>
      <c r="Q208" s="154">
        <v>1119.9089899999999</v>
      </c>
      <c r="R208" s="153">
        <v>-78.15876999999999</v>
      </c>
      <c r="S208" s="153">
        <v>117.40766999999997</v>
      </c>
      <c r="T208" s="153">
        <v>44.073060000000012</v>
      </c>
      <c r="U208" s="153">
        <v>-6812.2870199999998</v>
      </c>
      <c r="V208" s="154">
        <v>-6728.9650599999995</v>
      </c>
      <c r="W208" s="153">
        <v>-61.13729</v>
      </c>
      <c r="X208" s="153">
        <v>-340.97570999999999</v>
      </c>
      <c r="Y208" s="153">
        <v>171.29733999999999</v>
      </c>
      <c r="Z208" s="153">
        <v>-47.553370000000001</v>
      </c>
      <c r="AA208" s="154">
        <v>-278.36903000000001</v>
      </c>
      <c r="AB208" s="153">
        <v>-96.885070000000013</v>
      </c>
      <c r="AC208" s="153">
        <v>-51.468989999999991</v>
      </c>
      <c r="AD208" s="153">
        <v>-91.862519999999989</v>
      </c>
      <c r="AE208" s="153">
        <v>56.321719999999999</v>
      </c>
      <c r="AF208" s="154">
        <f t="shared" si="97"/>
        <v>-183.89485999999999</v>
      </c>
      <c r="AG208" s="153">
        <v>-86</v>
      </c>
      <c r="AH208" s="153">
        <v>-141</v>
      </c>
      <c r="AI208" s="121">
        <v>-146</v>
      </c>
      <c r="AJ208" s="121">
        <v>-43</v>
      </c>
      <c r="AK208" s="154">
        <f t="shared" si="98"/>
        <v>-416</v>
      </c>
      <c r="AL208" s="153"/>
      <c r="AM208" s="153"/>
      <c r="AN208" s="121"/>
      <c r="AO208" s="121"/>
      <c r="AP208" s="154">
        <f t="shared" si="99"/>
        <v>0</v>
      </c>
      <c r="AQ208" s="153"/>
      <c r="AR208" s="153"/>
      <c r="AS208" s="121"/>
      <c r="AT208" s="121"/>
      <c r="AU208" s="154">
        <f t="shared" si="100"/>
        <v>0</v>
      </c>
      <c r="AV208" s="121"/>
      <c r="AW208" s="121"/>
      <c r="AX208" s="121"/>
      <c r="AY208" s="121"/>
      <c r="AZ208" s="142">
        <f t="shared" si="101"/>
        <v>0</v>
      </c>
      <c r="BA208" s="651"/>
    </row>
    <row r="209" spans="1:53">
      <c r="A209" s="11"/>
      <c r="B209" s="11" t="s">
        <v>423</v>
      </c>
      <c r="C209" s="153">
        <v>0</v>
      </c>
      <c r="D209" s="153">
        <v>0</v>
      </c>
      <c r="E209" s="153">
        <v>0</v>
      </c>
      <c r="F209" s="153">
        <v>0</v>
      </c>
      <c r="G209" s="154">
        <v>0</v>
      </c>
      <c r="H209" s="153">
        <v>0</v>
      </c>
      <c r="I209" s="153">
        <v>0</v>
      </c>
      <c r="J209" s="153">
        <v>0</v>
      </c>
      <c r="K209" s="153">
        <v>0</v>
      </c>
      <c r="L209" s="154">
        <v>0</v>
      </c>
      <c r="M209" s="153">
        <v>0</v>
      </c>
      <c r="N209" s="153">
        <v>0</v>
      </c>
      <c r="O209" s="153">
        <v>0</v>
      </c>
      <c r="P209" s="153">
        <v>0</v>
      </c>
      <c r="Q209" s="154">
        <v>0</v>
      </c>
      <c r="R209" s="153">
        <v>0</v>
      </c>
      <c r="S209" s="153">
        <v>0</v>
      </c>
      <c r="T209" s="153">
        <v>0</v>
      </c>
      <c r="U209" s="153">
        <v>0</v>
      </c>
      <c r="V209" s="154">
        <v>0</v>
      </c>
      <c r="W209" s="153">
        <v>0</v>
      </c>
      <c r="X209" s="153">
        <v>0</v>
      </c>
      <c r="Y209" s="153">
        <v>0</v>
      </c>
      <c r="Z209" s="153">
        <v>0</v>
      </c>
      <c r="AA209" s="154">
        <v>0</v>
      </c>
      <c r="AB209" s="153">
        <v>0</v>
      </c>
      <c r="AC209" s="153">
        <v>0</v>
      </c>
      <c r="AD209" s="153">
        <v>0</v>
      </c>
      <c r="AE209" s="153">
        <v>0</v>
      </c>
      <c r="AF209" s="154">
        <f t="shared" si="97"/>
        <v>0</v>
      </c>
      <c r="AG209" s="153">
        <v>0</v>
      </c>
      <c r="AH209" s="153">
        <v>0</v>
      </c>
      <c r="AI209" s="121">
        <v>0</v>
      </c>
      <c r="AJ209" s="121">
        <v>0</v>
      </c>
      <c r="AK209" s="154">
        <f t="shared" si="98"/>
        <v>0</v>
      </c>
      <c r="AL209" s="153"/>
      <c r="AM209" s="153"/>
      <c r="AN209" s="121"/>
      <c r="AO209" s="121"/>
      <c r="AP209" s="154">
        <f t="shared" si="99"/>
        <v>0</v>
      </c>
      <c r="AQ209" s="153"/>
      <c r="AR209" s="153"/>
      <c r="AS209" s="121"/>
      <c r="AT209" s="121"/>
      <c r="AU209" s="154">
        <f t="shared" si="100"/>
        <v>0</v>
      </c>
      <c r="AV209" s="121"/>
      <c r="AW209" s="121"/>
      <c r="AX209" s="121"/>
      <c r="AY209" s="121"/>
      <c r="AZ209" s="142">
        <f t="shared" si="101"/>
        <v>0</v>
      </c>
      <c r="BA209" s="651"/>
    </row>
    <row r="210" spans="1:53">
      <c r="A210" s="11"/>
      <c r="B210" s="11" t="s">
        <v>424</v>
      </c>
      <c r="C210" s="153">
        <v>0</v>
      </c>
      <c r="D210" s="153">
        <v>0</v>
      </c>
      <c r="E210" s="153">
        <v>-203.68379999999999</v>
      </c>
      <c r="F210" s="153">
        <v>203.68379999999999</v>
      </c>
      <c r="G210" s="154">
        <v>0</v>
      </c>
      <c r="H210" s="153">
        <v>0</v>
      </c>
      <c r="I210" s="153">
        <v>0</v>
      </c>
      <c r="J210" s="153">
        <v>0</v>
      </c>
      <c r="K210" s="153">
        <v>0</v>
      </c>
      <c r="L210" s="154">
        <v>0</v>
      </c>
      <c r="M210" s="153">
        <v>0</v>
      </c>
      <c r="N210" s="153">
        <v>0</v>
      </c>
      <c r="O210" s="153">
        <v>0</v>
      </c>
      <c r="P210" s="153">
        <v>0</v>
      </c>
      <c r="Q210" s="154">
        <v>0</v>
      </c>
      <c r="R210" s="153">
        <v>0</v>
      </c>
      <c r="S210" s="153">
        <v>0</v>
      </c>
      <c r="T210" s="153">
        <v>0</v>
      </c>
      <c r="U210" s="153">
        <v>0</v>
      </c>
      <c r="V210" s="154">
        <v>0</v>
      </c>
      <c r="W210" s="153">
        <v>0</v>
      </c>
      <c r="X210" s="153">
        <v>0</v>
      </c>
      <c r="Y210" s="153">
        <v>0</v>
      </c>
      <c r="Z210" s="153">
        <v>0</v>
      </c>
      <c r="AA210" s="154">
        <v>0</v>
      </c>
      <c r="AB210" s="153">
        <v>0</v>
      </c>
      <c r="AC210" s="153">
        <v>0</v>
      </c>
      <c r="AD210" s="153">
        <v>0</v>
      </c>
      <c r="AE210" s="153">
        <v>0</v>
      </c>
      <c r="AF210" s="154">
        <f t="shared" si="97"/>
        <v>0</v>
      </c>
      <c r="AG210" s="153">
        <v>0</v>
      </c>
      <c r="AH210" s="153">
        <v>0</v>
      </c>
      <c r="AI210" s="121">
        <v>0</v>
      </c>
      <c r="AJ210" s="121">
        <v>0</v>
      </c>
      <c r="AK210" s="154">
        <f t="shared" si="98"/>
        <v>0</v>
      </c>
      <c r="AL210" s="153"/>
      <c r="AM210" s="153"/>
      <c r="AN210" s="121"/>
      <c r="AO210" s="121"/>
      <c r="AP210" s="154">
        <f t="shared" si="99"/>
        <v>0</v>
      </c>
      <c r="AQ210" s="153"/>
      <c r="AR210" s="153"/>
      <c r="AS210" s="121"/>
      <c r="AT210" s="121"/>
      <c r="AU210" s="154">
        <f t="shared" si="100"/>
        <v>0</v>
      </c>
      <c r="AV210" s="121"/>
      <c r="AW210" s="121"/>
      <c r="AX210" s="121"/>
      <c r="AY210" s="121"/>
      <c r="AZ210" s="142">
        <f t="shared" si="101"/>
        <v>0</v>
      </c>
      <c r="BA210" s="651"/>
    </row>
    <row r="211" spans="1:53" s="2" customFormat="1">
      <c r="A211" s="15"/>
      <c r="B211" s="15" t="s">
        <v>450</v>
      </c>
      <c r="C211" s="155">
        <v>2080.1247400000002</v>
      </c>
      <c r="D211" s="155">
        <v>505.4867100000007</v>
      </c>
      <c r="E211" s="155">
        <v>446.04753000001017</v>
      </c>
      <c r="F211" s="155">
        <v>415.91668000000311</v>
      </c>
      <c r="G211" s="156">
        <v>3447.5756600000141</v>
      </c>
      <c r="H211" s="155">
        <v>1502.2696300000018</v>
      </c>
      <c r="I211" s="155">
        <v>1253.398030000003</v>
      </c>
      <c r="J211" s="155">
        <v>1002.5288700000054</v>
      </c>
      <c r="K211" s="155">
        <v>2395.134280000002</v>
      </c>
      <c r="L211" s="156">
        <v>6153.3308100000122</v>
      </c>
      <c r="M211" s="155">
        <v>534.03015999999297</v>
      </c>
      <c r="N211" s="155">
        <v>-553.91880999999682</v>
      </c>
      <c r="O211" s="155">
        <v>-482.02030999999852</v>
      </c>
      <c r="P211" s="155">
        <v>-48.155559999983893</v>
      </c>
      <c r="Q211" s="156">
        <v>-550.06451999998626</v>
      </c>
      <c r="R211" s="155">
        <v>577.21201000000121</v>
      </c>
      <c r="S211" s="155">
        <v>-1091.1589899999829</v>
      </c>
      <c r="T211" s="155">
        <v>-531.76317999999719</v>
      </c>
      <c r="U211" s="155">
        <v>-33708.518390000056</v>
      </c>
      <c r="V211" s="156">
        <v>-34754.228550000036</v>
      </c>
      <c r="W211" s="155">
        <v>1841.6235200000062</v>
      </c>
      <c r="X211" s="155">
        <v>2804.3343499999987</v>
      </c>
      <c r="Y211" s="155">
        <v>-1429.8056200000394</v>
      </c>
      <c r="Z211" s="155">
        <v>629.78772000002527</v>
      </c>
      <c r="AA211" s="156">
        <v>3845.9399699999908</v>
      </c>
      <c r="AB211" s="155">
        <f>SUM(AB206:AB210)</f>
        <v>409.28059000000417</v>
      </c>
      <c r="AC211" s="155">
        <f>SUM(AC206:AC210)</f>
        <v>2238.4030899999952</v>
      </c>
      <c r="AD211" s="155">
        <f>SUM(AD206:AD210)</f>
        <v>1167.1254100000017</v>
      </c>
      <c r="AE211" s="155">
        <v>1510.9245599999651</v>
      </c>
      <c r="AF211" s="156">
        <f t="shared" si="97"/>
        <v>5325.7336499999656</v>
      </c>
      <c r="AG211" s="155">
        <v>892</v>
      </c>
      <c r="AH211" s="155">
        <v>-1475</v>
      </c>
      <c r="AI211" s="155">
        <v>-381</v>
      </c>
      <c r="AJ211" s="155">
        <v>-303</v>
      </c>
      <c r="AK211" s="156">
        <f t="shared" si="98"/>
        <v>-1267</v>
      </c>
      <c r="AL211" s="155"/>
      <c r="AM211" s="155"/>
      <c r="AN211" s="155"/>
      <c r="AO211" s="155"/>
      <c r="AP211" s="156">
        <f t="shared" si="99"/>
        <v>0</v>
      </c>
      <c r="AQ211" s="155"/>
      <c r="AR211" s="155"/>
      <c r="AS211" s="155"/>
      <c r="AT211" s="155"/>
      <c r="AU211" s="156">
        <f t="shared" si="100"/>
        <v>0</v>
      </c>
      <c r="AV211" s="155"/>
      <c r="AW211" s="155"/>
      <c r="AX211" s="155"/>
      <c r="AY211" s="155"/>
      <c r="AZ211" s="156">
        <f t="shared" si="101"/>
        <v>0</v>
      </c>
      <c r="BA211" s="667"/>
    </row>
    <row r="212" spans="1:53">
      <c r="A212" s="11"/>
      <c r="B212" s="11" t="s">
        <v>468</v>
      </c>
      <c r="C212" s="120">
        <v>2080.1247400000002</v>
      </c>
      <c r="D212" s="120">
        <v>505.4867100000007</v>
      </c>
      <c r="E212" s="120">
        <v>446.04753000001017</v>
      </c>
      <c r="F212" s="120">
        <v>415.91668000000311</v>
      </c>
      <c r="G212" s="154">
        <v>3447.5756600000141</v>
      </c>
      <c r="H212" s="120">
        <v>1502.2696300000018</v>
      </c>
      <c r="I212" s="120">
        <v>1253.398030000003</v>
      </c>
      <c r="J212" s="120">
        <v>1002.5288700000054</v>
      </c>
      <c r="K212" s="120">
        <v>2395.134280000002</v>
      </c>
      <c r="L212" s="154">
        <v>6153.3308100000122</v>
      </c>
      <c r="M212" s="120">
        <v>534.03015999999297</v>
      </c>
      <c r="N212" s="120">
        <v>-553.91880999999682</v>
      </c>
      <c r="O212" s="120">
        <v>-482.02030999999852</v>
      </c>
      <c r="P212" s="120">
        <v>-48.155559999983893</v>
      </c>
      <c r="Q212" s="154">
        <v>-550.06451999998626</v>
      </c>
      <c r="R212" s="120">
        <v>577.21201000000121</v>
      </c>
      <c r="S212" s="120">
        <v>-1091.1589899999829</v>
      </c>
      <c r="T212" s="120">
        <v>-531.76317999999719</v>
      </c>
      <c r="U212" s="120">
        <v>-33708.518390000056</v>
      </c>
      <c r="V212" s="154">
        <v>-34754.228550000036</v>
      </c>
      <c r="W212" s="120">
        <v>1841.6235200000062</v>
      </c>
      <c r="X212" s="120">
        <v>2804.3343499999987</v>
      </c>
      <c r="Y212" s="120">
        <v>-1429.8056200000394</v>
      </c>
      <c r="Z212" s="120">
        <v>629.78772000002527</v>
      </c>
      <c r="AA212" s="154">
        <v>3845.9399699999908</v>
      </c>
      <c r="AB212" s="120">
        <f>AB211</f>
        <v>409.28059000000417</v>
      </c>
      <c r="AC212" s="120">
        <f t="shared" ref="AC212:AE212" si="102">AC211</f>
        <v>2238.4030899999952</v>
      </c>
      <c r="AD212" s="120">
        <f t="shared" si="102"/>
        <v>1167.1254100000017</v>
      </c>
      <c r="AE212" s="120">
        <f t="shared" si="102"/>
        <v>1510.9245599999651</v>
      </c>
      <c r="AF212" s="154">
        <f>SUM(AB212:AE212)</f>
        <v>5325.7336499999656</v>
      </c>
      <c r="AG212" s="120">
        <v>892</v>
      </c>
      <c r="AH212" s="120">
        <v>-583</v>
      </c>
      <c r="AI212" s="121">
        <f>AI211</f>
        <v>-381</v>
      </c>
      <c r="AJ212" s="121">
        <v>-303</v>
      </c>
      <c r="AK212" s="154">
        <f>SUM(AG212:AJ212)</f>
        <v>-375</v>
      </c>
      <c r="AL212" s="120"/>
      <c r="AM212" s="120"/>
      <c r="AN212" s="121"/>
      <c r="AO212" s="121"/>
      <c r="AP212" s="154">
        <f>SUM(AL212:AO212)</f>
        <v>0</v>
      </c>
      <c r="AQ212" s="120"/>
      <c r="AR212" s="120"/>
      <c r="AS212" s="121"/>
      <c r="AT212" s="121"/>
      <c r="AU212" s="154">
        <f>SUM(AQ212:AT212)</f>
        <v>0</v>
      </c>
      <c r="AV212" s="121"/>
      <c r="AW212" s="121"/>
      <c r="AX212" s="121"/>
      <c r="AY212" s="121"/>
      <c r="AZ212" s="142">
        <f>SUM(AV212:AY212)</f>
        <v>0</v>
      </c>
      <c r="BA212" s="651"/>
    </row>
    <row r="213" spans="1:53">
      <c r="A213" s="11"/>
      <c r="B213" s="11" t="s">
        <v>436</v>
      </c>
      <c r="C213" s="120">
        <v>0</v>
      </c>
      <c r="D213" s="120">
        <v>0</v>
      </c>
      <c r="E213" s="120">
        <v>0</v>
      </c>
      <c r="F213" s="120">
        <v>0</v>
      </c>
      <c r="G213" s="154">
        <v>0</v>
      </c>
      <c r="H213" s="120">
        <v>0</v>
      </c>
      <c r="I213" s="120">
        <v>0</v>
      </c>
      <c r="J213" s="120">
        <v>0</v>
      </c>
      <c r="K213" s="120">
        <v>0</v>
      </c>
      <c r="L213" s="154">
        <v>0</v>
      </c>
      <c r="M213" s="120">
        <v>0</v>
      </c>
      <c r="N213" s="120">
        <v>0</v>
      </c>
      <c r="O213" s="120">
        <v>0</v>
      </c>
      <c r="P213" s="120">
        <v>0</v>
      </c>
      <c r="Q213" s="154">
        <v>0</v>
      </c>
      <c r="R213" s="120">
        <v>0</v>
      </c>
      <c r="S213" s="120">
        <v>0</v>
      </c>
      <c r="T213" s="120">
        <v>0</v>
      </c>
      <c r="U213" s="120">
        <v>0</v>
      </c>
      <c r="V213" s="154">
        <v>0</v>
      </c>
      <c r="W213" s="120">
        <v>0</v>
      </c>
      <c r="X213" s="120">
        <v>0</v>
      </c>
      <c r="Y213" s="120">
        <v>0</v>
      </c>
      <c r="Z213" s="120">
        <v>0</v>
      </c>
      <c r="AA213" s="154">
        <v>0</v>
      </c>
      <c r="AB213" s="120">
        <v>0</v>
      </c>
      <c r="AC213" s="120">
        <v>0</v>
      </c>
      <c r="AD213" s="120">
        <v>0</v>
      </c>
      <c r="AE213" s="120">
        <v>0</v>
      </c>
      <c r="AF213" s="154">
        <v>0</v>
      </c>
      <c r="AG213" s="120">
        <v>0</v>
      </c>
      <c r="AH213" s="120">
        <v>0</v>
      </c>
      <c r="AI213" s="121">
        <v>0</v>
      </c>
      <c r="AJ213" s="121">
        <v>0</v>
      </c>
      <c r="AK213" s="154">
        <v>0</v>
      </c>
      <c r="AL213" s="120"/>
      <c r="AM213" s="120"/>
      <c r="AN213" s="121"/>
      <c r="AO213" s="121"/>
      <c r="AP213" s="154">
        <v>0</v>
      </c>
      <c r="AQ213" s="120"/>
      <c r="AR213" s="120"/>
      <c r="AS213" s="121"/>
      <c r="AT213" s="121"/>
      <c r="AU213" s="154">
        <v>0</v>
      </c>
      <c r="AV213" s="121"/>
      <c r="AW213" s="121"/>
      <c r="AX213" s="121"/>
      <c r="AY213" s="121"/>
      <c r="AZ213" s="142">
        <v>0</v>
      </c>
      <c r="BA213" s="651"/>
    </row>
    <row r="214" spans="1:53">
      <c r="A214" s="11"/>
      <c r="B214" s="11" t="s">
        <v>470</v>
      </c>
      <c r="C214" s="120">
        <v>2080.1247400000002</v>
      </c>
      <c r="D214" s="120">
        <v>505.4867100000007</v>
      </c>
      <c r="E214" s="120">
        <v>446.04753000001017</v>
      </c>
      <c r="F214" s="120">
        <v>415.91668000000311</v>
      </c>
      <c r="G214" s="154">
        <v>3447.5756600000141</v>
      </c>
      <c r="H214" s="120">
        <v>1502.2696300000018</v>
      </c>
      <c r="I214" s="120">
        <v>1253.398030000003</v>
      </c>
      <c r="J214" s="120">
        <v>1002.5288700000054</v>
      </c>
      <c r="K214" s="120">
        <v>2395.134280000002</v>
      </c>
      <c r="L214" s="154">
        <v>6153.3308100000122</v>
      </c>
      <c r="M214" s="120">
        <v>534.03015999999297</v>
      </c>
      <c r="N214" s="120">
        <v>-553.91880999999682</v>
      </c>
      <c r="O214" s="120">
        <v>-482.02030999999852</v>
      </c>
      <c r="P214" s="120">
        <v>-48.155559999983893</v>
      </c>
      <c r="Q214" s="154">
        <v>-550.06451999998626</v>
      </c>
      <c r="R214" s="120">
        <v>577.21201000000121</v>
      </c>
      <c r="S214" s="120">
        <v>-1091.1589899999829</v>
      </c>
      <c r="T214" s="120">
        <v>-531.76317999999719</v>
      </c>
      <c r="U214" s="120">
        <v>-33708.518390000056</v>
      </c>
      <c r="V214" s="154">
        <v>-34754.228550000036</v>
      </c>
      <c r="W214" s="120">
        <v>1841.6235200000062</v>
      </c>
      <c r="X214" s="120">
        <v>2804.3343499999987</v>
      </c>
      <c r="Y214" s="120">
        <v>-1429.8056200000394</v>
      </c>
      <c r="Z214" s="120">
        <v>629.78772000002527</v>
      </c>
      <c r="AA214" s="154">
        <v>3845.9399699999908</v>
      </c>
      <c r="AB214" s="120">
        <f>SUM(AB212:AB213)</f>
        <v>409.28059000000417</v>
      </c>
      <c r="AC214" s="120">
        <f t="shared" ref="AC214:AE214" si="103">SUM(AC212:AC213)</f>
        <v>2238.4030899999952</v>
      </c>
      <c r="AD214" s="120">
        <f t="shared" si="103"/>
        <v>1167.1254100000017</v>
      </c>
      <c r="AE214" s="120">
        <f t="shared" si="103"/>
        <v>1510.9245599999651</v>
      </c>
      <c r="AF214" s="154">
        <f>SUM(AB214:AE214)</f>
        <v>5325.7336499999656</v>
      </c>
      <c r="AG214" s="120">
        <v>892</v>
      </c>
      <c r="AH214" s="120">
        <v>-583</v>
      </c>
      <c r="AI214" s="121">
        <f>AI211</f>
        <v>-381</v>
      </c>
      <c r="AJ214" s="121">
        <v>-303</v>
      </c>
      <c r="AK214" s="154">
        <f>SUM(AG214:AJ214)</f>
        <v>-375</v>
      </c>
      <c r="AL214" s="120"/>
      <c r="AM214" s="120"/>
      <c r="AN214" s="121"/>
      <c r="AO214" s="121"/>
      <c r="AP214" s="154">
        <f>SUM(AL214:AO214)</f>
        <v>0</v>
      </c>
      <c r="AQ214" s="120"/>
      <c r="AR214" s="120"/>
      <c r="AS214" s="121"/>
      <c r="AT214" s="121"/>
      <c r="AU214" s="154">
        <f>SUM(AQ214:AT214)</f>
        <v>0</v>
      </c>
      <c r="AV214" s="121"/>
      <c r="AW214" s="121"/>
      <c r="AX214" s="121"/>
      <c r="AY214" s="121"/>
      <c r="AZ214" s="142">
        <f>SUM(AV214:AY214)</f>
        <v>0</v>
      </c>
      <c r="BA214" s="651"/>
    </row>
    <row r="215" spans="1:53">
      <c r="A215" s="11"/>
      <c r="B215" s="11" t="s">
        <v>471</v>
      </c>
      <c r="C215" s="120">
        <v>0</v>
      </c>
      <c r="D215" s="120">
        <v>0</v>
      </c>
      <c r="E215" s="120">
        <v>0</v>
      </c>
      <c r="F215" s="120">
        <v>0</v>
      </c>
      <c r="G215" s="154">
        <v>0</v>
      </c>
      <c r="H215" s="120">
        <v>0</v>
      </c>
      <c r="I215" s="120">
        <v>0</v>
      </c>
      <c r="J215" s="120">
        <v>0</v>
      </c>
      <c r="K215" s="120">
        <v>0</v>
      </c>
      <c r="L215" s="154">
        <v>0</v>
      </c>
      <c r="M215" s="120">
        <v>0</v>
      </c>
      <c r="N215" s="120">
        <v>0</v>
      </c>
      <c r="O215" s="120">
        <v>0</v>
      </c>
      <c r="P215" s="120">
        <v>0</v>
      </c>
      <c r="Q215" s="154">
        <v>0</v>
      </c>
      <c r="R215" s="120">
        <v>0</v>
      </c>
      <c r="S215" s="120">
        <v>0</v>
      </c>
      <c r="T215" s="120">
        <v>0</v>
      </c>
      <c r="U215" s="120">
        <v>0</v>
      </c>
      <c r="V215" s="154">
        <v>0</v>
      </c>
      <c r="W215" s="120">
        <v>0</v>
      </c>
      <c r="X215" s="120">
        <v>0</v>
      </c>
      <c r="Y215" s="120">
        <v>0</v>
      </c>
      <c r="Z215" s="121">
        <v>0</v>
      </c>
      <c r="AA215" s="154">
        <v>0</v>
      </c>
      <c r="AB215" s="120">
        <v>0</v>
      </c>
      <c r="AC215" s="120">
        <v>0</v>
      </c>
      <c r="AD215" s="120">
        <v>0</v>
      </c>
      <c r="AE215" s="120">
        <v>0</v>
      </c>
      <c r="AF215" s="154">
        <v>0</v>
      </c>
      <c r="AG215" s="120">
        <v>0</v>
      </c>
      <c r="AH215" s="120">
        <v>0</v>
      </c>
      <c r="AI215" s="121">
        <v>0</v>
      </c>
      <c r="AJ215" s="121">
        <v>0</v>
      </c>
      <c r="AK215" s="154">
        <v>0</v>
      </c>
      <c r="AL215" s="120"/>
      <c r="AM215" s="120"/>
      <c r="AN215" s="121"/>
      <c r="AO215" s="121"/>
      <c r="AP215" s="154">
        <v>0</v>
      </c>
      <c r="AQ215" s="120"/>
      <c r="AR215" s="120"/>
      <c r="AS215" s="121"/>
      <c r="AT215" s="121"/>
      <c r="AU215" s="154">
        <v>0</v>
      </c>
      <c r="AV215" s="121"/>
      <c r="AW215" s="121"/>
      <c r="AX215" s="121"/>
      <c r="AY215" s="121"/>
      <c r="AZ215" s="142">
        <v>0</v>
      </c>
      <c r="BA215" s="651"/>
    </row>
    <row r="216" spans="1:53" ht="15.75" thickBot="1">
      <c r="A216" s="17"/>
      <c r="B216" s="17" t="s">
        <v>451</v>
      </c>
      <c r="C216" s="18">
        <v>0.48209999999999997</v>
      </c>
      <c r="D216" s="18">
        <v>0.48209999999999997</v>
      </c>
      <c r="E216" s="18">
        <v>0.48209999999999997</v>
      </c>
      <c r="F216" s="18">
        <v>0.48209999999999997</v>
      </c>
      <c r="G216" s="48">
        <v>0.48209999999999997</v>
      </c>
      <c r="H216" s="18">
        <v>0.48209999999999997</v>
      </c>
      <c r="I216" s="18">
        <v>0.48209999999999997</v>
      </c>
      <c r="J216" s="18">
        <v>0.48209999999999997</v>
      </c>
      <c r="K216" s="18">
        <v>0.48209999999999997</v>
      </c>
      <c r="L216" s="48">
        <v>0.48209999999999997</v>
      </c>
      <c r="M216" s="18">
        <v>0.48209999999999997</v>
      </c>
      <c r="N216" s="18">
        <v>0.48209999999999997</v>
      </c>
      <c r="O216" s="18">
        <v>0.48209999999999997</v>
      </c>
      <c r="P216" s="18">
        <v>0.48209999999999997</v>
      </c>
      <c r="Q216" s="48">
        <v>0.48209999999999997</v>
      </c>
      <c r="R216" s="18">
        <v>0.48209999999999997</v>
      </c>
      <c r="S216" s="18">
        <v>0.48209999999999997</v>
      </c>
      <c r="T216" s="18">
        <v>0.48209999999999997</v>
      </c>
      <c r="U216" s="18">
        <v>0.48209999999999997</v>
      </c>
      <c r="V216" s="48">
        <v>0.48209999999999997</v>
      </c>
      <c r="W216" s="18">
        <v>0.48209999999999997</v>
      </c>
      <c r="X216" s="18">
        <v>0.48209999999999997</v>
      </c>
      <c r="Y216" s="18">
        <v>0.48209999999999997</v>
      </c>
      <c r="Z216" s="18">
        <v>0.48209999999999997</v>
      </c>
      <c r="AA216" s="48">
        <v>0.48209999999999997</v>
      </c>
      <c r="AB216" s="18">
        <v>0.48249999999999998</v>
      </c>
      <c r="AC216" s="18">
        <v>0.48249999999999998</v>
      </c>
      <c r="AD216" s="18">
        <v>0.48249999999999998</v>
      </c>
      <c r="AE216" s="18">
        <v>0.48249999999999998</v>
      </c>
      <c r="AF216" s="48">
        <v>0.48209999999999997</v>
      </c>
      <c r="AG216" s="18">
        <v>0.48249999999999998</v>
      </c>
      <c r="AH216" s="18">
        <v>0.48249999999999998</v>
      </c>
      <c r="AI216" s="169">
        <v>0.48249999999999998</v>
      </c>
      <c r="AJ216" s="169">
        <v>0.48249999999999998</v>
      </c>
      <c r="AK216" s="48">
        <v>0.48209999999999997</v>
      </c>
      <c r="AL216" s="18"/>
      <c r="AM216" s="18"/>
      <c r="AN216" s="169"/>
      <c r="AO216" s="169"/>
      <c r="AP216" s="48"/>
      <c r="AQ216" s="18"/>
      <c r="AR216" s="18"/>
      <c r="AS216" s="169"/>
      <c r="AT216" s="169"/>
      <c r="AU216" s="48"/>
      <c r="AV216" s="169"/>
      <c r="AW216" s="169"/>
      <c r="AX216" s="169"/>
      <c r="AY216" s="169"/>
      <c r="AZ216" s="48"/>
      <c r="BA216" s="18"/>
    </row>
    <row r="217" spans="1:53" ht="15.75" thickBot="1"/>
    <row r="218" spans="1:53" s="2" customFormat="1">
      <c r="A218" s="625"/>
      <c r="B218" s="625" t="s">
        <v>515</v>
      </c>
      <c r="C218" s="626" t="s">
        <v>224</v>
      </c>
      <c r="D218" s="626" t="s">
        <v>225</v>
      </c>
      <c r="E218" s="626" t="s">
        <v>226</v>
      </c>
      <c r="F218" s="626" t="s">
        <v>227</v>
      </c>
      <c r="G218" s="652">
        <v>2016</v>
      </c>
      <c r="H218" s="626" t="s">
        <v>228</v>
      </c>
      <c r="I218" s="626" t="s">
        <v>229</v>
      </c>
      <c r="J218" s="626" t="s">
        <v>230</v>
      </c>
      <c r="K218" s="626" t="s">
        <v>231</v>
      </c>
      <c r="L218" s="652">
        <v>2017</v>
      </c>
      <c r="M218" s="626" t="s">
        <v>232</v>
      </c>
      <c r="N218" s="626" t="s">
        <v>233</v>
      </c>
      <c r="O218" s="626" t="s">
        <v>234</v>
      </c>
      <c r="P218" s="626" t="s">
        <v>235</v>
      </c>
      <c r="Q218" s="652">
        <v>2018</v>
      </c>
      <c r="R218" s="626" t="s">
        <v>236</v>
      </c>
      <c r="S218" s="626" t="s">
        <v>237</v>
      </c>
      <c r="T218" s="626" t="s">
        <v>238</v>
      </c>
      <c r="U218" s="626" t="s">
        <v>239</v>
      </c>
      <c r="V218" s="652">
        <v>2019</v>
      </c>
      <c r="W218" s="626" t="s">
        <v>240</v>
      </c>
      <c r="X218" s="626" t="s">
        <v>241</v>
      </c>
      <c r="Y218" s="626" t="s">
        <v>242</v>
      </c>
      <c r="Z218" s="626" t="s">
        <v>243</v>
      </c>
      <c r="AA218" s="652">
        <v>2020</v>
      </c>
      <c r="AB218" s="626" t="s">
        <v>244</v>
      </c>
      <c r="AC218" s="626" t="s">
        <v>245</v>
      </c>
      <c r="AD218" s="626" t="s">
        <v>246</v>
      </c>
      <c r="AE218" s="626" t="s">
        <v>247</v>
      </c>
      <c r="AF218" s="652">
        <v>2021</v>
      </c>
      <c r="AG218" s="626" t="s">
        <v>248</v>
      </c>
      <c r="AH218" s="626" t="s">
        <v>249</v>
      </c>
      <c r="AI218" s="626" t="s">
        <v>250</v>
      </c>
      <c r="AJ218" s="626" t="s">
        <v>215</v>
      </c>
      <c r="AK218" s="652">
        <v>2022</v>
      </c>
      <c r="AL218" s="626" t="s">
        <v>252</v>
      </c>
      <c r="AM218" s="626" t="s">
        <v>253</v>
      </c>
      <c r="AN218" s="626" t="s">
        <v>254</v>
      </c>
      <c r="AO218" s="626" t="s">
        <v>219</v>
      </c>
      <c r="AP218" s="652">
        <v>2023</v>
      </c>
      <c r="AQ218" s="626" t="s">
        <v>223</v>
      </c>
      <c r="AR218" s="626" t="s">
        <v>256</v>
      </c>
      <c r="AS218" s="626" t="s">
        <v>357</v>
      </c>
      <c r="AT218" s="626" t="s">
        <v>358</v>
      </c>
      <c r="AU218" s="652">
        <v>2024</v>
      </c>
      <c r="AV218" s="626" t="s">
        <v>359</v>
      </c>
      <c r="AW218" s="626" t="s">
        <v>1115</v>
      </c>
      <c r="AX218" s="626" t="s">
        <v>1116</v>
      </c>
      <c r="AY218" s="626" t="s">
        <v>1117</v>
      </c>
      <c r="AZ218" s="653" t="s">
        <v>1118</v>
      </c>
      <c r="BA218" s="645" t="s">
        <v>1124</v>
      </c>
    </row>
    <row r="219" spans="1:53" s="2" customFormat="1">
      <c r="A219" s="9"/>
      <c r="B219" s="9" t="s">
        <v>509</v>
      </c>
      <c r="C219" s="117"/>
      <c r="D219" s="117">
        <v>0</v>
      </c>
      <c r="E219" s="117">
        <v>0</v>
      </c>
      <c r="F219" s="117">
        <v>0</v>
      </c>
      <c r="G219" s="118">
        <v>0</v>
      </c>
      <c r="H219" s="117">
        <v>0</v>
      </c>
      <c r="I219" s="117">
        <v>0</v>
      </c>
      <c r="J219" s="117">
        <v>0</v>
      </c>
      <c r="K219" s="117">
        <v>0</v>
      </c>
      <c r="L219" s="118">
        <v>0</v>
      </c>
      <c r="M219" s="117">
        <v>0</v>
      </c>
      <c r="N219" s="117">
        <v>0</v>
      </c>
      <c r="O219" s="117">
        <v>0</v>
      </c>
      <c r="P219" s="117">
        <v>0</v>
      </c>
      <c r="Q219" s="118">
        <v>0</v>
      </c>
      <c r="R219" s="117">
        <v>0</v>
      </c>
      <c r="S219" s="117">
        <v>0</v>
      </c>
      <c r="T219" s="117">
        <v>0</v>
      </c>
      <c r="U219" s="117">
        <v>0</v>
      </c>
      <c r="V219" s="118">
        <v>0</v>
      </c>
      <c r="W219" s="117">
        <v>0</v>
      </c>
      <c r="X219" s="117">
        <v>0</v>
      </c>
      <c r="Y219" s="117">
        <v>0</v>
      </c>
      <c r="Z219" s="117">
        <v>0</v>
      </c>
      <c r="AA219" s="118">
        <v>0</v>
      </c>
      <c r="AB219" s="117">
        <v>0</v>
      </c>
      <c r="AC219" s="117">
        <v>0</v>
      </c>
      <c r="AD219" s="117">
        <v>0</v>
      </c>
      <c r="AE219" s="117">
        <v>0</v>
      </c>
      <c r="AF219" s="118">
        <f>SUM(AB219:AE219)</f>
        <v>0</v>
      </c>
      <c r="AG219" s="160">
        <v>0</v>
      </c>
      <c r="AH219" s="160">
        <v>0</v>
      </c>
      <c r="AI219" s="160">
        <v>0</v>
      </c>
      <c r="AJ219" s="160">
        <v>0</v>
      </c>
      <c r="AK219" s="118">
        <f>SUM(AG219:AJ219)</f>
        <v>0</v>
      </c>
      <c r="AL219" s="160">
        <v>0</v>
      </c>
      <c r="AM219" s="160">
        <v>0</v>
      </c>
      <c r="AN219" s="160">
        <v>0</v>
      </c>
      <c r="AO219" s="160">
        <v>0</v>
      </c>
      <c r="AP219" s="118">
        <f>SUM(AL219:AO219)</f>
        <v>0</v>
      </c>
      <c r="AQ219" s="160">
        <v>0</v>
      </c>
      <c r="AR219" s="160">
        <v>0</v>
      </c>
      <c r="AS219" s="160">
        <v>0</v>
      </c>
      <c r="AT219" s="160">
        <v>0</v>
      </c>
      <c r="AU219" s="118">
        <f>SUM(AQ219:AT219)</f>
        <v>0</v>
      </c>
      <c r="AV219" s="160">
        <v>0</v>
      </c>
      <c r="AW219" s="160">
        <v>0</v>
      </c>
      <c r="AX219" s="160">
        <v>0</v>
      </c>
      <c r="AY219" s="160">
        <v>0</v>
      </c>
      <c r="AZ219" s="118">
        <f>SUM(AV219:AY219)</f>
        <v>0</v>
      </c>
      <c r="BA219" s="160">
        <v>0</v>
      </c>
    </row>
    <row r="220" spans="1:53">
      <c r="A220" s="11"/>
      <c r="B220" s="11" t="s">
        <v>510</v>
      </c>
      <c r="C220" s="153"/>
      <c r="D220" s="153">
        <v>0</v>
      </c>
      <c r="E220" s="153">
        <v>0</v>
      </c>
      <c r="F220" s="153">
        <v>0</v>
      </c>
      <c r="G220" s="144">
        <v>0</v>
      </c>
      <c r="H220" s="153">
        <v>0</v>
      </c>
      <c r="I220" s="153">
        <v>0</v>
      </c>
      <c r="J220" s="153">
        <v>0</v>
      </c>
      <c r="K220" s="153">
        <v>0</v>
      </c>
      <c r="L220" s="144">
        <v>0</v>
      </c>
      <c r="M220" s="153">
        <v>0</v>
      </c>
      <c r="N220" s="153">
        <v>0</v>
      </c>
      <c r="O220" s="153">
        <v>0</v>
      </c>
      <c r="P220" s="153">
        <v>0</v>
      </c>
      <c r="Q220" s="144">
        <v>0</v>
      </c>
      <c r="R220" s="153">
        <v>-1.7399999999999999E-2</v>
      </c>
      <c r="S220" s="153">
        <v>1.7399999999999999E-2</v>
      </c>
      <c r="T220" s="153">
        <v>0</v>
      </c>
      <c r="U220" s="153">
        <v>0</v>
      </c>
      <c r="V220" s="144">
        <v>0</v>
      </c>
      <c r="W220" s="153">
        <v>0</v>
      </c>
      <c r="X220" s="153">
        <v>0</v>
      </c>
      <c r="Y220" s="153">
        <v>0</v>
      </c>
      <c r="Z220" s="153">
        <v>0</v>
      </c>
      <c r="AA220" s="144">
        <v>0</v>
      </c>
      <c r="AB220" s="153">
        <v>0</v>
      </c>
      <c r="AC220" s="153">
        <v>0</v>
      </c>
      <c r="AD220" s="153">
        <v>0</v>
      </c>
      <c r="AE220" s="153">
        <v>0</v>
      </c>
      <c r="AF220" s="144">
        <f t="shared" ref="AF220" si="104">SUM(AB220:AE220)</f>
        <v>0</v>
      </c>
      <c r="AG220" s="153">
        <v>0</v>
      </c>
      <c r="AH220" s="153">
        <v>0</v>
      </c>
      <c r="AI220" s="121">
        <v>0</v>
      </c>
      <c r="AJ220" s="121">
        <v>0</v>
      </c>
      <c r="AK220" s="144">
        <f t="shared" ref="AK220" si="105">SUM(AG220:AJ220)</f>
        <v>0</v>
      </c>
      <c r="AL220" s="153">
        <v>0</v>
      </c>
      <c r="AM220" s="153">
        <v>0</v>
      </c>
      <c r="AN220" s="121">
        <v>0</v>
      </c>
      <c r="AO220" s="121">
        <v>0</v>
      </c>
      <c r="AP220" s="144">
        <f t="shared" ref="AP220:AP237" si="106">SUM(AL220:AO220)</f>
        <v>0</v>
      </c>
      <c r="AQ220" s="153">
        <v>0</v>
      </c>
      <c r="AR220" s="121">
        <v>0</v>
      </c>
      <c r="AS220" s="121">
        <v>0</v>
      </c>
      <c r="AT220" s="121">
        <v>0</v>
      </c>
      <c r="AU220" s="144">
        <f t="shared" ref="AU220:AU237" si="107">SUM(AQ220:AT220)</f>
        <v>0</v>
      </c>
      <c r="AV220" s="121">
        <v>0</v>
      </c>
      <c r="AW220" s="121">
        <v>0</v>
      </c>
      <c r="AX220" s="121">
        <v>0</v>
      </c>
      <c r="AY220" s="121">
        <v>0</v>
      </c>
      <c r="AZ220" s="144">
        <f t="shared" ref="AZ220:AZ237" si="108">SUM(AV220:AY220)</f>
        <v>0</v>
      </c>
      <c r="BA220" s="121">
        <v>0</v>
      </c>
    </row>
    <row r="221" spans="1:53" s="2" customFormat="1">
      <c r="A221" s="9"/>
      <c r="B221" s="9" t="s">
        <v>412</v>
      </c>
      <c r="C221" s="117"/>
      <c r="D221" s="117">
        <v>0</v>
      </c>
      <c r="E221" s="117">
        <v>0</v>
      </c>
      <c r="F221" s="117">
        <v>0</v>
      </c>
      <c r="G221" s="118">
        <v>0</v>
      </c>
      <c r="H221" s="117">
        <v>0</v>
      </c>
      <c r="I221" s="117">
        <v>0</v>
      </c>
      <c r="J221" s="117">
        <v>0</v>
      </c>
      <c r="K221" s="117">
        <v>0</v>
      </c>
      <c r="L221" s="118">
        <v>0</v>
      </c>
      <c r="M221" s="117">
        <v>0</v>
      </c>
      <c r="N221" s="117">
        <v>0</v>
      </c>
      <c r="O221" s="117">
        <v>0</v>
      </c>
      <c r="P221" s="117">
        <v>0</v>
      </c>
      <c r="Q221" s="118">
        <v>0</v>
      </c>
      <c r="R221" s="117">
        <v>-1.7399999999999999E-2</v>
      </c>
      <c r="S221" s="117">
        <v>1.7399999999999999E-2</v>
      </c>
      <c r="T221" s="117">
        <v>0</v>
      </c>
      <c r="U221" s="117">
        <v>0</v>
      </c>
      <c r="V221" s="118">
        <v>0</v>
      </c>
      <c r="W221" s="117">
        <v>0</v>
      </c>
      <c r="X221" s="117">
        <v>0</v>
      </c>
      <c r="Y221" s="117">
        <v>0</v>
      </c>
      <c r="Z221" s="117">
        <v>0</v>
      </c>
      <c r="AA221" s="118">
        <v>0</v>
      </c>
      <c r="AB221" s="117">
        <v>0</v>
      </c>
      <c r="AC221" s="117">
        <v>0</v>
      </c>
      <c r="AD221" s="117">
        <v>0</v>
      </c>
      <c r="AE221" s="117">
        <v>0</v>
      </c>
      <c r="AF221" s="118">
        <f>SUM(AB221:AE221)</f>
        <v>0</v>
      </c>
      <c r="AG221" s="117">
        <v>0</v>
      </c>
      <c r="AH221" s="117">
        <v>0</v>
      </c>
      <c r="AI221" s="160">
        <v>0</v>
      </c>
      <c r="AJ221" s="160">
        <v>0</v>
      </c>
      <c r="AK221" s="118">
        <f>SUM(AG221:AJ221)</f>
        <v>0</v>
      </c>
      <c r="AL221" s="117">
        <v>0</v>
      </c>
      <c r="AM221" s="117">
        <v>0</v>
      </c>
      <c r="AN221" s="160">
        <v>0</v>
      </c>
      <c r="AO221" s="160">
        <v>0</v>
      </c>
      <c r="AP221" s="118">
        <f t="shared" si="106"/>
        <v>0</v>
      </c>
      <c r="AQ221" s="117">
        <v>0</v>
      </c>
      <c r="AR221" s="160">
        <v>0</v>
      </c>
      <c r="AS221" s="160">
        <v>0</v>
      </c>
      <c r="AT221" s="160">
        <v>0</v>
      </c>
      <c r="AU221" s="118">
        <f t="shared" si="107"/>
        <v>0</v>
      </c>
      <c r="AV221" s="160">
        <v>0</v>
      </c>
      <c r="AW221" s="160">
        <v>0</v>
      </c>
      <c r="AX221" s="160">
        <v>0</v>
      </c>
      <c r="AY221" s="160">
        <v>0</v>
      </c>
      <c r="AZ221" s="118">
        <f t="shared" si="108"/>
        <v>0</v>
      </c>
      <c r="BA221" s="160">
        <v>0</v>
      </c>
    </row>
    <row r="222" spans="1:53">
      <c r="A222" s="11"/>
      <c r="B222" s="11" t="s">
        <v>413</v>
      </c>
      <c r="C222" s="153"/>
      <c r="D222" s="153">
        <v>-4.1829999999999999E-2</v>
      </c>
      <c r="E222" s="153">
        <v>-8.1949999999999995E-2</v>
      </c>
      <c r="F222" s="153">
        <v>-9.7200000000000009E-2</v>
      </c>
      <c r="G222" s="144">
        <v>-0.22098000000000001</v>
      </c>
      <c r="H222" s="153">
        <v>-0.46290999999999999</v>
      </c>
      <c r="I222" s="153">
        <v>-0.12080000000000007</v>
      </c>
      <c r="J222" s="153">
        <v>-0.65903999999999996</v>
      </c>
      <c r="K222" s="153">
        <v>-0.13439999999999985</v>
      </c>
      <c r="L222" s="144">
        <v>-1.3771499999999999</v>
      </c>
      <c r="M222" s="153">
        <v>-0.1217</v>
      </c>
      <c r="N222" s="153">
        <v>-0.4121999999999999</v>
      </c>
      <c r="O222" s="153">
        <v>-19.122669999999999</v>
      </c>
      <c r="P222" s="153">
        <v>-30.184340000000002</v>
      </c>
      <c r="Q222" s="144">
        <v>-49.840910000000001</v>
      </c>
      <c r="R222" s="153">
        <v>-392.10979000000003</v>
      </c>
      <c r="S222" s="153">
        <v>-330.53490000000016</v>
      </c>
      <c r="T222" s="153">
        <v>-65.618909999999914</v>
      </c>
      <c r="U222" s="153">
        <v>-141.05732999999998</v>
      </c>
      <c r="V222" s="144">
        <v>-929.32093000000009</v>
      </c>
      <c r="W222" s="153">
        <v>-197.37381999999997</v>
      </c>
      <c r="X222" s="153">
        <v>-156.53077999999994</v>
      </c>
      <c r="Y222" s="153">
        <v>-167.21051000000017</v>
      </c>
      <c r="Z222" s="153">
        <v>-157.49183999999991</v>
      </c>
      <c r="AA222" s="144">
        <v>-678.60694999999998</v>
      </c>
      <c r="AB222" s="153">
        <v>-201.22337999999996</v>
      </c>
      <c r="AC222" s="153">
        <v>-363.63116999999994</v>
      </c>
      <c r="AD222" s="153">
        <v>-394.59040000000005</v>
      </c>
      <c r="AE222" s="153">
        <v>-341.64349999999956</v>
      </c>
      <c r="AF222" s="144">
        <f t="shared" ref="AF222:AF233" si="109">SUM(AB222:AE222)</f>
        <v>-1301.0884499999995</v>
      </c>
      <c r="AG222" s="153">
        <v>-184</v>
      </c>
      <c r="AH222" s="153">
        <v>-238</v>
      </c>
      <c r="AI222" s="121">
        <v>-355</v>
      </c>
      <c r="AJ222" s="121">
        <v>43</v>
      </c>
      <c r="AK222" s="144">
        <f t="shared" ref="AK222:AK233" si="110">SUM(AG222:AJ222)</f>
        <v>-734</v>
      </c>
      <c r="AL222" s="153">
        <v>-145</v>
      </c>
      <c r="AM222" s="153">
        <v>-157</v>
      </c>
      <c r="AN222" s="121">
        <v>-65</v>
      </c>
      <c r="AO222" s="121">
        <v>-83</v>
      </c>
      <c r="AP222" s="144">
        <f t="shared" si="106"/>
        <v>-450</v>
      </c>
      <c r="AQ222" s="153">
        <v>-139</v>
      </c>
      <c r="AR222" s="121">
        <v>-108</v>
      </c>
      <c r="AS222" s="121">
        <v>-122</v>
      </c>
      <c r="AT222" s="121">
        <v>-18</v>
      </c>
      <c r="AU222" s="144">
        <f t="shared" si="107"/>
        <v>-387</v>
      </c>
      <c r="AV222" s="121">
        <v>-149</v>
      </c>
      <c r="AW222" s="121">
        <v>-95</v>
      </c>
      <c r="AX222" s="121">
        <v>-74</v>
      </c>
      <c r="AY222" s="121">
        <v>-601</v>
      </c>
      <c r="AZ222" s="144">
        <f t="shared" si="108"/>
        <v>-919</v>
      </c>
      <c r="BA222" s="121">
        <v>108</v>
      </c>
    </row>
    <row r="223" spans="1:53">
      <c r="A223" s="11"/>
      <c r="B223" s="11" t="s">
        <v>414</v>
      </c>
      <c r="C223" s="120"/>
      <c r="D223" s="120">
        <v>-21.903279999999999</v>
      </c>
      <c r="E223" s="120">
        <v>-63.096700000000013</v>
      </c>
      <c r="F223" s="120">
        <v>-60.440390000000022</v>
      </c>
      <c r="G223" s="154">
        <v>-145.44037000000003</v>
      </c>
      <c r="H223" s="120">
        <v>-57.348669999999998</v>
      </c>
      <c r="I223" s="120">
        <v>-49.936599999999984</v>
      </c>
      <c r="J223" s="120">
        <v>-44.159610000000029</v>
      </c>
      <c r="K223" s="120">
        <v>-35.459179999999975</v>
      </c>
      <c r="L223" s="154">
        <v>-186.90405999999999</v>
      </c>
      <c r="M223" s="120">
        <v>-32.020669999999996</v>
      </c>
      <c r="N223" s="120">
        <v>-118.07704000000004</v>
      </c>
      <c r="O223" s="120">
        <v>-3.8999999995326107E-4</v>
      </c>
      <c r="P223" s="120">
        <v>-43.401910000000015</v>
      </c>
      <c r="Q223" s="154">
        <v>-193.50001</v>
      </c>
      <c r="R223" s="120">
        <v>-43.401809999999998</v>
      </c>
      <c r="S223" s="120">
        <v>-43.401809999999998</v>
      </c>
      <c r="T223" s="120">
        <v>-47.744770000000017</v>
      </c>
      <c r="U223" s="120">
        <v>-45.571940000000012</v>
      </c>
      <c r="V223" s="154">
        <v>-180.12033000000002</v>
      </c>
      <c r="W223" s="120">
        <v>-45.571940000000005</v>
      </c>
      <c r="X223" s="120">
        <v>-45.571940000000005</v>
      </c>
      <c r="Y223" s="120">
        <v>-45.577379999999991</v>
      </c>
      <c r="Z223" s="120">
        <v>-45.571940000000012</v>
      </c>
      <c r="AA223" s="154">
        <v>-182.29320000000001</v>
      </c>
      <c r="AB223" s="120">
        <v>-45.571940000000005</v>
      </c>
      <c r="AC223" s="120">
        <v>-45.571940000000005</v>
      </c>
      <c r="AD223" s="120">
        <v>-45.571939999999998</v>
      </c>
      <c r="AE223" s="120">
        <v>-54.458469999999998</v>
      </c>
      <c r="AF223" s="154">
        <f t="shared" si="109"/>
        <v>-191.17429000000001</v>
      </c>
      <c r="AG223" s="120">
        <v>-54</v>
      </c>
      <c r="AH223" s="120">
        <v>-55</v>
      </c>
      <c r="AI223" s="121">
        <v>-163</v>
      </c>
      <c r="AJ223" s="121">
        <v>54</v>
      </c>
      <c r="AK223" s="154">
        <f t="shared" si="110"/>
        <v>-218</v>
      </c>
      <c r="AL223" s="120">
        <v>-109</v>
      </c>
      <c r="AM223" s="120">
        <v>-54</v>
      </c>
      <c r="AN223" s="121">
        <v>0</v>
      </c>
      <c r="AO223" s="121">
        <v>-55</v>
      </c>
      <c r="AP223" s="154">
        <f t="shared" si="106"/>
        <v>-218</v>
      </c>
      <c r="AQ223" s="120">
        <v>-63</v>
      </c>
      <c r="AR223" s="121">
        <v>-63</v>
      </c>
      <c r="AS223" s="121">
        <v>-63</v>
      </c>
      <c r="AT223" s="121">
        <v>-63</v>
      </c>
      <c r="AU223" s="154">
        <f t="shared" si="107"/>
        <v>-252</v>
      </c>
      <c r="AV223" s="121">
        <v>-276</v>
      </c>
      <c r="AW223" s="121">
        <v>0</v>
      </c>
      <c r="AX223" s="121">
        <v>-138</v>
      </c>
      <c r="AY223" s="121">
        <v>-137</v>
      </c>
      <c r="AZ223" s="142">
        <f t="shared" si="108"/>
        <v>-551</v>
      </c>
      <c r="BA223" s="121">
        <v>-276</v>
      </c>
    </row>
    <row r="224" spans="1:53">
      <c r="A224" s="11"/>
      <c r="B224" s="11" t="s">
        <v>415</v>
      </c>
      <c r="C224" s="120"/>
      <c r="D224" s="120">
        <v>470.68053000000003</v>
      </c>
      <c r="E224" s="120">
        <v>1354.6886099999997</v>
      </c>
      <c r="F224" s="120">
        <v>1298.1827899999998</v>
      </c>
      <c r="G224" s="154">
        <v>3123.5519299999996</v>
      </c>
      <c r="H224" s="120">
        <v>1231.0742</v>
      </c>
      <c r="I224" s="120">
        <v>1071.6711500000001</v>
      </c>
      <c r="J224" s="120">
        <v>947.31572000000006</v>
      </c>
      <c r="K224" s="120">
        <v>760.33273000000008</v>
      </c>
      <c r="L224" s="154">
        <v>4010.3938000000003</v>
      </c>
      <c r="M224" s="120">
        <v>686.37589000000003</v>
      </c>
      <c r="N224" s="120">
        <v>716.19808999999987</v>
      </c>
      <c r="O224" s="120">
        <v>738.70677000000001</v>
      </c>
      <c r="P224" s="120">
        <v>746.33329999999933</v>
      </c>
      <c r="Q224" s="154">
        <v>2887.6140499999992</v>
      </c>
      <c r="R224" s="120">
        <v>701.07817</v>
      </c>
      <c r="S224" s="120">
        <v>774.16431999999986</v>
      </c>
      <c r="T224" s="120">
        <v>843.94744999999944</v>
      </c>
      <c r="U224" s="120">
        <v>719.96448000000055</v>
      </c>
      <c r="V224" s="154">
        <v>3039.1544199999998</v>
      </c>
      <c r="W224" s="120">
        <v>709.71789999999999</v>
      </c>
      <c r="X224" s="120">
        <v>679.88851000000011</v>
      </c>
      <c r="Y224" s="120">
        <v>825.45407999999975</v>
      </c>
      <c r="Z224" s="120">
        <v>702.56003999999939</v>
      </c>
      <c r="AA224" s="154">
        <v>2917.6205299999992</v>
      </c>
      <c r="AB224" s="120">
        <v>661.12504999999987</v>
      </c>
      <c r="AC224" s="120">
        <v>517.76914000000011</v>
      </c>
      <c r="AD224" s="120">
        <v>713.88387000000012</v>
      </c>
      <c r="AE224" s="120">
        <v>905.94624000000022</v>
      </c>
      <c r="AF224" s="154">
        <f t="shared" si="109"/>
        <v>2798.7243000000003</v>
      </c>
      <c r="AG224" s="120">
        <v>1123</v>
      </c>
      <c r="AH224" s="120">
        <v>1275</v>
      </c>
      <c r="AI224" s="121">
        <v>2408</v>
      </c>
      <c r="AJ224" s="121">
        <v>456</v>
      </c>
      <c r="AK224" s="154">
        <f t="shared" si="110"/>
        <v>5262</v>
      </c>
      <c r="AL224" s="120">
        <v>1842</v>
      </c>
      <c r="AM224" s="120">
        <v>1754</v>
      </c>
      <c r="AN224" s="121">
        <v>1824</v>
      </c>
      <c r="AO224" s="121">
        <v>1642</v>
      </c>
      <c r="AP224" s="154">
        <f t="shared" si="106"/>
        <v>7062</v>
      </c>
      <c r="AQ224" s="120">
        <v>1390</v>
      </c>
      <c r="AR224" s="121">
        <v>1435</v>
      </c>
      <c r="AS224" s="121">
        <v>1593</v>
      </c>
      <c r="AT224" s="121">
        <v>1611</v>
      </c>
      <c r="AU224" s="154">
        <f t="shared" si="107"/>
        <v>6029</v>
      </c>
      <c r="AV224" s="121">
        <v>1720</v>
      </c>
      <c r="AW224" s="121">
        <v>1748</v>
      </c>
      <c r="AX224" s="121">
        <v>1958</v>
      </c>
      <c r="AY224" s="121">
        <v>1937</v>
      </c>
      <c r="AZ224" s="142">
        <f t="shared" si="108"/>
        <v>7363</v>
      </c>
      <c r="BA224" s="121">
        <v>1742</v>
      </c>
    </row>
    <row r="225" spans="1:53">
      <c r="A225" s="11"/>
      <c r="B225" s="11" t="s">
        <v>416</v>
      </c>
      <c r="C225" s="153"/>
      <c r="D225" s="153">
        <v>0</v>
      </c>
      <c r="E225" s="153">
        <v>0</v>
      </c>
      <c r="F225" s="153">
        <v>0</v>
      </c>
      <c r="G225" s="144">
        <v>0</v>
      </c>
      <c r="H225" s="153">
        <v>0</v>
      </c>
      <c r="I225" s="153">
        <v>0</v>
      </c>
      <c r="J225" s="153">
        <v>0</v>
      </c>
      <c r="K225" s="153">
        <v>0</v>
      </c>
      <c r="L225" s="144">
        <v>0</v>
      </c>
      <c r="M225" s="153">
        <v>0</v>
      </c>
      <c r="N225" s="153">
        <v>0</v>
      </c>
      <c r="O225" s="153">
        <v>0</v>
      </c>
      <c r="P225" s="153">
        <v>0</v>
      </c>
      <c r="Q225" s="144">
        <v>0</v>
      </c>
      <c r="R225" s="153">
        <v>0</v>
      </c>
      <c r="S225" s="153">
        <v>0</v>
      </c>
      <c r="T225" s="153">
        <v>0</v>
      </c>
      <c r="U225" s="153">
        <v>0</v>
      </c>
      <c r="V225" s="144">
        <v>0</v>
      </c>
      <c r="W225" s="153">
        <v>0</v>
      </c>
      <c r="X225" s="153">
        <v>0</v>
      </c>
      <c r="Y225" s="153">
        <v>0</v>
      </c>
      <c r="Z225" s="153">
        <v>0</v>
      </c>
      <c r="AA225" s="144">
        <v>0</v>
      </c>
      <c r="AB225" s="153">
        <v>0</v>
      </c>
      <c r="AC225" s="153">
        <v>0</v>
      </c>
      <c r="AD225" s="153">
        <v>0</v>
      </c>
      <c r="AE225" s="153">
        <v>0</v>
      </c>
      <c r="AF225" s="144">
        <f t="shared" si="109"/>
        <v>0</v>
      </c>
      <c r="AG225" s="153">
        <v>0</v>
      </c>
      <c r="AH225" s="153">
        <v>0</v>
      </c>
      <c r="AI225" s="121">
        <v>0</v>
      </c>
      <c r="AJ225" s="121">
        <v>0</v>
      </c>
      <c r="AK225" s="144">
        <f t="shared" si="110"/>
        <v>0</v>
      </c>
      <c r="AL225" s="153">
        <v>0</v>
      </c>
      <c r="AM225" s="153">
        <v>0</v>
      </c>
      <c r="AN225" s="121">
        <v>0</v>
      </c>
      <c r="AO225" s="121">
        <v>0</v>
      </c>
      <c r="AP225" s="144">
        <f t="shared" si="106"/>
        <v>0</v>
      </c>
      <c r="AQ225" s="153">
        <v>0</v>
      </c>
      <c r="AR225" s="121">
        <v>0</v>
      </c>
      <c r="AS225" s="121">
        <v>0</v>
      </c>
      <c r="AT225" s="121">
        <v>0</v>
      </c>
      <c r="AU225" s="144">
        <f t="shared" si="107"/>
        <v>0</v>
      </c>
      <c r="AV225" s="121">
        <v>0</v>
      </c>
      <c r="AW225" s="121">
        <v>0</v>
      </c>
      <c r="AX225" s="121">
        <v>0</v>
      </c>
      <c r="AY225" s="121">
        <v>0</v>
      </c>
      <c r="AZ225" s="144">
        <f t="shared" si="108"/>
        <v>0</v>
      </c>
      <c r="BA225" s="121">
        <v>0</v>
      </c>
    </row>
    <row r="226" spans="1:53" s="2" customFormat="1">
      <c r="A226" s="9"/>
      <c r="B226" s="9" t="s">
        <v>418</v>
      </c>
      <c r="C226" s="117"/>
      <c r="D226" s="117">
        <v>448.73542000000003</v>
      </c>
      <c r="E226" s="117">
        <v>1291.5099599999996</v>
      </c>
      <c r="F226" s="117">
        <v>1237.6451999999999</v>
      </c>
      <c r="G226" s="118">
        <v>2977.8905799999993</v>
      </c>
      <c r="H226" s="117">
        <v>1173.26262</v>
      </c>
      <c r="I226" s="117">
        <v>1021.6137500000001</v>
      </c>
      <c r="J226" s="117">
        <v>902.49707000000001</v>
      </c>
      <c r="K226" s="117">
        <v>724.73915000000011</v>
      </c>
      <c r="L226" s="118">
        <v>3822.1125899999997</v>
      </c>
      <c r="M226" s="117">
        <v>654.23352</v>
      </c>
      <c r="N226" s="117">
        <v>597.70884999999987</v>
      </c>
      <c r="O226" s="117">
        <v>719.58371000000011</v>
      </c>
      <c r="P226" s="117">
        <v>672.74704999999926</v>
      </c>
      <c r="Q226" s="118">
        <v>2644.2731299999991</v>
      </c>
      <c r="R226" s="117">
        <v>265.54916999999995</v>
      </c>
      <c r="S226" s="117">
        <v>400.2450099999997</v>
      </c>
      <c r="T226" s="117">
        <v>730.5837699999995</v>
      </c>
      <c r="U226" s="117">
        <v>533.33521000000053</v>
      </c>
      <c r="V226" s="118">
        <v>1929.7131599999998</v>
      </c>
      <c r="W226" s="117">
        <v>466.77214000000004</v>
      </c>
      <c r="X226" s="117">
        <v>477.78579000000013</v>
      </c>
      <c r="Y226" s="117">
        <v>612.66618999999957</v>
      </c>
      <c r="Z226" s="117">
        <v>499.49625999999944</v>
      </c>
      <c r="AA226" s="118">
        <v>2056.7203799999993</v>
      </c>
      <c r="AB226" s="117">
        <f>SUM(AB221:AB225)</f>
        <v>414.32972999999993</v>
      </c>
      <c r="AC226" s="117">
        <f>SUM(AC221:AC225)</f>
        <v>108.56603000000018</v>
      </c>
      <c r="AD226" s="117">
        <f>SUM(AD221:AD225)</f>
        <v>273.72153000000009</v>
      </c>
      <c r="AE226" s="117">
        <v>509.84427000000073</v>
      </c>
      <c r="AF226" s="118">
        <f t="shared" si="109"/>
        <v>1306.4615600000009</v>
      </c>
      <c r="AG226" s="117">
        <f>SUM(AG221:AG225)</f>
        <v>885</v>
      </c>
      <c r="AH226" s="117">
        <f>SUM(AH221:AH225)</f>
        <v>982</v>
      </c>
      <c r="AI226" s="160">
        <f>SUM(AI221:AI225)</f>
        <v>1890</v>
      </c>
      <c r="AJ226" s="160">
        <f>SUM(AJ221:AJ225)</f>
        <v>553</v>
      </c>
      <c r="AK226" s="118">
        <f t="shared" si="110"/>
        <v>4310</v>
      </c>
      <c r="AL226" s="117">
        <f>SUM(AL221:AL225)</f>
        <v>1588</v>
      </c>
      <c r="AM226" s="117">
        <f>SUM(AM221:AM225)</f>
        <v>1543</v>
      </c>
      <c r="AN226" s="160">
        <f>SUM(AN221:AN225)</f>
        <v>1759</v>
      </c>
      <c r="AO226" s="160">
        <f>SUM(AO221:AO225)</f>
        <v>1504</v>
      </c>
      <c r="AP226" s="118">
        <f t="shared" si="106"/>
        <v>6394</v>
      </c>
      <c r="AQ226" s="160">
        <f>SUM(AQ221:AQ225)</f>
        <v>1188</v>
      </c>
      <c r="AR226" s="160">
        <f>SUM(AR221:AR225)</f>
        <v>1264</v>
      </c>
      <c r="AS226" s="160">
        <f t="shared" ref="AS226:AV226" si="111">SUM(AS221:AS225)</f>
        <v>1408</v>
      </c>
      <c r="AT226" s="160">
        <f t="shared" si="111"/>
        <v>1530</v>
      </c>
      <c r="AU226" s="118">
        <f t="shared" si="107"/>
        <v>5390</v>
      </c>
      <c r="AV226" s="160">
        <f t="shared" si="111"/>
        <v>1295</v>
      </c>
      <c r="AW226" s="160">
        <f>SUM(AW221:AW225)</f>
        <v>1653</v>
      </c>
      <c r="AX226" s="160">
        <f t="shared" ref="AX226:AY226" si="112">SUM(AX221:AX225)</f>
        <v>1746</v>
      </c>
      <c r="AY226" s="160">
        <f t="shared" si="112"/>
        <v>1199</v>
      </c>
      <c r="AZ226" s="118">
        <f t="shared" si="108"/>
        <v>5893</v>
      </c>
      <c r="BA226" s="160">
        <f t="shared" ref="BA226" si="113">SUM(BA221:BA225)</f>
        <v>1574</v>
      </c>
    </row>
    <row r="227" spans="1:53">
      <c r="A227" s="11"/>
      <c r="B227" s="11" t="s">
        <v>419</v>
      </c>
      <c r="C227" s="153"/>
      <c r="D227" s="153">
        <v>0</v>
      </c>
      <c r="E227" s="153">
        <v>0</v>
      </c>
      <c r="F227" s="153">
        <v>0</v>
      </c>
      <c r="G227" s="154">
        <v>0</v>
      </c>
      <c r="H227" s="153">
        <v>0</v>
      </c>
      <c r="I227" s="153">
        <v>0</v>
      </c>
      <c r="J227" s="153">
        <v>0</v>
      </c>
      <c r="K227" s="153">
        <v>0</v>
      </c>
      <c r="L227" s="154">
        <v>0</v>
      </c>
      <c r="M227" s="153">
        <v>0</v>
      </c>
      <c r="N227" s="153">
        <v>0</v>
      </c>
      <c r="O227" s="153">
        <v>0</v>
      </c>
      <c r="P227" s="153">
        <v>0</v>
      </c>
      <c r="Q227" s="154">
        <v>0</v>
      </c>
      <c r="R227" s="153">
        <v>0</v>
      </c>
      <c r="S227" s="153">
        <v>0</v>
      </c>
      <c r="T227" s="153">
        <v>-40.252350000000007</v>
      </c>
      <c r="U227" s="153">
        <v>40.252350000000007</v>
      </c>
      <c r="V227" s="154">
        <v>0</v>
      </c>
      <c r="W227" s="153">
        <v>0</v>
      </c>
      <c r="X227" s="153">
        <v>0</v>
      </c>
      <c r="Y227" s="153">
        <v>0</v>
      </c>
      <c r="Z227" s="153">
        <v>0</v>
      </c>
      <c r="AA227" s="154">
        <v>0</v>
      </c>
      <c r="AB227" s="153">
        <v>0</v>
      </c>
      <c r="AC227" s="153">
        <v>0</v>
      </c>
      <c r="AD227" s="153">
        <v>0</v>
      </c>
      <c r="AE227" s="153">
        <v>0</v>
      </c>
      <c r="AF227" s="154">
        <f t="shared" si="109"/>
        <v>0</v>
      </c>
      <c r="AG227" s="153">
        <v>0</v>
      </c>
      <c r="AH227" s="153">
        <v>0</v>
      </c>
      <c r="AI227" s="121">
        <v>0</v>
      </c>
      <c r="AJ227" s="121">
        <v>0</v>
      </c>
      <c r="AK227" s="154">
        <f t="shared" si="110"/>
        <v>0</v>
      </c>
      <c r="AL227" s="153">
        <v>0</v>
      </c>
      <c r="AM227" s="153">
        <v>41</v>
      </c>
      <c r="AN227" s="121">
        <v>-41</v>
      </c>
      <c r="AO227" s="121">
        <v>0</v>
      </c>
      <c r="AP227" s="154">
        <f t="shared" si="106"/>
        <v>0</v>
      </c>
      <c r="AQ227" s="153">
        <v>0</v>
      </c>
      <c r="AR227" s="121">
        <v>0</v>
      </c>
      <c r="AS227" s="121">
        <v>0</v>
      </c>
      <c r="AT227" s="121">
        <v>0</v>
      </c>
      <c r="AU227" s="154">
        <f t="shared" si="107"/>
        <v>0</v>
      </c>
      <c r="AV227" s="121">
        <v>0</v>
      </c>
      <c r="AW227" s="121">
        <v>0</v>
      </c>
      <c r="AX227" s="121">
        <v>0</v>
      </c>
      <c r="AY227" s="121">
        <v>0</v>
      </c>
      <c r="AZ227" s="142">
        <f t="shared" si="108"/>
        <v>0</v>
      </c>
      <c r="BA227" s="121">
        <v>0</v>
      </c>
    </row>
    <row r="228" spans="1:53" s="2" customFormat="1">
      <c r="A228" s="9"/>
      <c r="B228" s="9" t="s">
        <v>420</v>
      </c>
      <c r="C228" s="117"/>
      <c r="D228" s="117">
        <v>448.73542000000003</v>
      </c>
      <c r="E228" s="117">
        <v>1291.5099599999996</v>
      </c>
      <c r="F228" s="117">
        <v>1237.6451999999999</v>
      </c>
      <c r="G228" s="118">
        <v>2977.8905799999993</v>
      </c>
      <c r="H228" s="117">
        <v>1173.26262</v>
      </c>
      <c r="I228" s="117">
        <v>1021.6137500000001</v>
      </c>
      <c r="J228" s="117">
        <v>902.49707000000001</v>
      </c>
      <c r="K228" s="117">
        <v>724.73915000000011</v>
      </c>
      <c r="L228" s="118">
        <v>3822.1125899999997</v>
      </c>
      <c r="M228" s="117">
        <v>654.23352</v>
      </c>
      <c r="N228" s="117">
        <v>597.70884999999987</v>
      </c>
      <c r="O228" s="117">
        <v>719.58371000000011</v>
      </c>
      <c r="P228" s="117">
        <v>672.74704999999926</v>
      </c>
      <c r="Q228" s="118">
        <v>2644.2731299999991</v>
      </c>
      <c r="R228" s="117">
        <v>265.54916999999995</v>
      </c>
      <c r="S228" s="117">
        <v>400.2450099999997</v>
      </c>
      <c r="T228" s="117">
        <v>690.33141999999953</v>
      </c>
      <c r="U228" s="117">
        <v>573.58756000000051</v>
      </c>
      <c r="V228" s="118">
        <v>1929.7131599999998</v>
      </c>
      <c r="W228" s="117">
        <v>466.77214000000004</v>
      </c>
      <c r="X228" s="117">
        <v>477.78579000000013</v>
      </c>
      <c r="Y228" s="117">
        <v>612.66618999999957</v>
      </c>
      <c r="Z228" s="117">
        <v>499.49625999999944</v>
      </c>
      <c r="AA228" s="118">
        <v>2056.7203799999993</v>
      </c>
      <c r="AB228" s="117">
        <f>SUM(AB226:AB227)</f>
        <v>414.32972999999993</v>
      </c>
      <c r="AC228" s="117">
        <f>SUM(AC226:AC227)</f>
        <v>108.56603000000018</v>
      </c>
      <c r="AD228" s="117">
        <f>SUM(AD226:AD227)</f>
        <v>273.72153000000009</v>
      </c>
      <c r="AE228" s="117">
        <v>509.84427000000073</v>
      </c>
      <c r="AF228" s="118">
        <f t="shared" si="109"/>
        <v>1306.4615600000009</v>
      </c>
      <c r="AG228" s="117">
        <v>885</v>
      </c>
      <c r="AH228" s="117">
        <v>982</v>
      </c>
      <c r="AI228" s="160">
        <v>1890</v>
      </c>
      <c r="AJ228" s="160">
        <v>553</v>
      </c>
      <c r="AK228" s="118">
        <f t="shared" si="110"/>
        <v>4310</v>
      </c>
      <c r="AL228" s="117">
        <f>AL226+AL227</f>
        <v>1588</v>
      </c>
      <c r="AM228" s="117">
        <f>AM226+AM227</f>
        <v>1584</v>
      </c>
      <c r="AN228" s="160">
        <f>AN226+AN227</f>
        <v>1718</v>
      </c>
      <c r="AO228" s="160">
        <f>AO226+AO227</f>
        <v>1504</v>
      </c>
      <c r="AP228" s="118">
        <f t="shared" si="106"/>
        <v>6394</v>
      </c>
      <c r="AQ228" s="160">
        <f>AQ226+AQ227</f>
        <v>1188</v>
      </c>
      <c r="AR228" s="160">
        <f>AR226+AR227</f>
        <v>1264</v>
      </c>
      <c r="AS228" s="160">
        <f t="shared" ref="AS228:AV228" si="114">AS226+AS227</f>
        <v>1408</v>
      </c>
      <c r="AT228" s="160">
        <f t="shared" si="114"/>
        <v>1530</v>
      </c>
      <c r="AU228" s="118">
        <f t="shared" si="107"/>
        <v>5390</v>
      </c>
      <c r="AV228" s="160">
        <f t="shared" si="114"/>
        <v>1295</v>
      </c>
      <c r="AW228" s="160">
        <f t="shared" ref="AW228:AY228" si="115">AW226+AW227</f>
        <v>1653</v>
      </c>
      <c r="AX228" s="160">
        <f t="shared" si="115"/>
        <v>1746</v>
      </c>
      <c r="AY228" s="160">
        <f t="shared" si="115"/>
        <v>1199</v>
      </c>
      <c r="AZ228" s="118">
        <f t="shared" si="108"/>
        <v>5893</v>
      </c>
      <c r="BA228" s="160">
        <f t="shared" ref="BA228" si="116">BA226+BA227</f>
        <v>1574</v>
      </c>
    </row>
    <row r="229" spans="1:53">
      <c r="A229" s="11"/>
      <c r="B229" s="11" t="s">
        <v>421</v>
      </c>
      <c r="C229" s="153"/>
      <c r="D229" s="153">
        <v>-100.18386</v>
      </c>
      <c r="E229" s="153">
        <v>-316.87749000000002</v>
      </c>
      <c r="F229" s="153">
        <v>-303.41129999999993</v>
      </c>
      <c r="G229" s="154">
        <v>-720.47264999999993</v>
      </c>
      <c r="H229" s="153">
        <v>-287.31565999999998</v>
      </c>
      <c r="I229" s="153">
        <v>-249.40342999999996</v>
      </c>
      <c r="J229" s="153">
        <v>-219.62427000000002</v>
      </c>
      <c r="K229" s="153">
        <v>-175.18479000000002</v>
      </c>
      <c r="L229" s="154">
        <v>-931.52814999999998</v>
      </c>
      <c r="M229" s="153">
        <v>-157.55838</v>
      </c>
      <c r="N229" s="153">
        <v>-143.42720999999995</v>
      </c>
      <c r="O229" s="153">
        <v>-173.89593000000008</v>
      </c>
      <c r="P229" s="153">
        <v>-163.10241000000019</v>
      </c>
      <c r="Q229" s="154">
        <v>-637.98393000000021</v>
      </c>
      <c r="R229" s="153">
        <v>-76.882190000000008</v>
      </c>
      <c r="S229" s="153">
        <v>-112.95330999999999</v>
      </c>
      <c r="T229" s="153">
        <v>-171.56949000000006</v>
      </c>
      <c r="U229" s="153">
        <v>-143.4298399999999</v>
      </c>
      <c r="V229" s="154">
        <v>-504.83482999999995</v>
      </c>
      <c r="W229" s="153">
        <v>-127.62967</v>
      </c>
      <c r="X229" s="153">
        <v>-123.98338999999999</v>
      </c>
      <c r="Y229" s="153">
        <v>-154.60689000000005</v>
      </c>
      <c r="Z229" s="153">
        <v>-123.18547000000001</v>
      </c>
      <c r="AA229" s="154">
        <v>-529.40542000000005</v>
      </c>
      <c r="AB229" s="153">
        <v>-99.172429999999991</v>
      </c>
      <c r="AC229" s="153">
        <v>-22.73151</v>
      </c>
      <c r="AD229" s="153">
        <v>-77.223680000000016</v>
      </c>
      <c r="AE229" s="153">
        <v>-110.38345000000001</v>
      </c>
      <c r="AF229" s="154">
        <f t="shared" si="109"/>
        <v>-309.51107000000002</v>
      </c>
      <c r="AG229" s="153">
        <v>-217</v>
      </c>
      <c r="AH229" s="153">
        <v>-240</v>
      </c>
      <c r="AI229" s="121">
        <v>-464</v>
      </c>
      <c r="AJ229" s="121">
        <v>-140</v>
      </c>
      <c r="AK229" s="154">
        <f t="shared" si="110"/>
        <v>-1061</v>
      </c>
      <c r="AL229" s="153">
        <v>-393</v>
      </c>
      <c r="AM229" s="153">
        <v>-391</v>
      </c>
      <c r="AN229" s="121">
        <v>-432</v>
      </c>
      <c r="AO229" s="121">
        <v>-364</v>
      </c>
      <c r="AP229" s="154">
        <f t="shared" si="106"/>
        <v>-1580</v>
      </c>
      <c r="AQ229" s="153">
        <v>-304</v>
      </c>
      <c r="AR229" s="121">
        <v>-311</v>
      </c>
      <c r="AS229" s="121">
        <v>-348</v>
      </c>
      <c r="AT229" s="121">
        <v>-300</v>
      </c>
      <c r="AU229" s="154">
        <f t="shared" si="107"/>
        <v>-1263</v>
      </c>
      <c r="AV229" s="121">
        <v>-306</v>
      </c>
      <c r="AW229" s="121">
        <v>-408</v>
      </c>
      <c r="AX229" s="121">
        <v>-431</v>
      </c>
      <c r="AY229" s="121">
        <v>-417</v>
      </c>
      <c r="AZ229" s="142">
        <f t="shared" si="108"/>
        <v>-1562</v>
      </c>
      <c r="BA229" s="121">
        <v>-317</v>
      </c>
    </row>
    <row r="230" spans="1:53">
      <c r="A230" s="11"/>
      <c r="B230" s="11" t="s">
        <v>422</v>
      </c>
      <c r="C230" s="153"/>
      <c r="D230" s="153">
        <v>-40.386189999999999</v>
      </c>
      <c r="E230" s="153">
        <v>-116.23589000000001</v>
      </c>
      <c r="F230" s="153">
        <v>-111.38807</v>
      </c>
      <c r="G230" s="154">
        <v>-268.01015000000001</v>
      </c>
      <c r="H230" s="153">
        <v>-105.59363</v>
      </c>
      <c r="I230" s="153">
        <v>-91.945250000000001</v>
      </c>
      <c r="J230" s="153">
        <v>-81.224739999999997</v>
      </c>
      <c r="K230" s="153">
        <v>-65.226519999999994</v>
      </c>
      <c r="L230" s="154">
        <v>-343.99014</v>
      </c>
      <c r="M230" s="153">
        <v>-58.881019999999999</v>
      </c>
      <c r="N230" s="153">
        <v>-191.50745000000001</v>
      </c>
      <c r="O230" s="153">
        <v>-143.91674000000003</v>
      </c>
      <c r="P230" s="153">
        <v>-135.28194999999988</v>
      </c>
      <c r="Q230" s="154">
        <v>-529.58715999999993</v>
      </c>
      <c r="R230" s="153">
        <v>-49.729320000000001</v>
      </c>
      <c r="S230" s="153">
        <v>-71.371980000000008</v>
      </c>
      <c r="T230" s="153">
        <v>-106.54168999999999</v>
      </c>
      <c r="U230" s="153">
        <v>-89.657909999999958</v>
      </c>
      <c r="V230" s="154">
        <v>-317.30089999999996</v>
      </c>
      <c r="W230" s="153">
        <v>-80.177790000000002</v>
      </c>
      <c r="X230" s="153">
        <v>-77.990040000000008</v>
      </c>
      <c r="Y230" s="153">
        <v>-96.364149999999995</v>
      </c>
      <c r="Z230" s="153">
        <v>-77.511280000000028</v>
      </c>
      <c r="AA230" s="154">
        <v>-332.04326000000003</v>
      </c>
      <c r="AB230" s="153">
        <v>-63.103459999999998</v>
      </c>
      <c r="AC230" s="153">
        <v>-17.238889999999998</v>
      </c>
      <c r="AD230" s="153">
        <v>-66.910589999999999</v>
      </c>
      <c r="AE230" s="153">
        <v>-97.399369999999962</v>
      </c>
      <c r="AF230" s="154">
        <f t="shared" si="109"/>
        <v>-244.65230999999994</v>
      </c>
      <c r="AG230" s="153">
        <v>-134</v>
      </c>
      <c r="AH230" s="153">
        <v>-148</v>
      </c>
      <c r="AI230" s="121">
        <v>-292</v>
      </c>
      <c r="AJ230" s="121">
        <v>-98</v>
      </c>
      <c r="AK230" s="154">
        <f t="shared" si="110"/>
        <v>-672</v>
      </c>
      <c r="AL230" s="153">
        <v>-239</v>
      </c>
      <c r="AM230" s="153">
        <v>-238</v>
      </c>
      <c r="AN230" s="121">
        <v>-263</v>
      </c>
      <c r="AO230" s="121">
        <v>-222</v>
      </c>
      <c r="AP230" s="154">
        <f t="shared" si="106"/>
        <v>-962</v>
      </c>
      <c r="AQ230" s="153">
        <v>-186</v>
      </c>
      <c r="AR230" s="121">
        <v>-190</v>
      </c>
      <c r="AS230" s="121">
        <v>-213</v>
      </c>
      <c r="AT230" s="121">
        <v>-183</v>
      </c>
      <c r="AU230" s="154">
        <f t="shared" si="107"/>
        <v>-772</v>
      </c>
      <c r="AV230" s="121">
        <v>-187</v>
      </c>
      <c r="AW230" s="121">
        <v>-249</v>
      </c>
      <c r="AX230" s="121">
        <v>-262</v>
      </c>
      <c r="AY230" s="121">
        <v>-254</v>
      </c>
      <c r="AZ230" s="142">
        <f t="shared" si="108"/>
        <v>-952</v>
      </c>
      <c r="BA230" s="121">
        <v>-194</v>
      </c>
    </row>
    <row r="231" spans="1:53">
      <c r="A231" s="11"/>
      <c r="B231" s="11" t="s">
        <v>423</v>
      </c>
      <c r="C231" s="153"/>
      <c r="D231" s="153">
        <v>0</v>
      </c>
      <c r="E231" s="153">
        <v>0</v>
      </c>
      <c r="F231" s="153">
        <v>0</v>
      </c>
      <c r="G231" s="154">
        <v>0</v>
      </c>
      <c r="H231" s="153">
        <v>0</v>
      </c>
      <c r="I231" s="153">
        <v>0</v>
      </c>
      <c r="J231" s="153">
        <v>0</v>
      </c>
      <c r="K231" s="153">
        <v>0</v>
      </c>
      <c r="L231" s="154">
        <v>0</v>
      </c>
      <c r="M231" s="153">
        <v>0</v>
      </c>
      <c r="N231" s="153">
        <v>0</v>
      </c>
      <c r="O231" s="153">
        <v>0</v>
      </c>
      <c r="P231" s="153">
        <v>0</v>
      </c>
      <c r="Q231" s="154">
        <v>0</v>
      </c>
      <c r="R231" s="153">
        <v>0</v>
      </c>
      <c r="S231" s="153">
        <v>0</v>
      </c>
      <c r="T231" s="153">
        <v>0</v>
      </c>
      <c r="U231" s="153">
        <v>0</v>
      </c>
      <c r="V231" s="154">
        <v>0</v>
      </c>
      <c r="W231" s="153">
        <v>0</v>
      </c>
      <c r="X231" s="153">
        <v>0</v>
      </c>
      <c r="Y231" s="153">
        <v>0</v>
      </c>
      <c r="Z231" s="153">
        <v>0</v>
      </c>
      <c r="AA231" s="154">
        <v>0</v>
      </c>
      <c r="AB231" s="153">
        <v>0</v>
      </c>
      <c r="AC231" s="153">
        <v>0</v>
      </c>
      <c r="AD231" s="153">
        <v>0</v>
      </c>
      <c r="AE231" s="153">
        <v>0</v>
      </c>
      <c r="AF231" s="154">
        <f t="shared" si="109"/>
        <v>0</v>
      </c>
      <c r="AG231" s="153">
        <v>0</v>
      </c>
      <c r="AH231" s="153">
        <v>0</v>
      </c>
      <c r="AI231" s="121">
        <v>0</v>
      </c>
      <c r="AJ231" s="121">
        <v>0</v>
      </c>
      <c r="AK231" s="154">
        <f t="shared" si="110"/>
        <v>0</v>
      </c>
      <c r="AL231" s="153">
        <v>0</v>
      </c>
      <c r="AM231" s="153">
        <v>0</v>
      </c>
      <c r="AN231" s="121">
        <v>0</v>
      </c>
      <c r="AO231" s="121">
        <v>0</v>
      </c>
      <c r="AP231" s="154">
        <f t="shared" si="106"/>
        <v>0</v>
      </c>
      <c r="AQ231" s="153">
        <v>0</v>
      </c>
      <c r="AR231" s="121">
        <v>0</v>
      </c>
      <c r="AS231" s="121">
        <v>0</v>
      </c>
      <c r="AT231" s="121">
        <v>0</v>
      </c>
      <c r="AU231" s="154">
        <f t="shared" si="107"/>
        <v>0</v>
      </c>
      <c r="AV231" s="121">
        <v>0</v>
      </c>
      <c r="AW231" s="121">
        <v>0</v>
      </c>
      <c r="AX231" s="121">
        <v>0</v>
      </c>
      <c r="AY231" s="121">
        <v>0</v>
      </c>
      <c r="AZ231" s="142">
        <f t="shared" si="108"/>
        <v>0</v>
      </c>
      <c r="BA231" s="121">
        <v>0</v>
      </c>
    </row>
    <row r="232" spans="1:53">
      <c r="A232" s="11"/>
      <c r="B232" s="11" t="s">
        <v>424</v>
      </c>
      <c r="C232" s="153"/>
      <c r="D232" s="153">
        <v>0</v>
      </c>
      <c r="E232" s="153">
        <v>0</v>
      </c>
      <c r="F232" s="153">
        <v>0</v>
      </c>
      <c r="G232" s="154">
        <v>0</v>
      </c>
      <c r="H232" s="153">
        <v>0</v>
      </c>
      <c r="I232" s="153">
        <v>0</v>
      </c>
      <c r="J232" s="153">
        <v>0</v>
      </c>
      <c r="K232" s="153">
        <v>0</v>
      </c>
      <c r="L232" s="154">
        <v>0</v>
      </c>
      <c r="M232" s="153">
        <v>0</v>
      </c>
      <c r="N232" s="153">
        <v>0</v>
      </c>
      <c r="O232" s="153">
        <v>0</v>
      </c>
      <c r="P232" s="153">
        <v>0</v>
      </c>
      <c r="Q232" s="154">
        <v>0</v>
      </c>
      <c r="R232" s="153">
        <v>0</v>
      </c>
      <c r="S232" s="153">
        <v>0</v>
      </c>
      <c r="T232" s="153">
        <v>0</v>
      </c>
      <c r="U232" s="153">
        <v>0</v>
      </c>
      <c r="V232" s="154">
        <v>0</v>
      </c>
      <c r="W232" s="153">
        <v>0</v>
      </c>
      <c r="X232" s="153">
        <v>0</v>
      </c>
      <c r="Y232" s="153">
        <v>0</v>
      </c>
      <c r="Z232" s="153">
        <v>0</v>
      </c>
      <c r="AA232" s="154">
        <v>0</v>
      </c>
      <c r="AB232" s="153">
        <v>0</v>
      </c>
      <c r="AC232" s="153">
        <v>0</v>
      </c>
      <c r="AD232" s="153">
        <v>0</v>
      </c>
      <c r="AE232" s="153">
        <v>0</v>
      </c>
      <c r="AF232" s="154">
        <f t="shared" si="109"/>
        <v>0</v>
      </c>
      <c r="AG232" s="153">
        <v>0</v>
      </c>
      <c r="AH232" s="153">
        <v>0</v>
      </c>
      <c r="AI232" s="121">
        <v>0</v>
      </c>
      <c r="AJ232" s="121">
        <v>0</v>
      </c>
      <c r="AK232" s="154">
        <f t="shared" si="110"/>
        <v>0</v>
      </c>
      <c r="AL232" s="153">
        <v>0</v>
      </c>
      <c r="AM232" s="153">
        <v>0</v>
      </c>
      <c r="AN232" s="121">
        <v>0</v>
      </c>
      <c r="AO232" s="121">
        <v>0</v>
      </c>
      <c r="AP232" s="154">
        <f t="shared" si="106"/>
        <v>0</v>
      </c>
      <c r="AQ232" s="153">
        <v>0</v>
      </c>
      <c r="AR232" s="121">
        <v>0</v>
      </c>
      <c r="AS232" s="121">
        <v>0</v>
      </c>
      <c r="AT232" s="121">
        <v>0</v>
      </c>
      <c r="AU232" s="154">
        <f t="shared" si="107"/>
        <v>0</v>
      </c>
      <c r="AV232" s="121">
        <v>0</v>
      </c>
      <c r="AW232" s="121">
        <v>0</v>
      </c>
      <c r="AX232" s="121">
        <v>0</v>
      </c>
      <c r="AY232" s="121">
        <v>0</v>
      </c>
      <c r="AZ232" s="142">
        <f t="shared" si="108"/>
        <v>0</v>
      </c>
      <c r="BA232" s="121">
        <v>0</v>
      </c>
    </row>
    <row r="233" spans="1:53" s="2" customFormat="1">
      <c r="A233" s="15"/>
      <c r="B233" s="15" t="s">
        <v>450</v>
      </c>
      <c r="C233" s="155"/>
      <c r="D233" s="155">
        <v>308.16537000000005</v>
      </c>
      <c r="E233" s="155">
        <v>858.39657999999952</v>
      </c>
      <c r="F233" s="155">
        <v>822.84582999999998</v>
      </c>
      <c r="G233" s="156">
        <v>1989.4077799999995</v>
      </c>
      <c r="H233" s="155">
        <v>780.35333000000003</v>
      </c>
      <c r="I233" s="155">
        <v>680.26507000000015</v>
      </c>
      <c r="J233" s="155">
        <v>601.64805999999999</v>
      </c>
      <c r="K233" s="155">
        <v>484.32784000000009</v>
      </c>
      <c r="L233" s="156">
        <v>2546.5943000000002</v>
      </c>
      <c r="M233" s="155">
        <v>437.79412000000002</v>
      </c>
      <c r="N233" s="155">
        <v>262.77418999999992</v>
      </c>
      <c r="O233" s="155">
        <v>401.77103999999997</v>
      </c>
      <c r="P233" s="155">
        <v>374.36268999999919</v>
      </c>
      <c r="Q233" s="156">
        <v>1476.702039999999</v>
      </c>
      <c r="R233" s="155">
        <v>138.93765999999994</v>
      </c>
      <c r="S233" s="155">
        <v>215.9197199999997</v>
      </c>
      <c r="T233" s="155">
        <v>412.22023999999942</v>
      </c>
      <c r="U233" s="155">
        <v>340.49981000000065</v>
      </c>
      <c r="V233" s="156">
        <v>1107.5774299999998</v>
      </c>
      <c r="W233" s="155">
        <v>258.96467999999999</v>
      </c>
      <c r="X233" s="155">
        <v>275.81236000000013</v>
      </c>
      <c r="Y233" s="155">
        <v>361.69514999999956</v>
      </c>
      <c r="Z233" s="155">
        <v>298.79950999999937</v>
      </c>
      <c r="AA233" s="156">
        <v>1195.2716999999991</v>
      </c>
      <c r="AB233" s="155">
        <f>SUM(AB228:AB232)</f>
        <v>252.05383999999998</v>
      </c>
      <c r="AC233" s="155">
        <f>SUM(AC228:AC232)</f>
        <v>68.595630000000185</v>
      </c>
      <c r="AD233" s="155">
        <f>SUM(AD228:AD232)</f>
        <v>129.58726000000007</v>
      </c>
      <c r="AE233" s="155">
        <v>302.06145000000078</v>
      </c>
      <c r="AF233" s="156">
        <f t="shared" si="109"/>
        <v>752.29818000000103</v>
      </c>
      <c r="AG233" s="155">
        <f>SUM(AG228:AG232)</f>
        <v>534</v>
      </c>
      <c r="AH233" s="155">
        <f>SUM(AH228:AH232)</f>
        <v>594</v>
      </c>
      <c r="AI233" s="155">
        <f>SUM(AI228:AI232)</f>
        <v>1134</v>
      </c>
      <c r="AJ233" s="155">
        <f>SUM(AJ228:AJ232)</f>
        <v>315</v>
      </c>
      <c r="AK233" s="156">
        <f t="shared" si="110"/>
        <v>2577</v>
      </c>
      <c r="AL233" s="155">
        <f>SUM(AL228:AL232)</f>
        <v>956</v>
      </c>
      <c r="AM233" s="155">
        <f>SUM(AM228:AM232)</f>
        <v>955</v>
      </c>
      <c r="AN233" s="155">
        <f>SUM(AN228:AN232)</f>
        <v>1023</v>
      </c>
      <c r="AO233" s="155">
        <f>SUM(AO228:AO232)</f>
        <v>918</v>
      </c>
      <c r="AP233" s="156">
        <f t="shared" si="106"/>
        <v>3852</v>
      </c>
      <c r="AQ233" s="155">
        <f>SUM(AQ228:AQ232)</f>
        <v>698</v>
      </c>
      <c r="AR233" s="155">
        <f>SUM(AR228:AR232)</f>
        <v>763</v>
      </c>
      <c r="AS233" s="155">
        <f t="shared" ref="AS233:AV233" si="117">SUM(AS228:AS232)</f>
        <v>847</v>
      </c>
      <c r="AT233" s="155">
        <f t="shared" si="117"/>
        <v>1047</v>
      </c>
      <c r="AU233" s="156">
        <f t="shared" si="107"/>
        <v>3355</v>
      </c>
      <c r="AV233" s="155">
        <f t="shared" si="117"/>
        <v>802</v>
      </c>
      <c r="AW233" s="155">
        <f>SUM(AW228:AW232)</f>
        <v>996</v>
      </c>
      <c r="AX233" s="155">
        <f t="shared" ref="AX233:AY233" si="118">SUM(AX228:AX232)</f>
        <v>1053</v>
      </c>
      <c r="AY233" s="155">
        <f t="shared" si="118"/>
        <v>528</v>
      </c>
      <c r="AZ233" s="156">
        <f t="shared" si="108"/>
        <v>3379</v>
      </c>
      <c r="BA233" s="155">
        <f t="shared" ref="BA233" si="119">SUM(BA228:BA232)</f>
        <v>1063</v>
      </c>
    </row>
    <row r="234" spans="1:53">
      <c r="A234" s="11"/>
      <c r="B234" s="11" t="s">
        <v>468</v>
      </c>
      <c r="C234" s="120"/>
      <c r="D234" s="120">
        <v>308.16537000000005</v>
      </c>
      <c r="E234" s="120">
        <v>858.39657999999952</v>
      </c>
      <c r="F234" s="120">
        <v>822.84582999999998</v>
      </c>
      <c r="G234" s="154">
        <v>1989.4077799999995</v>
      </c>
      <c r="H234" s="120">
        <v>780.35333000000003</v>
      </c>
      <c r="I234" s="120">
        <v>680.26507000000015</v>
      </c>
      <c r="J234" s="120">
        <v>601.64805999999999</v>
      </c>
      <c r="K234" s="120">
        <v>484.32784000000009</v>
      </c>
      <c r="L234" s="154">
        <v>2546.5943000000002</v>
      </c>
      <c r="M234" s="120">
        <v>437.79412000000002</v>
      </c>
      <c r="N234" s="120">
        <v>262.77418999999992</v>
      </c>
      <c r="O234" s="120">
        <v>401.77103999999997</v>
      </c>
      <c r="P234" s="120">
        <v>374.36268999999919</v>
      </c>
      <c r="Q234" s="154">
        <v>1476.702039999999</v>
      </c>
      <c r="R234" s="120">
        <v>138.93765999999994</v>
      </c>
      <c r="S234" s="120">
        <v>215.9197199999997</v>
      </c>
      <c r="T234" s="120">
        <v>412.22023999999942</v>
      </c>
      <c r="U234" s="120">
        <v>340.49981000000065</v>
      </c>
      <c r="V234" s="154">
        <v>1107.5774299999998</v>
      </c>
      <c r="W234" s="120">
        <v>258.96467999999999</v>
      </c>
      <c r="X234" s="120">
        <v>275.81236000000013</v>
      </c>
      <c r="Y234" s="120">
        <v>361.69514999999956</v>
      </c>
      <c r="Z234" s="120">
        <v>298.79950999999937</v>
      </c>
      <c r="AA234" s="154">
        <v>1195.2716999999991</v>
      </c>
      <c r="AB234" s="120">
        <f>AB233</f>
        <v>252.05383999999998</v>
      </c>
      <c r="AC234" s="120">
        <f t="shared" ref="AC234:AD234" si="120">AC233</f>
        <v>68.595630000000185</v>
      </c>
      <c r="AD234" s="120">
        <f t="shared" si="120"/>
        <v>129.58726000000007</v>
      </c>
      <c r="AE234" s="120">
        <f t="shared" ref="AE234" si="121">AE233</f>
        <v>302.06145000000078</v>
      </c>
      <c r="AF234" s="154">
        <f>SUM(AB234:AE234)</f>
        <v>752.29818000000103</v>
      </c>
      <c r="AG234" s="120">
        <v>534</v>
      </c>
      <c r="AH234" s="120">
        <v>594</v>
      </c>
      <c r="AI234" s="121">
        <v>1134</v>
      </c>
      <c r="AJ234" s="121">
        <v>315</v>
      </c>
      <c r="AK234" s="154">
        <f>SUM(AG234:AJ234)</f>
        <v>2577</v>
      </c>
      <c r="AL234" s="120">
        <v>956</v>
      </c>
      <c r="AM234" s="120">
        <v>955</v>
      </c>
      <c r="AN234" s="121">
        <v>1023</v>
      </c>
      <c r="AO234" s="121">
        <v>918</v>
      </c>
      <c r="AP234" s="154">
        <f t="shared" si="106"/>
        <v>3852</v>
      </c>
      <c r="AQ234" s="120">
        <v>698</v>
      </c>
      <c r="AR234" s="121">
        <v>763</v>
      </c>
      <c r="AS234" s="121">
        <f>AS233</f>
        <v>847</v>
      </c>
      <c r="AT234" s="121">
        <f>AT233</f>
        <v>1047</v>
      </c>
      <c r="AU234" s="154">
        <f t="shared" si="107"/>
        <v>3355</v>
      </c>
      <c r="AV234" s="121">
        <f>AV233</f>
        <v>802</v>
      </c>
      <c r="AW234" s="121">
        <f>AW233</f>
        <v>996</v>
      </c>
      <c r="AX234" s="121">
        <f t="shared" ref="AX234:AY234" si="122">AX233</f>
        <v>1053</v>
      </c>
      <c r="AY234" s="121">
        <f t="shared" si="122"/>
        <v>528</v>
      </c>
      <c r="AZ234" s="142">
        <f t="shared" si="108"/>
        <v>3379</v>
      </c>
      <c r="BA234" s="121">
        <v>1065</v>
      </c>
    </row>
    <row r="235" spans="1:53">
      <c r="A235" s="11"/>
      <c r="B235" s="11" t="s">
        <v>436</v>
      </c>
      <c r="C235" s="120"/>
      <c r="D235" s="120">
        <v>0</v>
      </c>
      <c r="E235" s="120">
        <v>0</v>
      </c>
      <c r="F235" s="120">
        <v>0</v>
      </c>
      <c r="G235" s="154">
        <v>0</v>
      </c>
      <c r="H235" s="120">
        <v>0</v>
      </c>
      <c r="I235" s="120">
        <v>0</v>
      </c>
      <c r="J235" s="120">
        <v>0</v>
      </c>
      <c r="K235" s="120">
        <v>0</v>
      </c>
      <c r="L235" s="154">
        <v>0</v>
      </c>
      <c r="M235" s="120">
        <v>0</v>
      </c>
      <c r="N235" s="120">
        <v>0</v>
      </c>
      <c r="O235" s="120">
        <v>0</v>
      </c>
      <c r="P235" s="120">
        <v>0</v>
      </c>
      <c r="Q235" s="154">
        <v>0</v>
      </c>
      <c r="R235" s="120">
        <v>0</v>
      </c>
      <c r="S235" s="120">
        <v>0</v>
      </c>
      <c r="T235" s="120">
        <v>0</v>
      </c>
      <c r="U235" s="120">
        <v>0</v>
      </c>
      <c r="V235" s="154">
        <v>0</v>
      </c>
      <c r="W235" s="120">
        <v>0</v>
      </c>
      <c r="X235" s="120">
        <v>0</v>
      </c>
      <c r="Y235" s="120">
        <v>0</v>
      </c>
      <c r="Z235" s="120">
        <v>0</v>
      </c>
      <c r="AA235" s="154">
        <v>0</v>
      </c>
      <c r="AB235" s="120">
        <v>0</v>
      </c>
      <c r="AC235" s="120">
        <v>0</v>
      </c>
      <c r="AD235" s="120">
        <v>0</v>
      </c>
      <c r="AE235" s="120">
        <v>0</v>
      </c>
      <c r="AF235" s="154">
        <v>0</v>
      </c>
      <c r="AG235" s="120">
        <v>0</v>
      </c>
      <c r="AH235" s="120">
        <v>0</v>
      </c>
      <c r="AI235" s="121">
        <v>0</v>
      </c>
      <c r="AJ235" s="121">
        <v>0</v>
      </c>
      <c r="AK235" s="154">
        <v>0</v>
      </c>
      <c r="AL235" s="120">
        <v>0</v>
      </c>
      <c r="AM235" s="120">
        <v>0</v>
      </c>
      <c r="AN235" s="121">
        <v>0</v>
      </c>
      <c r="AO235" s="121">
        <v>0</v>
      </c>
      <c r="AP235" s="154">
        <f t="shared" si="106"/>
        <v>0</v>
      </c>
      <c r="AQ235" s="120">
        <v>0</v>
      </c>
      <c r="AR235" s="121">
        <v>0</v>
      </c>
      <c r="AS235" s="121">
        <v>0</v>
      </c>
      <c r="AT235" s="121">
        <v>0</v>
      </c>
      <c r="AU235" s="154">
        <f t="shared" si="107"/>
        <v>0</v>
      </c>
      <c r="AV235" s="121">
        <v>0</v>
      </c>
      <c r="AW235" s="121">
        <v>0</v>
      </c>
      <c r="AX235" s="121">
        <v>0</v>
      </c>
      <c r="AY235" s="121">
        <v>0</v>
      </c>
      <c r="AZ235" s="142">
        <f t="shared" si="108"/>
        <v>0</v>
      </c>
      <c r="BA235" s="121">
        <v>0</v>
      </c>
    </row>
    <row r="236" spans="1:53">
      <c r="A236" s="11"/>
      <c r="B236" s="11" t="s">
        <v>470</v>
      </c>
      <c r="C236" s="120"/>
      <c r="D236" s="120">
        <v>308.16537000000005</v>
      </c>
      <c r="E236" s="120">
        <v>858.39657999999952</v>
      </c>
      <c r="F236" s="120">
        <v>822.84582999999998</v>
      </c>
      <c r="G236" s="154">
        <v>1989.4077799999995</v>
      </c>
      <c r="H236" s="120">
        <v>780.35333000000003</v>
      </c>
      <c r="I236" s="120">
        <v>680.26507000000015</v>
      </c>
      <c r="J236" s="120">
        <v>601.64805999999999</v>
      </c>
      <c r="K236" s="120">
        <v>484.32784000000009</v>
      </c>
      <c r="L236" s="154">
        <v>2546.5943000000002</v>
      </c>
      <c r="M236" s="120">
        <v>437.79412000000002</v>
      </c>
      <c r="N236" s="120">
        <v>262.77418999999992</v>
      </c>
      <c r="O236" s="120">
        <v>401.77103999999997</v>
      </c>
      <c r="P236" s="120">
        <v>374.36268999999919</v>
      </c>
      <c r="Q236" s="154">
        <v>1476.702039999999</v>
      </c>
      <c r="R236" s="120">
        <v>138.93765999999994</v>
      </c>
      <c r="S236" s="120">
        <v>215.9197199999997</v>
      </c>
      <c r="T236" s="120">
        <v>412.22023999999942</v>
      </c>
      <c r="U236" s="120">
        <v>340.49981000000065</v>
      </c>
      <c r="V236" s="154">
        <v>1107.5774299999998</v>
      </c>
      <c r="W236" s="120">
        <v>258.96467999999999</v>
      </c>
      <c r="X236" s="120">
        <v>275.81236000000013</v>
      </c>
      <c r="Y236" s="120">
        <v>361.69514999999956</v>
      </c>
      <c r="Z236" s="120">
        <v>298.79950999999937</v>
      </c>
      <c r="AA236" s="154">
        <v>1195.2716999999991</v>
      </c>
      <c r="AB236" s="120">
        <f>SUM(AB234:AB235)</f>
        <v>252.05383999999998</v>
      </c>
      <c r="AC236" s="120">
        <f t="shared" ref="AC236:AD236" si="123">SUM(AC234:AC235)</f>
        <v>68.595630000000185</v>
      </c>
      <c r="AD236" s="120">
        <f t="shared" si="123"/>
        <v>129.58726000000007</v>
      </c>
      <c r="AE236" s="120">
        <f t="shared" ref="AE236" si="124">SUM(AE234:AE235)</f>
        <v>302.06145000000078</v>
      </c>
      <c r="AF236" s="154">
        <f>SUM(AB236:AE236)</f>
        <v>752.29818000000103</v>
      </c>
      <c r="AG236" s="120">
        <v>534</v>
      </c>
      <c r="AH236" s="120">
        <v>594</v>
      </c>
      <c r="AI236" s="121">
        <v>1134</v>
      </c>
      <c r="AJ236" s="121">
        <v>315</v>
      </c>
      <c r="AK236" s="154">
        <f>SUM(AG236:AJ236)</f>
        <v>2577</v>
      </c>
      <c r="AL236" s="120">
        <v>956</v>
      </c>
      <c r="AM236" s="120">
        <v>955</v>
      </c>
      <c r="AN236" s="121">
        <v>1023</v>
      </c>
      <c r="AO236" s="121">
        <v>918</v>
      </c>
      <c r="AP236" s="154">
        <f t="shared" si="106"/>
        <v>3852</v>
      </c>
      <c r="AQ236" s="120">
        <v>698</v>
      </c>
      <c r="AR236" s="121">
        <v>763</v>
      </c>
      <c r="AS236" s="121">
        <f>AS234+AS235</f>
        <v>847</v>
      </c>
      <c r="AT236" s="121">
        <f>AT234+AT235</f>
        <v>1047</v>
      </c>
      <c r="AU236" s="154">
        <f t="shared" si="107"/>
        <v>3355</v>
      </c>
      <c r="AV236" s="121">
        <f>AV234</f>
        <v>802</v>
      </c>
      <c r="AW236" s="121">
        <f>AW234</f>
        <v>996</v>
      </c>
      <c r="AX236" s="121">
        <f t="shared" ref="AX236:AY236" si="125">AX234</f>
        <v>1053</v>
      </c>
      <c r="AY236" s="121">
        <f t="shared" si="125"/>
        <v>528</v>
      </c>
      <c r="AZ236" s="142">
        <f t="shared" si="108"/>
        <v>3379</v>
      </c>
      <c r="BA236" s="121">
        <v>1065</v>
      </c>
    </row>
    <row r="237" spans="1:53">
      <c r="A237" s="11"/>
      <c r="B237" s="11" t="s">
        <v>471</v>
      </c>
      <c r="C237" s="120"/>
      <c r="D237" s="120">
        <v>0</v>
      </c>
      <c r="E237" s="120">
        <v>0</v>
      </c>
      <c r="F237" s="120">
        <v>0</v>
      </c>
      <c r="G237" s="154">
        <v>0</v>
      </c>
      <c r="H237" s="120">
        <v>0</v>
      </c>
      <c r="I237" s="120">
        <v>0</v>
      </c>
      <c r="J237" s="120">
        <v>0</v>
      </c>
      <c r="K237" s="120">
        <v>0</v>
      </c>
      <c r="L237" s="154">
        <v>0</v>
      </c>
      <c r="M237" s="120">
        <v>0</v>
      </c>
      <c r="N237" s="120">
        <v>0</v>
      </c>
      <c r="O237" s="120">
        <v>0</v>
      </c>
      <c r="P237" s="120">
        <v>0</v>
      </c>
      <c r="Q237" s="154">
        <v>0</v>
      </c>
      <c r="R237" s="120">
        <v>0</v>
      </c>
      <c r="S237" s="120">
        <v>0</v>
      </c>
      <c r="T237" s="120">
        <v>0</v>
      </c>
      <c r="U237" s="120">
        <v>0</v>
      </c>
      <c r="V237" s="154">
        <v>0</v>
      </c>
      <c r="W237" s="120">
        <v>0</v>
      </c>
      <c r="X237" s="120">
        <v>0</v>
      </c>
      <c r="Y237" s="120">
        <v>0</v>
      </c>
      <c r="Z237" s="121">
        <v>0</v>
      </c>
      <c r="AA237" s="154">
        <v>0</v>
      </c>
      <c r="AB237" s="120">
        <v>0</v>
      </c>
      <c r="AC237" s="120">
        <v>0</v>
      </c>
      <c r="AD237" s="120">
        <v>0</v>
      </c>
      <c r="AE237" s="120">
        <v>0</v>
      </c>
      <c r="AF237" s="154">
        <v>0</v>
      </c>
      <c r="AG237" s="120">
        <v>0</v>
      </c>
      <c r="AH237" s="120">
        <v>0</v>
      </c>
      <c r="AI237" s="121">
        <v>0</v>
      </c>
      <c r="AJ237" s="121">
        <v>0</v>
      </c>
      <c r="AK237" s="154">
        <v>0</v>
      </c>
      <c r="AL237" s="120">
        <v>0</v>
      </c>
      <c r="AM237" s="120">
        <v>0</v>
      </c>
      <c r="AN237" s="121">
        <v>0</v>
      </c>
      <c r="AO237" s="121">
        <v>0</v>
      </c>
      <c r="AP237" s="154">
        <f t="shared" si="106"/>
        <v>0</v>
      </c>
      <c r="AQ237" s="120">
        <v>0</v>
      </c>
      <c r="AR237" s="121">
        <v>0</v>
      </c>
      <c r="AS237" s="121">
        <v>0</v>
      </c>
      <c r="AT237" s="121">
        <v>0</v>
      </c>
      <c r="AU237" s="154">
        <f t="shared" si="107"/>
        <v>0</v>
      </c>
      <c r="AV237" s="121">
        <v>0</v>
      </c>
      <c r="AW237" s="121">
        <v>0</v>
      </c>
      <c r="AX237" s="121">
        <v>0</v>
      </c>
      <c r="AY237" s="121">
        <v>0</v>
      </c>
      <c r="AZ237" s="142">
        <f t="shared" si="108"/>
        <v>0</v>
      </c>
      <c r="BA237" s="121">
        <v>0</v>
      </c>
    </row>
    <row r="238" spans="1:53" ht="15.75" thickBot="1">
      <c r="A238" s="17"/>
      <c r="B238" s="17" t="s">
        <v>451</v>
      </c>
      <c r="C238" s="18">
        <v>0.48209999999999997</v>
      </c>
      <c r="D238" s="18">
        <v>0.48209999999999997</v>
      </c>
      <c r="E238" s="18">
        <v>0.48209999999999997</v>
      </c>
      <c r="F238" s="18">
        <v>0.48209999999999997</v>
      </c>
      <c r="G238" s="48">
        <v>0.48209999999999997</v>
      </c>
      <c r="H238" s="18">
        <v>0.48209999999999997</v>
      </c>
      <c r="I238" s="18">
        <v>0.48209999999999997</v>
      </c>
      <c r="J238" s="18">
        <v>0.48209999999999997</v>
      </c>
      <c r="K238" s="18">
        <v>0.48209999999999997</v>
      </c>
      <c r="L238" s="48">
        <v>0.48209999999999997</v>
      </c>
      <c r="M238" s="18">
        <v>0.48209999999999997</v>
      </c>
      <c r="N238" s="18">
        <v>0.48209999999999997</v>
      </c>
      <c r="O238" s="18">
        <v>0.48209999999999997</v>
      </c>
      <c r="P238" s="18">
        <v>0.48209999999999997</v>
      </c>
      <c r="Q238" s="48">
        <v>0.48209999999999997</v>
      </c>
      <c r="R238" s="18">
        <v>0.48209999999999997</v>
      </c>
      <c r="S238" s="18">
        <v>0.48209999999999997</v>
      </c>
      <c r="T238" s="18">
        <v>0.48209999999999997</v>
      </c>
      <c r="U238" s="18">
        <v>0.48209999999999997</v>
      </c>
      <c r="V238" s="48">
        <v>0.48209999999999997</v>
      </c>
      <c r="W238" s="18">
        <v>0.48209999999999997</v>
      </c>
      <c r="X238" s="18">
        <v>0.48209999999999997</v>
      </c>
      <c r="Y238" s="18">
        <v>0.48209999999999997</v>
      </c>
      <c r="Z238" s="18">
        <v>0.48209999999999997</v>
      </c>
      <c r="AA238" s="48">
        <v>0.48209999999999997</v>
      </c>
      <c r="AB238" s="18">
        <v>0.48249999999999998</v>
      </c>
      <c r="AC238" s="18">
        <v>0.48249999999999998</v>
      </c>
      <c r="AD238" s="18">
        <v>0.48249999999999998</v>
      </c>
      <c r="AE238" s="18">
        <v>0.48249999999999998</v>
      </c>
      <c r="AF238" s="48">
        <v>0.48209999999999997</v>
      </c>
      <c r="AG238" s="18">
        <v>0.48249999999999998</v>
      </c>
      <c r="AH238" s="18">
        <v>0.48249999999999998</v>
      </c>
      <c r="AI238" s="169">
        <v>0.48249999999999998</v>
      </c>
      <c r="AJ238" s="169">
        <v>0.48249999999999998</v>
      </c>
      <c r="AK238" s="48">
        <v>0.48249999999999998</v>
      </c>
      <c r="AL238" s="18">
        <v>0.48249999999999998</v>
      </c>
      <c r="AM238" s="18">
        <v>0.48249999999999998</v>
      </c>
      <c r="AN238" s="18">
        <v>0.48249999999999998</v>
      </c>
      <c r="AO238" s="169">
        <v>0.48249999999999998</v>
      </c>
      <c r="AP238" s="48">
        <v>0.48249999999999998</v>
      </c>
      <c r="AQ238" s="18">
        <v>0.48249999999999998</v>
      </c>
      <c r="AR238" s="18">
        <v>0.48249999999999998</v>
      </c>
      <c r="AS238" s="18">
        <v>0.48249999999999998</v>
      </c>
      <c r="AT238" s="169">
        <v>0.48249999999999998</v>
      </c>
      <c r="AU238" s="48">
        <v>0.48249999999999998</v>
      </c>
      <c r="AV238" s="169">
        <v>0.48249999999999998</v>
      </c>
      <c r="AW238" s="169">
        <v>0.48249999999999998</v>
      </c>
      <c r="AX238" s="169">
        <v>0.48249999999999998</v>
      </c>
      <c r="AY238" s="169">
        <v>0.48249999999999998</v>
      </c>
      <c r="AZ238" s="48">
        <v>0.48249999999999998</v>
      </c>
      <c r="BA238" s="169">
        <v>0.48249999999999998</v>
      </c>
    </row>
    <row r="239" spans="1:53" ht="15.75" thickBot="1"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G239" s="8"/>
      <c r="AK239" s="262"/>
      <c r="AL239" s="262"/>
      <c r="AM239" s="262"/>
      <c r="AN239" s="262"/>
      <c r="AO239" s="262"/>
      <c r="AP239" s="488"/>
      <c r="AQ239" s="262"/>
      <c r="AR239" s="262"/>
      <c r="AS239" s="262"/>
      <c r="AT239" s="262"/>
      <c r="AU239" s="488"/>
      <c r="AV239" s="262"/>
      <c r="AW239" s="262"/>
      <c r="AX239" s="262"/>
      <c r="AY239" s="262"/>
      <c r="AZ239" s="488"/>
      <c r="BA239" s="488"/>
    </row>
    <row r="240" spans="1:53" s="2" customFormat="1">
      <c r="A240" s="625"/>
      <c r="B240" s="625" t="s">
        <v>516</v>
      </c>
      <c r="C240" s="626" t="s">
        <v>224</v>
      </c>
      <c r="D240" s="626" t="s">
        <v>225</v>
      </c>
      <c r="E240" s="626" t="s">
        <v>226</v>
      </c>
      <c r="F240" s="626" t="s">
        <v>227</v>
      </c>
      <c r="G240" s="652">
        <v>2016</v>
      </c>
      <c r="H240" s="626" t="s">
        <v>228</v>
      </c>
      <c r="I240" s="626" t="s">
        <v>229</v>
      </c>
      <c r="J240" s="626" t="s">
        <v>230</v>
      </c>
      <c r="K240" s="626" t="s">
        <v>231</v>
      </c>
      <c r="L240" s="652">
        <v>2017</v>
      </c>
      <c r="M240" s="626" t="s">
        <v>232</v>
      </c>
      <c r="N240" s="626" t="s">
        <v>233</v>
      </c>
      <c r="O240" s="626" t="s">
        <v>234</v>
      </c>
      <c r="P240" s="626" t="s">
        <v>235</v>
      </c>
      <c r="Q240" s="652">
        <v>2018</v>
      </c>
      <c r="R240" s="626" t="s">
        <v>236</v>
      </c>
      <c r="S240" s="626" t="s">
        <v>237</v>
      </c>
      <c r="T240" s="626" t="s">
        <v>238</v>
      </c>
      <c r="U240" s="626" t="s">
        <v>239</v>
      </c>
      <c r="V240" s="652">
        <v>2019</v>
      </c>
      <c r="W240" s="626" t="s">
        <v>240</v>
      </c>
      <c r="X240" s="626" t="s">
        <v>241</v>
      </c>
      <c r="Y240" s="626" t="s">
        <v>242</v>
      </c>
      <c r="Z240" s="626" t="s">
        <v>243</v>
      </c>
      <c r="AA240" s="652">
        <v>2020</v>
      </c>
      <c r="AB240" s="626" t="s">
        <v>244</v>
      </c>
      <c r="AC240" s="626" t="s">
        <v>245</v>
      </c>
      <c r="AD240" s="626" t="s">
        <v>246</v>
      </c>
      <c r="AE240" s="626" t="s">
        <v>247</v>
      </c>
      <c r="AF240" s="652">
        <v>2021</v>
      </c>
      <c r="AG240" s="626" t="s">
        <v>248</v>
      </c>
      <c r="AH240" s="626" t="s">
        <v>249</v>
      </c>
      <c r="AI240" s="626" t="s">
        <v>250</v>
      </c>
      <c r="AJ240" s="626" t="s">
        <v>215</v>
      </c>
      <c r="AK240" s="652">
        <v>2022</v>
      </c>
      <c r="AL240" s="626" t="s">
        <v>252</v>
      </c>
      <c r="AM240" s="626" t="s">
        <v>253</v>
      </c>
      <c r="AN240" s="626" t="s">
        <v>254</v>
      </c>
      <c r="AO240" s="626" t="s">
        <v>219</v>
      </c>
      <c r="AP240" s="652">
        <v>2023</v>
      </c>
      <c r="AQ240" s="626" t="s">
        <v>223</v>
      </c>
      <c r="AR240" s="626" t="s">
        <v>256</v>
      </c>
      <c r="AS240" s="626" t="s">
        <v>357</v>
      </c>
      <c r="AT240" s="626" t="s">
        <v>358</v>
      </c>
      <c r="AU240" s="652">
        <v>2024</v>
      </c>
      <c r="AV240" s="626" t="s">
        <v>359</v>
      </c>
      <c r="AW240" s="626" t="s">
        <v>1115</v>
      </c>
      <c r="AX240" s="626" t="s">
        <v>1116</v>
      </c>
      <c r="AY240" s="626" t="s">
        <v>1117</v>
      </c>
      <c r="AZ240" s="653" t="s">
        <v>1118</v>
      </c>
      <c r="BA240" s="645" t="s">
        <v>1124</v>
      </c>
    </row>
    <row r="241" spans="1:53" s="2" customFormat="1">
      <c r="A241" s="9"/>
      <c r="B241" s="9" t="s">
        <v>509</v>
      </c>
      <c r="C241" s="160">
        <v>190.61915999999999</v>
      </c>
      <c r="D241" s="160">
        <v>196.43532999999999</v>
      </c>
      <c r="E241" s="160">
        <v>263.97754000000009</v>
      </c>
      <c r="F241" s="160">
        <v>181.92628000000002</v>
      </c>
      <c r="G241" s="118">
        <v>832.9583100000001</v>
      </c>
      <c r="H241" s="160">
        <v>267.00390999999996</v>
      </c>
      <c r="I241" s="160">
        <v>413.40347000000003</v>
      </c>
      <c r="J241" s="160">
        <v>445.02257999999995</v>
      </c>
      <c r="K241" s="160">
        <v>1968.6041099999998</v>
      </c>
      <c r="L241" s="118">
        <v>3094.0340699999997</v>
      </c>
      <c r="M241" s="160">
        <v>359.37958999999995</v>
      </c>
      <c r="N241" s="160">
        <v>3325.0867999999996</v>
      </c>
      <c r="O241" s="160">
        <v>2368.0950599999996</v>
      </c>
      <c r="P241" s="160">
        <v>2303.2060900000015</v>
      </c>
      <c r="Q241" s="118">
        <v>8355.7675400000007</v>
      </c>
      <c r="R241" s="160">
        <v>1728.7103800000002</v>
      </c>
      <c r="S241" s="160">
        <v>2292.8919900000001</v>
      </c>
      <c r="T241" s="160">
        <v>2190.6849599999996</v>
      </c>
      <c r="U241" s="160">
        <v>2422.1454999999996</v>
      </c>
      <c r="V241" s="118">
        <v>8634.4328299999997</v>
      </c>
      <c r="W241" s="160">
        <v>3049.1930600000005</v>
      </c>
      <c r="X241" s="160">
        <v>3449.1925799999981</v>
      </c>
      <c r="Y241" s="160">
        <v>3714.6636400000025</v>
      </c>
      <c r="Z241" s="160">
        <v>3814.0051699999985</v>
      </c>
      <c r="AA241" s="118">
        <v>14027.05445</v>
      </c>
      <c r="AB241" s="160">
        <v>4008.41599</v>
      </c>
      <c r="AC241" s="160">
        <v>5394.4279900000001</v>
      </c>
      <c r="AD241" s="160">
        <v>7023.3572299999996</v>
      </c>
      <c r="AE241" s="160">
        <v>7460.5327699999998</v>
      </c>
      <c r="AF241" s="118">
        <f t="shared" ref="AF241:AF256" si="126">SUM(AB241:AE241)</f>
        <v>23886.733979999997</v>
      </c>
      <c r="AG241" s="160">
        <v>8435</v>
      </c>
      <c r="AH241" s="160">
        <v>13143</v>
      </c>
      <c r="AI241" s="160">
        <v>18869</v>
      </c>
      <c r="AJ241" s="160">
        <v>3896</v>
      </c>
      <c r="AK241" s="118">
        <f t="shared" ref="AK241:AK256" si="127">SUM(AG241:AJ241)</f>
        <v>44343</v>
      </c>
      <c r="AL241" s="160">
        <v>8480</v>
      </c>
      <c r="AM241" s="160">
        <v>9636</v>
      </c>
      <c r="AN241" s="160">
        <v>9619</v>
      </c>
      <c r="AO241" s="160">
        <v>9531</v>
      </c>
      <c r="AP241" s="118">
        <f t="shared" ref="AP241" si="128">SUM(AL241:AO241)</f>
        <v>37266</v>
      </c>
      <c r="AQ241" s="160">
        <v>9929</v>
      </c>
      <c r="AR241" s="160">
        <v>11553</v>
      </c>
      <c r="AS241" s="160">
        <v>12448</v>
      </c>
      <c r="AT241" s="160">
        <v>13844</v>
      </c>
      <c r="AU241" s="118">
        <f>SUM(AQ241:AT241)</f>
        <v>47774</v>
      </c>
      <c r="AV241" s="160">
        <v>11945</v>
      </c>
      <c r="AW241" s="160">
        <v>9132</v>
      </c>
      <c r="AX241" s="160">
        <v>12386</v>
      </c>
      <c r="AY241" s="160">
        <v>12293</v>
      </c>
      <c r="AZ241" s="118">
        <f>SUM(AV241:AY241)</f>
        <v>45756</v>
      </c>
      <c r="BA241" s="117">
        <v>15844</v>
      </c>
    </row>
    <row r="242" spans="1:53">
      <c r="A242" s="11"/>
      <c r="B242" s="11" t="s">
        <v>510</v>
      </c>
      <c r="C242" s="121">
        <v>0</v>
      </c>
      <c r="D242" s="121">
        <v>0</v>
      </c>
      <c r="E242" s="121">
        <v>0</v>
      </c>
      <c r="F242" s="121">
        <v>0</v>
      </c>
      <c r="G242" s="144">
        <v>0</v>
      </c>
      <c r="H242" s="121">
        <v>0</v>
      </c>
      <c r="I242" s="121">
        <v>0</v>
      </c>
      <c r="J242" s="121">
        <v>0</v>
      </c>
      <c r="K242" s="121">
        <v>0</v>
      </c>
      <c r="L242" s="144">
        <v>0</v>
      </c>
      <c r="M242" s="121">
        <v>0</v>
      </c>
      <c r="N242" s="121">
        <v>0</v>
      </c>
      <c r="O242" s="121">
        <v>0</v>
      </c>
      <c r="P242" s="121">
        <v>0</v>
      </c>
      <c r="Q242" s="144">
        <v>0</v>
      </c>
      <c r="R242" s="121">
        <v>0</v>
      </c>
      <c r="S242" s="121">
        <v>-1.7099300000000002</v>
      </c>
      <c r="T242" s="121">
        <v>1.7099700000000002</v>
      </c>
      <c r="U242" s="121">
        <v>-26.06888</v>
      </c>
      <c r="V242" s="144">
        <v>-26.068840000000002</v>
      </c>
      <c r="W242" s="121">
        <v>-46.482680000000002</v>
      </c>
      <c r="X242" s="121">
        <v>-92.904960000000003</v>
      </c>
      <c r="Y242" s="121">
        <v>-291.52719999999999</v>
      </c>
      <c r="Z242" s="121">
        <v>-81.643119999999954</v>
      </c>
      <c r="AA242" s="144">
        <v>-512.55795999999998</v>
      </c>
      <c r="AB242" s="121">
        <v>-332.16720000000004</v>
      </c>
      <c r="AC242" s="121">
        <v>-124.50091999999995</v>
      </c>
      <c r="AD242" s="121">
        <v>-143.23952000000003</v>
      </c>
      <c r="AE242" s="121">
        <v>-167.12040000000002</v>
      </c>
      <c r="AF242" s="144">
        <f t="shared" si="126"/>
        <v>-767.02804000000003</v>
      </c>
      <c r="AG242" s="121">
        <v>-532</v>
      </c>
      <c r="AH242" s="121">
        <v>-139</v>
      </c>
      <c r="AI242" s="121">
        <v>-1184</v>
      </c>
      <c r="AJ242" s="121">
        <v>408</v>
      </c>
      <c r="AK242" s="144">
        <f t="shared" si="127"/>
        <v>-1447</v>
      </c>
      <c r="AL242" s="121">
        <v>-491</v>
      </c>
      <c r="AM242" s="121">
        <v>-660</v>
      </c>
      <c r="AN242" s="121">
        <v>-648</v>
      </c>
      <c r="AO242" s="485">
        <v>-410</v>
      </c>
      <c r="AP242" s="144">
        <f t="shared" ref="AP242:AP259" si="129">SUM(AL242:AO242)</f>
        <v>-2209</v>
      </c>
      <c r="AQ242" s="121">
        <v>-704</v>
      </c>
      <c r="AR242" s="121">
        <v>-490</v>
      </c>
      <c r="AS242" s="121">
        <v>-480</v>
      </c>
      <c r="AT242" s="121">
        <v>-23</v>
      </c>
      <c r="AU242" s="144">
        <f t="shared" ref="AU242:AU259" si="130">SUM(AQ242:AT242)</f>
        <v>-1697</v>
      </c>
      <c r="AV242" s="121">
        <v>-278</v>
      </c>
      <c r="AW242" s="121">
        <v>-151</v>
      </c>
      <c r="AX242" s="121">
        <v>-183</v>
      </c>
      <c r="AY242" s="121">
        <v>-89</v>
      </c>
      <c r="AZ242" s="144">
        <f t="shared" ref="AZ242:AZ259" si="131">SUM(AV242:AY242)</f>
        <v>-701</v>
      </c>
      <c r="BA242" s="123">
        <v>-22</v>
      </c>
    </row>
    <row r="243" spans="1:53" s="2" customFormat="1">
      <c r="A243" s="9"/>
      <c r="B243" s="9" t="s">
        <v>412</v>
      </c>
      <c r="C243" s="160">
        <v>190.61915999999999</v>
      </c>
      <c r="D243" s="160">
        <v>196.43532999999999</v>
      </c>
      <c r="E243" s="160">
        <v>263.97754000000009</v>
      </c>
      <c r="F243" s="160">
        <v>181.92628000000002</v>
      </c>
      <c r="G243" s="118">
        <v>832.9583100000001</v>
      </c>
      <c r="H243" s="160">
        <v>267.00390999999996</v>
      </c>
      <c r="I243" s="160">
        <v>413.40347000000003</v>
      </c>
      <c r="J243" s="160">
        <v>445.02257999999995</v>
      </c>
      <c r="K243" s="160">
        <v>1968.6041099999998</v>
      </c>
      <c r="L243" s="118">
        <v>3094.0340699999997</v>
      </c>
      <c r="M243" s="160">
        <v>359.37958999999995</v>
      </c>
      <c r="N243" s="160">
        <v>3325.0867999999996</v>
      </c>
      <c r="O243" s="160">
        <v>2368.0950599999996</v>
      </c>
      <c r="P243" s="160">
        <v>2303.2060900000015</v>
      </c>
      <c r="Q243" s="118">
        <v>8355.7675400000007</v>
      </c>
      <c r="R243" s="160">
        <v>1728.7103800000002</v>
      </c>
      <c r="S243" s="160">
        <v>2291.1820600000001</v>
      </c>
      <c r="T243" s="160">
        <v>2192.3949299999995</v>
      </c>
      <c r="U243" s="160">
        <v>2396.0766199999998</v>
      </c>
      <c r="V243" s="118">
        <v>8608.3639899999998</v>
      </c>
      <c r="W243" s="160">
        <v>3002.7103800000004</v>
      </c>
      <c r="X243" s="160">
        <v>3356.2876199999982</v>
      </c>
      <c r="Y243" s="160">
        <v>3423.1364400000029</v>
      </c>
      <c r="Z243" s="160">
        <v>3732.3620499999961</v>
      </c>
      <c r="AA243" s="118">
        <v>13514.496489999998</v>
      </c>
      <c r="AB243" s="160">
        <v>3676.2487899999996</v>
      </c>
      <c r="AC243" s="160">
        <v>5269.9270700000015</v>
      </c>
      <c r="AD243" s="160">
        <v>6880.1177099999986</v>
      </c>
      <c r="AE243" s="160">
        <v>7293.4123700000009</v>
      </c>
      <c r="AF243" s="118">
        <f t="shared" si="126"/>
        <v>23119.70594</v>
      </c>
      <c r="AG243" s="160">
        <f>AG241+AG242</f>
        <v>7903</v>
      </c>
      <c r="AH243" s="160">
        <f>AH241+AH242</f>
        <v>13004</v>
      </c>
      <c r="AI243" s="160">
        <f>AI241+AI242</f>
        <v>17685</v>
      </c>
      <c r="AJ243" s="160">
        <f>AJ241+AJ242</f>
        <v>4304</v>
      </c>
      <c r="AK243" s="118">
        <f t="shared" si="127"/>
        <v>42896</v>
      </c>
      <c r="AL243" s="160">
        <f>AL241+AL242</f>
        <v>7989</v>
      </c>
      <c r="AM243" s="160">
        <f>AM241+AM242</f>
        <v>8976</v>
      </c>
      <c r="AN243" s="160">
        <f>AN241+AN242</f>
        <v>8971</v>
      </c>
      <c r="AO243" s="160">
        <f>AO241+AO242</f>
        <v>9121</v>
      </c>
      <c r="AP243" s="118">
        <f t="shared" si="129"/>
        <v>35057</v>
      </c>
      <c r="AQ243" s="160">
        <f>AQ241+AQ242</f>
        <v>9225</v>
      </c>
      <c r="AR243" s="160">
        <f>AR241+AR242</f>
        <v>11063</v>
      </c>
      <c r="AS243" s="160">
        <f t="shared" ref="AS243:AV243" si="132">AS241+AS242</f>
        <v>11968</v>
      </c>
      <c r="AT243" s="160">
        <f t="shared" si="132"/>
        <v>13821</v>
      </c>
      <c r="AU243" s="118">
        <f t="shared" si="130"/>
        <v>46077</v>
      </c>
      <c r="AV243" s="160">
        <f t="shared" si="132"/>
        <v>11667</v>
      </c>
      <c r="AW243" s="160">
        <f t="shared" ref="AW243:AY243" si="133">AW241+AW242</f>
        <v>8981</v>
      </c>
      <c r="AX243" s="160">
        <f t="shared" si="133"/>
        <v>12203</v>
      </c>
      <c r="AY243" s="160">
        <f t="shared" si="133"/>
        <v>12204</v>
      </c>
      <c r="AZ243" s="118">
        <f t="shared" si="131"/>
        <v>45055</v>
      </c>
      <c r="BA243" s="160">
        <f t="shared" ref="BA243" si="134">BA241+BA242</f>
        <v>15822</v>
      </c>
    </row>
    <row r="244" spans="1:53">
      <c r="A244" s="11"/>
      <c r="B244" s="11" t="s">
        <v>413</v>
      </c>
      <c r="C244" s="121">
        <v>-159.88148000000001</v>
      </c>
      <c r="D244" s="121">
        <v>-237.80857000000003</v>
      </c>
      <c r="E244" s="121">
        <v>-263.38271999999995</v>
      </c>
      <c r="F244" s="121">
        <v>-188.73036999999988</v>
      </c>
      <c r="G244" s="144">
        <v>-849.80313999999987</v>
      </c>
      <c r="H244" s="121">
        <v>-143.87393</v>
      </c>
      <c r="I244" s="121">
        <v>-270.37338999999997</v>
      </c>
      <c r="J244" s="121">
        <v>-183.42327</v>
      </c>
      <c r="K244" s="121">
        <v>-187.68237000000022</v>
      </c>
      <c r="L244" s="144">
        <v>-785.35296000000017</v>
      </c>
      <c r="M244" s="121">
        <v>-111.16463999999999</v>
      </c>
      <c r="N244" s="121">
        <v>-222.63201999999998</v>
      </c>
      <c r="O244" s="121">
        <v>-194.34633000000008</v>
      </c>
      <c r="P244" s="121">
        <v>-109.09014000000013</v>
      </c>
      <c r="Q244" s="144">
        <v>-637.23313000000019</v>
      </c>
      <c r="R244" s="121">
        <v>-94.789999999999992</v>
      </c>
      <c r="S244" s="121">
        <v>-145.20373000000004</v>
      </c>
      <c r="T244" s="121">
        <v>-76.344779999999957</v>
      </c>
      <c r="U244" s="121">
        <v>-75.267960000000073</v>
      </c>
      <c r="V244" s="144">
        <v>-391.60647000000006</v>
      </c>
      <c r="W244" s="121">
        <v>-38.91816</v>
      </c>
      <c r="X244" s="121">
        <v>-61.759330000000006</v>
      </c>
      <c r="Y244" s="121">
        <v>-93.66952999999998</v>
      </c>
      <c r="Z244" s="121">
        <v>-108.72539</v>
      </c>
      <c r="AA244" s="144">
        <v>-303.07240999999999</v>
      </c>
      <c r="AB244" s="121">
        <v>-46.823779999999999</v>
      </c>
      <c r="AC244" s="121">
        <v>-63.931370000000015</v>
      </c>
      <c r="AD244" s="121">
        <v>-22.192869999999971</v>
      </c>
      <c r="AE244" s="121">
        <v>-20.996600000000004</v>
      </c>
      <c r="AF244" s="144">
        <f t="shared" si="126"/>
        <v>-153.94461999999999</v>
      </c>
      <c r="AG244" s="121">
        <v>-24</v>
      </c>
      <c r="AH244" s="121">
        <v>-11</v>
      </c>
      <c r="AI244" s="121">
        <v>-47</v>
      </c>
      <c r="AJ244" s="121">
        <v>5</v>
      </c>
      <c r="AK244" s="144">
        <f t="shared" si="127"/>
        <v>-77</v>
      </c>
      <c r="AL244" s="121">
        <v>-19</v>
      </c>
      <c r="AM244" s="121">
        <v>-22</v>
      </c>
      <c r="AN244" s="121">
        <v>-20</v>
      </c>
      <c r="AO244" s="485">
        <v>-20</v>
      </c>
      <c r="AP244" s="144">
        <f t="shared" si="129"/>
        <v>-81</v>
      </c>
      <c r="AQ244" s="121">
        <v>-21</v>
      </c>
      <c r="AR244" s="121">
        <v>-722</v>
      </c>
      <c r="AS244" s="121">
        <v>54</v>
      </c>
      <c r="AT244" s="121">
        <v>-249</v>
      </c>
      <c r="AU244" s="144">
        <f t="shared" si="130"/>
        <v>-938</v>
      </c>
      <c r="AV244" s="121">
        <v>-568</v>
      </c>
      <c r="AW244" s="121">
        <v>-626</v>
      </c>
      <c r="AX244" s="121">
        <v>-338</v>
      </c>
      <c r="AY244" s="121">
        <v>-504</v>
      </c>
      <c r="AZ244" s="144">
        <f t="shared" si="131"/>
        <v>-2036</v>
      </c>
      <c r="BA244" s="123">
        <v>389</v>
      </c>
    </row>
    <row r="245" spans="1:53">
      <c r="A245" s="11"/>
      <c r="B245" s="11" t="s">
        <v>414</v>
      </c>
      <c r="C245" s="121">
        <v>-40.178730000000002</v>
      </c>
      <c r="D245" s="121">
        <v>-28.556429999999992</v>
      </c>
      <c r="E245" s="121">
        <v>-37.906299999999987</v>
      </c>
      <c r="F245" s="121">
        <v>-26.097979999999993</v>
      </c>
      <c r="G245" s="142">
        <v>-132.73943999999997</v>
      </c>
      <c r="H245" s="121">
        <v>-44.674169999999997</v>
      </c>
      <c r="I245" s="121">
        <v>-59.759899999999995</v>
      </c>
      <c r="J245" s="121">
        <v>-71.919560000000018</v>
      </c>
      <c r="K245" s="121">
        <v>-207.73866999999996</v>
      </c>
      <c r="L245" s="142">
        <v>-384.09229999999997</v>
      </c>
      <c r="M245" s="121">
        <v>-71.023959999999988</v>
      </c>
      <c r="N245" s="121">
        <v>-346.26936000000001</v>
      </c>
      <c r="O245" s="121">
        <v>-256.15509000000009</v>
      </c>
      <c r="P245" s="121">
        <v>-243.80309</v>
      </c>
      <c r="Q245" s="142">
        <v>-917.25150000000008</v>
      </c>
      <c r="R245" s="121">
        <v>-204.75183000000001</v>
      </c>
      <c r="S245" s="121">
        <v>-249.07092999999995</v>
      </c>
      <c r="T245" s="121">
        <v>-243.27758000000011</v>
      </c>
      <c r="U245" s="121">
        <v>-257.24614999999994</v>
      </c>
      <c r="V245" s="142">
        <v>-954.34649000000002</v>
      </c>
      <c r="W245" s="121">
        <v>-323.97974999999997</v>
      </c>
      <c r="X245" s="121">
        <v>-357.73946000000001</v>
      </c>
      <c r="Y245" s="121">
        <v>-383.34087</v>
      </c>
      <c r="Z245" s="121">
        <v>-396.73551999999995</v>
      </c>
      <c r="AA245" s="142">
        <v>-1461.7955999999999</v>
      </c>
      <c r="AB245" s="121">
        <v>-411.33489999999995</v>
      </c>
      <c r="AC245" s="121">
        <v>-547.05209000000002</v>
      </c>
      <c r="AD245" s="121">
        <v>-707.83991999999989</v>
      </c>
      <c r="AE245" s="121">
        <v>-770.64642000000015</v>
      </c>
      <c r="AF245" s="142">
        <f t="shared" si="126"/>
        <v>-2436.8733299999999</v>
      </c>
      <c r="AG245" s="121">
        <v>-948</v>
      </c>
      <c r="AH245" s="121">
        <v>-1311</v>
      </c>
      <c r="AI245" s="121">
        <v>-2030</v>
      </c>
      <c r="AJ245" s="121">
        <v>-307</v>
      </c>
      <c r="AK245" s="142">
        <f t="shared" si="127"/>
        <v>-4596</v>
      </c>
      <c r="AL245" s="121">
        <v>-902</v>
      </c>
      <c r="AM245" s="121">
        <v>-987</v>
      </c>
      <c r="AN245" s="121">
        <v>-990</v>
      </c>
      <c r="AO245" s="485">
        <v>-985</v>
      </c>
      <c r="AP245" s="142">
        <f t="shared" si="129"/>
        <v>-3864</v>
      </c>
      <c r="AQ245" s="121">
        <v>-1027</v>
      </c>
      <c r="AR245" s="121">
        <v>-1249</v>
      </c>
      <c r="AS245" s="121">
        <v>-1208</v>
      </c>
      <c r="AT245" s="121">
        <v>-1402</v>
      </c>
      <c r="AU245" s="142">
        <f t="shared" si="130"/>
        <v>-4886</v>
      </c>
      <c r="AV245" s="121">
        <v>-1257</v>
      </c>
      <c r="AW245" s="121">
        <v>-975</v>
      </c>
      <c r="AX245" s="121">
        <v>-1282</v>
      </c>
      <c r="AY245" s="121">
        <v>-1295</v>
      </c>
      <c r="AZ245" s="142">
        <f t="shared" si="131"/>
        <v>-4809</v>
      </c>
      <c r="BA245" s="123">
        <v>-1621</v>
      </c>
    </row>
    <row r="246" spans="1:53">
      <c r="A246" s="11"/>
      <c r="B246" s="11" t="s">
        <v>415</v>
      </c>
      <c r="C246" s="121">
        <v>2.1670599999999998</v>
      </c>
      <c r="D246" s="121">
        <v>2.2410900000000002</v>
      </c>
      <c r="E246" s="121">
        <v>5.5875399999999997</v>
      </c>
      <c r="F246" s="121">
        <v>3.3286499999999979</v>
      </c>
      <c r="G246" s="142">
        <v>13.324339999999998</v>
      </c>
      <c r="H246" s="121">
        <v>3.20384</v>
      </c>
      <c r="I246" s="121">
        <v>9.1771700000000003</v>
      </c>
      <c r="J246" s="121">
        <v>180.14998999999997</v>
      </c>
      <c r="K246" s="121">
        <v>186.29321000000002</v>
      </c>
      <c r="L246" s="142">
        <v>378.82420999999999</v>
      </c>
      <c r="M246" s="121">
        <v>182.33118000000002</v>
      </c>
      <c r="N246" s="121">
        <v>213.98107999999991</v>
      </c>
      <c r="O246" s="121">
        <v>217.46554000000003</v>
      </c>
      <c r="P246" s="121">
        <v>241.66031000000021</v>
      </c>
      <c r="Q246" s="142">
        <v>855.43811000000017</v>
      </c>
      <c r="R246" s="121">
        <v>247.69399999999999</v>
      </c>
      <c r="S246" s="121">
        <v>272.64087999999992</v>
      </c>
      <c r="T246" s="121">
        <v>294.27589000000012</v>
      </c>
      <c r="U246" s="121">
        <v>260.38510999999994</v>
      </c>
      <c r="V246" s="142">
        <v>1074.9958799999999</v>
      </c>
      <c r="W246" s="121">
        <v>227.76829000000001</v>
      </c>
      <c r="X246" s="121">
        <v>178.94919999999999</v>
      </c>
      <c r="Y246" s="121">
        <v>112.69880000000001</v>
      </c>
      <c r="Z246" s="121">
        <v>134.92153000000008</v>
      </c>
      <c r="AA246" s="142">
        <v>654.33782000000008</v>
      </c>
      <c r="AB246" s="121">
        <v>132.07637</v>
      </c>
      <c r="AC246" s="121">
        <v>203.82567</v>
      </c>
      <c r="AD246" s="121">
        <v>394.09372999999999</v>
      </c>
      <c r="AE246" s="121">
        <v>669.13846999999998</v>
      </c>
      <c r="AF246" s="142">
        <f t="shared" si="126"/>
        <v>1399.1342399999999</v>
      </c>
      <c r="AG246" s="121">
        <v>984</v>
      </c>
      <c r="AH246" s="121">
        <v>843</v>
      </c>
      <c r="AI246" s="121">
        <v>2262</v>
      </c>
      <c r="AJ246" s="121">
        <v>291</v>
      </c>
      <c r="AK246" s="142">
        <f t="shared" si="127"/>
        <v>4380</v>
      </c>
      <c r="AL246" s="121">
        <v>1399</v>
      </c>
      <c r="AM246" s="121">
        <v>824</v>
      </c>
      <c r="AN246" s="121">
        <v>938</v>
      </c>
      <c r="AO246" s="485">
        <v>976</v>
      </c>
      <c r="AP246" s="142">
        <f t="shared" si="129"/>
        <v>4137</v>
      </c>
      <c r="AQ246" s="121">
        <v>1002</v>
      </c>
      <c r="AR246" s="121">
        <v>867</v>
      </c>
      <c r="AS246" s="121">
        <v>918</v>
      </c>
      <c r="AT246" s="121">
        <v>1187</v>
      </c>
      <c r="AU246" s="142">
        <f t="shared" si="130"/>
        <v>3974</v>
      </c>
      <c r="AV246" s="121">
        <v>1408</v>
      </c>
      <c r="AW246" s="121">
        <v>1167</v>
      </c>
      <c r="AX246" s="121">
        <v>1321</v>
      </c>
      <c r="AY246" s="121">
        <v>1626</v>
      </c>
      <c r="AZ246" s="142">
        <f t="shared" si="131"/>
        <v>5522</v>
      </c>
      <c r="BA246" s="123">
        <v>1293</v>
      </c>
    </row>
    <row r="247" spans="1:53">
      <c r="A247" s="11"/>
      <c r="B247" s="11" t="s">
        <v>416</v>
      </c>
      <c r="C247" s="121">
        <v>81.83874999999999</v>
      </c>
      <c r="D247" s="121">
        <v>12.402750000000012</v>
      </c>
      <c r="E247" s="121">
        <v>6.9406699999999972</v>
      </c>
      <c r="F247" s="121">
        <v>4.4535599999999818</v>
      </c>
      <c r="G247" s="144">
        <v>105.63572999999998</v>
      </c>
      <c r="H247" s="121">
        <v>7.60717</v>
      </c>
      <c r="I247" s="121">
        <v>-54.938649999999996</v>
      </c>
      <c r="J247" s="121">
        <v>0</v>
      </c>
      <c r="K247" s="121">
        <v>0</v>
      </c>
      <c r="L247" s="144">
        <v>-47.331479999999999</v>
      </c>
      <c r="M247" s="121">
        <v>15.26369</v>
      </c>
      <c r="N247" s="121">
        <v>-14.889700000000001</v>
      </c>
      <c r="O247" s="121">
        <v>2.4424906541753444E-15</v>
      </c>
      <c r="P247" s="121">
        <v>-1.8318679906315083E-15</v>
      </c>
      <c r="Q247" s="144">
        <v>0.37398999999999977</v>
      </c>
      <c r="R247" s="121">
        <v>0</v>
      </c>
      <c r="S247" s="121">
        <v>9.1900000000000003E-3</v>
      </c>
      <c r="T247" s="121">
        <v>0</v>
      </c>
      <c r="U247" s="121">
        <v>0</v>
      </c>
      <c r="V247" s="144">
        <v>9.1900000000000003E-3</v>
      </c>
      <c r="W247" s="121">
        <v>0</v>
      </c>
      <c r="X247" s="121">
        <v>3.3300000000000001E-3</v>
      </c>
      <c r="Y247" s="121">
        <v>0</v>
      </c>
      <c r="Z247" s="121">
        <v>0</v>
      </c>
      <c r="AA247" s="144">
        <v>3.3300000000000001E-3</v>
      </c>
      <c r="AB247" s="121">
        <v>0</v>
      </c>
      <c r="AC247" s="121">
        <v>2.7699999999999999E-3</v>
      </c>
      <c r="AD247" s="121">
        <v>0</v>
      </c>
      <c r="AE247" s="121">
        <v>0</v>
      </c>
      <c r="AF247" s="144">
        <f t="shared" si="126"/>
        <v>2.7699999999999999E-3</v>
      </c>
      <c r="AG247" s="121">
        <v>0</v>
      </c>
      <c r="AH247" s="121">
        <v>0</v>
      </c>
      <c r="AI247" s="121">
        <v>0</v>
      </c>
      <c r="AJ247" s="121">
        <v>0</v>
      </c>
      <c r="AK247" s="144">
        <f t="shared" si="127"/>
        <v>0</v>
      </c>
      <c r="AL247" s="121">
        <v>0</v>
      </c>
      <c r="AM247" s="121">
        <v>0</v>
      </c>
      <c r="AN247" s="121">
        <v>0</v>
      </c>
      <c r="AO247" s="485">
        <v>0</v>
      </c>
      <c r="AP247" s="144">
        <f t="shared" si="129"/>
        <v>0</v>
      </c>
      <c r="AQ247" s="121">
        <v>0</v>
      </c>
      <c r="AR247" s="121">
        <v>0</v>
      </c>
      <c r="AS247" s="121">
        <v>0</v>
      </c>
      <c r="AT247" s="121">
        <v>0</v>
      </c>
      <c r="AU247" s="144">
        <f t="shared" si="130"/>
        <v>0</v>
      </c>
      <c r="AV247" s="121">
        <v>0</v>
      </c>
      <c r="AW247" s="121">
        <v>0</v>
      </c>
      <c r="AX247" s="121">
        <v>0</v>
      </c>
      <c r="AY247" s="121">
        <v>0</v>
      </c>
      <c r="AZ247" s="144">
        <f t="shared" si="131"/>
        <v>0</v>
      </c>
      <c r="BA247" s="123">
        <v>0</v>
      </c>
    </row>
    <row r="248" spans="1:53" s="2" customFormat="1">
      <c r="A248" s="9"/>
      <c r="B248" s="9" t="s">
        <v>418</v>
      </c>
      <c r="C248" s="160">
        <v>74.564759999999978</v>
      </c>
      <c r="D248" s="160">
        <v>-55.285830000000018</v>
      </c>
      <c r="E248" s="160">
        <v>-24.783269999999849</v>
      </c>
      <c r="F248" s="160">
        <v>-25.119859999999875</v>
      </c>
      <c r="G248" s="118">
        <v>-30.624199999999764</v>
      </c>
      <c r="H248" s="160">
        <v>89.266819999999953</v>
      </c>
      <c r="I248" s="160">
        <v>37.508700000000076</v>
      </c>
      <c r="J248" s="160">
        <v>369.8297399999999</v>
      </c>
      <c r="K248" s="160">
        <v>1759.4762799999996</v>
      </c>
      <c r="L248" s="118">
        <v>2256.0815399999997</v>
      </c>
      <c r="M248" s="160">
        <v>374.78585999999996</v>
      </c>
      <c r="N248" s="160">
        <v>2955.2767999999996</v>
      </c>
      <c r="O248" s="160">
        <v>2135.0591799999993</v>
      </c>
      <c r="P248" s="160">
        <v>2191.9731700000016</v>
      </c>
      <c r="Q248" s="118">
        <v>7657.0950100000009</v>
      </c>
      <c r="R248" s="160">
        <v>1676.8625500000003</v>
      </c>
      <c r="S248" s="160">
        <v>2169.5574700000002</v>
      </c>
      <c r="T248" s="160">
        <v>2167.0484599999995</v>
      </c>
      <c r="U248" s="160">
        <v>2323.9476199999999</v>
      </c>
      <c r="V248" s="118">
        <v>8337.4160999999986</v>
      </c>
      <c r="W248" s="160">
        <v>2867.5807600000003</v>
      </c>
      <c r="X248" s="160">
        <v>3115.7413599999986</v>
      </c>
      <c r="Y248" s="160">
        <v>3058.824840000003</v>
      </c>
      <c r="Z248" s="160">
        <v>3361.8226699999964</v>
      </c>
      <c r="AA248" s="118">
        <v>12403.969629999998</v>
      </c>
      <c r="AB248" s="160">
        <f>SUM(AB243:AB247)</f>
        <v>3350.1664799999999</v>
      </c>
      <c r="AC248" s="160">
        <f>SUM(AC243:AC247)</f>
        <v>4862.7720500000014</v>
      </c>
      <c r="AD248" s="160">
        <f>SUM(AD243:AD247)</f>
        <v>6544.1786499999989</v>
      </c>
      <c r="AE248" s="160">
        <v>7170.9078200000004</v>
      </c>
      <c r="AF248" s="118">
        <f t="shared" si="126"/>
        <v>21928.025000000001</v>
      </c>
      <c r="AG248" s="160">
        <f>SUM(AG243:AG247)</f>
        <v>7915</v>
      </c>
      <c r="AH248" s="160">
        <f>SUM(AH243:AH247)</f>
        <v>12525</v>
      </c>
      <c r="AI248" s="160">
        <f>SUM(AI243:AI247)</f>
        <v>17870</v>
      </c>
      <c r="AJ248" s="160">
        <f>SUM(AJ243:AJ247)</f>
        <v>4293</v>
      </c>
      <c r="AK248" s="118">
        <f t="shared" si="127"/>
        <v>42603</v>
      </c>
      <c r="AL248" s="160">
        <f>SUM(AL243:AL247)</f>
        <v>8467</v>
      </c>
      <c r="AM248" s="160">
        <f>SUM(AM243:AM247)</f>
        <v>8791</v>
      </c>
      <c r="AN248" s="160">
        <f>SUM(AN243:AN247)</f>
        <v>8899</v>
      </c>
      <c r="AO248" s="160">
        <f>SUM(AO243:AO247)</f>
        <v>9092</v>
      </c>
      <c r="AP248" s="118">
        <f t="shared" si="129"/>
        <v>35249</v>
      </c>
      <c r="AQ248" s="160">
        <f>SUM(AQ243:AQ247)</f>
        <v>9179</v>
      </c>
      <c r="AR248" s="160">
        <f>SUM(AR243:AR247)</f>
        <v>9959</v>
      </c>
      <c r="AS248" s="160">
        <f t="shared" ref="AS248:AV248" si="135">SUM(AS243:AS247)</f>
        <v>11732</v>
      </c>
      <c r="AT248" s="160">
        <f t="shared" si="135"/>
        <v>13357</v>
      </c>
      <c r="AU248" s="118">
        <f t="shared" si="130"/>
        <v>44227</v>
      </c>
      <c r="AV248" s="160">
        <f t="shared" si="135"/>
        <v>11250</v>
      </c>
      <c r="AW248" s="160">
        <f t="shared" ref="AW248:AY248" si="136">SUM(AW243:AW247)</f>
        <v>8547</v>
      </c>
      <c r="AX248" s="160">
        <f t="shared" si="136"/>
        <v>11904</v>
      </c>
      <c r="AY248" s="160">
        <f t="shared" si="136"/>
        <v>12031</v>
      </c>
      <c r="AZ248" s="118">
        <f t="shared" si="131"/>
        <v>43732</v>
      </c>
      <c r="BA248" s="160">
        <f t="shared" ref="BA248" si="137">SUM(BA243:BA247)</f>
        <v>15883</v>
      </c>
    </row>
    <row r="249" spans="1:53">
      <c r="A249" s="11"/>
      <c r="B249" s="11" t="s">
        <v>419</v>
      </c>
      <c r="C249" s="121">
        <v>0</v>
      </c>
      <c r="D249" s="121">
        <v>0</v>
      </c>
      <c r="E249" s="121">
        <v>0</v>
      </c>
      <c r="F249" s="121">
        <v>0</v>
      </c>
      <c r="G249" s="142">
        <v>0</v>
      </c>
      <c r="H249" s="121">
        <v>0</v>
      </c>
      <c r="I249" s="121">
        <v>0</v>
      </c>
      <c r="J249" s="121">
        <v>0</v>
      </c>
      <c r="K249" s="121">
        <v>0</v>
      </c>
      <c r="L249" s="142">
        <v>0</v>
      </c>
      <c r="M249" s="121">
        <v>0</v>
      </c>
      <c r="N249" s="121">
        <v>0</v>
      </c>
      <c r="O249" s="121">
        <v>0</v>
      </c>
      <c r="P249" s="121">
        <v>0</v>
      </c>
      <c r="Q249" s="142">
        <v>0</v>
      </c>
      <c r="R249" s="121">
        <v>0</v>
      </c>
      <c r="S249" s="121">
        <v>0</v>
      </c>
      <c r="T249" s="121">
        <v>0</v>
      </c>
      <c r="U249" s="121">
        <v>0</v>
      </c>
      <c r="V249" s="142">
        <v>0</v>
      </c>
      <c r="W249" s="121">
        <v>22.419779999999999</v>
      </c>
      <c r="X249" s="121">
        <v>0</v>
      </c>
      <c r="Y249" s="121">
        <v>0</v>
      </c>
      <c r="Z249" s="121">
        <v>0</v>
      </c>
      <c r="AA249" s="142">
        <v>22.419779999999999</v>
      </c>
      <c r="AB249" s="121">
        <v>0</v>
      </c>
      <c r="AC249" s="121">
        <v>0</v>
      </c>
      <c r="AD249" s="121">
        <v>0</v>
      </c>
      <c r="AE249" s="121">
        <v>0</v>
      </c>
      <c r="AF249" s="142">
        <f t="shared" si="126"/>
        <v>0</v>
      </c>
      <c r="AG249" s="121">
        <v>734</v>
      </c>
      <c r="AH249" s="121">
        <v>0</v>
      </c>
      <c r="AI249" s="121">
        <v>734</v>
      </c>
      <c r="AJ249" s="121">
        <v>-734</v>
      </c>
      <c r="AK249" s="142">
        <f t="shared" si="127"/>
        <v>734</v>
      </c>
      <c r="AL249" s="121">
        <v>0</v>
      </c>
      <c r="AM249" s="121">
        <v>0</v>
      </c>
      <c r="AN249" s="121">
        <v>0</v>
      </c>
      <c r="AO249" s="485">
        <v>0</v>
      </c>
      <c r="AP249" s="142">
        <f t="shared" si="129"/>
        <v>0</v>
      </c>
      <c r="AQ249" s="121">
        <v>0</v>
      </c>
      <c r="AR249" s="121">
        <v>325</v>
      </c>
      <c r="AS249" s="121">
        <v>-325</v>
      </c>
      <c r="AT249" s="121">
        <v>325</v>
      </c>
      <c r="AU249" s="142">
        <f t="shared" si="130"/>
        <v>325</v>
      </c>
      <c r="AV249" s="121">
        <v>0</v>
      </c>
      <c r="AW249" s="121">
        <v>0</v>
      </c>
      <c r="AX249" s="121">
        <v>0</v>
      </c>
      <c r="AY249" s="121">
        <v>0</v>
      </c>
      <c r="AZ249" s="142">
        <f t="shared" si="131"/>
        <v>0</v>
      </c>
      <c r="BA249" s="123">
        <v>0</v>
      </c>
    </row>
    <row r="250" spans="1:53" s="2" customFormat="1">
      <c r="A250" s="9"/>
      <c r="B250" s="9" t="s">
        <v>420</v>
      </c>
      <c r="C250" s="160">
        <v>74.564759999999978</v>
      </c>
      <c r="D250" s="160">
        <v>-55.285830000000018</v>
      </c>
      <c r="E250" s="160">
        <v>-24.783269999999849</v>
      </c>
      <c r="F250" s="160">
        <v>-25.119859999999875</v>
      </c>
      <c r="G250" s="118">
        <v>-30.624199999999764</v>
      </c>
      <c r="H250" s="160">
        <v>89.266819999999953</v>
      </c>
      <c r="I250" s="160">
        <v>37.508700000000076</v>
      </c>
      <c r="J250" s="160">
        <v>369.8297399999999</v>
      </c>
      <c r="K250" s="160">
        <v>1759.4762799999996</v>
      </c>
      <c r="L250" s="118">
        <v>2256.0815399999997</v>
      </c>
      <c r="M250" s="160">
        <v>374.78585999999996</v>
      </c>
      <c r="N250" s="160">
        <v>2955.2767999999996</v>
      </c>
      <c r="O250" s="160">
        <v>2135.0591799999993</v>
      </c>
      <c r="P250" s="160">
        <v>2191.9731700000016</v>
      </c>
      <c r="Q250" s="118">
        <v>7657.0950100000009</v>
      </c>
      <c r="R250" s="160">
        <v>1676.8625500000003</v>
      </c>
      <c r="S250" s="160">
        <v>2169.5574700000002</v>
      </c>
      <c r="T250" s="160">
        <v>2167.0484599999995</v>
      </c>
      <c r="U250" s="160">
        <v>2323.9476199999999</v>
      </c>
      <c r="V250" s="118">
        <v>8337.4160999999986</v>
      </c>
      <c r="W250" s="160">
        <v>2890.0005400000005</v>
      </c>
      <c r="X250" s="160">
        <v>3115.7413599999986</v>
      </c>
      <c r="Y250" s="160">
        <v>3058.824840000003</v>
      </c>
      <c r="Z250" s="160">
        <v>3361.8226699999964</v>
      </c>
      <c r="AA250" s="118">
        <v>12426.389409999998</v>
      </c>
      <c r="AB250" s="160">
        <f>SUM(AB248:AB249)</f>
        <v>3350.1664799999999</v>
      </c>
      <c r="AC250" s="160">
        <f>SUM(AC248:AC249)</f>
        <v>4862.7720500000014</v>
      </c>
      <c r="AD250" s="160">
        <f>SUM(AD248:AD249)</f>
        <v>6544.1786499999989</v>
      </c>
      <c r="AE250" s="160">
        <v>7170.9078200000004</v>
      </c>
      <c r="AF250" s="118">
        <f t="shared" si="126"/>
        <v>21928.025000000001</v>
      </c>
      <c r="AG250" s="160">
        <f>AG248+AG249</f>
        <v>8649</v>
      </c>
      <c r="AH250" s="160">
        <f>AH248+AH249</f>
        <v>12525</v>
      </c>
      <c r="AI250" s="160">
        <f>AI248+AI249</f>
        <v>18604</v>
      </c>
      <c r="AJ250" s="160">
        <f>AJ248+AJ249</f>
        <v>3559</v>
      </c>
      <c r="AK250" s="118">
        <f t="shared" si="127"/>
        <v>43337</v>
      </c>
      <c r="AL250" s="160">
        <f>AL248+AL249</f>
        <v>8467</v>
      </c>
      <c r="AM250" s="160">
        <f>AM248+AM249</f>
        <v>8791</v>
      </c>
      <c r="AN250" s="160">
        <f>AN248+AN249</f>
        <v>8899</v>
      </c>
      <c r="AO250" s="160">
        <f>AO248+AO249</f>
        <v>9092</v>
      </c>
      <c r="AP250" s="118">
        <f t="shared" si="129"/>
        <v>35249</v>
      </c>
      <c r="AQ250" s="160">
        <f>AQ248+AQ249</f>
        <v>9179</v>
      </c>
      <c r="AR250" s="160">
        <f>AR248+AR249</f>
        <v>10284</v>
      </c>
      <c r="AS250" s="160">
        <f t="shared" ref="AS250:AV250" si="138">AS248+AS249</f>
        <v>11407</v>
      </c>
      <c r="AT250" s="160">
        <f t="shared" si="138"/>
        <v>13682</v>
      </c>
      <c r="AU250" s="118">
        <f t="shared" si="130"/>
        <v>44552</v>
      </c>
      <c r="AV250" s="160">
        <f t="shared" si="138"/>
        <v>11250</v>
      </c>
      <c r="AW250" s="160">
        <f t="shared" ref="AW250:AY250" si="139">AW248+AW249</f>
        <v>8547</v>
      </c>
      <c r="AX250" s="160">
        <f t="shared" si="139"/>
        <v>11904</v>
      </c>
      <c r="AY250" s="160">
        <f t="shared" si="139"/>
        <v>12031</v>
      </c>
      <c r="AZ250" s="118">
        <f t="shared" si="131"/>
        <v>43732</v>
      </c>
      <c r="BA250" s="160">
        <f t="shared" ref="BA250" si="140">BA248+BA249</f>
        <v>15883</v>
      </c>
    </row>
    <row r="251" spans="1:53">
      <c r="A251" s="11"/>
      <c r="B251" s="11" t="s">
        <v>421</v>
      </c>
      <c r="C251" s="121">
        <v>-6.9860400000000009</v>
      </c>
      <c r="D251" s="121">
        <v>6.6835400000000007</v>
      </c>
      <c r="E251" s="121">
        <v>0.30250000000000021</v>
      </c>
      <c r="F251" s="121">
        <v>0</v>
      </c>
      <c r="G251" s="142">
        <v>0</v>
      </c>
      <c r="H251" s="121">
        <v>-8.5742599999999989</v>
      </c>
      <c r="I251" s="121">
        <v>-3.9384100000000011</v>
      </c>
      <c r="J251" s="121">
        <v>-55.061999999999998</v>
      </c>
      <c r="K251" s="121">
        <v>-301.90834000000007</v>
      </c>
      <c r="L251" s="142">
        <v>-369.48301000000004</v>
      </c>
      <c r="M251" s="121">
        <v>-59.587519999999998</v>
      </c>
      <c r="N251" s="121">
        <v>-511.17344999999995</v>
      </c>
      <c r="O251" s="121">
        <v>-367.63535999999999</v>
      </c>
      <c r="P251" s="121">
        <v>-377.59530000000007</v>
      </c>
      <c r="Q251" s="142">
        <v>-1315.99163</v>
      </c>
      <c r="R251" s="121">
        <v>-287.45096000000001</v>
      </c>
      <c r="S251" s="121">
        <v>-373.67254000000003</v>
      </c>
      <c r="T251" s="121">
        <v>-373.23347999999999</v>
      </c>
      <c r="U251" s="121">
        <v>-453.27323000000001</v>
      </c>
      <c r="V251" s="142">
        <v>-1487.63021</v>
      </c>
      <c r="W251" s="121">
        <v>-716.50013999999999</v>
      </c>
      <c r="X251" s="121">
        <v>-772.93450999999993</v>
      </c>
      <c r="Y251" s="121">
        <v>-758.70620000000031</v>
      </c>
      <c r="Z251" s="121">
        <v>-834.45566999999983</v>
      </c>
      <c r="AA251" s="142">
        <v>-3082.5965200000001</v>
      </c>
      <c r="AB251" s="121">
        <v>-831.54163000000005</v>
      </c>
      <c r="AC251" s="121">
        <v>-1209.6930199999997</v>
      </c>
      <c r="AD251" s="121">
        <v>-1630.04466</v>
      </c>
      <c r="AE251" s="121">
        <v>-1786.7269499999998</v>
      </c>
      <c r="AF251" s="142">
        <f t="shared" si="126"/>
        <v>-5458.0062600000001</v>
      </c>
      <c r="AG251" s="121">
        <v>-2157</v>
      </c>
      <c r="AH251" s="121">
        <v>-3125</v>
      </c>
      <c r="AI251" s="121">
        <v>-4640</v>
      </c>
      <c r="AJ251" s="121">
        <v>-889</v>
      </c>
      <c r="AK251" s="142">
        <f t="shared" si="127"/>
        <v>-10811</v>
      </c>
      <c r="AL251" s="121">
        <v>-2110</v>
      </c>
      <c r="AM251" s="121">
        <v>-2193</v>
      </c>
      <c r="AN251" s="121">
        <v>-2219</v>
      </c>
      <c r="AO251" s="485">
        <v>-2267</v>
      </c>
      <c r="AP251" s="142">
        <f t="shared" si="129"/>
        <v>-8789</v>
      </c>
      <c r="AQ251" s="121">
        <v>-2289</v>
      </c>
      <c r="AR251" s="121">
        <v>-2565</v>
      </c>
      <c r="AS251" s="121">
        <v>-2927</v>
      </c>
      <c r="AT251" s="121">
        <v>-3258</v>
      </c>
      <c r="AU251" s="142">
        <f t="shared" si="130"/>
        <v>-11039</v>
      </c>
      <c r="AV251" s="121">
        <v>-2806</v>
      </c>
      <c r="AW251" s="121">
        <v>-2124</v>
      </c>
      <c r="AX251" s="121">
        <v>-2970</v>
      </c>
      <c r="AY251" s="121">
        <v>-3002</v>
      </c>
      <c r="AZ251" s="142">
        <f t="shared" si="131"/>
        <v>-10902</v>
      </c>
      <c r="BA251" s="123">
        <v>-3965</v>
      </c>
    </row>
    <row r="252" spans="1:53">
      <c r="A252" s="11"/>
      <c r="B252" s="11" t="s">
        <v>422</v>
      </c>
      <c r="C252" s="121">
        <v>-4.19163</v>
      </c>
      <c r="D252" s="121">
        <v>4.0101300000000002</v>
      </c>
      <c r="E252" s="121">
        <v>0.18149999999999977</v>
      </c>
      <c r="F252" s="121">
        <v>0</v>
      </c>
      <c r="G252" s="142">
        <v>0</v>
      </c>
      <c r="H252" s="121">
        <v>-5.1445599999999994</v>
      </c>
      <c r="I252" s="121">
        <v>-2.3630400000000007</v>
      </c>
      <c r="J252" s="121">
        <v>-23.29928</v>
      </c>
      <c r="K252" s="121">
        <v>-110.84701000000004</v>
      </c>
      <c r="L252" s="142">
        <v>-141.65389000000005</v>
      </c>
      <c r="M252" s="121">
        <v>-23.611509999999999</v>
      </c>
      <c r="N252" s="121">
        <v>-186.18243999999999</v>
      </c>
      <c r="O252" s="121">
        <v>-134.50873000000001</v>
      </c>
      <c r="P252" s="121">
        <v>-138.09431000000001</v>
      </c>
      <c r="Q252" s="142">
        <v>-482.39699000000002</v>
      </c>
      <c r="R252" s="121">
        <v>-105.64233999999999</v>
      </c>
      <c r="S252" s="121">
        <v>-136.68212</v>
      </c>
      <c r="T252" s="121">
        <v>-136.52405000000005</v>
      </c>
      <c r="U252" s="121">
        <v>-165.33836999999994</v>
      </c>
      <c r="V252" s="142">
        <v>-544.18687999999997</v>
      </c>
      <c r="W252" s="121">
        <v>-260.10004000000004</v>
      </c>
      <c r="X252" s="121">
        <v>-280.4164199999999</v>
      </c>
      <c r="Y252" s="121">
        <v>-275.29422999999997</v>
      </c>
      <c r="Z252" s="121">
        <v>-302.56404000000009</v>
      </c>
      <c r="AA252" s="142">
        <v>-1118.37473</v>
      </c>
      <c r="AB252" s="121">
        <v>-301.51499000000001</v>
      </c>
      <c r="AC252" s="121">
        <v>-437.64947999999993</v>
      </c>
      <c r="AD252" s="121">
        <v>-588.97608000000014</v>
      </c>
      <c r="AE252" s="121">
        <v>-645.38169999999991</v>
      </c>
      <c r="AF252" s="142">
        <f t="shared" si="126"/>
        <v>-1973.52225</v>
      </c>
      <c r="AG252" s="121">
        <v>-778</v>
      </c>
      <c r="AH252" s="121">
        <v>-1128</v>
      </c>
      <c r="AI252" s="121">
        <v>-1674</v>
      </c>
      <c r="AJ252" s="121">
        <v>-320</v>
      </c>
      <c r="AK252" s="142">
        <f t="shared" si="127"/>
        <v>-3900</v>
      </c>
      <c r="AL252" s="121">
        <v>-762</v>
      </c>
      <c r="AM252" s="121">
        <v>-791</v>
      </c>
      <c r="AN252" s="121">
        <v>-800</v>
      </c>
      <c r="AO252" s="485">
        <v>-819</v>
      </c>
      <c r="AP252" s="142">
        <f t="shared" si="129"/>
        <v>-3172</v>
      </c>
      <c r="AQ252" s="121">
        <v>-826</v>
      </c>
      <c r="AR252" s="121">
        <v>-926</v>
      </c>
      <c r="AS252" s="121">
        <v>-1056</v>
      </c>
      <c r="AT252" s="121">
        <v>-1175</v>
      </c>
      <c r="AU252" s="142">
        <f t="shared" si="130"/>
        <v>-3983</v>
      </c>
      <c r="AV252" s="121">
        <v>-1012</v>
      </c>
      <c r="AW252" s="121">
        <v>-767</v>
      </c>
      <c r="AX252" s="121">
        <v>-1071</v>
      </c>
      <c r="AY252" s="121">
        <v>-1083</v>
      </c>
      <c r="AZ252" s="142">
        <f t="shared" si="131"/>
        <v>-3933</v>
      </c>
      <c r="BA252" s="651">
        <v>-1429</v>
      </c>
    </row>
    <row r="253" spans="1:53">
      <c r="A253" s="11"/>
      <c r="B253" s="11" t="s">
        <v>423</v>
      </c>
      <c r="C253" s="121">
        <v>0</v>
      </c>
      <c r="D253" s="121">
        <v>0</v>
      </c>
      <c r="E253" s="121">
        <v>0</v>
      </c>
      <c r="F253" s="121">
        <v>0</v>
      </c>
      <c r="G253" s="142">
        <v>0</v>
      </c>
      <c r="H253" s="121">
        <v>0</v>
      </c>
      <c r="I253" s="121">
        <v>0</v>
      </c>
      <c r="J253" s="121">
        <v>0</v>
      </c>
      <c r="K253" s="121">
        <v>0</v>
      </c>
      <c r="L253" s="142">
        <v>0</v>
      </c>
      <c r="M253" s="121">
        <v>0</v>
      </c>
      <c r="N253" s="121">
        <v>0</v>
      </c>
      <c r="O253" s="121">
        <v>0</v>
      </c>
      <c r="P253" s="121">
        <v>0</v>
      </c>
      <c r="Q253" s="142">
        <v>0</v>
      </c>
      <c r="R253" s="121">
        <v>0</v>
      </c>
      <c r="S253" s="121">
        <v>0</v>
      </c>
      <c r="T253" s="121">
        <v>0</v>
      </c>
      <c r="U253" s="121">
        <v>0</v>
      </c>
      <c r="V253" s="142">
        <v>0</v>
      </c>
      <c r="W253" s="121">
        <v>0</v>
      </c>
      <c r="X253" s="121">
        <v>0</v>
      </c>
      <c r="Y253" s="121">
        <v>0</v>
      </c>
      <c r="Z253" s="121">
        <v>0</v>
      </c>
      <c r="AA253" s="142">
        <v>0</v>
      </c>
      <c r="AB253" s="121">
        <v>0</v>
      </c>
      <c r="AC253" s="121">
        <v>0</v>
      </c>
      <c r="AD253" s="121">
        <v>0</v>
      </c>
      <c r="AE253" s="121">
        <v>0</v>
      </c>
      <c r="AF253" s="142">
        <f t="shared" si="126"/>
        <v>0</v>
      </c>
      <c r="AG253" s="121">
        <v>0</v>
      </c>
      <c r="AH253" s="121">
        <v>0</v>
      </c>
      <c r="AI253" s="121">
        <v>0</v>
      </c>
      <c r="AJ253" s="121">
        <v>0</v>
      </c>
      <c r="AK253" s="142">
        <f t="shared" si="127"/>
        <v>0</v>
      </c>
      <c r="AL253" s="121">
        <v>0</v>
      </c>
      <c r="AM253" s="121">
        <v>0</v>
      </c>
      <c r="AN253" s="121">
        <v>0</v>
      </c>
      <c r="AO253" s="485">
        <v>0</v>
      </c>
      <c r="AP253" s="142">
        <f t="shared" si="129"/>
        <v>0</v>
      </c>
      <c r="AQ253" s="121">
        <v>0</v>
      </c>
      <c r="AR253" s="121">
        <v>0</v>
      </c>
      <c r="AS253" s="121">
        <v>0</v>
      </c>
      <c r="AT253" s="121">
        <v>0</v>
      </c>
      <c r="AU253" s="142">
        <f t="shared" si="130"/>
        <v>0</v>
      </c>
      <c r="AV253" s="121">
        <v>0</v>
      </c>
      <c r="AW253" s="121">
        <v>0</v>
      </c>
      <c r="AX253" s="121">
        <v>0</v>
      </c>
      <c r="AY253" s="121">
        <v>0</v>
      </c>
      <c r="AZ253" s="142">
        <f t="shared" si="131"/>
        <v>0</v>
      </c>
      <c r="BA253" s="651">
        <v>0</v>
      </c>
    </row>
    <row r="254" spans="1:53">
      <c r="A254" s="11"/>
      <c r="B254" s="11" t="s">
        <v>424</v>
      </c>
      <c r="C254" s="121">
        <v>0</v>
      </c>
      <c r="D254" s="121">
        <v>0</v>
      </c>
      <c r="E254" s="121">
        <v>0</v>
      </c>
      <c r="F254" s="121">
        <v>0</v>
      </c>
      <c r="G254" s="142">
        <v>0</v>
      </c>
      <c r="H254" s="121">
        <v>0</v>
      </c>
      <c r="I254" s="121">
        <v>0</v>
      </c>
      <c r="J254" s="121">
        <v>0</v>
      </c>
      <c r="K254" s="121">
        <v>0</v>
      </c>
      <c r="L254" s="142">
        <v>0</v>
      </c>
      <c r="M254" s="121">
        <v>0</v>
      </c>
      <c r="N254" s="121">
        <v>0</v>
      </c>
      <c r="O254" s="121">
        <v>0</v>
      </c>
      <c r="P254" s="121">
        <v>0</v>
      </c>
      <c r="Q254" s="142">
        <v>0</v>
      </c>
      <c r="R254" s="121">
        <v>0</v>
      </c>
      <c r="S254" s="121">
        <v>0</v>
      </c>
      <c r="T254" s="121">
        <v>0</v>
      </c>
      <c r="U254" s="121">
        <v>0</v>
      </c>
      <c r="V254" s="142">
        <v>0</v>
      </c>
      <c r="W254" s="121">
        <v>0</v>
      </c>
      <c r="X254" s="121">
        <v>0</v>
      </c>
      <c r="Y254" s="121">
        <v>0</v>
      </c>
      <c r="Z254" s="121">
        <v>0</v>
      </c>
      <c r="AA254" s="142">
        <v>0</v>
      </c>
      <c r="AB254" s="121">
        <v>0</v>
      </c>
      <c r="AC254" s="121">
        <v>0</v>
      </c>
      <c r="AD254" s="121">
        <v>0</v>
      </c>
      <c r="AE254" s="121">
        <v>0</v>
      </c>
      <c r="AF254" s="142">
        <f t="shared" si="126"/>
        <v>0</v>
      </c>
      <c r="AG254" s="121">
        <v>0</v>
      </c>
      <c r="AH254" s="121">
        <v>0</v>
      </c>
      <c r="AI254" s="121">
        <v>0</v>
      </c>
      <c r="AJ254" s="121">
        <v>0</v>
      </c>
      <c r="AK254" s="142">
        <f t="shared" si="127"/>
        <v>0</v>
      </c>
      <c r="AL254" s="121">
        <v>0</v>
      </c>
      <c r="AM254" s="121">
        <v>0</v>
      </c>
      <c r="AN254" s="121">
        <v>0</v>
      </c>
      <c r="AO254" s="485">
        <v>0</v>
      </c>
      <c r="AP254" s="142">
        <f t="shared" si="129"/>
        <v>0</v>
      </c>
      <c r="AQ254" s="121">
        <v>0</v>
      </c>
      <c r="AR254" s="121">
        <v>0</v>
      </c>
      <c r="AS254" s="121">
        <v>0</v>
      </c>
      <c r="AT254" s="121">
        <v>0</v>
      </c>
      <c r="AU254" s="142">
        <f t="shared" si="130"/>
        <v>0</v>
      </c>
      <c r="AV254" s="121">
        <v>0</v>
      </c>
      <c r="AW254" s="121">
        <v>0</v>
      </c>
      <c r="AX254" s="121">
        <v>0</v>
      </c>
      <c r="AY254" s="121">
        <v>0</v>
      </c>
      <c r="AZ254" s="142">
        <f t="shared" si="131"/>
        <v>0</v>
      </c>
      <c r="BA254" s="651">
        <v>0</v>
      </c>
    </row>
    <row r="255" spans="1:53" s="2" customFormat="1">
      <c r="A255" s="15"/>
      <c r="B255" s="15" t="s">
        <v>450</v>
      </c>
      <c r="C255" s="155">
        <v>63.387089999999972</v>
      </c>
      <c r="D255" s="155">
        <v>-44.592160000000021</v>
      </c>
      <c r="E255" s="155">
        <v>-24.299269999999851</v>
      </c>
      <c r="F255" s="155">
        <v>-25.119859999999875</v>
      </c>
      <c r="G255" s="156">
        <v>-30.624199999999774</v>
      </c>
      <c r="H255" s="155">
        <v>75.547999999999959</v>
      </c>
      <c r="I255" s="155">
        <v>31.207250000000069</v>
      </c>
      <c r="J255" s="155">
        <v>291.46845999999988</v>
      </c>
      <c r="K255" s="155">
        <v>1346.7209299999995</v>
      </c>
      <c r="L255" s="156">
        <v>1744.9446399999995</v>
      </c>
      <c r="M255" s="155">
        <v>291.58682999999996</v>
      </c>
      <c r="N255" s="155">
        <v>2257.9209099999998</v>
      </c>
      <c r="O255" s="155">
        <v>1632.9150899999993</v>
      </c>
      <c r="P255" s="155">
        <v>1676.2835600000017</v>
      </c>
      <c r="Q255" s="156">
        <v>5858.7063900000012</v>
      </c>
      <c r="R255" s="155">
        <v>1283.7692500000003</v>
      </c>
      <c r="S255" s="155">
        <v>1659.2028100000002</v>
      </c>
      <c r="T255" s="155">
        <v>1657.2909299999997</v>
      </c>
      <c r="U255" s="155">
        <v>1705.33602</v>
      </c>
      <c r="V255" s="156">
        <v>6305.5990099999999</v>
      </c>
      <c r="W255" s="155">
        <v>1913.4003600000003</v>
      </c>
      <c r="X255" s="155">
        <v>2062.3904299999986</v>
      </c>
      <c r="Y255" s="155">
        <v>2024.8244100000024</v>
      </c>
      <c r="Z255" s="155">
        <v>2224.8029599999963</v>
      </c>
      <c r="AA255" s="156">
        <v>8225.4181599999974</v>
      </c>
      <c r="AB255" s="155">
        <f>SUM(AB250:AB254)</f>
        <v>2217.1098599999996</v>
      </c>
      <c r="AC255" s="155">
        <f>SUM(AC250:AC254)</f>
        <v>3215.4295500000017</v>
      </c>
      <c r="AD255" s="155">
        <f>SUM(AD250:AD254)</f>
        <v>4325.1579099999981</v>
      </c>
      <c r="AE255" s="155">
        <v>4738.7991700000002</v>
      </c>
      <c r="AF255" s="156">
        <f t="shared" si="126"/>
        <v>14496.49649</v>
      </c>
      <c r="AG255" s="155">
        <f>SUM(AG250:AG254)</f>
        <v>5714</v>
      </c>
      <c r="AH255" s="155">
        <f>SUM(AH250:AH254)</f>
        <v>8272</v>
      </c>
      <c r="AI255" s="155">
        <f>SUM(AI250:AI254)</f>
        <v>12290</v>
      </c>
      <c r="AJ255" s="155">
        <f>SUM(AJ250:AJ254)</f>
        <v>2350</v>
      </c>
      <c r="AK255" s="156">
        <f t="shared" si="127"/>
        <v>28626</v>
      </c>
      <c r="AL255" s="155">
        <f>SUM(AL250:AL254)</f>
        <v>5595</v>
      </c>
      <c r="AM255" s="155">
        <f>SUM(AM250:AM254)</f>
        <v>5807</v>
      </c>
      <c r="AN255" s="155">
        <f>SUM(AN250:AN254)</f>
        <v>5880</v>
      </c>
      <c r="AO255" s="155">
        <f>SUM(AO250:AO254)</f>
        <v>6006</v>
      </c>
      <c r="AP255" s="156">
        <f t="shared" si="129"/>
        <v>23288</v>
      </c>
      <c r="AQ255" s="155">
        <f>SUM(AQ250:AQ254)</f>
        <v>6064</v>
      </c>
      <c r="AR255" s="155">
        <f>SUM(AR250:AR254)</f>
        <v>6793</v>
      </c>
      <c r="AS255" s="155">
        <f t="shared" ref="AS255:AV255" si="141">SUM(AS250:AS254)</f>
        <v>7424</v>
      </c>
      <c r="AT255" s="155">
        <f t="shared" si="141"/>
        <v>9249</v>
      </c>
      <c r="AU255" s="156">
        <f t="shared" si="130"/>
        <v>29530</v>
      </c>
      <c r="AV255" s="155">
        <f t="shared" si="141"/>
        <v>7432</v>
      </c>
      <c r="AW255" s="155">
        <f t="shared" ref="AW255:AY255" si="142">SUM(AW250:AW254)</f>
        <v>5656</v>
      </c>
      <c r="AX255" s="155">
        <f t="shared" si="142"/>
        <v>7863</v>
      </c>
      <c r="AY255" s="155">
        <f t="shared" si="142"/>
        <v>7946</v>
      </c>
      <c r="AZ255" s="156">
        <f t="shared" si="131"/>
        <v>28897</v>
      </c>
      <c r="BA255" s="155">
        <f t="shared" ref="BA255" si="143">SUM(BA250:BA254)</f>
        <v>10489</v>
      </c>
    </row>
    <row r="256" spans="1:53">
      <c r="A256" s="11"/>
      <c r="B256" s="11" t="s">
        <v>468</v>
      </c>
      <c r="C256" s="121">
        <v>63.387089999999972</v>
      </c>
      <c r="D256" s="121">
        <v>-44.592160000000021</v>
      </c>
      <c r="E256" s="121">
        <v>-24.299269999999851</v>
      </c>
      <c r="F256" s="121">
        <v>-25.119859999999875</v>
      </c>
      <c r="G256" s="142">
        <v>-30.624199999999774</v>
      </c>
      <c r="H256" s="121">
        <v>75.547999999999959</v>
      </c>
      <c r="I256" s="121">
        <v>31.207250000000069</v>
      </c>
      <c r="J256" s="121">
        <v>291.46845999999988</v>
      </c>
      <c r="K256" s="121">
        <v>1346.7209299999995</v>
      </c>
      <c r="L256" s="142">
        <v>1744.9446399999995</v>
      </c>
      <c r="M256" s="121">
        <v>291.58682999999996</v>
      </c>
      <c r="N256" s="121">
        <v>2257.9209099999998</v>
      </c>
      <c r="O256" s="121">
        <v>1632.9150899999993</v>
      </c>
      <c r="P256" s="121">
        <v>1676.2835600000017</v>
      </c>
      <c r="Q256" s="142">
        <v>5858.7063900000012</v>
      </c>
      <c r="R256" s="121">
        <v>1283.7692500000003</v>
      </c>
      <c r="S256" s="121">
        <v>1659.2028100000002</v>
      </c>
      <c r="T256" s="121">
        <v>1657.2909299999997</v>
      </c>
      <c r="U256" s="121">
        <v>1705.33602</v>
      </c>
      <c r="V256" s="142">
        <v>6305.5990099999999</v>
      </c>
      <c r="W256" s="121">
        <v>1913.4003600000003</v>
      </c>
      <c r="X256" s="121">
        <v>2062.3904299999986</v>
      </c>
      <c r="Y256" s="121">
        <v>2024.8244100000024</v>
      </c>
      <c r="Z256" s="121">
        <v>2224.8029599999963</v>
      </c>
      <c r="AA256" s="142">
        <v>8225.4181599999974</v>
      </c>
      <c r="AB256" s="121">
        <f>AB255</f>
        <v>2217.1098599999996</v>
      </c>
      <c r="AC256" s="121">
        <f>AC255</f>
        <v>3215.4295500000017</v>
      </c>
      <c r="AD256" s="121">
        <f>AD255</f>
        <v>4325.1579099999981</v>
      </c>
      <c r="AE256" s="121">
        <f>AE255</f>
        <v>4738.7991700000002</v>
      </c>
      <c r="AF256" s="142">
        <f t="shared" si="126"/>
        <v>14496.49649</v>
      </c>
      <c r="AG256" s="121">
        <v>5714</v>
      </c>
      <c r="AH256" s="121">
        <v>8272</v>
      </c>
      <c r="AI256" s="121">
        <v>12291</v>
      </c>
      <c r="AJ256" s="121">
        <v>2349</v>
      </c>
      <c r="AK256" s="142">
        <f t="shared" si="127"/>
        <v>28626</v>
      </c>
      <c r="AL256" s="121">
        <v>5595</v>
      </c>
      <c r="AM256" s="121">
        <v>5807</v>
      </c>
      <c r="AN256" s="121">
        <v>5880</v>
      </c>
      <c r="AO256" s="485">
        <v>6006</v>
      </c>
      <c r="AP256" s="142">
        <f t="shared" si="129"/>
        <v>23288</v>
      </c>
      <c r="AQ256" s="121">
        <v>6064</v>
      </c>
      <c r="AR256" s="121">
        <v>6793</v>
      </c>
      <c r="AS256" s="121">
        <v>7749</v>
      </c>
      <c r="AT256" s="121">
        <v>8925</v>
      </c>
      <c r="AU256" s="142">
        <f t="shared" si="130"/>
        <v>29531</v>
      </c>
      <c r="AV256" s="121">
        <v>7431</v>
      </c>
      <c r="AW256" s="121">
        <f>AW255</f>
        <v>5656</v>
      </c>
      <c r="AX256" s="121">
        <f t="shared" ref="AX256:AY256" si="144">AX255</f>
        <v>7863</v>
      </c>
      <c r="AY256" s="121">
        <f t="shared" si="144"/>
        <v>7946</v>
      </c>
      <c r="AZ256" s="142">
        <f t="shared" si="131"/>
        <v>28896</v>
      </c>
      <c r="BA256" s="651">
        <v>10489</v>
      </c>
    </row>
    <row r="257" spans="1:53">
      <c r="A257" s="11"/>
      <c r="B257" s="11" t="s">
        <v>436</v>
      </c>
      <c r="C257" s="121">
        <v>0</v>
      </c>
      <c r="D257" s="121">
        <v>0</v>
      </c>
      <c r="E257" s="121">
        <v>0</v>
      </c>
      <c r="F257" s="121">
        <v>0</v>
      </c>
      <c r="G257" s="142">
        <v>0</v>
      </c>
      <c r="H257" s="121">
        <v>0</v>
      </c>
      <c r="I257" s="121">
        <v>0</v>
      </c>
      <c r="J257" s="121">
        <v>0</v>
      </c>
      <c r="K257" s="121">
        <v>0</v>
      </c>
      <c r="L257" s="142">
        <v>0</v>
      </c>
      <c r="M257" s="121">
        <v>0</v>
      </c>
      <c r="N257" s="121">
        <v>0</v>
      </c>
      <c r="O257" s="121">
        <v>0</v>
      </c>
      <c r="P257" s="121">
        <v>0</v>
      </c>
      <c r="Q257" s="142">
        <v>0</v>
      </c>
      <c r="R257" s="121">
        <v>0</v>
      </c>
      <c r="S257" s="121">
        <v>0</v>
      </c>
      <c r="T257" s="121">
        <v>0</v>
      </c>
      <c r="U257" s="121">
        <v>0</v>
      </c>
      <c r="V257" s="142">
        <v>0</v>
      </c>
      <c r="W257" s="121">
        <v>0</v>
      </c>
      <c r="X257" s="121">
        <v>0</v>
      </c>
      <c r="Y257" s="121">
        <v>0</v>
      </c>
      <c r="Z257" s="121">
        <v>0</v>
      </c>
      <c r="AA257" s="142">
        <v>0</v>
      </c>
      <c r="AB257" s="121">
        <v>0</v>
      </c>
      <c r="AC257" s="121">
        <v>0</v>
      </c>
      <c r="AD257" s="121">
        <v>0</v>
      </c>
      <c r="AE257" s="121">
        <v>0</v>
      </c>
      <c r="AF257" s="142">
        <v>0</v>
      </c>
      <c r="AG257" s="121">
        <v>0</v>
      </c>
      <c r="AH257" s="121">
        <v>0</v>
      </c>
      <c r="AI257" s="121">
        <v>0</v>
      </c>
      <c r="AJ257" s="121">
        <v>0</v>
      </c>
      <c r="AK257" s="142">
        <v>0</v>
      </c>
      <c r="AL257" s="121">
        <v>0</v>
      </c>
      <c r="AM257" s="121">
        <v>0</v>
      </c>
      <c r="AN257" s="121">
        <v>0</v>
      </c>
      <c r="AO257" s="485">
        <v>0</v>
      </c>
      <c r="AP257" s="142">
        <f t="shared" si="129"/>
        <v>0</v>
      </c>
      <c r="AQ257" s="121">
        <v>0</v>
      </c>
      <c r="AR257" s="121">
        <v>0</v>
      </c>
      <c r="AS257" s="121">
        <v>0</v>
      </c>
      <c r="AT257" s="121">
        <v>0</v>
      </c>
      <c r="AU257" s="142">
        <f t="shared" si="130"/>
        <v>0</v>
      </c>
      <c r="AV257" s="121">
        <v>0</v>
      </c>
      <c r="AW257" s="121">
        <v>0</v>
      </c>
      <c r="AX257" s="121">
        <v>0</v>
      </c>
      <c r="AY257" s="121">
        <v>0</v>
      </c>
      <c r="AZ257" s="142">
        <f t="shared" si="131"/>
        <v>0</v>
      </c>
      <c r="BA257" s="651">
        <v>0</v>
      </c>
    </row>
    <row r="258" spans="1:53">
      <c r="A258" s="11"/>
      <c r="B258" s="11" t="s">
        <v>470</v>
      </c>
      <c r="C258" s="121">
        <v>63.387089999999972</v>
      </c>
      <c r="D258" s="121">
        <v>-44.592160000000021</v>
      </c>
      <c r="E258" s="121">
        <v>-24.299269999999851</v>
      </c>
      <c r="F258" s="121">
        <v>-25.119859999999875</v>
      </c>
      <c r="G258" s="142">
        <v>-30.624199999999774</v>
      </c>
      <c r="H258" s="121">
        <v>75.547999999999959</v>
      </c>
      <c r="I258" s="121">
        <v>31.207250000000069</v>
      </c>
      <c r="J258" s="121">
        <v>291.46845999999988</v>
      </c>
      <c r="K258" s="121">
        <v>1346.7209299999995</v>
      </c>
      <c r="L258" s="142">
        <v>1744.9446399999995</v>
      </c>
      <c r="M258" s="121">
        <v>291.58682999999996</v>
      </c>
      <c r="N258" s="121">
        <v>2257.9209099999998</v>
      </c>
      <c r="O258" s="121">
        <v>1632.9150899999993</v>
      </c>
      <c r="P258" s="121">
        <v>1676.2835600000017</v>
      </c>
      <c r="Q258" s="142">
        <v>5858.7063900000012</v>
      </c>
      <c r="R258" s="121">
        <v>1283.7692500000003</v>
      </c>
      <c r="S258" s="121">
        <v>1659.2028100000002</v>
      </c>
      <c r="T258" s="121">
        <v>1657.2909299999997</v>
      </c>
      <c r="U258" s="121">
        <v>1705.33602</v>
      </c>
      <c r="V258" s="142">
        <v>6305.5990099999999</v>
      </c>
      <c r="W258" s="121">
        <v>1913.4003600000003</v>
      </c>
      <c r="X258" s="121">
        <v>2062.3904299999986</v>
      </c>
      <c r="Y258" s="121">
        <v>2024.8244100000024</v>
      </c>
      <c r="Z258" s="121">
        <v>2224.8029599999963</v>
      </c>
      <c r="AA258" s="142">
        <v>8225.4181599999974</v>
      </c>
      <c r="AB258" s="121">
        <f>SUM(AB256:AB257)</f>
        <v>2217.1098599999996</v>
      </c>
      <c r="AC258" s="121">
        <f>SUM(AC256:AC257)</f>
        <v>3215.4295500000017</v>
      </c>
      <c r="AD258" s="121">
        <f>SUM(AD256:AD257)</f>
        <v>4325.1579099999981</v>
      </c>
      <c r="AE258" s="121">
        <f>SUM(AE256:AE257)</f>
        <v>4738.7991700000002</v>
      </c>
      <c r="AF258" s="142">
        <f>SUM(AB258:AE258)</f>
        <v>14496.49649</v>
      </c>
      <c r="AG258" s="121">
        <v>5714</v>
      </c>
      <c r="AH258" s="121">
        <v>8272</v>
      </c>
      <c r="AI258" s="121">
        <v>12291</v>
      </c>
      <c r="AJ258" s="121">
        <v>2349</v>
      </c>
      <c r="AK258" s="142">
        <f>SUM(AG258:AJ258)</f>
        <v>28626</v>
      </c>
      <c r="AL258" s="121">
        <v>5595</v>
      </c>
      <c r="AM258" s="121">
        <v>5807</v>
      </c>
      <c r="AN258" s="121">
        <v>5880</v>
      </c>
      <c r="AO258" s="485">
        <v>6006</v>
      </c>
      <c r="AP258" s="142">
        <f t="shared" si="129"/>
        <v>23288</v>
      </c>
      <c r="AQ258" s="121">
        <v>6064</v>
      </c>
      <c r="AR258" s="121">
        <v>6793</v>
      </c>
      <c r="AS258" s="121">
        <v>7749</v>
      </c>
      <c r="AT258" s="121">
        <v>8925</v>
      </c>
      <c r="AU258" s="142">
        <f t="shared" si="130"/>
        <v>29531</v>
      </c>
      <c r="AV258" s="121">
        <v>7431</v>
      </c>
      <c r="AW258" s="121">
        <f>AW256+AW257</f>
        <v>5656</v>
      </c>
      <c r="AX258" s="121">
        <f t="shared" ref="AX258:AY258" si="145">AX256+AX257</f>
        <v>7863</v>
      </c>
      <c r="AY258" s="121">
        <f t="shared" si="145"/>
        <v>7946</v>
      </c>
      <c r="AZ258" s="142">
        <f t="shared" si="131"/>
        <v>28896</v>
      </c>
      <c r="BA258" s="651">
        <v>10489</v>
      </c>
    </row>
    <row r="259" spans="1:53">
      <c r="A259" s="11"/>
      <c r="B259" s="11" t="s">
        <v>471</v>
      </c>
      <c r="C259" s="121">
        <v>0</v>
      </c>
      <c r="D259" s="121">
        <v>0</v>
      </c>
      <c r="E259" s="121">
        <v>0</v>
      </c>
      <c r="F259" s="121">
        <v>0</v>
      </c>
      <c r="G259" s="142">
        <v>0</v>
      </c>
      <c r="H259" s="121">
        <v>0</v>
      </c>
      <c r="I259" s="121">
        <v>0</v>
      </c>
      <c r="J259" s="121">
        <v>0</v>
      </c>
      <c r="K259" s="121">
        <v>0</v>
      </c>
      <c r="L259" s="142">
        <v>0</v>
      </c>
      <c r="M259" s="121">
        <v>0</v>
      </c>
      <c r="N259" s="121">
        <v>0</v>
      </c>
      <c r="O259" s="121">
        <v>0</v>
      </c>
      <c r="P259" s="121">
        <v>0</v>
      </c>
      <c r="Q259" s="142">
        <v>0</v>
      </c>
      <c r="R259" s="121">
        <v>0</v>
      </c>
      <c r="S259" s="121">
        <v>0</v>
      </c>
      <c r="T259" s="121">
        <v>0</v>
      </c>
      <c r="U259" s="121">
        <v>0</v>
      </c>
      <c r="V259" s="142">
        <v>0</v>
      </c>
      <c r="W259" s="121">
        <v>0</v>
      </c>
      <c r="X259" s="121">
        <v>0</v>
      </c>
      <c r="Y259" s="121">
        <v>0</v>
      </c>
      <c r="Z259" s="121">
        <v>0</v>
      </c>
      <c r="AA259" s="142">
        <v>0</v>
      </c>
      <c r="AB259" s="121">
        <v>0</v>
      </c>
      <c r="AC259" s="121">
        <v>0</v>
      </c>
      <c r="AD259" s="121">
        <v>0</v>
      </c>
      <c r="AE259" s="121">
        <v>0</v>
      </c>
      <c r="AF259" s="142">
        <v>0</v>
      </c>
      <c r="AG259" s="121">
        <v>0</v>
      </c>
      <c r="AH259" s="121">
        <v>0</v>
      </c>
      <c r="AI259" s="121">
        <v>0</v>
      </c>
      <c r="AJ259" s="121">
        <v>0</v>
      </c>
      <c r="AK259" s="142">
        <v>0</v>
      </c>
      <c r="AL259" s="121">
        <v>0</v>
      </c>
      <c r="AM259" s="121">
        <v>0</v>
      </c>
      <c r="AN259" s="121">
        <v>0</v>
      </c>
      <c r="AO259" s="485">
        <v>0</v>
      </c>
      <c r="AP259" s="142">
        <f t="shared" si="129"/>
        <v>0</v>
      </c>
      <c r="AQ259" s="121">
        <v>0</v>
      </c>
      <c r="AR259" s="121">
        <v>0</v>
      </c>
      <c r="AS259" s="121">
        <v>0</v>
      </c>
      <c r="AT259" s="121">
        <v>0</v>
      </c>
      <c r="AU259" s="142">
        <f t="shared" si="130"/>
        <v>0</v>
      </c>
      <c r="AV259" s="121">
        <v>0</v>
      </c>
      <c r="AW259" s="121">
        <v>0</v>
      </c>
      <c r="AX259" s="121">
        <v>0</v>
      </c>
      <c r="AY259" s="121">
        <v>0</v>
      </c>
      <c r="AZ259" s="142">
        <f t="shared" si="131"/>
        <v>0</v>
      </c>
      <c r="BA259" s="651">
        <v>0</v>
      </c>
    </row>
    <row r="260" spans="1:53" ht="15.75" thickBot="1">
      <c r="A260" s="17"/>
      <c r="B260" s="17" t="s">
        <v>451</v>
      </c>
      <c r="C260" s="169">
        <v>0.48209999999999997</v>
      </c>
      <c r="D260" s="169">
        <v>0.48209999999999997</v>
      </c>
      <c r="E260" s="169">
        <v>0.48209999999999997</v>
      </c>
      <c r="F260" s="169">
        <v>0.48209999999999997</v>
      </c>
      <c r="G260" s="48">
        <v>0.48209999999999997</v>
      </c>
      <c r="H260" s="169">
        <v>0.48209999999999997</v>
      </c>
      <c r="I260" s="169">
        <v>0.48209999999999997</v>
      </c>
      <c r="J260" s="169">
        <v>0.48209999999999997</v>
      </c>
      <c r="K260" s="169">
        <v>0.48209999999999997</v>
      </c>
      <c r="L260" s="48">
        <v>0.48209999999999997</v>
      </c>
      <c r="M260" s="169">
        <v>0.48209999999999997</v>
      </c>
      <c r="N260" s="169">
        <v>0.48209999999999997</v>
      </c>
      <c r="O260" s="169">
        <v>0.48209999999999997</v>
      </c>
      <c r="P260" s="169">
        <v>0.48209999999999997</v>
      </c>
      <c r="Q260" s="48">
        <v>0.48209999999999997</v>
      </c>
      <c r="R260" s="169">
        <v>0.48209999999999997</v>
      </c>
      <c r="S260" s="169">
        <v>0.48209999999999997</v>
      </c>
      <c r="T260" s="169">
        <v>0.48209999999999997</v>
      </c>
      <c r="U260" s="169">
        <v>0.48209999999999997</v>
      </c>
      <c r="V260" s="48">
        <v>0.48209999999999997</v>
      </c>
      <c r="W260" s="169">
        <v>0.48209999999999997</v>
      </c>
      <c r="X260" s="169">
        <v>0.48209999999999997</v>
      </c>
      <c r="Y260" s="169">
        <v>0.48209999999999997</v>
      </c>
      <c r="Z260" s="169">
        <v>0.48209999999999997</v>
      </c>
      <c r="AA260" s="48">
        <v>0.48209999999999997</v>
      </c>
      <c r="AB260" s="169">
        <v>0.48249999999999998</v>
      </c>
      <c r="AC260" s="169">
        <v>0.48249999999999998</v>
      </c>
      <c r="AD260" s="169">
        <v>0.48249999999999998</v>
      </c>
      <c r="AE260" s="169">
        <v>0.48249999999999998</v>
      </c>
      <c r="AF260" s="48">
        <v>0.48209999999999997</v>
      </c>
      <c r="AG260" s="169">
        <v>0.48249999999999998</v>
      </c>
      <c r="AH260" s="169">
        <v>0.48249999999999998</v>
      </c>
      <c r="AI260" s="169">
        <v>0.48249999999999998</v>
      </c>
      <c r="AJ260" s="169">
        <v>0.48249999999999998</v>
      </c>
      <c r="AK260" s="48">
        <v>0.48209999999999997</v>
      </c>
      <c r="AL260" s="169">
        <v>0.48249999999999998</v>
      </c>
      <c r="AM260" s="169">
        <v>0.48249999999999998</v>
      </c>
      <c r="AN260" s="169">
        <v>0.48249999999999998</v>
      </c>
      <c r="AO260" s="169">
        <v>0.48249999999999998</v>
      </c>
      <c r="AP260" s="48">
        <v>0.48249999999999998</v>
      </c>
      <c r="AQ260" s="169">
        <v>0.48249999999999998</v>
      </c>
      <c r="AR260" s="169">
        <v>0.48249999999999998</v>
      </c>
      <c r="AS260" s="169">
        <v>0.48249999999999998</v>
      </c>
      <c r="AT260" s="169">
        <v>0.48249999999999998</v>
      </c>
      <c r="AU260" s="48">
        <v>0.48249999999999998</v>
      </c>
      <c r="AV260" s="169">
        <v>0.48249999999999998</v>
      </c>
      <c r="AW260" s="169">
        <v>0.48249999999999998</v>
      </c>
      <c r="AX260" s="169">
        <v>0.48249999999999998</v>
      </c>
      <c r="AY260" s="169">
        <v>0.48249999999999998</v>
      </c>
      <c r="AZ260" s="48">
        <v>0.48249999999999998</v>
      </c>
      <c r="BA260" s="18">
        <v>0.48249999999999998</v>
      </c>
    </row>
    <row r="261" spans="1:53" ht="15.75" thickBot="1"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G261" s="8"/>
      <c r="AK261" s="262"/>
      <c r="AL261" s="262"/>
      <c r="AM261" s="262"/>
      <c r="AN261" s="262"/>
      <c r="AO261" s="262"/>
      <c r="AP261" s="488"/>
      <c r="AQ261" s="262"/>
      <c r="AR261" s="262"/>
      <c r="AS261" s="262"/>
      <c r="AT261" s="262"/>
      <c r="AU261" s="488"/>
      <c r="AV261" s="262"/>
      <c r="AW261" s="262"/>
      <c r="AX261" s="262"/>
      <c r="AY261" s="262"/>
      <c r="AZ261" s="488"/>
      <c r="BA261" s="488"/>
    </row>
    <row r="262" spans="1:53" s="2" customFormat="1">
      <c r="A262" s="625"/>
      <c r="B262" s="625" t="s">
        <v>517</v>
      </c>
      <c r="C262" s="626" t="s">
        <v>224</v>
      </c>
      <c r="D262" s="626" t="s">
        <v>225</v>
      </c>
      <c r="E262" s="626" t="s">
        <v>226</v>
      </c>
      <c r="F262" s="626" t="s">
        <v>227</v>
      </c>
      <c r="G262" s="652">
        <v>2016</v>
      </c>
      <c r="H262" s="626" t="s">
        <v>228</v>
      </c>
      <c r="I262" s="626" t="s">
        <v>229</v>
      </c>
      <c r="J262" s="626" t="s">
        <v>230</v>
      </c>
      <c r="K262" s="626" t="s">
        <v>231</v>
      </c>
      <c r="L262" s="652">
        <v>2017</v>
      </c>
      <c r="M262" s="626" t="s">
        <v>232</v>
      </c>
      <c r="N262" s="626" t="s">
        <v>233</v>
      </c>
      <c r="O262" s="626" t="s">
        <v>234</v>
      </c>
      <c r="P262" s="626" t="s">
        <v>235</v>
      </c>
      <c r="Q262" s="652">
        <v>2018</v>
      </c>
      <c r="R262" s="626" t="s">
        <v>236</v>
      </c>
      <c r="S262" s="626" t="s">
        <v>237</v>
      </c>
      <c r="T262" s="626" t="s">
        <v>238</v>
      </c>
      <c r="U262" s="626" t="s">
        <v>239</v>
      </c>
      <c r="V262" s="652">
        <v>2019</v>
      </c>
      <c r="W262" s="626" t="s">
        <v>240</v>
      </c>
      <c r="X262" s="626" t="s">
        <v>241</v>
      </c>
      <c r="Y262" s="626" t="s">
        <v>242</v>
      </c>
      <c r="Z262" s="626" t="s">
        <v>243</v>
      </c>
      <c r="AA262" s="652">
        <v>2020</v>
      </c>
      <c r="AB262" s="626" t="s">
        <v>244</v>
      </c>
      <c r="AC262" s="626" t="s">
        <v>245</v>
      </c>
      <c r="AD262" s="626" t="s">
        <v>246</v>
      </c>
      <c r="AE262" s="626" t="s">
        <v>247</v>
      </c>
      <c r="AF262" s="652">
        <v>2021</v>
      </c>
      <c r="AG262" s="626" t="s">
        <v>248</v>
      </c>
      <c r="AH262" s="626" t="s">
        <v>249</v>
      </c>
      <c r="AI262" s="626" t="s">
        <v>250</v>
      </c>
      <c r="AJ262" s="626" t="s">
        <v>215</v>
      </c>
      <c r="AK262" s="652">
        <v>2022</v>
      </c>
      <c r="AL262" s="626" t="s">
        <v>252</v>
      </c>
      <c r="AM262" s="626" t="s">
        <v>253</v>
      </c>
      <c r="AN262" s="626" t="s">
        <v>254</v>
      </c>
      <c r="AO262" s="626" t="s">
        <v>219</v>
      </c>
      <c r="AP262" s="652">
        <v>2023</v>
      </c>
      <c r="AQ262" s="626" t="s">
        <v>223</v>
      </c>
      <c r="AR262" s="626" t="s">
        <v>256</v>
      </c>
      <c r="AS262" s="626" t="s">
        <v>357</v>
      </c>
      <c r="AT262" s="626" t="s">
        <v>358</v>
      </c>
      <c r="AU262" s="652">
        <v>2024</v>
      </c>
      <c r="AV262" s="626" t="s">
        <v>359</v>
      </c>
      <c r="AW262" s="626" t="s">
        <v>1115</v>
      </c>
      <c r="AX262" s="626" t="s">
        <v>1116</v>
      </c>
      <c r="AY262" s="626" t="s">
        <v>1117</v>
      </c>
      <c r="AZ262" s="653" t="s">
        <v>1118</v>
      </c>
      <c r="BA262" s="645" t="s">
        <v>1124</v>
      </c>
    </row>
    <row r="263" spans="1:53" s="2" customFormat="1">
      <c r="A263" s="9"/>
      <c r="B263" s="9" t="s">
        <v>456</v>
      </c>
      <c r="C263" s="76">
        <v>0</v>
      </c>
      <c r="D263" s="76">
        <v>0</v>
      </c>
      <c r="E263" s="76">
        <v>0</v>
      </c>
      <c r="F263" s="76">
        <v>0</v>
      </c>
      <c r="G263" s="39">
        <v>0</v>
      </c>
      <c r="H263" s="76">
        <v>0</v>
      </c>
      <c r="I263" s="76">
        <v>0</v>
      </c>
      <c r="J263" s="76">
        <v>0</v>
      </c>
      <c r="K263" s="76">
        <v>0</v>
      </c>
      <c r="L263" s="39">
        <v>0</v>
      </c>
      <c r="M263" s="76">
        <v>0</v>
      </c>
      <c r="N263" s="76">
        <v>0</v>
      </c>
      <c r="O263" s="76">
        <v>0</v>
      </c>
      <c r="P263" s="76">
        <v>0</v>
      </c>
      <c r="Q263" s="39">
        <v>0</v>
      </c>
      <c r="R263" s="76">
        <v>0</v>
      </c>
      <c r="S263" s="76">
        <v>0</v>
      </c>
      <c r="T263" s="76">
        <v>0</v>
      </c>
      <c r="U263" s="76">
        <v>0</v>
      </c>
      <c r="V263" s="39">
        <v>0</v>
      </c>
      <c r="W263" s="76">
        <v>0</v>
      </c>
      <c r="X263" s="76">
        <v>0</v>
      </c>
      <c r="Y263" s="76">
        <v>0</v>
      </c>
      <c r="Z263" s="76">
        <v>0</v>
      </c>
      <c r="AA263" s="39">
        <v>0</v>
      </c>
      <c r="AB263" s="76">
        <v>0</v>
      </c>
      <c r="AC263" s="76">
        <v>0</v>
      </c>
      <c r="AD263" s="76">
        <v>0</v>
      </c>
      <c r="AE263" s="76">
        <v>0</v>
      </c>
      <c r="AF263" s="39">
        <f t="shared" ref="AF263:AF280" si="146">SUM(AB263:AE263)</f>
        <v>0</v>
      </c>
      <c r="AG263" s="76">
        <v>0</v>
      </c>
      <c r="AH263" s="76">
        <v>0</v>
      </c>
      <c r="AI263" s="76">
        <v>0</v>
      </c>
      <c r="AJ263" s="76">
        <v>0</v>
      </c>
      <c r="AK263" s="39">
        <f t="shared" ref="AK263:AK280" si="147">SUM(AG263:AJ263)</f>
        <v>0</v>
      </c>
      <c r="AL263" s="76">
        <v>0</v>
      </c>
      <c r="AM263" s="76">
        <v>0</v>
      </c>
      <c r="AN263" s="76">
        <v>0</v>
      </c>
      <c r="AO263" s="76">
        <v>0</v>
      </c>
      <c r="AP263" s="39">
        <f t="shared" ref="AP263" si="148">SUM(AL263:AO263)</f>
        <v>0</v>
      </c>
      <c r="AQ263" s="76">
        <v>0</v>
      </c>
      <c r="AR263" s="76">
        <v>0</v>
      </c>
      <c r="AS263" s="76">
        <v>0</v>
      </c>
      <c r="AT263" s="76">
        <v>0</v>
      </c>
      <c r="AU263" s="39">
        <f>SUM(AQ263:AT263)</f>
        <v>0</v>
      </c>
      <c r="AV263" s="76">
        <v>0</v>
      </c>
      <c r="AW263" s="76">
        <v>0</v>
      </c>
      <c r="AX263" s="76">
        <v>0</v>
      </c>
      <c r="AY263" s="76">
        <v>0</v>
      </c>
      <c r="AZ263" s="39">
        <f>SUM(AV263:AY263)</f>
        <v>0</v>
      </c>
      <c r="BA263" s="10">
        <v>0</v>
      </c>
    </row>
    <row r="264" spans="1:53">
      <c r="A264" s="11"/>
      <c r="B264" s="11" t="s">
        <v>457</v>
      </c>
      <c r="C264" s="1">
        <v>0</v>
      </c>
      <c r="D264" s="1">
        <v>0</v>
      </c>
      <c r="E264" s="1">
        <v>0</v>
      </c>
      <c r="F264" s="1">
        <v>0</v>
      </c>
      <c r="G264" s="40">
        <v>0</v>
      </c>
      <c r="H264" s="1">
        <v>0</v>
      </c>
      <c r="I264" s="1">
        <v>0</v>
      </c>
      <c r="J264" s="1">
        <v>0</v>
      </c>
      <c r="K264" s="1">
        <v>0</v>
      </c>
      <c r="L264" s="40">
        <v>0</v>
      </c>
      <c r="M264" s="1">
        <v>0</v>
      </c>
      <c r="N264" s="1">
        <v>0</v>
      </c>
      <c r="O264" s="1">
        <v>0</v>
      </c>
      <c r="P264" s="1">
        <v>0</v>
      </c>
      <c r="Q264" s="40">
        <v>0</v>
      </c>
      <c r="R264" s="1">
        <v>0</v>
      </c>
      <c r="S264" s="1">
        <v>0</v>
      </c>
      <c r="T264" s="1">
        <v>0</v>
      </c>
      <c r="U264" s="1">
        <v>0</v>
      </c>
      <c r="V264" s="40">
        <v>0</v>
      </c>
      <c r="W264" s="1">
        <v>0</v>
      </c>
      <c r="X264" s="1">
        <v>0</v>
      </c>
      <c r="Y264" s="1">
        <v>0</v>
      </c>
      <c r="Z264" s="1">
        <v>0</v>
      </c>
      <c r="AA264" s="40">
        <v>0</v>
      </c>
      <c r="AB264" s="1">
        <v>0</v>
      </c>
      <c r="AC264" s="1">
        <v>0</v>
      </c>
      <c r="AD264" s="1">
        <v>0</v>
      </c>
      <c r="AE264" s="1">
        <v>0</v>
      </c>
      <c r="AF264" s="40">
        <f t="shared" si="146"/>
        <v>0</v>
      </c>
      <c r="AG264" s="1">
        <v>0</v>
      </c>
      <c r="AH264" s="1">
        <v>0</v>
      </c>
      <c r="AI264" s="1">
        <v>0</v>
      </c>
      <c r="AJ264" s="1">
        <v>0</v>
      </c>
      <c r="AK264" s="40">
        <f t="shared" si="147"/>
        <v>0</v>
      </c>
      <c r="AL264" s="1">
        <v>0</v>
      </c>
      <c r="AM264" s="1">
        <v>0</v>
      </c>
      <c r="AN264" s="1">
        <v>0</v>
      </c>
      <c r="AO264" s="1">
        <v>0</v>
      </c>
      <c r="AP264" s="40">
        <f t="shared" ref="AP264:AP281" si="149">SUM(AL264:AO264)</f>
        <v>0</v>
      </c>
      <c r="AQ264" s="1">
        <v>0</v>
      </c>
      <c r="AR264" s="110">
        <v>0</v>
      </c>
      <c r="AS264" s="110">
        <v>0</v>
      </c>
      <c r="AT264" s="77">
        <v>0</v>
      </c>
      <c r="AU264" s="40">
        <f t="shared" ref="AU264:AU281" si="150">SUM(AQ264:AT264)</f>
        <v>0</v>
      </c>
      <c r="AV264" s="77">
        <v>0</v>
      </c>
      <c r="AW264" s="77">
        <v>0</v>
      </c>
      <c r="AX264" s="77">
        <v>0</v>
      </c>
      <c r="AY264" s="77">
        <v>0</v>
      </c>
      <c r="AZ264" s="40">
        <f t="shared" ref="AZ264:AZ281" si="151">SUM(AV264:AY264)</f>
        <v>0</v>
      </c>
      <c r="BA264" s="8">
        <v>0</v>
      </c>
    </row>
    <row r="265" spans="1:53" s="2" customFormat="1">
      <c r="A265" s="9"/>
      <c r="B265" s="9" t="s">
        <v>412</v>
      </c>
      <c r="C265" s="76">
        <v>0</v>
      </c>
      <c r="D265" s="76">
        <v>0</v>
      </c>
      <c r="E265" s="76">
        <v>0</v>
      </c>
      <c r="F265" s="76">
        <v>0</v>
      </c>
      <c r="G265" s="39">
        <v>0</v>
      </c>
      <c r="H265" s="76">
        <v>0</v>
      </c>
      <c r="I265" s="76">
        <v>0</v>
      </c>
      <c r="J265" s="76">
        <v>0</v>
      </c>
      <c r="K265" s="76">
        <v>0</v>
      </c>
      <c r="L265" s="39">
        <v>0</v>
      </c>
      <c r="M265" s="76">
        <v>0</v>
      </c>
      <c r="N265" s="76">
        <v>0</v>
      </c>
      <c r="O265" s="76">
        <v>0</v>
      </c>
      <c r="P265" s="76">
        <v>0</v>
      </c>
      <c r="Q265" s="39">
        <v>0</v>
      </c>
      <c r="R265" s="76">
        <v>0</v>
      </c>
      <c r="S265" s="76">
        <v>0</v>
      </c>
      <c r="T265" s="76">
        <v>0</v>
      </c>
      <c r="U265" s="76">
        <v>0</v>
      </c>
      <c r="V265" s="39">
        <v>0</v>
      </c>
      <c r="W265" s="76">
        <v>0</v>
      </c>
      <c r="X265" s="76">
        <v>0</v>
      </c>
      <c r="Y265" s="76">
        <v>0</v>
      </c>
      <c r="Z265" s="76">
        <v>0</v>
      </c>
      <c r="AA265" s="39">
        <v>0</v>
      </c>
      <c r="AB265" s="76">
        <v>0</v>
      </c>
      <c r="AC265" s="76">
        <v>0</v>
      </c>
      <c r="AD265" s="76">
        <v>0</v>
      </c>
      <c r="AE265" s="76">
        <v>0</v>
      </c>
      <c r="AF265" s="39">
        <f t="shared" si="146"/>
        <v>0</v>
      </c>
      <c r="AG265" s="76">
        <v>0</v>
      </c>
      <c r="AH265" s="76">
        <v>0</v>
      </c>
      <c r="AI265" s="76">
        <v>0</v>
      </c>
      <c r="AJ265" s="76">
        <v>0</v>
      </c>
      <c r="AK265" s="39">
        <f t="shared" si="147"/>
        <v>0</v>
      </c>
      <c r="AL265" s="76">
        <v>0</v>
      </c>
      <c r="AM265" s="76">
        <v>0</v>
      </c>
      <c r="AN265" s="76">
        <v>0</v>
      </c>
      <c r="AO265" s="76">
        <v>0</v>
      </c>
      <c r="AP265" s="39">
        <f t="shared" si="149"/>
        <v>0</v>
      </c>
      <c r="AQ265" s="76">
        <v>0</v>
      </c>
      <c r="AR265" s="76">
        <v>0</v>
      </c>
      <c r="AS265" s="76">
        <v>0</v>
      </c>
      <c r="AT265" s="76">
        <v>0</v>
      </c>
      <c r="AU265" s="39">
        <f t="shared" si="150"/>
        <v>0</v>
      </c>
      <c r="AV265" s="76">
        <v>0</v>
      </c>
      <c r="AW265" s="76">
        <v>0</v>
      </c>
      <c r="AX265" s="76">
        <v>0</v>
      </c>
      <c r="AY265" s="76">
        <v>0</v>
      </c>
      <c r="AZ265" s="39">
        <f t="shared" si="151"/>
        <v>0</v>
      </c>
      <c r="BA265" s="10">
        <v>0</v>
      </c>
    </row>
    <row r="266" spans="1:53">
      <c r="A266" s="11"/>
      <c r="B266" s="11" t="s">
        <v>413</v>
      </c>
      <c r="C266" s="1">
        <v>-2759.2438599999996</v>
      </c>
      <c r="D266" s="1">
        <v>-2822.7533800000019</v>
      </c>
      <c r="E266" s="1">
        <v>-1456.6792299999979</v>
      </c>
      <c r="F266" s="1">
        <v>-1408.4289600000002</v>
      </c>
      <c r="G266" s="40">
        <v>-8447.1054299999996</v>
      </c>
      <c r="H266" s="1">
        <v>-1942.2862900000005</v>
      </c>
      <c r="I266" s="1">
        <v>-3661.3099499999994</v>
      </c>
      <c r="J266" s="1">
        <v>-2399.1628599999995</v>
      </c>
      <c r="K266" s="1">
        <v>-1671.9442499999986</v>
      </c>
      <c r="L266" s="40">
        <v>-9674.703349999998</v>
      </c>
      <c r="M266" s="1">
        <v>-2676.2606600000004</v>
      </c>
      <c r="N266" s="1">
        <v>-5602.0413800000024</v>
      </c>
      <c r="O266" s="1">
        <v>-14006.898199999978</v>
      </c>
      <c r="P266" s="1">
        <v>-5072.0920300000143</v>
      </c>
      <c r="Q266" s="40">
        <v>-27357.292269999994</v>
      </c>
      <c r="R266" s="1">
        <v>-2948.7960599999992</v>
      </c>
      <c r="S266" s="1">
        <v>-4632.06646</v>
      </c>
      <c r="T266" s="1">
        <v>-4047.4921100000047</v>
      </c>
      <c r="U266" s="1">
        <v>-9124.1501900000058</v>
      </c>
      <c r="V266" s="40">
        <v>-20752.504820000009</v>
      </c>
      <c r="W266" s="1">
        <v>-3404.5684299999994</v>
      </c>
      <c r="X266" s="1">
        <v>-5894.6183200000014</v>
      </c>
      <c r="Y266" s="1">
        <v>-4347.0529600000009</v>
      </c>
      <c r="Z266" s="1">
        <v>-6299.5771999999997</v>
      </c>
      <c r="AA266" s="40">
        <v>-19945.816910000001</v>
      </c>
      <c r="AB266" s="1">
        <v>-20274.716919999995</v>
      </c>
      <c r="AC266" s="1">
        <v>-23482.913780000006</v>
      </c>
      <c r="AD266" s="1">
        <v>-27594.750200000002</v>
      </c>
      <c r="AE266" s="1">
        <v>-11167.372289999978</v>
      </c>
      <c r="AF266" s="40">
        <f t="shared" si="146"/>
        <v>-82519.753189999989</v>
      </c>
      <c r="AG266" s="1">
        <v>-5402</v>
      </c>
      <c r="AH266" s="1">
        <v>-7902</v>
      </c>
      <c r="AI266" s="1">
        <v>-11975</v>
      </c>
      <c r="AJ266" s="1">
        <v>-8807</v>
      </c>
      <c r="AK266" s="40">
        <f t="shared" si="147"/>
        <v>-34086</v>
      </c>
      <c r="AL266" s="1">
        <v>-3635</v>
      </c>
      <c r="AM266" s="1">
        <v>-4079</v>
      </c>
      <c r="AN266" s="1">
        <v>-5294</v>
      </c>
      <c r="AO266" s="1">
        <v>-1876</v>
      </c>
      <c r="AP266" s="40">
        <f t="shared" si="149"/>
        <v>-14884</v>
      </c>
      <c r="AQ266" s="1">
        <v>-1857</v>
      </c>
      <c r="AR266" s="1">
        <v>-1052</v>
      </c>
      <c r="AS266" s="1">
        <v>-1055</v>
      </c>
      <c r="AT266" s="1">
        <v>-1654</v>
      </c>
      <c r="AU266" s="40">
        <f t="shared" si="150"/>
        <v>-5618</v>
      </c>
      <c r="AV266" s="1">
        <v>-3740</v>
      </c>
      <c r="AW266" s="1">
        <v>-2057</v>
      </c>
      <c r="AX266" s="1">
        <v>-1301</v>
      </c>
      <c r="AY266" s="1">
        <v>-1538</v>
      </c>
      <c r="AZ266" s="40">
        <f t="shared" si="151"/>
        <v>-8636</v>
      </c>
      <c r="BA266" s="8">
        <v>54</v>
      </c>
    </row>
    <row r="267" spans="1:53">
      <c r="A267" s="11"/>
      <c r="B267" s="11" t="s">
        <v>414</v>
      </c>
      <c r="C267" s="1">
        <v>-2744.0813700000003</v>
      </c>
      <c r="D267" s="1">
        <v>-3620.3989299999998</v>
      </c>
      <c r="E267" s="1">
        <v>-3776.9704499999998</v>
      </c>
      <c r="F267" s="1">
        <v>-2467.6146899999949</v>
      </c>
      <c r="G267" s="170">
        <v>-12609.065439999995</v>
      </c>
      <c r="H267" s="1">
        <v>-1679.6535700000002</v>
      </c>
      <c r="I267" s="1">
        <v>-2460.0902599999999</v>
      </c>
      <c r="J267" s="1">
        <v>-2475.24503</v>
      </c>
      <c r="K267" s="1">
        <v>-1718.3358000000017</v>
      </c>
      <c r="L267" s="170">
        <v>-8333.324660000002</v>
      </c>
      <c r="M267" s="1">
        <v>-1613.9054599999997</v>
      </c>
      <c r="N267" s="1">
        <v>-2036.05675</v>
      </c>
      <c r="O267" s="1">
        <v>-1472.7865300000003</v>
      </c>
      <c r="P267" s="1">
        <v>-1352.7790700000014</v>
      </c>
      <c r="Q267" s="170">
        <v>-6475.5278100000014</v>
      </c>
      <c r="R267" s="1">
        <v>-1024.4428700000001</v>
      </c>
      <c r="S267" s="1">
        <v>-1922.1131699999994</v>
      </c>
      <c r="T267" s="1">
        <v>-2347.0905100000009</v>
      </c>
      <c r="U267" s="1">
        <v>-1277.9809399999995</v>
      </c>
      <c r="V267" s="170">
        <v>-6571.6274899999999</v>
      </c>
      <c r="W267" s="1">
        <v>-2103.7321699999998</v>
      </c>
      <c r="X267" s="1">
        <v>-2816.3566299999998</v>
      </c>
      <c r="Y267" s="1">
        <v>-2335.8907399999998</v>
      </c>
      <c r="Z267" s="1">
        <v>-1298.4524500000016</v>
      </c>
      <c r="AA267" s="170">
        <v>-8554.431990000001</v>
      </c>
      <c r="AB267" s="1">
        <v>-1142.72351</v>
      </c>
      <c r="AC267" s="1">
        <v>-504.72503000000006</v>
      </c>
      <c r="AD267" s="1">
        <v>-1386.6505</v>
      </c>
      <c r="AE267" s="1">
        <v>-904.7549800000005</v>
      </c>
      <c r="AF267" s="170">
        <f t="shared" si="146"/>
        <v>-3938.8540200000007</v>
      </c>
      <c r="AG267" s="1">
        <v>565</v>
      </c>
      <c r="AH267" s="1">
        <v>317</v>
      </c>
      <c r="AI267" s="1">
        <v>-767</v>
      </c>
      <c r="AJ267" s="1">
        <v>-2781</v>
      </c>
      <c r="AK267" s="170">
        <f t="shared" si="147"/>
        <v>-2666</v>
      </c>
      <c r="AL267" s="1">
        <v>-949</v>
      </c>
      <c r="AM267" s="1">
        <v>-350</v>
      </c>
      <c r="AN267" s="1">
        <v>-1826</v>
      </c>
      <c r="AO267" s="1">
        <v>-1648</v>
      </c>
      <c r="AP267" s="170">
        <f t="shared" si="149"/>
        <v>-4773</v>
      </c>
      <c r="AQ267" s="1">
        <v>-506</v>
      </c>
      <c r="AR267" s="1">
        <v>-384</v>
      </c>
      <c r="AS267" s="1">
        <v>-674</v>
      </c>
      <c r="AT267" s="1">
        <v>-1190</v>
      </c>
      <c r="AU267" s="170">
        <f t="shared" si="150"/>
        <v>-2754</v>
      </c>
      <c r="AV267" s="1">
        <v>-730</v>
      </c>
      <c r="AW267" s="1">
        <v>-1293</v>
      </c>
      <c r="AX267" s="1">
        <v>-1683</v>
      </c>
      <c r="AY267" s="1">
        <v>-984</v>
      </c>
      <c r="AZ267" s="170">
        <f t="shared" si="151"/>
        <v>-4690</v>
      </c>
      <c r="BA267" s="162">
        <v>-1403</v>
      </c>
    </row>
    <row r="268" spans="1:53">
      <c r="A268" s="11"/>
      <c r="B268" s="11" t="s">
        <v>415</v>
      </c>
      <c r="C268" s="1">
        <v>47158.157839999993</v>
      </c>
      <c r="D268" s="1">
        <v>67332.668479999993</v>
      </c>
      <c r="E268" s="1">
        <v>81599.369930000044</v>
      </c>
      <c r="F268" s="1">
        <v>53127.214989999979</v>
      </c>
      <c r="G268" s="170">
        <v>249217.41124000002</v>
      </c>
      <c r="H268" s="1">
        <v>30608.807130000001</v>
      </c>
      <c r="I268" s="1">
        <v>29356.708679999982</v>
      </c>
      <c r="J268" s="1">
        <v>32010.025080000036</v>
      </c>
      <c r="K268" s="1">
        <v>27561.475129999977</v>
      </c>
      <c r="L268" s="170">
        <v>119537.01602</v>
      </c>
      <c r="M268" s="1">
        <v>22568.427429999996</v>
      </c>
      <c r="N268" s="1">
        <v>16893.977060000012</v>
      </c>
      <c r="O268" s="1">
        <v>9720.3963799999983</v>
      </c>
      <c r="P268" s="1">
        <v>18895.304949999991</v>
      </c>
      <c r="Q268" s="170">
        <v>68078.105819999997</v>
      </c>
      <c r="R268" s="1">
        <v>16128.794699999997</v>
      </c>
      <c r="S268" s="1">
        <v>18896.012299999995</v>
      </c>
      <c r="T268" s="1">
        <v>18840.121320000006</v>
      </c>
      <c r="U268" s="1">
        <v>20493.954780000007</v>
      </c>
      <c r="V268" s="170">
        <v>74358.883100000006</v>
      </c>
      <c r="W268" s="1">
        <v>-3227.7890099999959</v>
      </c>
      <c r="X268" s="1">
        <v>32019.795339999997</v>
      </c>
      <c r="Y268" s="1">
        <v>21368.426959999993</v>
      </c>
      <c r="Z268" s="1">
        <v>17606.682800000002</v>
      </c>
      <c r="AA268" s="170">
        <v>67767.116089999996</v>
      </c>
      <c r="AB268" s="1">
        <v>7179.4618800000007</v>
      </c>
      <c r="AC268" s="1">
        <v>15204.016500000003</v>
      </c>
      <c r="AD268" s="1">
        <v>-625.80040000000372</v>
      </c>
      <c r="AE268" s="1">
        <v>6643.3918100000028</v>
      </c>
      <c r="AF268" s="170">
        <f t="shared" si="146"/>
        <v>28401.069790000001</v>
      </c>
      <c r="AG268" s="1">
        <v>11320</v>
      </c>
      <c r="AH268" s="1">
        <v>22903</v>
      </c>
      <c r="AI268" s="1">
        <v>27963</v>
      </c>
      <c r="AJ268" s="1">
        <v>-7649</v>
      </c>
      <c r="AK268" s="170">
        <f t="shared" si="147"/>
        <v>54537</v>
      </c>
      <c r="AL268" s="1">
        <v>9077</v>
      </c>
      <c r="AM268" s="1">
        <v>11260</v>
      </c>
      <c r="AN268" s="1">
        <v>18543</v>
      </c>
      <c r="AO268" s="1">
        <v>20746</v>
      </c>
      <c r="AP268" s="170">
        <f t="shared" si="149"/>
        <v>59626</v>
      </c>
      <c r="AQ268" s="1">
        <v>10566</v>
      </c>
      <c r="AR268" s="1">
        <v>12587</v>
      </c>
      <c r="AS268" s="1">
        <v>14251</v>
      </c>
      <c r="AT268" s="1">
        <v>12966</v>
      </c>
      <c r="AU268" s="170">
        <f t="shared" si="150"/>
        <v>50370</v>
      </c>
      <c r="AV268" s="1">
        <v>13711</v>
      </c>
      <c r="AW268" s="1">
        <v>16814</v>
      </c>
      <c r="AX268" s="1">
        <v>35011</v>
      </c>
      <c r="AY268" s="1">
        <v>13546</v>
      </c>
      <c r="AZ268" s="170">
        <f t="shared" si="151"/>
        <v>79082</v>
      </c>
      <c r="BA268" s="162">
        <v>13677</v>
      </c>
    </row>
    <row r="269" spans="1:53">
      <c r="A269" s="11"/>
      <c r="B269" s="11" t="s">
        <v>416</v>
      </c>
      <c r="C269" s="1">
        <v>422701.64483000006</v>
      </c>
      <c r="D269" s="1">
        <v>384354.20520999999</v>
      </c>
      <c r="E269" s="1">
        <v>398112.91697999963</v>
      </c>
      <c r="F269" s="1">
        <v>466358.81706000026</v>
      </c>
      <c r="G269" s="40">
        <v>1671527.5840799999</v>
      </c>
      <c r="H269" s="1">
        <v>461502.33072999999</v>
      </c>
      <c r="I269" s="1">
        <v>516020.65833000006</v>
      </c>
      <c r="J269" s="1">
        <v>453539.75187999988</v>
      </c>
      <c r="K269" s="1">
        <v>509032.56891999999</v>
      </c>
      <c r="L269" s="40">
        <v>1940095.3098599999</v>
      </c>
      <c r="M269" s="1">
        <v>483266.89222999994</v>
      </c>
      <c r="N269" s="1">
        <v>457793.29275000031</v>
      </c>
      <c r="O269" s="1">
        <v>556556.4116599994</v>
      </c>
      <c r="P269" s="1">
        <v>625334.61492000008</v>
      </c>
      <c r="Q269" s="40">
        <v>2122951.2115599997</v>
      </c>
      <c r="R269" s="1">
        <v>569133.35255999991</v>
      </c>
      <c r="S269" s="1">
        <v>530008.36346000002</v>
      </c>
      <c r="T269" s="1">
        <v>627901.95050000004</v>
      </c>
      <c r="U269" s="1">
        <v>496834.72978999978</v>
      </c>
      <c r="V269" s="40">
        <v>2223878.3963099997</v>
      </c>
      <c r="W269" s="1">
        <v>641538.98627999995</v>
      </c>
      <c r="X269" s="1">
        <v>590763.83119000017</v>
      </c>
      <c r="Y269" s="1">
        <v>628296.72185000009</v>
      </c>
      <c r="Z269" s="1">
        <v>632186.72922000033</v>
      </c>
      <c r="AA269" s="40">
        <v>2492786.2685400005</v>
      </c>
      <c r="AB269" s="1">
        <v>276224.66591999994</v>
      </c>
      <c r="AC269" s="1">
        <v>267824.20608000003</v>
      </c>
      <c r="AD269" s="1">
        <v>222357.62964000006</v>
      </c>
      <c r="AE269" s="1">
        <v>236036.62450999999</v>
      </c>
      <c r="AF269" s="40">
        <f t="shared" si="146"/>
        <v>1002443.12615</v>
      </c>
      <c r="AG269" s="1">
        <v>258349</v>
      </c>
      <c r="AH269" s="1">
        <v>206857</v>
      </c>
      <c r="AI269" s="1">
        <v>497918</v>
      </c>
      <c r="AJ269" s="1">
        <v>76744</v>
      </c>
      <c r="AK269" s="40">
        <f t="shared" si="147"/>
        <v>1039868</v>
      </c>
      <c r="AL269" s="1">
        <v>242857</v>
      </c>
      <c r="AM269" s="1">
        <v>229257</v>
      </c>
      <c r="AN269" s="1">
        <v>291862</v>
      </c>
      <c r="AO269" s="1">
        <v>282504</v>
      </c>
      <c r="AP269" s="40">
        <f t="shared" si="149"/>
        <v>1046480</v>
      </c>
      <c r="AQ269" s="1">
        <v>239581</v>
      </c>
      <c r="AR269" s="1">
        <v>169705</v>
      </c>
      <c r="AS269" s="1">
        <v>244950</v>
      </c>
      <c r="AT269" s="1">
        <v>215045</v>
      </c>
      <c r="AU269" s="40">
        <f t="shared" si="150"/>
        <v>869281</v>
      </c>
      <c r="AV269" s="1">
        <v>192215</v>
      </c>
      <c r="AW269" s="1">
        <v>220810</v>
      </c>
      <c r="AX269" s="1">
        <v>220252</v>
      </c>
      <c r="AY269" s="1">
        <v>257217</v>
      </c>
      <c r="AZ269" s="40">
        <f t="shared" si="151"/>
        <v>890494</v>
      </c>
      <c r="BA269" s="8">
        <v>233584</v>
      </c>
    </row>
    <row r="270" spans="1:53" s="2" customFormat="1">
      <c r="A270" s="9"/>
      <c r="B270" s="9" t="s">
        <v>418</v>
      </c>
      <c r="C270" s="76">
        <v>464356.47744000005</v>
      </c>
      <c r="D270" s="76">
        <v>445243.72138</v>
      </c>
      <c r="E270" s="76">
        <v>474478.63722999964</v>
      </c>
      <c r="F270" s="76">
        <v>515609.98840000026</v>
      </c>
      <c r="G270" s="39">
        <v>1899688.8244499997</v>
      </c>
      <c r="H270" s="76">
        <v>488489.19799999997</v>
      </c>
      <c r="I270" s="76">
        <v>539255.96680000005</v>
      </c>
      <c r="J270" s="76">
        <v>480675.3690699999</v>
      </c>
      <c r="K270" s="76">
        <v>533203.76399999997</v>
      </c>
      <c r="L270" s="39">
        <v>2041624.2978699999</v>
      </c>
      <c r="M270" s="76">
        <v>501545.15353999991</v>
      </c>
      <c r="N270" s="76">
        <v>467049.17168000032</v>
      </c>
      <c r="O270" s="76">
        <v>550797.12330999947</v>
      </c>
      <c r="P270" s="76">
        <v>637805.04877000011</v>
      </c>
      <c r="Q270" s="39">
        <v>2157196.4972999999</v>
      </c>
      <c r="R270" s="76">
        <v>581288.90832999989</v>
      </c>
      <c r="S270" s="76">
        <v>542350.19613000005</v>
      </c>
      <c r="T270" s="76">
        <v>640347.48920000007</v>
      </c>
      <c r="U270" s="76">
        <v>506926.55343999976</v>
      </c>
      <c r="V270" s="39">
        <v>2270913.1471000002</v>
      </c>
      <c r="W270" s="76">
        <v>632802.89666999993</v>
      </c>
      <c r="X270" s="76">
        <v>614072.65158000018</v>
      </c>
      <c r="Y270" s="76">
        <v>642982.2051100001</v>
      </c>
      <c r="Z270" s="76">
        <v>642195.38237000036</v>
      </c>
      <c r="AA270" s="39">
        <v>2532053.1357300002</v>
      </c>
      <c r="AB270" s="76">
        <f>SUM(AB265:AB269)</f>
        <v>261986.68736999994</v>
      </c>
      <c r="AC270" s="76">
        <f>SUM(AC265:AC269)</f>
        <v>259040.58377000003</v>
      </c>
      <c r="AD270" s="76">
        <f>SUM(AD265:AD269)</f>
        <v>192750.42854000005</v>
      </c>
      <c r="AE270" s="76">
        <v>230607.88905000009</v>
      </c>
      <c r="AF270" s="39">
        <f t="shared" si="146"/>
        <v>944385.58873000019</v>
      </c>
      <c r="AG270" s="76">
        <f>SUM(AG265:AG269)</f>
        <v>264832</v>
      </c>
      <c r="AH270" s="76">
        <f>SUM(AH265:AH269)</f>
        <v>222175</v>
      </c>
      <c r="AI270" s="76">
        <f>SUM(AI265:AI269)</f>
        <v>513139</v>
      </c>
      <c r="AJ270" s="76">
        <f>SUM(AJ265:AJ269)</f>
        <v>57507</v>
      </c>
      <c r="AK270" s="39">
        <f t="shared" si="147"/>
        <v>1057653</v>
      </c>
      <c r="AL270" s="76">
        <f>SUM(AL265:AL269)</f>
        <v>247350</v>
      </c>
      <c r="AM270" s="76">
        <f>SUM(AM265:AM269)</f>
        <v>236088</v>
      </c>
      <c r="AN270" s="76">
        <f>SUM(AN265:AN269)</f>
        <v>303285</v>
      </c>
      <c r="AO270" s="76">
        <f>SUM(AO265:AO269)</f>
        <v>299726</v>
      </c>
      <c r="AP270" s="39">
        <f>SUM(AL270:AO270)</f>
        <v>1086449</v>
      </c>
      <c r="AQ270" s="76">
        <f>SUM(AQ265:AQ269)</f>
        <v>247784</v>
      </c>
      <c r="AR270" s="76">
        <f>SUM(AR265:AR269)</f>
        <v>180856</v>
      </c>
      <c r="AS270" s="76">
        <f t="shared" ref="AS270:AT270" si="152">SUM(AS265:AS269)</f>
        <v>257472</v>
      </c>
      <c r="AT270" s="76">
        <f t="shared" si="152"/>
        <v>225167</v>
      </c>
      <c r="AU270" s="39">
        <f>SUM(AQ270:AT270)</f>
        <v>911279</v>
      </c>
      <c r="AV270" s="76">
        <f>SUM(AV265:AV269)</f>
        <v>201456</v>
      </c>
      <c r="AW270" s="76">
        <f>SUM(AW265:AW269)</f>
        <v>234274</v>
      </c>
      <c r="AX270" s="76">
        <f>SUM(AX265:AX269)</f>
        <v>252279</v>
      </c>
      <c r="AY270" s="76">
        <f>SUM(AY265:AY269)</f>
        <v>268241</v>
      </c>
      <c r="AZ270" s="39">
        <f>SUM(AV270:AY270)</f>
        <v>956250</v>
      </c>
      <c r="BA270" s="10">
        <f>SUM(BA265:BA269)</f>
        <v>245912</v>
      </c>
    </row>
    <row r="271" spans="1:53">
      <c r="A271" s="11"/>
      <c r="B271" s="11" t="s">
        <v>419</v>
      </c>
      <c r="C271" s="1">
        <v>0</v>
      </c>
      <c r="D271" s="1">
        <v>0</v>
      </c>
      <c r="E271" s="1">
        <v>0</v>
      </c>
      <c r="F271" s="1">
        <v>0</v>
      </c>
      <c r="G271" s="170">
        <v>0</v>
      </c>
      <c r="H271" s="1">
        <v>0</v>
      </c>
      <c r="I271" s="1">
        <v>0</v>
      </c>
      <c r="J271" s="1">
        <v>0</v>
      </c>
      <c r="K271" s="1">
        <v>859.47056000000009</v>
      </c>
      <c r="L271" s="170">
        <v>859.47056000000009</v>
      </c>
      <c r="M271" s="1">
        <v>0</v>
      </c>
      <c r="N271" s="1">
        <v>0</v>
      </c>
      <c r="O271" s="1">
        <v>-17061.124299999999</v>
      </c>
      <c r="P271" s="1">
        <v>0</v>
      </c>
      <c r="Q271" s="170">
        <v>-17061.124299999999</v>
      </c>
      <c r="R271" s="1">
        <v>0</v>
      </c>
      <c r="S271" s="1">
        <v>1715.6541399999999</v>
      </c>
      <c r="T271" s="1">
        <v>0</v>
      </c>
      <c r="U271" s="1">
        <v>0</v>
      </c>
      <c r="V271" s="170">
        <v>1715.6541399999999</v>
      </c>
      <c r="W271" s="1">
        <v>0</v>
      </c>
      <c r="X271" s="1">
        <v>0</v>
      </c>
      <c r="Y271" s="1">
        <v>0</v>
      </c>
      <c r="Z271" s="1">
        <v>-30700.963780000002</v>
      </c>
      <c r="AA271" s="170">
        <v>-30700.963780000002</v>
      </c>
      <c r="AB271" s="1">
        <v>0</v>
      </c>
      <c r="AC271" s="1">
        <v>0</v>
      </c>
      <c r="AD271" s="1">
        <v>0</v>
      </c>
      <c r="AE271" s="1">
        <v>-2.6250200000000001</v>
      </c>
      <c r="AF271" s="170">
        <f t="shared" si="146"/>
        <v>-2.6250200000000001</v>
      </c>
      <c r="AG271" s="1">
        <v>0</v>
      </c>
      <c r="AH271" s="1">
        <v>0</v>
      </c>
      <c r="AI271" s="1">
        <v>0</v>
      </c>
      <c r="AJ271" s="1">
        <v>-3266</v>
      </c>
      <c r="AK271" s="170">
        <f t="shared" si="147"/>
        <v>-3266</v>
      </c>
      <c r="AL271" s="1">
        <v>0</v>
      </c>
      <c r="AM271" s="1">
        <v>0</v>
      </c>
      <c r="AN271" s="1">
        <v>0</v>
      </c>
      <c r="AO271" s="1">
        <v>0</v>
      </c>
      <c r="AP271" s="170">
        <f t="shared" si="149"/>
        <v>0</v>
      </c>
      <c r="AQ271" s="1">
        <v>0</v>
      </c>
      <c r="AR271" s="1">
        <v>0</v>
      </c>
      <c r="AS271" s="1">
        <v>0</v>
      </c>
      <c r="AT271" s="1">
        <v>0</v>
      </c>
      <c r="AU271" s="170">
        <f t="shared" si="150"/>
        <v>0</v>
      </c>
      <c r="AV271" s="1">
        <v>20341</v>
      </c>
      <c r="AW271" s="1">
        <v>0</v>
      </c>
      <c r="AX271" s="1">
        <v>0</v>
      </c>
      <c r="AY271" s="1">
        <v>0</v>
      </c>
      <c r="AZ271" s="170">
        <f t="shared" si="151"/>
        <v>20341</v>
      </c>
      <c r="BA271" s="162">
        <v>0</v>
      </c>
    </row>
    <row r="272" spans="1:53" s="2" customFormat="1">
      <c r="A272" s="9"/>
      <c r="B272" s="9" t="s">
        <v>420</v>
      </c>
      <c r="C272" s="76">
        <v>464356.47744000005</v>
      </c>
      <c r="D272" s="76">
        <v>445243.72138</v>
      </c>
      <c r="E272" s="76">
        <v>474478.63722999964</v>
      </c>
      <c r="F272" s="76">
        <v>515609.98840000026</v>
      </c>
      <c r="G272" s="39">
        <v>1899688.8244499997</v>
      </c>
      <c r="H272" s="76">
        <v>488489.19799999997</v>
      </c>
      <c r="I272" s="76">
        <v>539255.96680000005</v>
      </c>
      <c r="J272" s="76">
        <v>480675.3690699999</v>
      </c>
      <c r="K272" s="76">
        <v>534063.23456000001</v>
      </c>
      <c r="L272" s="39">
        <v>2042483.7684299999</v>
      </c>
      <c r="M272" s="76">
        <v>501545.15353999991</v>
      </c>
      <c r="N272" s="76">
        <v>467049.17168000032</v>
      </c>
      <c r="O272" s="76">
        <v>533735.99900999945</v>
      </c>
      <c r="P272" s="76">
        <v>637805.04877000011</v>
      </c>
      <c r="Q272" s="39">
        <v>2140135.3729999997</v>
      </c>
      <c r="R272" s="76">
        <v>581288.90832999989</v>
      </c>
      <c r="S272" s="76">
        <v>544065.85027000005</v>
      </c>
      <c r="T272" s="76">
        <v>640347.48920000007</v>
      </c>
      <c r="U272" s="76">
        <v>506926.55343999976</v>
      </c>
      <c r="V272" s="39">
        <v>2272628.8012399999</v>
      </c>
      <c r="W272" s="76">
        <v>632802.89666999993</v>
      </c>
      <c r="X272" s="76">
        <v>614072.65158000018</v>
      </c>
      <c r="Y272" s="76">
        <v>642982.2051100001</v>
      </c>
      <c r="Z272" s="76">
        <v>611494.41859000036</v>
      </c>
      <c r="AA272" s="39">
        <v>2501352.1719500003</v>
      </c>
      <c r="AB272" s="76">
        <f>SUM(AB270:AB271)</f>
        <v>261986.68736999994</v>
      </c>
      <c r="AC272" s="76">
        <f>SUM(AC270:AC271)</f>
        <v>259040.58377000003</v>
      </c>
      <c r="AD272" s="76">
        <f>SUM(AD270:AD271)</f>
        <v>192750.42854000005</v>
      </c>
      <c r="AE272" s="76">
        <v>230605.26403000008</v>
      </c>
      <c r="AF272" s="39">
        <f t="shared" si="146"/>
        <v>944382.96371000016</v>
      </c>
      <c r="AG272" s="76">
        <f>AG270+AG271</f>
        <v>264832</v>
      </c>
      <c r="AH272" s="76">
        <f>AH270+AH271</f>
        <v>222175</v>
      </c>
      <c r="AI272" s="76">
        <f>AI270+AI271</f>
        <v>513139</v>
      </c>
      <c r="AJ272" s="76">
        <f>AJ270+AJ271</f>
        <v>54241</v>
      </c>
      <c r="AK272" s="39">
        <f t="shared" si="147"/>
        <v>1054387</v>
      </c>
      <c r="AL272" s="76">
        <f>AL270+AL271</f>
        <v>247350</v>
      </c>
      <c r="AM272" s="76">
        <f>AM270+AM271</f>
        <v>236088</v>
      </c>
      <c r="AN272" s="76">
        <f>AN270+AN271</f>
        <v>303285</v>
      </c>
      <c r="AO272" s="76">
        <f>AO270+AO271</f>
        <v>299726</v>
      </c>
      <c r="AP272" s="39">
        <f t="shared" si="149"/>
        <v>1086449</v>
      </c>
      <c r="AQ272" s="76">
        <f>AQ270+AQ271</f>
        <v>247784</v>
      </c>
      <c r="AR272" s="76">
        <f>AR270+AR271</f>
        <v>180856</v>
      </c>
      <c r="AS272" s="76">
        <f t="shared" ref="AS272:AT272" si="153">AS270+AS271</f>
        <v>257472</v>
      </c>
      <c r="AT272" s="76">
        <f t="shared" si="153"/>
        <v>225167</v>
      </c>
      <c r="AU272" s="39">
        <f t="shared" si="150"/>
        <v>911279</v>
      </c>
      <c r="AV272" s="76">
        <f>AV270+AV271</f>
        <v>221797</v>
      </c>
      <c r="AW272" s="76">
        <f>AW270+AW271</f>
        <v>234274</v>
      </c>
      <c r="AX272" s="76">
        <f>AX270+AX271</f>
        <v>252279</v>
      </c>
      <c r="AY272" s="76">
        <f>AY270+AY271</f>
        <v>268241</v>
      </c>
      <c r="AZ272" s="39">
        <f t="shared" si="151"/>
        <v>976591</v>
      </c>
      <c r="BA272" s="10">
        <f>BA270+BA271</f>
        <v>245912</v>
      </c>
    </row>
    <row r="273" spans="1:53">
      <c r="A273" s="11"/>
      <c r="B273" s="11" t="s">
        <v>421</v>
      </c>
      <c r="C273" s="1">
        <v>382.32369000000017</v>
      </c>
      <c r="D273" s="1">
        <v>-1057.7413100000003</v>
      </c>
      <c r="E273" s="1">
        <v>1239.0389800000003</v>
      </c>
      <c r="F273" s="1">
        <v>3090.6654900000003</v>
      </c>
      <c r="G273" s="170">
        <v>3654.2868500000004</v>
      </c>
      <c r="H273" s="1">
        <v>185.94343000000003</v>
      </c>
      <c r="I273" s="1">
        <v>-451.35317000000003</v>
      </c>
      <c r="J273" s="1">
        <v>-474.75137000000001</v>
      </c>
      <c r="K273" s="1">
        <v>271.32450000000006</v>
      </c>
      <c r="L273" s="170">
        <v>-468.83660999999995</v>
      </c>
      <c r="M273" s="1">
        <v>347.08521000000002</v>
      </c>
      <c r="N273" s="1">
        <v>211.20113000000009</v>
      </c>
      <c r="O273" s="1">
        <v>6738.68923</v>
      </c>
      <c r="P273" s="1">
        <v>-3128.1180999999997</v>
      </c>
      <c r="Q273" s="170">
        <v>4168.8574700000008</v>
      </c>
      <c r="R273" s="1">
        <v>-1.3029400000000024</v>
      </c>
      <c r="S273" s="1">
        <v>-866.15027999999995</v>
      </c>
      <c r="T273" s="1">
        <v>609.65692999999999</v>
      </c>
      <c r="U273" s="1">
        <v>1302.97279</v>
      </c>
      <c r="V273" s="170">
        <v>1045.1765</v>
      </c>
      <c r="W273" s="1">
        <v>4764.5974999999999</v>
      </c>
      <c r="X273" s="1">
        <v>-3623.5210999999999</v>
      </c>
      <c r="Y273" s="1">
        <v>1080.0614600000004</v>
      </c>
      <c r="Z273" s="1">
        <v>325.77659999999969</v>
      </c>
      <c r="AA273" s="170">
        <v>2546.91446</v>
      </c>
      <c r="AB273" s="1">
        <v>3904.0822000000003</v>
      </c>
      <c r="AC273" s="1">
        <v>2160.7556300000001</v>
      </c>
      <c r="AD273" s="1">
        <v>7222.1340999999993</v>
      </c>
      <c r="AE273" s="1">
        <v>930.79416000000015</v>
      </c>
      <c r="AF273" s="170">
        <f t="shared" si="146"/>
        <v>14217.766089999999</v>
      </c>
      <c r="AG273" s="1">
        <v>-1646</v>
      </c>
      <c r="AH273" s="1">
        <v>-4145</v>
      </c>
      <c r="AI273" s="1">
        <v>-3700</v>
      </c>
      <c r="AJ273" s="1">
        <v>2942</v>
      </c>
      <c r="AK273" s="170">
        <f t="shared" si="147"/>
        <v>-6549</v>
      </c>
      <c r="AL273" s="1">
        <v>-1253</v>
      </c>
      <c r="AM273" s="1">
        <v>-1919</v>
      </c>
      <c r="AN273" s="1">
        <v>-2851</v>
      </c>
      <c r="AO273" s="1">
        <v>-4304</v>
      </c>
      <c r="AP273" s="170">
        <f t="shared" si="149"/>
        <v>-10327</v>
      </c>
      <c r="AQ273" s="1">
        <v>-2045</v>
      </c>
      <c r="AR273" s="1">
        <v>-3069</v>
      </c>
      <c r="AS273" s="1">
        <v>-3125</v>
      </c>
      <c r="AT273" s="1">
        <v>17487</v>
      </c>
      <c r="AU273" s="170">
        <f t="shared" si="150"/>
        <v>9248</v>
      </c>
      <c r="AV273" s="1">
        <v>-6944</v>
      </c>
      <c r="AW273" s="1">
        <v>314</v>
      </c>
      <c r="AX273" s="1">
        <v>-7242</v>
      </c>
      <c r="AY273" s="1">
        <v>-2001</v>
      </c>
      <c r="AZ273" s="170">
        <f t="shared" si="151"/>
        <v>-15873</v>
      </c>
      <c r="BA273" s="162">
        <v>-2369</v>
      </c>
    </row>
    <row r="274" spans="1:53">
      <c r="A274" s="11"/>
      <c r="B274" s="11" t="s">
        <v>422</v>
      </c>
      <c r="C274" s="1">
        <v>135.47653999999986</v>
      </c>
      <c r="D274" s="1">
        <v>-382.9468599999999</v>
      </c>
      <c r="E274" s="1">
        <v>443.89400000000001</v>
      </c>
      <c r="F274" s="1">
        <v>1119.1196200000002</v>
      </c>
      <c r="G274" s="170">
        <v>1315.5433</v>
      </c>
      <c r="H274" s="1">
        <v>64.779630000000012</v>
      </c>
      <c r="I274" s="1">
        <v>-164.64714000000001</v>
      </c>
      <c r="J274" s="1">
        <v>-173.07049999999998</v>
      </c>
      <c r="K274" s="1">
        <v>95.516829999999999</v>
      </c>
      <c r="L274" s="170">
        <v>-177.42117999999996</v>
      </c>
      <c r="M274" s="1">
        <v>122.79067999999999</v>
      </c>
      <c r="N274" s="1">
        <v>78.19239999999995</v>
      </c>
      <c r="O274" s="1">
        <v>2425.92812</v>
      </c>
      <c r="P274" s="1">
        <v>-1126.1225200000001</v>
      </c>
      <c r="Q274" s="170">
        <v>1500.7886799999999</v>
      </c>
      <c r="R274" s="1">
        <v>-2.6290400000000007</v>
      </c>
      <c r="S274" s="1">
        <v>-313.97411</v>
      </c>
      <c r="T274" s="1">
        <v>217.31648999999999</v>
      </c>
      <c r="U274" s="1">
        <v>466.91020999999995</v>
      </c>
      <c r="V274" s="170">
        <v>367.62354999999997</v>
      </c>
      <c r="W274" s="1">
        <v>1715.2550900000001</v>
      </c>
      <c r="X274" s="1">
        <v>-1308.7875900000001</v>
      </c>
      <c r="Y274" s="1">
        <v>391.73056999999994</v>
      </c>
      <c r="Z274" s="1">
        <v>109.83931000000007</v>
      </c>
      <c r="AA274" s="170">
        <v>908.03737999999998</v>
      </c>
      <c r="AB274" s="1">
        <v>1403.23577</v>
      </c>
      <c r="AC274" s="1">
        <v>780.10583999999994</v>
      </c>
      <c r="AD274" s="1">
        <v>2599.9682799999996</v>
      </c>
      <c r="AE274" s="1">
        <v>351.4591299999999</v>
      </c>
      <c r="AF274" s="170">
        <f t="shared" si="146"/>
        <v>5134.7690199999997</v>
      </c>
      <c r="AG274" s="1">
        <v>-593</v>
      </c>
      <c r="AH274" s="1">
        <v>-1466</v>
      </c>
      <c r="AI274" s="1">
        <v>-1344</v>
      </c>
      <c r="AJ274" s="1">
        <v>1068</v>
      </c>
      <c r="AK274" s="170">
        <f t="shared" si="147"/>
        <v>-2335</v>
      </c>
      <c r="AL274" s="1">
        <v>-412</v>
      </c>
      <c r="AM274" s="1">
        <v>-637</v>
      </c>
      <c r="AN274" s="1">
        <v>-1028</v>
      </c>
      <c r="AO274" s="1">
        <v>-1552</v>
      </c>
      <c r="AP274" s="170">
        <f t="shared" si="149"/>
        <v>-3629</v>
      </c>
      <c r="AQ274" s="1">
        <v>-738</v>
      </c>
      <c r="AR274" s="1">
        <v>-1010</v>
      </c>
      <c r="AS274" s="1">
        <v>-1127</v>
      </c>
      <c r="AT274" s="1">
        <v>6293</v>
      </c>
      <c r="AU274" s="170">
        <f t="shared" si="150"/>
        <v>3418</v>
      </c>
      <c r="AV274" s="1">
        <v>-2502</v>
      </c>
      <c r="AW274" s="1">
        <v>111</v>
      </c>
      <c r="AX274" s="1">
        <v>-2609</v>
      </c>
      <c r="AY274" s="1">
        <v>-723</v>
      </c>
      <c r="AZ274" s="170">
        <f t="shared" si="151"/>
        <v>-5723</v>
      </c>
      <c r="BA274" s="162">
        <v>-853</v>
      </c>
    </row>
    <row r="275" spans="1:53">
      <c r="A275" s="11"/>
      <c r="B275" s="11" t="s">
        <v>423</v>
      </c>
      <c r="C275" s="1">
        <v>0</v>
      </c>
      <c r="D275" s="1">
        <v>0</v>
      </c>
      <c r="E275" s="1">
        <v>0</v>
      </c>
      <c r="F275" s="1">
        <v>0</v>
      </c>
      <c r="G275" s="170">
        <v>0</v>
      </c>
      <c r="H275" s="1">
        <v>0</v>
      </c>
      <c r="I275" s="1">
        <v>0</v>
      </c>
      <c r="J275" s="1">
        <v>0</v>
      </c>
      <c r="K275" s="1">
        <v>0</v>
      </c>
      <c r="L275" s="170">
        <v>0</v>
      </c>
      <c r="M275" s="1">
        <v>0</v>
      </c>
      <c r="N275" s="1">
        <v>0</v>
      </c>
      <c r="O275" s="1">
        <v>0</v>
      </c>
      <c r="P275" s="1">
        <v>0</v>
      </c>
      <c r="Q275" s="170">
        <v>0</v>
      </c>
      <c r="R275" s="1">
        <v>0</v>
      </c>
      <c r="S275" s="1">
        <v>0</v>
      </c>
      <c r="T275" s="1">
        <v>0</v>
      </c>
      <c r="U275" s="1">
        <v>0</v>
      </c>
      <c r="V275" s="170">
        <v>0</v>
      </c>
      <c r="W275" s="1">
        <v>0</v>
      </c>
      <c r="X275" s="1">
        <v>0</v>
      </c>
      <c r="Y275" s="1">
        <v>0</v>
      </c>
      <c r="Z275" s="1">
        <v>0</v>
      </c>
      <c r="AA275" s="170">
        <v>0</v>
      </c>
      <c r="AB275" s="1">
        <v>0</v>
      </c>
      <c r="AC275" s="1">
        <v>0</v>
      </c>
      <c r="AD275" s="1">
        <v>0</v>
      </c>
      <c r="AE275" s="1">
        <v>0</v>
      </c>
      <c r="AF275" s="170">
        <f t="shared" si="146"/>
        <v>0</v>
      </c>
      <c r="AG275" s="1">
        <v>0</v>
      </c>
      <c r="AH275" s="1">
        <v>0</v>
      </c>
      <c r="AI275" s="1">
        <v>0</v>
      </c>
      <c r="AJ275" s="1">
        <v>0</v>
      </c>
      <c r="AK275" s="170">
        <f t="shared" si="147"/>
        <v>0</v>
      </c>
      <c r="AL275" s="1">
        <v>0</v>
      </c>
      <c r="AM275" s="1">
        <v>0</v>
      </c>
      <c r="AN275" s="1">
        <v>0</v>
      </c>
      <c r="AO275" s="1">
        <v>0</v>
      </c>
      <c r="AP275" s="170">
        <f t="shared" si="149"/>
        <v>0</v>
      </c>
      <c r="AQ275" s="1">
        <v>0</v>
      </c>
      <c r="AR275" s="1">
        <v>0</v>
      </c>
      <c r="AS275" s="1">
        <v>0</v>
      </c>
      <c r="AT275" s="1">
        <v>0</v>
      </c>
      <c r="AU275" s="170">
        <f t="shared" si="150"/>
        <v>0</v>
      </c>
      <c r="AV275" s="1">
        <v>0</v>
      </c>
      <c r="AW275" s="1">
        <v>0</v>
      </c>
      <c r="AX275" s="1">
        <v>0</v>
      </c>
      <c r="AY275" s="1">
        <v>0</v>
      </c>
      <c r="AZ275" s="170">
        <f t="shared" si="151"/>
        <v>0</v>
      </c>
      <c r="BA275" s="162">
        <v>0</v>
      </c>
    </row>
    <row r="276" spans="1:53">
      <c r="A276" s="11"/>
      <c r="B276" s="11" t="s">
        <v>424</v>
      </c>
      <c r="C276" s="1">
        <v>0</v>
      </c>
      <c r="D276" s="1">
        <v>0</v>
      </c>
      <c r="E276" s="1">
        <v>0</v>
      </c>
      <c r="F276" s="1">
        <v>0</v>
      </c>
      <c r="G276" s="170">
        <v>0</v>
      </c>
      <c r="H276" s="1">
        <v>0</v>
      </c>
      <c r="I276" s="1">
        <v>0</v>
      </c>
      <c r="J276" s="1">
        <v>0</v>
      </c>
      <c r="K276" s="1">
        <v>0</v>
      </c>
      <c r="L276" s="170">
        <v>0</v>
      </c>
      <c r="M276" s="1">
        <v>0</v>
      </c>
      <c r="N276" s="1">
        <v>0</v>
      </c>
      <c r="O276" s="1">
        <v>0</v>
      </c>
      <c r="P276" s="1">
        <v>0</v>
      </c>
      <c r="Q276" s="170">
        <v>0</v>
      </c>
      <c r="R276" s="1">
        <v>0</v>
      </c>
      <c r="S276" s="1">
        <v>0</v>
      </c>
      <c r="T276" s="1">
        <v>0</v>
      </c>
      <c r="U276" s="1">
        <v>0</v>
      </c>
      <c r="V276" s="170">
        <v>0</v>
      </c>
      <c r="W276" s="1">
        <v>0</v>
      </c>
      <c r="X276" s="1">
        <v>0</v>
      </c>
      <c r="Y276" s="1">
        <v>0</v>
      </c>
      <c r="Z276" s="1">
        <v>0</v>
      </c>
      <c r="AA276" s="170">
        <v>0</v>
      </c>
      <c r="AB276" s="1">
        <v>0</v>
      </c>
      <c r="AC276" s="1">
        <v>0</v>
      </c>
      <c r="AD276" s="1">
        <v>0</v>
      </c>
      <c r="AE276" s="1">
        <v>0</v>
      </c>
      <c r="AF276" s="170">
        <f t="shared" si="146"/>
        <v>0</v>
      </c>
      <c r="AG276" s="1">
        <v>0</v>
      </c>
      <c r="AH276" s="1">
        <v>0</v>
      </c>
      <c r="AI276" s="1">
        <v>0</v>
      </c>
      <c r="AJ276" s="1">
        <v>0</v>
      </c>
      <c r="AK276" s="170">
        <f t="shared" si="147"/>
        <v>0</v>
      </c>
      <c r="AL276" s="1">
        <v>0</v>
      </c>
      <c r="AM276" s="1">
        <v>0</v>
      </c>
      <c r="AN276" s="1">
        <v>0</v>
      </c>
      <c r="AO276" s="1">
        <v>0</v>
      </c>
      <c r="AP276" s="170">
        <f t="shared" si="149"/>
        <v>0</v>
      </c>
      <c r="AQ276" s="1">
        <v>0</v>
      </c>
      <c r="AR276" s="1">
        <v>0</v>
      </c>
      <c r="AS276" s="1">
        <v>0</v>
      </c>
      <c r="AT276" s="1">
        <v>0</v>
      </c>
      <c r="AU276" s="170">
        <f t="shared" si="150"/>
        <v>0</v>
      </c>
      <c r="AV276" s="1">
        <v>0</v>
      </c>
      <c r="AW276" s="1">
        <v>0</v>
      </c>
      <c r="AX276" s="1">
        <v>0</v>
      </c>
      <c r="AY276" s="1">
        <v>0</v>
      </c>
      <c r="AZ276" s="170">
        <f t="shared" si="151"/>
        <v>0</v>
      </c>
      <c r="BA276" s="162">
        <v>0</v>
      </c>
    </row>
    <row r="277" spans="1:53" s="2" customFormat="1">
      <c r="A277" s="15"/>
      <c r="B277" s="15" t="s">
        <v>450</v>
      </c>
      <c r="C277" s="16">
        <v>464874.27767000004</v>
      </c>
      <c r="D277" s="16">
        <v>443803.03320999997</v>
      </c>
      <c r="E277" s="16">
        <v>476161.57020999963</v>
      </c>
      <c r="F277" s="16">
        <v>519819.77351000026</v>
      </c>
      <c r="G277" s="45">
        <v>1904658.6545999998</v>
      </c>
      <c r="H277" s="16">
        <v>488739.92105999996</v>
      </c>
      <c r="I277" s="16">
        <v>538639.96649000002</v>
      </c>
      <c r="J277" s="16">
        <v>480027.54719999991</v>
      </c>
      <c r="K277" s="16">
        <v>534430.07588999998</v>
      </c>
      <c r="L277" s="45">
        <v>2041837.51064</v>
      </c>
      <c r="M277" s="16">
        <v>502015.02942999988</v>
      </c>
      <c r="N277" s="16">
        <v>467338.56521000032</v>
      </c>
      <c r="O277" s="16">
        <v>542900.61635999952</v>
      </c>
      <c r="P277" s="16">
        <v>633550.80815000017</v>
      </c>
      <c r="Q277" s="45">
        <v>2145805.0191500001</v>
      </c>
      <c r="R277" s="16">
        <v>581284.9763499999</v>
      </c>
      <c r="S277" s="16">
        <v>542885.72588000016</v>
      </c>
      <c r="T277" s="16">
        <v>641174.46262000012</v>
      </c>
      <c r="U277" s="16">
        <v>508696.43643999979</v>
      </c>
      <c r="V277" s="45">
        <v>2274041.6012899997</v>
      </c>
      <c r="W277" s="16">
        <v>639282.74925999995</v>
      </c>
      <c r="X277" s="16">
        <v>609140.3428900002</v>
      </c>
      <c r="Y277" s="16">
        <v>644453.99714000011</v>
      </c>
      <c r="Z277" s="16">
        <v>611930.0345000003</v>
      </c>
      <c r="AA277" s="45">
        <v>2504807.1237900006</v>
      </c>
      <c r="AB277" s="16">
        <f>SUM(AB272:AB276)</f>
        <v>267294.00533999997</v>
      </c>
      <c r="AC277" s="16">
        <f>SUM(AC272:AC276)</f>
        <v>261981.44524000003</v>
      </c>
      <c r="AD277" s="16">
        <f>SUM(AD272:AD276)</f>
        <v>202572.53092000005</v>
      </c>
      <c r="AE277" s="16">
        <v>231887.51732000004</v>
      </c>
      <c r="AF277" s="45">
        <f t="shared" si="146"/>
        <v>963735.4988200001</v>
      </c>
      <c r="AG277" s="16">
        <f>SUM(AG272:AG276)</f>
        <v>262593</v>
      </c>
      <c r="AH277" s="16">
        <f>SUM(AH272:AH276)</f>
        <v>216564</v>
      </c>
      <c r="AI277" s="16">
        <f>SUM(AI272:AI276)</f>
        <v>508095</v>
      </c>
      <c r="AJ277" s="16">
        <f>SUM(AJ272:AJ276)</f>
        <v>58251</v>
      </c>
      <c r="AK277" s="45">
        <f t="shared" si="147"/>
        <v>1045503</v>
      </c>
      <c r="AL277" s="16">
        <f>SUM(AL272:AL276)</f>
        <v>245685</v>
      </c>
      <c r="AM277" s="16">
        <f>SUM(AM272:AM276)</f>
        <v>233532</v>
      </c>
      <c r="AN277" s="16">
        <f>SUM(AN272:AN276)</f>
        <v>299406</v>
      </c>
      <c r="AO277" s="16">
        <f>SUM(AO272:AO276)</f>
        <v>293870</v>
      </c>
      <c r="AP277" s="45">
        <f t="shared" si="149"/>
        <v>1072493</v>
      </c>
      <c r="AQ277" s="16">
        <f>SUM(AQ272:AQ276)</f>
        <v>245001</v>
      </c>
      <c r="AR277" s="16">
        <f>SUM(AR272:AR276)</f>
        <v>176777</v>
      </c>
      <c r="AS277" s="16">
        <f t="shared" ref="AS277:AV277" si="154">SUM(AS272:AS276)</f>
        <v>253220</v>
      </c>
      <c r="AT277" s="16">
        <f t="shared" si="154"/>
        <v>248947</v>
      </c>
      <c r="AU277" s="45">
        <f t="shared" si="150"/>
        <v>923945</v>
      </c>
      <c r="AV277" s="16">
        <f t="shared" si="154"/>
        <v>212351</v>
      </c>
      <c r="AW277" s="16">
        <f t="shared" ref="AW277:AY277" si="155">SUM(AW272:AW276)</f>
        <v>234699</v>
      </c>
      <c r="AX277" s="16">
        <f t="shared" si="155"/>
        <v>242428</v>
      </c>
      <c r="AY277" s="16">
        <f t="shared" si="155"/>
        <v>265517</v>
      </c>
      <c r="AZ277" s="45">
        <f t="shared" si="151"/>
        <v>954995</v>
      </c>
      <c r="BA277" s="666">
        <f t="shared" ref="BA277" si="156">SUM(BA272:BA276)</f>
        <v>242690</v>
      </c>
    </row>
    <row r="278" spans="1:53">
      <c r="A278" s="11"/>
      <c r="B278" s="11" t="s">
        <v>468</v>
      </c>
      <c r="C278" s="1">
        <v>464874.27767000004</v>
      </c>
      <c r="D278" s="1">
        <v>443803.03320999997</v>
      </c>
      <c r="E278" s="1">
        <v>476161.57020999963</v>
      </c>
      <c r="F278" s="1">
        <v>519819.77351000026</v>
      </c>
      <c r="G278" s="170">
        <v>1904658.6545999998</v>
      </c>
      <c r="H278" s="1">
        <v>488739.92105999996</v>
      </c>
      <c r="I278" s="1">
        <v>538639.96649000002</v>
      </c>
      <c r="J278" s="1">
        <v>480027.54719999991</v>
      </c>
      <c r="K278" s="1">
        <v>534430.07588999998</v>
      </c>
      <c r="L278" s="170">
        <v>2041837.51064</v>
      </c>
      <c r="M278" s="1">
        <v>502015.02942999988</v>
      </c>
      <c r="N278" s="1">
        <v>467338.56521000032</v>
      </c>
      <c r="O278" s="1">
        <v>542900.61635999952</v>
      </c>
      <c r="P278" s="1">
        <v>633550.80815000017</v>
      </c>
      <c r="Q278" s="170">
        <v>2145805.0191500001</v>
      </c>
      <c r="R278" s="1">
        <v>581284.9763499999</v>
      </c>
      <c r="S278" s="1">
        <v>542885.72588000016</v>
      </c>
      <c r="T278" s="1">
        <v>641174.46262000012</v>
      </c>
      <c r="U278" s="1">
        <v>508696.43643999979</v>
      </c>
      <c r="V278" s="170">
        <v>2274041.6012899997</v>
      </c>
      <c r="W278" s="1">
        <v>639282.74925999995</v>
      </c>
      <c r="X278" s="1">
        <v>609140.3428900002</v>
      </c>
      <c r="Y278" s="1">
        <v>644453.99714000011</v>
      </c>
      <c r="Z278" s="1">
        <v>611930.0345000003</v>
      </c>
      <c r="AA278" s="170">
        <v>2504807.1237900006</v>
      </c>
      <c r="AB278" s="1">
        <f>AB277-AB281</f>
        <v>267294.00533999997</v>
      </c>
      <c r="AC278" s="1">
        <f>AC277-AC281</f>
        <v>261981.44524000003</v>
      </c>
      <c r="AD278" s="1">
        <f>AD277-AD281</f>
        <v>202572.53092000005</v>
      </c>
      <c r="AE278" s="1">
        <f>AE277-AE281</f>
        <v>231887.51732000004</v>
      </c>
      <c r="AF278" s="170">
        <f t="shared" si="146"/>
        <v>963735.4988200001</v>
      </c>
      <c r="AG278" s="1">
        <v>262593</v>
      </c>
      <c r="AH278" s="1">
        <v>216564</v>
      </c>
      <c r="AI278" s="1">
        <v>508093</v>
      </c>
      <c r="AJ278" s="1">
        <v>58253</v>
      </c>
      <c r="AK278" s="170">
        <f t="shared" si="147"/>
        <v>1045503</v>
      </c>
      <c r="AL278" s="1">
        <v>245685</v>
      </c>
      <c r="AM278" s="1">
        <v>233532</v>
      </c>
      <c r="AN278" s="1">
        <v>299406</v>
      </c>
      <c r="AO278" s="1">
        <v>293870</v>
      </c>
      <c r="AP278" s="170">
        <f t="shared" si="149"/>
        <v>1072493</v>
      </c>
      <c r="AQ278" s="1">
        <v>245001</v>
      </c>
      <c r="AR278" s="1">
        <v>176776</v>
      </c>
      <c r="AS278" s="1">
        <v>253221</v>
      </c>
      <c r="AT278" s="1">
        <v>248947</v>
      </c>
      <c r="AU278" s="170">
        <f t="shared" si="150"/>
        <v>923945</v>
      </c>
      <c r="AV278" s="1">
        <f>AV277</f>
        <v>212351</v>
      </c>
      <c r="AW278" s="1">
        <f>AW277</f>
        <v>234699</v>
      </c>
      <c r="AX278" s="1">
        <f>AX277</f>
        <v>242428</v>
      </c>
      <c r="AY278" s="1">
        <f>AY277</f>
        <v>265517</v>
      </c>
      <c r="AZ278" s="170">
        <f t="shared" si="151"/>
        <v>954995</v>
      </c>
      <c r="BA278" s="162">
        <f>BA277</f>
        <v>242690</v>
      </c>
    </row>
    <row r="279" spans="1:53">
      <c r="A279" s="11"/>
      <c r="B279" s="11" t="s">
        <v>436</v>
      </c>
      <c r="C279" s="1"/>
      <c r="D279" s="1"/>
      <c r="E279" s="1"/>
      <c r="F279" s="1"/>
      <c r="G279" s="170">
        <v>0</v>
      </c>
      <c r="H279" s="1"/>
      <c r="I279" s="1"/>
      <c r="J279" s="1"/>
      <c r="K279" s="1"/>
      <c r="L279" s="170">
        <v>0</v>
      </c>
      <c r="M279" s="1"/>
      <c r="N279" s="1"/>
      <c r="O279" s="1"/>
      <c r="P279" s="1"/>
      <c r="Q279" s="170">
        <v>0</v>
      </c>
      <c r="R279" s="1"/>
      <c r="S279" s="1"/>
      <c r="T279" s="1"/>
      <c r="U279" s="1"/>
      <c r="V279" s="170">
        <v>0</v>
      </c>
      <c r="W279" s="1"/>
      <c r="X279" s="1"/>
      <c r="Y279" s="1"/>
      <c r="Z279" s="1"/>
      <c r="AA279" s="170">
        <v>0</v>
      </c>
      <c r="AB279" s="1">
        <v>0</v>
      </c>
      <c r="AC279" s="1">
        <v>0</v>
      </c>
      <c r="AD279" s="1">
        <v>0</v>
      </c>
      <c r="AE279" s="1">
        <v>0</v>
      </c>
      <c r="AF279" s="170">
        <f t="shared" si="146"/>
        <v>0</v>
      </c>
      <c r="AG279" s="1">
        <v>0</v>
      </c>
      <c r="AH279" s="1">
        <v>0</v>
      </c>
      <c r="AI279" s="1">
        <v>0</v>
      </c>
      <c r="AJ279" s="1">
        <v>0</v>
      </c>
      <c r="AK279" s="170">
        <f t="shared" si="147"/>
        <v>0</v>
      </c>
      <c r="AL279" s="1">
        <v>0</v>
      </c>
      <c r="AM279" s="1">
        <v>0</v>
      </c>
      <c r="AN279" s="1">
        <v>0</v>
      </c>
      <c r="AO279" s="1">
        <v>0</v>
      </c>
      <c r="AP279" s="170">
        <f t="shared" si="149"/>
        <v>0</v>
      </c>
      <c r="AQ279" s="1">
        <v>0</v>
      </c>
      <c r="AR279" s="1">
        <v>0</v>
      </c>
      <c r="AS279" s="1">
        <v>0</v>
      </c>
      <c r="AT279" s="1">
        <v>0</v>
      </c>
      <c r="AU279" s="170">
        <f t="shared" si="150"/>
        <v>0</v>
      </c>
      <c r="AV279" s="1">
        <v>0</v>
      </c>
      <c r="AW279" s="1">
        <v>0</v>
      </c>
      <c r="AX279" s="1">
        <v>0</v>
      </c>
      <c r="AY279" s="1">
        <v>0</v>
      </c>
      <c r="AZ279" s="170">
        <f t="shared" si="151"/>
        <v>0</v>
      </c>
      <c r="BA279" s="162">
        <v>0</v>
      </c>
    </row>
    <row r="280" spans="1:53">
      <c r="A280" s="11"/>
      <c r="B280" s="11" t="s">
        <v>470</v>
      </c>
      <c r="C280" s="1">
        <v>464874.27767000004</v>
      </c>
      <c r="D280" s="1">
        <v>443803.03320999997</v>
      </c>
      <c r="E280" s="1">
        <v>476161.57020999963</v>
      </c>
      <c r="F280" s="1">
        <v>519819.77351000026</v>
      </c>
      <c r="G280" s="170">
        <v>1904659.6545985814</v>
      </c>
      <c r="H280" s="1">
        <v>488739.92105999996</v>
      </c>
      <c r="I280" s="1">
        <v>538639.96649000002</v>
      </c>
      <c r="J280" s="1">
        <v>480027.54719999991</v>
      </c>
      <c r="K280" s="1">
        <v>534430.07588999998</v>
      </c>
      <c r="L280" s="170">
        <v>2041837.5106414142</v>
      </c>
      <c r="M280" s="1">
        <v>502015.02942999988</v>
      </c>
      <c r="N280" s="1">
        <v>467338.56521000032</v>
      </c>
      <c r="O280" s="1">
        <v>542900.61635999952</v>
      </c>
      <c r="P280" s="1">
        <v>633550.80815000017</v>
      </c>
      <c r="Q280" s="170">
        <v>2145805.0191467917</v>
      </c>
      <c r="R280" s="1">
        <v>581284.9763499999</v>
      </c>
      <c r="S280" s="1">
        <v>542885.72588000016</v>
      </c>
      <c r="T280" s="1">
        <v>641174.46262000012</v>
      </c>
      <c r="U280" s="1">
        <v>508696.43643999979</v>
      </c>
      <c r="V280" s="170">
        <v>2274041.3646633783</v>
      </c>
      <c r="W280" s="1">
        <v>639282.74925999995</v>
      </c>
      <c r="X280" s="1">
        <v>609140.3428900002</v>
      </c>
      <c r="Y280" s="1">
        <v>644453.99714000011</v>
      </c>
      <c r="Z280" s="1">
        <v>611930.0345000003</v>
      </c>
      <c r="AA280" s="170">
        <v>2504807.0200000005</v>
      </c>
      <c r="AB280" s="1">
        <f>SUM(AB278:AB279)</f>
        <v>267294.00533999997</v>
      </c>
      <c r="AC280" s="1">
        <f>SUM(AC278:AC279)</f>
        <v>261981.44524000003</v>
      </c>
      <c r="AD280" s="1">
        <f>SUM(AD278:AD279)</f>
        <v>202572.53092000005</v>
      </c>
      <c r="AE280" s="1">
        <f>SUM(AE278:AE279)</f>
        <v>231887.51732000004</v>
      </c>
      <c r="AF280" s="170">
        <f t="shared" si="146"/>
        <v>963735.4988200001</v>
      </c>
      <c r="AG280" s="1">
        <v>262593</v>
      </c>
      <c r="AH280" s="1">
        <v>216564</v>
      </c>
      <c r="AI280" s="1">
        <v>508093</v>
      </c>
      <c r="AJ280" s="1">
        <v>58253</v>
      </c>
      <c r="AK280" s="170">
        <f t="shared" si="147"/>
        <v>1045503</v>
      </c>
      <c r="AL280" s="1">
        <v>245685</v>
      </c>
      <c r="AM280" s="1">
        <v>233532</v>
      </c>
      <c r="AN280" s="1">
        <v>299406</v>
      </c>
      <c r="AO280" s="1">
        <v>293870</v>
      </c>
      <c r="AP280" s="170">
        <f t="shared" si="149"/>
        <v>1072493</v>
      </c>
      <c r="AQ280" s="1">
        <v>245001</v>
      </c>
      <c r="AR280" s="1">
        <v>176776</v>
      </c>
      <c r="AS280" s="1">
        <v>253221</v>
      </c>
      <c r="AT280" s="1">
        <v>248947</v>
      </c>
      <c r="AU280" s="170">
        <f t="shared" si="150"/>
        <v>923945</v>
      </c>
      <c r="AV280" s="1">
        <f>AV278+AV279</f>
        <v>212351</v>
      </c>
      <c r="AW280" s="1">
        <f>AW278+AW279</f>
        <v>234699</v>
      </c>
      <c r="AX280" s="1">
        <f>AX278+AX279</f>
        <v>242428</v>
      </c>
      <c r="AY280" s="1">
        <f>AY278+AY279</f>
        <v>265517</v>
      </c>
      <c r="AZ280" s="170">
        <f t="shared" si="151"/>
        <v>954995</v>
      </c>
      <c r="BA280" s="1">
        <f>BA278+BA279</f>
        <v>242690</v>
      </c>
    </row>
    <row r="281" spans="1:53">
      <c r="A281" s="11"/>
      <c r="B281" s="11" t="s">
        <v>471</v>
      </c>
      <c r="C281" s="1">
        <v>0</v>
      </c>
      <c r="D281" s="1">
        <v>0</v>
      </c>
      <c r="E281" s="1">
        <v>0</v>
      </c>
      <c r="F281" s="1">
        <v>0</v>
      </c>
      <c r="G281" s="170">
        <v>0</v>
      </c>
      <c r="H281" s="1">
        <v>0</v>
      </c>
      <c r="I281" s="1">
        <v>0</v>
      </c>
      <c r="J281" s="1">
        <v>0</v>
      </c>
      <c r="K281" s="1">
        <v>0</v>
      </c>
      <c r="L281" s="170">
        <v>0</v>
      </c>
      <c r="M281" s="1">
        <v>0</v>
      </c>
      <c r="N281" s="1">
        <v>0</v>
      </c>
      <c r="O281" s="1">
        <v>0</v>
      </c>
      <c r="P281" s="1">
        <v>0</v>
      </c>
      <c r="Q281" s="170">
        <v>0</v>
      </c>
      <c r="R281" s="1">
        <v>0</v>
      </c>
      <c r="S281" s="1">
        <v>0</v>
      </c>
      <c r="T281" s="1">
        <v>0</v>
      </c>
      <c r="U281" s="1">
        <v>0</v>
      </c>
      <c r="V281" s="170">
        <v>0</v>
      </c>
      <c r="W281" s="1">
        <v>0</v>
      </c>
      <c r="X281" s="1">
        <v>0</v>
      </c>
      <c r="Y281" s="1">
        <v>0</v>
      </c>
      <c r="Z281" s="1">
        <v>0</v>
      </c>
      <c r="AA281" s="170">
        <v>0</v>
      </c>
      <c r="AB281" s="1">
        <v>0</v>
      </c>
      <c r="AC281" s="1">
        <v>0</v>
      </c>
      <c r="AD281" s="1">
        <v>0</v>
      </c>
      <c r="AE281" s="1">
        <v>0</v>
      </c>
      <c r="AF281" s="170">
        <f>SUM(AB281:AE281)</f>
        <v>0</v>
      </c>
      <c r="AG281" s="1">
        <v>0</v>
      </c>
      <c r="AH281" s="1">
        <v>0</v>
      </c>
      <c r="AI281" s="1">
        <v>0</v>
      </c>
      <c r="AJ281" s="1">
        <v>0</v>
      </c>
      <c r="AK281" s="170">
        <f>SUM(AG281:AJ281)</f>
        <v>0</v>
      </c>
      <c r="AL281" s="1">
        <v>0</v>
      </c>
      <c r="AM281" s="1">
        <v>0</v>
      </c>
      <c r="AN281" s="1">
        <v>0</v>
      </c>
      <c r="AO281" s="1">
        <v>0</v>
      </c>
      <c r="AP281" s="170">
        <f t="shared" si="149"/>
        <v>0</v>
      </c>
      <c r="AQ281" s="1">
        <v>0</v>
      </c>
      <c r="AR281" s="1">
        <v>0</v>
      </c>
      <c r="AS281" s="1">
        <v>0</v>
      </c>
      <c r="AT281" s="1">
        <v>0</v>
      </c>
      <c r="AU281" s="170">
        <f t="shared" si="150"/>
        <v>0</v>
      </c>
      <c r="AV281" s="1">
        <v>0</v>
      </c>
      <c r="AW281" s="1">
        <v>0</v>
      </c>
      <c r="AX281" s="1">
        <v>0</v>
      </c>
      <c r="AY281" s="1">
        <v>0</v>
      </c>
      <c r="AZ281" s="170">
        <f t="shared" si="151"/>
        <v>0</v>
      </c>
      <c r="BA281" s="162">
        <v>0</v>
      </c>
    </row>
    <row r="282" spans="1:53" ht="15.75" thickBot="1">
      <c r="A282" s="17"/>
      <c r="B282" s="17" t="s">
        <v>451</v>
      </c>
      <c r="C282" s="169">
        <v>0.48209999999999997</v>
      </c>
      <c r="D282" s="169">
        <v>0.48209999999999997</v>
      </c>
      <c r="E282" s="169">
        <v>0.48209999999999997</v>
      </c>
      <c r="F282" s="169">
        <v>0.48209999999999997</v>
      </c>
      <c r="G282" s="48">
        <v>0.48209999999999997</v>
      </c>
      <c r="H282" s="169">
        <v>0.48209999999999997</v>
      </c>
      <c r="I282" s="169">
        <v>0.48209999999999997</v>
      </c>
      <c r="J282" s="169">
        <v>0.48209999999999997</v>
      </c>
      <c r="K282" s="169">
        <v>0.48209999999999997</v>
      </c>
      <c r="L282" s="48">
        <v>0.48209999999999997</v>
      </c>
      <c r="M282" s="169">
        <v>0.48209999999999997</v>
      </c>
      <c r="N282" s="169">
        <v>0.48209999999999997</v>
      </c>
      <c r="O282" s="169">
        <v>0.48209999999999997</v>
      </c>
      <c r="P282" s="169">
        <v>0.48209999999999997</v>
      </c>
      <c r="Q282" s="48">
        <v>0.48209999999999997</v>
      </c>
      <c r="R282" s="169">
        <v>0.48209999999999997</v>
      </c>
      <c r="S282" s="169">
        <v>0.48209999999999997</v>
      </c>
      <c r="T282" s="169">
        <v>0.48209999999999997</v>
      </c>
      <c r="U282" s="169">
        <v>0.48209999999999997</v>
      </c>
      <c r="V282" s="48">
        <v>0.48209999999999997</v>
      </c>
      <c r="W282" s="169">
        <v>0.48209999999999997</v>
      </c>
      <c r="X282" s="169">
        <v>0.48209999999999997</v>
      </c>
      <c r="Y282" s="169">
        <v>0.48209999999999997</v>
      </c>
      <c r="Z282" s="169">
        <v>0.48209999999999997</v>
      </c>
      <c r="AA282" s="48">
        <v>0.48209999999999997</v>
      </c>
      <c r="AB282" s="169">
        <v>0.48249999999999998</v>
      </c>
      <c r="AC282" s="169">
        <v>0.48249999999999998</v>
      </c>
      <c r="AD282" s="169">
        <v>0.48249999999999998</v>
      </c>
      <c r="AE282" s="169">
        <v>0.48249999999999998</v>
      </c>
      <c r="AF282" s="48">
        <v>0.48249999999999998</v>
      </c>
      <c r="AG282" s="169">
        <v>0.48249999999999998</v>
      </c>
      <c r="AH282" s="169">
        <v>0.48249999999999998</v>
      </c>
      <c r="AI282" s="169">
        <v>0.48249999999999998</v>
      </c>
      <c r="AJ282" s="169">
        <v>0.48249999999999998</v>
      </c>
      <c r="AK282" s="48">
        <v>0.48249999999999998</v>
      </c>
      <c r="AL282" s="169">
        <v>0.48249999999999998</v>
      </c>
      <c r="AM282" s="169">
        <v>0.48249999999999998</v>
      </c>
      <c r="AN282" s="169">
        <v>0.48249999999999998</v>
      </c>
      <c r="AO282" s="169">
        <v>0.48249999999999998</v>
      </c>
      <c r="AP282" s="48">
        <v>0.48249999999999998</v>
      </c>
      <c r="AQ282" s="169">
        <v>0.48249999999999998</v>
      </c>
      <c r="AR282" s="169">
        <f>AQ282</f>
        <v>0.48249999999999998</v>
      </c>
      <c r="AS282" s="169">
        <v>0.48249999999999998</v>
      </c>
      <c r="AT282" s="169">
        <v>0.48249999999999998</v>
      </c>
      <c r="AU282" s="48">
        <f>AT282</f>
        <v>0.48249999999999998</v>
      </c>
      <c r="AV282" s="169">
        <v>0.48249999999999998</v>
      </c>
      <c r="AW282" s="169">
        <v>0.48249999999999998</v>
      </c>
      <c r="AX282" s="169">
        <v>0.48249999999999998</v>
      </c>
      <c r="AY282" s="169">
        <f>AX282</f>
        <v>0.48249999999999998</v>
      </c>
      <c r="AZ282" s="48">
        <v>0.48249999999999998</v>
      </c>
      <c r="BA282" s="18">
        <v>0.48249999999999998</v>
      </c>
    </row>
    <row r="283" spans="1:53" ht="15.75" thickBot="1"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G283" s="8"/>
      <c r="AK283" s="262"/>
      <c r="AL283" s="262"/>
      <c r="AM283" s="262"/>
      <c r="AN283" s="262"/>
      <c r="AO283" s="262"/>
      <c r="AP283" s="488"/>
      <c r="AQ283" s="262"/>
      <c r="AR283" s="262"/>
      <c r="AS283" s="262"/>
      <c r="AT283" s="262"/>
      <c r="AU283" s="488"/>
      <c r="AV283" s="262"/>
      <c r="AW283" s="262"/>
      <c r="AX283" s="262"/>
      <c r="AY283" s="262"/>
      <c r="AZ283" s="488"/>
      <c r="BA283" s="488"/>
    </row>
    <row r="284" spans="1:53" s="2" customFormat="1">
      <c r="A284" s="625"/>
      <c r="B284" s="625" t="s">
        <v>518</v>
      </c>
      <c r="C284" s="626" t="s">
        <v>224</v>
      </c>
      <c r="D284" s="626" t="s">
        <v>225</v>
      </c>
      <c r="E284" s="626" t="s">
        <v>226</v>
      </c>
      <c r="F284" s="626" t="s">
        <v>227</v>
      </c>
      <c r="G284" s="652">
        <v>2016</v>
      </c>
      <c r="H284" s="626" t="s">
        <v>228</v>
      </c>
      <c r="I284" s="626" t="s">
        <v>229</v>
      </c>
      <c r="J284" s="626" t="s">
        <v>230</v>
      </c>
      <c r="K284" s="626" t="s">
        <v>231</v>
      </c>
      <c r="L284" s="652">
        <v>2017</v>
      </c>
      <c r="M284" s="626" t="s">
        <v>232</v>
      </c>
      <c r="N284" s="626" t="s">
        <v>233</v>
      </c>
      <c r="O284" s="626" t="s">
        <v>234</v>
      </c>
      <c r="P284" s="626" t="s">
        <v>235</v>
      </c>
      <c r="Q284" s="652">
        <v>2018</v>
      </c>
      <c r="R284" s="626" t="s">
        <v>236</v>
      </c>
      <c r="S284" s="626" t="s">
        <v>237</v>
      </c>
      <c r="T284" s="626" t="s">
        <v>238</v>
      </c>
      <c r="U284" s="626" t="s">
        <v>239</v>
      </c>
      <c r="V284" s="652">
        <v>2019</v>
      </c>
      <c r="W284" s="626" t="s">
        <v>240</v>
      </c>
      <c r="X284" s="626" t="s">
        <v>241</v>
      </c>
      <c r="Y284" s="626" t="s">
        <v>242</v>
      </c>
      <c r="Z284" s="626" t="s">
        <v>243</v>
      </c>
      <c r="AA284" s="652">
        <v>2020</v>
      </c>
      <c r="AB284" s="626" t="s">
        <v>244</v>
      </c>
      <c r="AC284" s="626" t="s">
        <v>245</v>
      </c>
      <c r="AD284" s="626" t="s">
        <v>246</v>
      </c>
      <c r="AE284" s="626" t="s">
        <v>247</v>
      </c>
      <c r="AF284" s="652">
        <v>2021</v>
      </c>
      <c r="AG284" s="626" t="s">
        <v>248</v>
      </c>
      <c r="AH284" s="626" t="s">
        <v>249</v>
      </c>
      <c r="AI284" s="626" t="s">
        <v>250</v>
      </c>
      <c r="AJ284" s="626" t="s">
        <v>215</v>
      </c>
      <c r="AK284" s="652">
        <v>2022</v>
      </c>
      <c r="AL284" s="626" t="s">
        <v>252</v>
      </c>
      <c r="AM284" s="626" t="s">
        <v>253</v>
      </c>
      <c r="AN284" s="626" t="s">
        <v>254</v>
      </c>
      <c r="AO284" s="626" t="s">
        <v>219</v>
      </c>
      <c r="AP284" s="652">
        <v>2023</v>
      </c>
      <c r="AQ284" s="626" t="s">
        <v>223</v>
      </c>
      <c r="AR284" s="626" t="s">
        <v>256</v>
      </c>
      <c r="AS284" s="626" t="s">
        <v>357</v>
      </c>
      <c r="AT284" s="626" t="s">
        <v>358</v>
      </c>
      <c r="AU284" s="652">
        <v>2024</v>
      </c>
      <c r="AV284" s="626" t="s">
        <v>359</v>
      </c>
      <c r="AW284" s="626" t="s">
        <v>1115</v>
      </c>
      <c r="AX284" s="626" t="s">
        <v>1116</v>
      </c>
      <c r="AY284" s="626" t="s">
        <v>1117</v>
      </c>
      <c r="AZ284" s="653" t="s">
        <v>1118</v>
      </c>
      <c r="BA284" s="645" t="s">
        <v>1124</v>
      </c>
    </row>
    <row r="285" spans="1:53" s="2" customFormat="1">
      <c r="A285" s="9"/>
      <c r="B285" s="9" t="s">
        <v>456</v>
      </c>
      <c r="C285" s="117">
        <v>-19314.527090002564</v>
      </c>
      <c r="D285" s="117">
        <v>-40706.24316000066</v>
      </c>
      <c r="E285" s="117">
        <v>-95563.409939992722</v>
      </c>
      <c r="F285" s="117">
        <v>-93428.757870014422</v>
      </c>
      <c r="G285" s="118">
        <v>-249012.93806001038</v>
      </c>
      <c r="H285" s="117">
        <v>-111840.23855999266</v>
      </c>
      <c r="I285" s="117">
        <v>-91546.885110002884</v>
      </c>
      <c r="J285" s="117">
        <v>-106197.94035001537</v>
      </c>
      <c r="K285" s="117">
        <v>-72413.652189979126</v>
      </c>
      <c r="L285" s="160">
        <v>-378904.68213999004</v>
      </c>
      <c r="M285" s="117">
        <v>-170254.20342999429</v>
      </c>
      <c r="N285" s="117">
        <v>-167304.1354400008</v>
      </c>
      <c r="O285" s="117">
        <v>-67232.606990016415</v>
      </c>
      <c r="P285" s="117">
        <v>-325029.33215000783</v>
      </c>
      <c r="Q285" s="118">
        <v>-729820.27801001933</v>
      </c>
      <c r="R285" s="117">
        <v>-154351.57069000701</v>
      </c>
      <c r="S285" s="117">
        <v>-166396.68758000142</v>
      </c>
      <c r="T285" s="117">
        <v>-201310.23392998028</v>
      </c>
      <c r="U285" s="117">
        <v>-248231.82348005462</v>
      </c>
      <c r="V285" s="118">
        <v>-770290.31568004331</v>
      </c>
      <c r="W285" s="117">
        <v>-274397.07909000234</v>
      </c>
      <c r="X285" s="117">
        <v>-218159.20869998849</v>
      </c>
      <c r="Y285" s="117">
        <v>-250079.81389002223</v>
      </c>
      <c r="Z285" s="117">
        <v>-232190.41133004922</v>
      </c>
      <c r="AA285" s="118">
        <v>-974826.51301006228</v>
      </c>
      <c r="AB285" s="117">
        <f>AB8-(AB30+AB33+AB37)-(AB58+AB61+AB67+AB68)-(AB96)-(AB124)-(AB146)-(AB172)-(AB197)-(AB219)-(AB263)-(AB241)</f>
        <v>-271903.66218462138</v>
      </c>
      <c r="AC285" s="117">
        <f>AC8-(AC30+AC33+AC37)-(AC58+AC61+AC67+AC68)-(AC96)-(AC124)-(AC146)-(AC172)-(AC197)-(AC219)-(AC263)-(AC241)</f>
        <v>-234228.22466999962</v>
      </c>
      <c r="AD285" s="117">
        <f>AD8-(AD30+AD33+AD37)-(AD58+AD61+AD67+AD68)-(AD96)-(AD124)-(AD146)-(AD172)-(AD197)-(AD219)-(AD263)-(AD241)</f>
        <v>-280624.06696000008</v>
      </c>
      <c r="AE285" s="117">
        <f>AE8-(AE30+AE33+AE37)-(AE58+AE61+AE67+AE68)-(AE96)-(AE124)-(AE146)-(AE172)-(AE197)-(AE219)-(AE263)-(AE241)</f>
        <v>-196657.52420000004</v>
      </c>
      <c r="AF285" s="118">
        <f>SUM(AB285:AE285)</f>
        <v>-983413.47801462119</v>
      </c>
      <c r="AG285" s="160">
        <f>AG8-AG30-AG58-AG96-AG124-AG146-AG170-AG197-AG219-AG241-AG263</f>
        <v>-238776</v>
      </c>
      <c r="AH285" s="160">
        <f>AH8-AH30-AH58-AH96-AH124-AH146-AH170-AH197-AH219-AH241-AH263</f>
        <v>-161029.03365000011</v>
      </c>
      <c r="AI285" s="160">
        <f>AI8-AI30-AI58-AI96-AI124-AI146-AI170-AI197-AI219-AI241-AI263</f>
        <v>-166099</v>
      </c>
      <c r="AJ285" s="160">
        <f>AJ8-AJ30-AJ58-AJ96-AJ124-AJ146-AJ170-AJ197-AJ219-AJ241-AJ263</f>
        <v>-151938.90330999979</v>
      </c>
      <c r="AK285" s="118">
        <f>SUM(AG285:AJ285)</f>
        <v>-717842.93695999985</v>
      </c>
      <c r="AL285" s="160">
        <f>AL8-AL30-AL58-AL96-AL124-AL146-AL170-AL197-AL219-AL241-AL263</f>
        <v>14164</v>
      </c>
      <c r="AM285" s="160">
        <f>AM8-AM30-AM58-AM96-AM124-AM146-AM170-AM197-AM219-AM241-AM263</f>
        <v>-14163</v>
      </c>
      <c r="AN285" s="160">
        <f>AN8-AN30-AN58-AN96-AN124-AN146-AN170-AN197-AN219-AN241-AN263</f>
        <v>-1</v>
      </c>
      <c r="AO285" s="160">
        <f>AO8-AO30-AO58-AO96-AO124-AO146-AO170-AO197-AO219-AO241-AO263</f>
        <v>0</v>
      </c>
      <c r="AP285" s="118">
        <f t="shared" ref="AP285:AP303" si="157">SUM(AL285:AO285)</f>
        <v>0</v>
      </c>
      <c r="AQ285" s="160">
        <f>AQ8-AQ30-AQ58-AQ96-AQ124-AQ146-AQ170-AQ197-AQ219-AQ241-AQ263</f>
        <v>0</v>
      </c>
      <c r="AR285" s="160">
        <f>AR8-AR30-AR58-AR96-AR124-AR146-AR170-AR197-AR219-AR241-AR263</f>
        <v>0</v>
      </c>
      <c r="AS285" s="160">
        <f>AS8-AS30-AS58-AS96-AS124-AS146-AS170-AS197-AS219-AS241-AS263</f>
        <v>1</v>
      </c>
      <c r="AT285" s="160">
        <f>AT8-AT30-AT58-AT96-AT124-AT146-AT170-AT197-AT219-AT241-AT263</f>
        <v>1</v>
      </c>
      <c r="AU285" s="118">
        <f>SUM(AQ285:AT285)</f>
        <v>2</v>
      </c>
      <c r="AV285" s="160">
        <f>AV8-AV30-AV58-AV96-AV124-AV146-AV170-AV197-AV219-AV241-AV263</f>
        <v>-1</v>
      </c>
      <c r="AW285" s="160">
        <f>AW8-AW30-AW58-AW96-AW124-AW146-AW170-AW197-AW219-AW241-AW263</f>
        <v>0</v>
      </c>
      <c r="AX285" s="160">
        <f>AX8-AX30-AX58-AX96-AX124-AX146-AX170-AX197-AX219-AX241-AX263</f>
        <v>1</v>
      </c>
      <c r="AY285" s="160">
        <f>AY8-AY30-AY58-AY96-AY124-AY146-AY170-AY197-AY219-AY241-AY263</f>
        <v>-1</v>
      </c>
      <c r="AZ285" s="118">
        <f>SUM(AV285:AY285)</f>
        <v>-1</v>
      </c>
      <c r="BA285" s="160">
        <f>BA8-BA30-BA58-BA96-BA124-BA146-BA170-BA197-BA219-BA241-BA263</f>
        <v>0</v>
      </c>
    </row>
    <row r="286" spans="1:53">
      <c r="A286" s="11"/>
      <c r="B286" s="11" t="s">
        <v>457</v>
      </c>
      <c r="C286" s="153">
        <v>-80570.47967000099</v>
      </c>
      <c r="D286" s="153">
        <v>-62940.234980006455</v>
      </c>
      <c r="E286" s="153">
        <v>-16908.922559978033</v>
      </c>
      <c r="F286" s="153">
        <v>-9003.1303800220703</v>
      </c>
      <c r="G286" s="144">
        <v>-169422.76759000754</v>
      </c>
      <c r="H286" s="153">
        <v>922.37432000335139</v>
      </c>
      <c r="I286" s="153">
        <v>-36199.548940037937</v>
      </c>
      <c r="J286" s="153">
        <v>-24877.698329972169</v>
      </c>
      <c r="K286" s="153">
        <v>26925.709150011353</v>
      </c>
      <c r="L286" s="121">
        <v>-33229.163799994909</v>
      </c>
      <c r="M286" s="153">
        <v>-38816.255930000996</v>
      </c>
      <c r="N286" s="153">
        <v>-45849.497920010908</v>
      </c>
      <c r="O286" s="153">
        <v>-30409.044259994738</v>
      </c>
      <c r="P286" s="153">
        <v>-15842.576099988935</v>
      </c>
      <c r="Q286" s="144">
        <v>-130917.37420999559</v>
      </c>
      <c r="R286" s="153">
        <v>-76772.338470015195</v>
      </c>
      <c r="S286" s="153">
        <v>-58743.421929966171</v>
      </c>
      <c r="T286" s="153">
        <v>-33143.291089965162</v>
      </c>
      <c r="U286" s="153">
        <v>2303.9560699690892</v>
      </c>
      <c r="V286" s="144">
        <v>-166355.09541997747</v>
      </c>
      <c r="W286" s="153">
        <v>8543.7145200095147</v>
      </c>
      <c r="X286" s="153">
        <v>-35427.642259994114</v>
      </c>
      <c r="Y286" s="153">
        <v>-25535.539039917927</v>
      </c>
      <c r="Z286" s="153">
        <v>-22192.722710073242</v>
      </c>
      <c r="AA286" s="144">
        <v>-74612.189489975775</v>
      </c>
      <c r="AB286" s="153">
        <f>AB9-(AB31+AB34+AB35+AB36)-(AB59+AB62+AB63+AB64+AB65+AB66+AB69+AB71+AB72+AB73+AB74+AB75)-(AB99+AB100+AB101+AB102+AB103)-(AB125)-(AB147)-(AB175)-(AB198)-(AB220)-(AB264)-(AB242)</f>
        <v>116263.78984999972</v>
      </c>
      <c r="AC286" s="153">
        <f>AC9-(AC31+AC34+AC35+AC36)-(AC59+AC62+AC63+AC64+AC65+AC66+AC69+AC71+AC72+AC73+AC74+AC75)-(AC99+AC100+AC101+AC102+AC103)-(AC125)-(AC147)-(AC175)-(AC198)-(AC220)-(AC264)-(AC242)</f>
        <v>95860.665959999853</v>
      </c>
      <c r="AD286" s="153">
        <f>AD9-(AD31+AD34+AD35+AD36)-(AD59+AD62+AD63+AD64+AD65+AD66+AD69+AD71+AD72+AD73+AD74+AD75)-(AD99+AD100+AD101+AD102+AD103)-(AD125)-(AD147)-(AD175)-(AD198)-(AD220)-(AD264)-(AD242)</f>
        <v>130122.88187000016</v>
      </c>
      <c r="AE286" s="153">
        <f>AE9-(AE31+AE34+AE35+AE36)-(AE59+AE62+AE63+AE64+AE65+AE66+AE69+AE71+AE72+AE73+AE74+AE75)-(AE99+AE100+AE101+AE102+AE103)-(AE125)-(AE147)-(AE175)-(AE198)-(AE220)-(AE264)-(AE242)</f>
        <v>73651.09909000012</v>
      </c>
      <c r="AF286" s="144">
        <f>SUM(AB286:AE286)</f>
        <v>415898.43676999991</v>
      </c>
      <c r="AG286" s="153">
        <f>AG287-AG285</f>
        <v>133125.73046999986</v>
      </c>
      <c r="AH286" s="153">
        <f>AH287-AH285</f>
        <v>97099.348250000214</v>
      </c>
      <c r="AI286" s="121">
        <f>AI287-AI285</f>
        <v>85313</v>
      </c>
      <c r="AJ286" s="121">
        <f>AJ287-AJ285</f>
        <v>149366.86294999984</v>
      </c>
      <c r="AK286" s="144">
        <f>SUM(AG286:AJ286)</f>
        <v>464904.94166999997</v>
      </c>
      <c r="AL286" s="121">
        <f>AL287-AL285</f>
        <v>2540</v>
      </c>
      <c r="AM286" s="121">
        <f>AM287-AM285</f>
        <v>-2539</v>
      </c>
      <c r="AN286" s="121">
        <f t="shared" ref="AN286:AO286" si="158">AN287-AN285</f>
        <v>-2</v>
      </c>
      <c r="AO286" s="121">
        <f t="shared" si="158"/>
        <v>1</v>
      </c>
      <c r="AP286" s="144">
        <f t="shared" si="157"/>
        <v>0</v>
      </c>
      <c r="AQ286" s="121">
        <f t="shared" ref="AQ286" si="159">AQ287-AQ285</f>
        <v>-0.5059999999939464</v>
      </c>
      <c r="AR286" s="121">
        <f>AR287-AR285</f>
        <v>0</v>
      </c>
      <c r="AS286" s="121">
        <f t="shared" ref="AS286:AT286" si="160">AS287-AS285</f>
        <v>160</v>
      </c>
      <c r="AT286" s="121">
        <f t="shared" si="160"/>
        <v>1</v>
      </c>
      <c r="AU286" s="144">
        <f t="shared" ref="AU286:AU303" si="161">SUM(AQ286:AT286)</f>
        <v>160.49400000000605</v>
      </c>
      <c r="AV286" s="121">
        <f t="shared" ref="AV286:AW286" si="162">AV287-AV285</f>
        <v>-1.643999999971129</v>
      </c>
      <c r="AW286" s="121">
        <f t="shared" si="162"/>
        <v>1.4110000000218861</v>
      </c>
      <c r="AX286" s="121">
        <f t="shared" ref="AX286:AY286" si="163">AX287-AX285</f>
        <v>1</v>
      </c>
      <c r="AY286" s="121">
        <f t="shared" si="163"/>
        <v>-1</v>
      </c>
      <c r="AZ286" s="144">
        <f t="shared" ref="AZ286:AZ303" si="164">SUM(AV286:AY286)</f>
        <v>-0.23299999994924292</v>
      </c>
      <c r="BA286" s="121">
        <f t="shared" ref="BA286" si="165">BA287-BA285</f>
        <v>1</v>
      </c>
    </row>
    <row r="287" spans="1:53" s="2" customFormat="1">
      <c r="A287" s="9"/>
      <c r="B287" s="9" t="s">
        <v>412</v>
      </c>
      <c r="C287" s="117">
        <v>-99885.009180000488</v>
      </c>
      <c r="D287" s="117">
        <v>-103646.47554999923</v>
      </c>
      <c r="E287" s="117">
        <v>-112472.3308300012</v>
      </c>
      <c r="F287" s="117">
        <v>-102431.89049000094</v>
      </c>
      <c r="G287" s="118">
        <v>-418435.7060500019</v>
      </c>
      <c r="H287" s="117">
        <v>-110917.86424000171</v>
      </c>
      <c r="I287" s="117">
        <v>-127746.43404999803</v>
      </c>
      <c r="J287" s="117">
        <v>-131075.63868000155</v>
      </c>
      <c r="K287" s="117">
        <v>-45487.943039999038</v>
      </c>
      <c r="L287" s="160">
        <v>-412133.84594000038</v>
      </c>
      <c r="M287" s="117">
        <v>-154551.1844700012</v>
      </c>
      <c r="N287" s="117">
        <v>-165305.92829999758</v>
      </c>
      <c r="O287" s="117">
        <v>-43347.69524999585</v>
      </c>
      <c r="P287" s="117">
        <v>-291334.71006001317</v>
      </c>
      <c r="Q287" s="118">
        <v>-654539.51808000775</v>
      </c>
      <c r="R287" s="117">
        <v>-188850.68540999707</v>
      </c>
      <c r="S287" s="117">
        <v>-179303.83628999937</v>
      </c>
      <c r="T287" s="117">
        <v>-194181.79433999013</v>
      </c>
      <c r="U287" s="117">
        <v>-194294.71412001195</v>
      </c>
      <c r="V287" s="118">
        <v>-756631.03015999845</v>
      </c>
      <c r="W287" s="117">
        <v>-230953.85679000133</v>
      </c>
      <c r="X287" s="117">
        <v>-219328.25321999888</v>
      </c>
      <c r="Y287" s="117">
        <v>-237336.99412000144</v>
      </c>
      <c r="Z287" s="117">
        <v>-226031.81469000719</v>
      </c>
      <c r="AA287" s="118">
        <v>-913650.91882000887</v>
      </c>
      <c r="AB287" s="117">
        <f t="shared" ref="AB287:AE291" si="166">AB10-AB38-AB76-AB104-AB126-AB148-AB178-AB199-AB221-AB265-AB243</f>
        <v>-112670.7469500015</v>
      </c>
      <c r="AC287" s="117">
        <f t="shared" si="166"/>
        <v>-103413.57413999691</v>
      </c>
      <c r="AD287" s="117">
        <f t="shared" si="166"/>
        <v>-106447.5779300016</v>
      </c>
      <c r="AE287" s="117">
        <f t="shared" si="166"/>
        <v>-76460.162609999985</v>
      </c>
      <c r="AF287" s="118">
        <f>SUM(AB287:AE287)</f>
        <v>-398992.06163000001</v>
      </c>
      <c r="AG287" s="117">
        <f t="shared" ref="AG287:AJ297" si="167">AG10-AG38-AG104-AG126-AG148-AG178-AG199-AG221-AG243-AG265-AG76</f>
        <v>-105650.26953000014</v>
      </c>
      <c r="AH287" s="117">
        <f t="shared" si="167"/>
        <v>-63929.6853999999</v>
      </c>
      <c r="AI287" s="160">
        <f t="shared" si="167"/>
        <v>-80786</v>
      </c>
      <c r="AJ287" s="160">
        <f t="shared" si="167"/>
        <v>-2572.0403599999554</v>
      </c>
      <c r="AK287" s="118">
        <f>SUM(AG287:AJ287)</f>
        <v>-252937.99528999999</v>
      </c>
      <c r="AL287" s="160">
        <f t="shared" ref="AL287:AO297" si="168">AL10-AL38-AL104-AL126-AL148-AL178-AL199-AL221-AL243-AL265-AL76</f>
        <v>16704</v>
      </c>
      <c r="AM287" s="160">
        <f t="shared" si="168"/>
        <v>-16702</v>
      </c>
      <c r="AN287" s="160">
        <f t="shared" si="168"/>
        <v>-3</v>
      </c>
      <c r="AO287" s="160">
        <f t="shared" si="168"/>
        <v>1</v>
      </c>
      <c r="AP287" s="118">
        <f t="shared" si="157"/>
        <v>0</v>
      </c>
      <c r="AQ287" s="160">
        <f t="shared" ref="AQ287:AT297" si="169">AQ10-AQ38-AQ104-AQ126-AQ148-AQ178-AQ199-AQ221-AQ243-AQ265-AQ76</f>
        <v>-0.5059999999939464</v>
      </c>
      <c r="AR287" s="160">
        <f t="shared" si="169"/>
        <v>0</v>
      </c>
      <c r="AS287" s="160">
        <f t="shared" si="169"/>
        <v>161</v>
      </c>
      <c r="AT287" s="160">
        <f t="shared" si="169"/>
        <v>2</v>
      </c>
      <c r="AU287" s="118">
        <f t="shared" si="161"/>
        <v>162.49400000000605</v>
      </c>
      <c r="AV287" s="160">
        <f t="shared" ref="AV287:AY296" si="170">AV10-AV38-AV104-AV126-AV148-AV178-AV199-AV221-AV243-AV265-AV76</f>
        <v>-2.643999999971129</v>
      </c>
      <c r="AW287" s="160">
        <f t="shared" si="170"/>
        <v>1.4110000000218861</v>
      </c>
      <c r="AX287" s="160">
        <f t="shared" si="170"/>
        <v>2</v>
      </c>
      <c r="AY287" s="160">
        <f t="shared" si="170"/>
        <v>-2</v>
      </c>
      <c r="AZ287" s="118">
        <f t="shared" si="164"/>
        <v>-1.2329999999492429</v>
      </c>
      <c r="BA287" s="160">
        <f t="shared" ref="BA287:BA296" si="171">BA10-BA38-BA104-BA126-BA148-BA178-BA199-BA221-BA243-BA265-BA76</f>
        <v>1</v>
      </c>
    </row>
    <row r="288" spans="1:53">
      <c r="A288" s="11"/>
      <c r="B288" s="11" t="s">
        <v>413</v>
      </c>
      <c r="C288" s="123">
        <v>-2965.9418100000003</v>
      </c>
      <c r="D288" s="123">
        <v>-5560.1202800000383</v>
      </c>
      <c r="E288" s="123">
        <v>-6934.5780199999044</v>
      </c>
      <c r="F288" s="123">
        <v>41.954680000111125</v>
      </c>
      <c r="G288" s="144">
        <v>-15418.685429999832</v>
      </c>
      <c r="H288" s="123">
        <v>-5644.8342399999801</v>
      </c>
      <c r="I288" s="123">
        <v>-3621.3358600000074</v>
      </c>
      <c r="J288" s="123">
        <v>-4941.2414699999108</v>
      </c>
      <c r="K288" s="123">
        <v>-9560.9279500003886</v>
      </c>
      <c r="L288" s="123">
        <v>-24553.692480000267</v>
      </c>
      <c r="M288" s="123">
        <v>3328.6407000000672</v>
      </c>
      <c r="N288" s="123">
        <v>5878.8681200000137</v>
      </c>
      <c r="O288" s="123">
        <v>6833.5529999998462</v>
      </c>
      <c r="P288" s="123">
        <v>6821.0854200000413</v>
      </c>
      <c r="Q288" s="144">
        <v>22862.147239999969</v>
      </c>
      <c r="R288" s="123">
        <v>4441.5193299999455</v>
      </c>
      <c r="S288" s="123">
        <v>7542.3976599999032</v>
      </c>
      <c r="T288" s="123">
        <v>8672.1253100000504</v>
      </c>
      <c r="U288" s="123">
        <v>7321.0447652160938</v>
      </c>
      <c r="V288" s="144">
        <v>27977.087065215994</v>
      </c>
      <c r="W288" s="123">
        <v>13736.349605215973</v>
      </c>
      <c r="X288" s="123">
        <v>9609.338379999921</v>
      </c>
      <c r="Y288" s="123">
        <v>7050.4088400000937</v>
      </c>
      <c r="Z288" s="123">
        <v>-41127.921205215862</v>
      </c>
      <c r="AA288" s="144">
        <v>-10731.824379999871</v>
      </c>
      <c r="AB288" s="123">
        <f t="shared" si="166"/>
        <v>43365.421679999999</v>
      </c>
      <c r="AC288" s="123">
        <f t="shared" si="166"/>
        <v>36385.753380000111</v>
      </c>
      <c r="AD288" s="123">
        <f t="shared" si="166"/>
        <v>34138.227159999893</v>
      </c>
      <c r="AE288" s="123">
        <f t="shared" si="166"/>
        <v>32202.249459999981</v>
      </c>
      <c r="AF288" s="144">
        <f t="shared" ref="AF288:AF303" si="172">SUM(AB288:AE288)</f>
        <v>146091.65167999998</v>
      </c>
      <c r="AG288" s="123">
        <f t="shared" si="167"/>
        <v>30196.031099999997</v>
      </c>
      <c r="AH288" s="123">
        <f t="shared" si="167"/>
        <v>38941.697919999999</v>
      </c>
      <c r="AI288" s="123">
        <f t="shared" si="167"/>
        <v>48107</v>
      </c>
      <c r="AJ288" s="123">
        <f t="shared" si="167"/>
        <v>25705.983709999986</v>
      </c>
      <c r="AK288" s="144">
        <f t="shared" ref="AK288:AK303" si="173">SUM(AG288:AJ288)</f>
        <v>142950.71272999997</v>
      </c>
      <c r="AL288" s="123">
        <f t="shared" si="168"/>
        <v>-7375</v>
      </c>
      <c r="AM288" s="123">
        <f t="shared" si="168"/>
        <v>6346</v>
      </c>
      <c r="AN288" s="123">
        <f t="shared" si="168"/>
        <v>2589</v>
      </c>
      <c r="AO288" s="123">
        <f t="shared" si="168"/>
        <v>2990</v>
      </c>
      <c r="AP288" s="144">
        <f t="shared" si="157"/>
        <v>4550</v>
      </c>
      <c r="AQ288" s="123">
        <f t="shared" si="169"/>
        <v>-6167</v>
      </c>
      <c r="AR288" s="123">
        <f t="shared" si="169"/>
        <v>-7352</v>
      </c>
      <c r="AS288" s="123">
        <f t="shared" si="169"/>
        <v>-4919</v>
      </c>
      <c r="AT288" s="123">
        <f t="shared" si="169"/>
        <v>5462</v>
      </c>
      <c r="AU288" s="144">
        <f t="shared" si="161"/>
        <v>-12976</v>
      </c>
      <c r="AV288" s="123">
        <f t="shared" si="170"/>
        <v>-3322.9890000000014</v>
      </c>
      <c r="AW288" s="123">
        <f t="shared" si="170"/>
        <v>-1391.9049999999988</v>
      </c>
      <c r="AX288" s="123">
        <f t="shared" si="170"/>
        <v>-2674</v>
      </c>
      <c r="AY288" s="123">
        <f t="shared" si="170"/>
        <v>395</v>
      </c>
      <c r="AZ288" s="144">
        <f t="shared" si="164"/>
        <v>-6993.8940000000002</v>
      </c>
      <c r="BA288" s="123">
        <f t="shared" si="171"/>
        <v>-4247</v>
      </c>
    </row>
    <row r="289" spans="1:53">
      <c r="A289" s="11"/>
      <c r="B289" s="11" t="s">
        <v>414</v>
      </c>
      <c r="C289" s="123">
        <v>-369.57917000000373</v>
      </c>
      <c r="D289" s="123">
        <v>-607.87368000003346</v>
      </c>
      <c r="E289" s="123">
        <v>-680.83211999997695</v>
      </c>
      <c r="F289" s="123">
        <v>-15896.375849999969</v>
      </c>
      <c r="G289" s="154">
        <v>-17554.660819999983</v>
      </c>
      <c r="H289" s="123">
        <v>-695.40359000000353</v>
      </c>
      <c r="I289" s="123">
        <v>-643.023460000044</v>
      </c>
      <c r="J289" s="123">
        <v>-1123.6917499999415</v>
      </c>
      <c r="K289" s="123">
        <v>-19137.654810000036</v>
      </c>
      <c r="L289" s="123">
        <v>-21983.865910000037</v>
      </c>
      <c r="M289" s="123">
        <v>-183.19292999997447</v>
      </c>
      <c r="N289" s="123">
        <v>-19.953470000040397</v>
      </c>
      <c r="O289" s="123">
        <v>-6.6923199999217786</v>
      </c>
      <c r="P289" s="123">
        <v>-20430.288660000097</v>
      </c>
      <c r="Q289" s="154">
        <v>-20640.127380000034</v>
      </c>
      <c r="R289" s="123">
        <v>-21.243760000017716</v>
      </c>
      <c r="S289" s="123">
        <v>-182.44336000000126</v>
      </c>
      <c r="T289" s="123">
        <v>15.215120000009108</v>
      </c>
      <c r="U289" s="123">
        <v>-45.452689999987115</v>
      </c>
      <c r="V289" s="154">
        <v>-233.92468999999699</v>
      </c>
      <c r="W289" s="123">
        <v>-14.198119999997289</v>
      </c>
      <c r="X289" s="123">
        <v>-3.3010100000003604</v>
      </c>
      <c r="Y289" s="123">
        <v>-148.8150000000669</v>
      </c>
      <c r="Z289" s="123">
        <v>-2.2062200000505072</v>
      </c>
      <c r="AA289" s="154">
        <v>-168.52035000011506</v>
      </c>
      <c r="AB289" s="123">
        <f t="shared" si="166"/>
        <v>21776.386070000008</v>
      </c>
      <c r="AC289" s="123">
        <f t="shared" si="166"/>
        <v>21601.59765</v>
      </c>
      <c r="AD289" s="123">
        <f t="shared" si="166"/>
        <v>21418.52766</v>
      </c>
      <c r="AE289" s="123">
        <f t="shared" si="166"/>
        <v>10063.855519999999</v>
      </c>
      <c r="AF289" s="154">
        <f t="shared" si="172"/>
        <v>74860.366900000008</v>
      </c>
      <c r="AG289" s="123">
        <f t="shared" si="167"/>
        <v>19561</v>
      </c>
      <c r="AH289" s="123">
        <f t="shared" si="167"/>
        <v>13995.862580000001</v>
      </c>
      <c r="AI289" s="123">
        <f t="shared" si="167"/>
        <v>10324</v>
      </c>
      <c r="AJ289" s="123">
        <f t="shared" si="167"/>
        <v>9993.3736199999985</v>
      </c>
      <c r="AK289" s="154">
        <f t="shared" si="173"/>
        <v>53874.236199999999</v>
      </c>
      <c r="AL289" s="123">
        <f t="shared" si="168"/>
        <v>-1671</v>
      </c>
      <c r="AM289" s="123">
        <f t="shared" si="168"/>
        <v>1664</v>
      </c>
      <c r="AN289" s="123">
        <f t="shared" si="168"/>
        <v>-2</v>
      </c>
      <c r="AO289" s="123">
        <f t="shared" si="168"/>
        <v>-6</v>
      </c>
      <c r="AP289" s="154">
        <f t="shared" si="157"/>
        <v>-15</v>
      </c>
      <c r="AQ289" s="123">
        <f t="shared" si="169"/>
        <v>-2</v>
      </c>
      <c r="AR289" s="123">
        <f t="shared" si="169"/>
        <v>-8</v>
      </c>
      <c r="AS289" s="123">
        <f t="shared" si="169"/>
        <v>-158</v>
      </c>
      <c r="AT289" s="123">
        <f t="shared" si="169"/>
        <v>-2</v>
      </c>
      <c r="AU289" s="154">
        <f t="shared" si="161"/>
        <v>-170</v>
      </c>
      <c r="AV289" s="123">
        <f t="shared" si="170"/>
        <v>-3</v>
      </c>
      <c r="AW289" s="123">
        <f t="shared" si="170"/>
        <v>-72</v>
      </c>
      <c r="AX289" s="123">
        <f t="shared" si="170"/>
        <v>-28</v>
      </c>
      <c r="AY289" s="123">
        <f t="shared" si="170"/>
        <v>-9</v>
      </c>
      <c r="AZ289" s="142">
        <f t="shared" si="164"/>
        <v>-112</v>
      </c>
      <c r="BA289" s="123">
        <f t="shared" si="171"/>
        <v>15</v>
      </c>
    </row>
    <row r="290" spans="1:53" s="505" customFormat="1">
      <c r="A290" s="56"/>
      <c r="B290" s="56" t="s">
        <v>415</v>
      </c>
      <c r="C290" s="491">
        <v>113162.30009999999</v>
      </c>
      <c r="D290" s="491">
        <v>116682.23669000008</v>
      </c>
      <c r="E290" s="491">
        <v>127300.42126000002</v>
      </c>
      <c r="F290" s="491">
        <v>123725.6272699992</v>
      </c>
      <c r="G290" s="526">
        <v>480870.58531999926</v>
      </c>
      <c r="H290" s="491">
        <v>135455.41909000001</v>
      </c>
      <c r="I290" s="491">
        <v>137208.17603000009</v>
      </c>
      <c r="J290" s="491">
        <v>154058.31046999997</v>
      </c>
      <c r="K290" s="491">
        <v>154448.31722000008</v>
      </c>
      <c r="L290" s="491">
        <v>581549.04702000017</v>
      </c>
      <c r="M290" s="491">
        <v>160508.33149999994</v>
      </c>
      <c r="N290" s="491">
        <v>167429.77324000027</v>
      </c>
      <c r="O290" s="491">
        <v>174824.51194500001</v>
      </c>
      <c r="P290" s="491">
        <v>181126.47524499978</v>
      </c>
      <c r="Q290" s="526">
        <v>683889.09193</v>
      </c>
      <c r="R290" s="491">
        <v>192151.89408999987</v>
      </c>
      <c r="S290" s="491">
        <v>172184.76767000018</v>
      </c>
      <c r="T290" s="491">
        <v>206774.84051000056</v>
      </c>
      <c r="U290" s="491">
        <v>212230.98302478343</v>
      </c>
      <c r="V290" s="526">
        <v>783342.48529478407</v>
      </c>
      <c r="W290" s="491">
        <v>221715.86350478412</v>
      </c>
      <c r="X290" s="491">
        <v>209952.94419999988</v>
      </c>
      <c r="Y290" s="491">
        <v>235972.76097000021</v>
      </c>
      <c r="Z290" s="491">
        <v>250806.62340521539</v>
      </c>
      <c r="AA290" s="526">
        <v>918448.19207999948</v>
      </c>
      <c r="AB290" s="491">
        <f t="shared" si="166"/>
        <v>-61080.893210000031</v>
      </c>
      <c r="AC290" s="491">
        <f t="shared" si="166"/>
        <v>-50786.992990000006</v>
      </c>
      <c r="AD290" s="491">
        <f t="shared" si="166"/>
        <v>-50284.94010999996</v>
      </c>
      <c r="AE290" s="491">
        <f t="shared" si="166"/>
        <v>-37192.68593</v>
      </c>
      <c r="AF290" s="526">
        <f t="shared" si="172"/>
        <v>-199345.51224000001</v>
      </c>
      <c r="AG290" s="491">
        <f t="shared" si="167"/>
        <v>-36681</v>
      </c>
      <c r="AH290" s="491">
        <f t="shared" si="167"/>
        <v>-45944.086360000001</v>
      </c>
      <c r="AI290" s="491">
        <f t="shared" si="167"/>
        <v>-52331</v>
      </c>
      <c r="AJ290" s="491">
        <f t="shared" si="167"/>
        <v>-9261.0227999999988</v>
      </c>
      <c r="AK290" s="526">
        <f t="shared" si="173"/>
        <v>-144217.10916000002</v>
      </c>
      <c r="AL290" s="491">
        <f t="shared" si="168"/>
        <v>-10584</v>
      </c>
      <c r="AM290" s="491">
        <f t="shared" si="168"/>
        <v>1589</v>
      </c>
      <c r="AN290" s="491">
        <f t="shared" si="168"/>
        <v>-4244</v>
      </c>
      <c r="AO290" s="491">
        <f t="shared" si="168"/>
        <v>-13730</v>
      </c>
      <c r="AP290" s="526">
        <f t="shared" si="157"/>
        <v>-26969</v>
      </c>
      <c r="AQ290" s="491">
        <f t="shared" si="169"/>
        <v>3590</v>
      </c>
      <c r="AR290" s="491">
        <f t="shared" si="169"/>
        <v>-11415</v>
      </c>
      <c r="AS290" s="491">
        <f t="shared" si="169"/>
        <v>-4429</v>
      </c>
      <c r="AT290" s="491">
        <f t="shared" si="169"/>
        <v>-4353</v>
      </c>
      <c r="AU290" s="526">
        <f t="shared" si="161"/>
        <v>-16607</v>
      </c>
      <c r="AV290" s="491">
        <f t="shared" si="170"/>
        <v>-3704</v>
      </c>
      <c r="AW290" s="491">
        <f t="shared" si="170"/>
        <v>-1308</v>
      </c>
      <c r="AX290" s="491">
        <f t="shared" si="170"/>
        <v>-1937</v>
      </c>
      <c r="AY290" s="491">
        <f t="shared" si="170"/>
        <v>-374</v>
      </c>
      <c r="AZ290" s="150">
        <f t="shared" si="164"/>
        <v>-7323</v>
      </c>
      <c r="BA290" s="491">
        <f t="shared" si="171"/>
        <v>-32076</v>
      </c>
    </row>
    <row r="291" spans="1:53">
      <c r="A291" s="11"/>
      <c r="B291" s="11" t="s">
        <v>416</v>
      </c>
      <c r="C291" s="123">
        <v>-417120.92703000008</v>
      </c>
      <c r="D291" s="123">
        <v>-376037.99218999973</v>
      </c>
      <c r="E291" s="123">
        <v>-388549.22493000026</v>
      </c>
      <c r="F291" s="123">
        <v>-455017.10171999957</v>
      </c>
      <c r="G291" s="144">
        <v>-1636725.2458699998</v>
      </c>
      <c r="H291" s="123">
        <v>-451311.26523999998</v>
      </c>
      <c r="I291" s="123">
        <v>-415224.61957999994</v>
      </c>
      <c r="J291" s="123">
        <v>-394863.31907000014</v>
      </c>
      <c r="K291" s="123">
        <v>-647205.88402999903</v>
      </c>
      <c r="L291" s="123">
        <v>-1908652.4193999991</v>
      </c>
      <c r="M291" s="123">
        <v>-565094.28172000009</v>
      </c>
      <c r="N291" s="123">
        <v>-368924.09640000015</v>
      </c>
      <c r="O291" s="123">
        <v>-712085.14326499915</v>
      </c>
      <c r="P291" s="123">
        <v>-454078.32821500034</v>
      </c>
      <c r="Q291" s="144">
        <v>-2100181.8495999998</v>
      </c>
      <c r="R291" s="123">
        <v>-563911.13095999975</v>
      </c>
      <c r="S291" s="123">
        <v>-507026.06989000022</v>
      </c>
      <c r="T291" s="123">
        <v>-619383.85191000078</v>
      </c>
      <c r="U291" s="123">
        <v>-568350.00354999723</v>
      </c>
      <c r="V291" s="144">
        <v>-2258671.056309998</v>
      </c>
      <c r="W291" s="123">
        <v>-632315.10373999993</v>
      </c>
      <c r="X291" s="123">
        <v>-582441.25731000013</v>
      </c>
      <c r="Y291" s="123">
        <v>-610495.91721000045</v>
      </c>
      <c r="Z291" s="123">
        <v>-649574.52754999953</v>
      </c>
      <c r="AA291" s="144">
        <v>-2474826.8058099998</v>
      </c>
      <c r="AB291" s="123">
        <f t="shared" si="166"/>
        <v>-262664.63942999992</v>
      </c>
      <c r="AC291" s="123">
        <f t="shared" si="166"/>
        <v>-241601.27921000004</v>
      </c>
      <c r="AD291" s="123">
        <f t="shared" si="166"/>
        <v>-206948.95781000005</v>
      </c>
      <c r="AE291" s="123">
        <f t="shared" si="166"/>
        <v>-213701.00654</v>
      </c>
      <c r="AF291" s="144">
        <f t="shared" si="172"/>
        <v>-924915.88298999995</v>
      </c>
      <c r="AG291" s="123">
        <f t="shared" si="167"/>
        <v>-246678.44</v>
      </c>
      <c r="AH291" s="123">
        <f t="shared" si="167"/>
        <v>-200546</v>
      </c>
      <c r="AI291" s="123">
        <f t="shared" si="167"/>
        <v>-470681</v>
      </c>
      <c r="AJ291" s="123">
        <f t="shared" si="167"/>
        <v>-14218</v>
      </c>
      <c r="AK291" s="144">
        <f t="shared" si="173"/>
        <v>-932123.44</v>
      </c>
      <c r="AL291" s="123">
        <f t="shared" si="168"/>
        <v>-239133</v>
      </c>
      <c r="AM291" s="123">
        <f t="shared" si="168"/>
        <v>-220620</v>
      </c>
      <c r="AN291" s="123">
        <f t="shared" si="168"/>
        <v>-261675</v>
      </c>
      <c r="AO291" s="123">
        <f t="shared" si="168"/>
        <v>-261378</v>
      </c>
      <c r="AP291" s="144">
        <f t="shared" si="157"/>
        <v>-982806</v>
      </c>
      <c r="AQ291" s="123">
        <f t="shared" si="169"/>
        <v>-222144</v>
      </c>
      <c r="AR291" s="123">
        <f t="shared" si="169"/>
        <v>-148261</v>
      </c>
      <c r="AS291" s="123">
        <f t="shared" si="169"/>
        <v>-222470</v>
      </c>
      <c r="AT291" s="123">
        <f t="shared" si="169"/>
        <v>-208301</v>
      </c>
      <c r="AU291" s="144">
        <f t="shared" si="161"/>
        <v>-801176</v>
      </c>
      <c r="AV291" s="123">
        <f t="shared" si="170"/>
        <v>-183682</v>
      </c>
      <c r="AW291" s="123">
        <f t="shared" si="170"/>
        <v>-216659</v>
      </c>
      <c r="AX291" s="123">
        <f t="shared" si="170"/>
        <v>-216785</v>
      </c>
      <c r="AY291" s="123">
        <f t="shared" si="170"/>
        <v>-270770</v>
      </c>
      <c r="AZ291" s="144">
        <f t="shared" si="164"/>
        <v>-887896</v>
      </c>
      <c r="BA291" s="123">
        <f t="shared" si="171"/>
        <v>-233584</v>
      </c>
    </row>
    <row r="292" spans="1:53" s="2" customFormat="1">
      <c r="A292" s="9"/>
      <c r="B292" s="9" t="s">
        <v>418</v>
      </c>
      <c r="C292" s="117">
        <v>-407179.15709000058</v>
      </c>
      <c r="D292" s="117">
        <v>-369170.22500999895</v>
      </c>
      <c r="E292" s="117">
        <v>-381336.54464000132</v>
      </c>
      <c r="F292" s="117">
        <v>-449577.78611000115</v>
      </c>
      <c r="G292" s="118">
        <v>-1607263.7128500021</v>
      </c>
      <c r="H292" s="117">
        <v>-433113.94822000165</v>
      </c>
      <c r="I292" s="117">
        <v>-410027.23691999796</v>
      </c>
      <c r="J292" s="117">
        <v>-377945.58050000155</v>
      </c>
      <c r="K292" s="117">
        <v>-566944.09260999842</v>
      </c>
      <c r="L292" s="160">
        <v>-1785774.7767099997</v>
      </c>
      <c r="M292" s="117">
        <v>-555991.68692000117</v>
      </c>
      <c r="N292" s="117">
        <v>-360941.33680999751</v>
      </c>
      <c r="O292" s="117">
        <v>-573781.4658899951</v>
      </c>
      <c r="P292" s="117">
        <v>-577895.76627001376</v>
      </c>
      <c r="Q292" s="118">
        <v>-2068610.2558900074</v>
      </c>
      <c r="R292" s="117">
        <v>-556189.64670999697</v>
      </c>
      <c r="S292" s="117">
        <v>-506785.18420999951</v>
      </c>
      <c r="T292" s="117">
        <v>-598103.46530999034</v>
      </c>
      <c r="U292" s="117">
        <v>-543138.14257000969</v>
      </c>
      <c r="V292" s="118">
        <v>-2204216.4387999964</v>
      </c>
      <c r="W292" s="117">
        <v>-627830.94554000115</v>
      </c>
      <c r="X292" s="117">
        <v>-582210.52895999921</v>
      </c>
      <c r="Y292" s="117">
        <v>-604958.55652000161</v>
      </c>
      <c r="Z292" s="117">
        <v>-665929.84626000724</v>
      </c>
      <c r="AA292" s="118">
        <v>-2480929.877280009</v>
      </c>
      <c r="AB292" s="117">
        <f>SUM(AB287:AB291)</f>
        <v>-371274.47184000141</v>
      </c>
      <c r="AC292" s="117">
        <f>SUM(AC287:AC291)</f>
        <v>-337814.49530999688</v>
      </c>
      <c r="AD292" s="117">
        <f t="shared" ref="AD292:AE292" si="174">SUM(AD287:AD291)</f>
        <v>-308124.7210300017</v>
      </c>
      <c r="AE292" s="117">
        <f t="shared" si="174"/>
        <v>-285087.7501</v>
      </c>
      <c r="AF292" s="118">
        <f t="shared" si="172"/>
        <v>-1302301.4382800001</v>
      </c>
      <c r="AG292" s="117">
        <f t="shared" si="167"/>
        <v>-339253</v>
      </c>
      <c r="AH292" s="117">
        <f t="shared" si="167"/>
        <v>-257482.21125999989</v>
      </c>
      <c r="AI292" s="160">
        <f t="shared" si="167"/>
        <v>-545367</v>
      </c>
      <c r="AJ292" s="160">
        <f t="shared" si="167"/>
        <v>9648.2941700000374</v>
      </c>
      <c r="AK292" s="118">
        <f t="shared" si="173"/>
        <v>-1132453.9170899997</v>
      </c>
      <c r="AL292" s="160">
        <f t="shared" si="168"/>
        <v>-242059</v>
      </c>
      <c r="AM292" s="160">
        <f t="shared" si="168"/>
        <v>-227723</v>
      </c>
      <c r="AN292" s="160">
        <f t="shared" si="168"/>
        <v>-263335</v>
      </c>
      <c r="AO292" s="160">
        <f t="shared" si="168"/>
        <v>-272123</v>
      </c>
      <c r="AP292" s="118">
        <f t="shared" si="157"/>
        <v>-1005240</v>
      </c>
      <c r="AQ292" s="160">
        <f t="shared" si="169"/>
        <v>-224723.50599999999</v>
      </c>
      <c r="AR292" s="160">
        <f t="shared" si="169"/>
        <v>-167036</v>
      </c>
      <c r="AS292" s="160">
        <f t="shared" si="169"/>
        <v>-231815</v>
      </c>
      <c r="AT292" s="160">
        <f t="shared" si="169"/>
        <v>-207192</v>
      </c>
      <c r="AU292" s="118">
        <f t="shared" si="161"/>
        <v>-830766.50600000005</v>
      </c>
      <c r="AV292" s="160">
        <f t="shared" si="170"/>
        <v>-190714.63299999997</v>
      </c>
      <c r="AW292" s="160">
        <f t="shared" si="170"/>
        <v>-219429.49399999995</v>
      </c>
      <c r="AX292" s="160">
        <f t="shared" si="170"/>
        <v>-221422</v>
      </c>
      <c r="AY292" s="160">
        <f t="shared" si="170"/>
        <v>-270760</v>
      </c>
      <c r="AZ292" s="118">
        <f t="shared" si="164"/>
        <v>-902326.12699999986</v>
      </c>
      <c r="BA292" s="160">
        <f t="shared" si="171"/>
        <v>-269891</v>
      </c>
    </row>
    <row r="293" spans="1:53">
      <c r="A293" s="11"/>
      <c r="B293" s="11" t="s">
        <v>419</v>
      </c>
      <c r="C293" s="123">
        <v>0.18992999999998794</v>
      </c>
      <c r="D293" s="123">
        <v>-40.026149999999689</v>
      </c>
      <c r="E293" s="123">
        <v>9.8099299999991239</v>
      </c>
      <c r="F293" s="123">
        <v>-18.070769999996628</v>
      </c>
      <c r="G293" s="154">
        <v>-48.097059999997199</v>
      </c>
      <c r="H293" s="123">
        <v>-99.797619999999995</v>
      </c>
      <c r="I293" s="123">
        <v>0</v>
      </c>
      <c r="J293" s="123">
        <v>-34.326780000003055</v>
      </c>
      <c r="K293" s="123">
        <v>-370.64772000000301</v>
      </c>
      <c r="L293" s="123">
        <v>354.69843999999648</v>
      </c>
      <c r="M293" s="123">
        <v>1.7763568394002505E-15</v>
      </c>
      <c r="N293" s="123">
        <v>-4.5519144009631418E-15</v>
      </c>
      <c r="O293" s="123">
        <v>-3.637978807091713E-12</v>
      </c>
      <c r="P293" s="123">
        <v>-5.4554138984030942E-12</v>
      </c>
      <c r="Q293" s="154">
        <v>-9.0961682630563701E-12</v>
      </c>
      <c r="R293" s="123">
        <v>3.3306690738754696E-13</v>
      </c>
      <c r="S293" s="123">
        <v>-1715.6541399999821</v>
      </c>
      <c r="T293" s="123">
        <v>1715.6541399999762</v>
      </c>
      <c r="U293" s="123">
        <v>-100030.91920999996</v>
      </c>
      <c r="V293" s="154">
        <v>-100030.91920999996</v>
      </c>
      <c r="W293" s="123">
        <v>1.2505552149377763E-12</v>
      </c>
      <c r="X293" s="123">
        <v>-7.0865535661823742E-13</v>
      </c>
      <c r="Y293" s="123">
        <v>1545.8703099999984</v>
      </c>
      <c r="Z293" s="123">
        <v>-1.0913936421275139E-11</v>
      </c>
      <c r="AA293" s="154">
        <v>1545.870309999988</v>
      </c>
      <c r="AB293" s="123">
        <f>AB16-AB44-AB82-AB110-AB132-AB154-AB184-AB205-AB227-AB271-AB249</f>
        <v>57.528409999999973</v>
      </c>
      <c r="AC293" s="123">
        <f>AC16-AC44-AC82-AC110-AC132-AC154-AC184-AC205-AC227-AC271-AC249</f>
        <v>1305.9239999999998</v>
      </c>
      <c r="AD293" s="123">
        <f>AD16-AD44-AD82-AD110-AD132-AD154-AD184-AD205-AD227-AD271-AD249</f>
        <v>-34.765479999999442</v>
      </c>
      <c r="AE293" s="123">
        <f>AE16-AE44-AE82-AE110-AE132-AE154-AE184-AE205-AE227-AE271-AE249</f>
        <v>-177.78689000000003</v>
      </c>
      <c r="AF293" s="154">
        <f t="shared" si="172"/>
        <v>1150.9000400000002</v>
      </c>
      <c r="AG293" s="123">
        <f t="shared" si="167"/>
        <v>-640</v>
      </c>
      <c r="AH293" s="123">
        <f t="shared" si="167"/>
        <v>-736.38445999999999</v>
      </c>
      <c r="AI293" s="123">
        <f t="shared" si="167"/>
        <v>-1166</v>
      </c>
      <c r="AJ293" s="123">
        <f t="shared" si="167"/>
        <v>3070</v>
      </c>
      <c r="AK293" s="154">
        <f t="shared" si="173"/>
        <v>527.61553999999978</v>
      </c>
      <c r="AL293" s="123">
        <f t="shared" si="168"/>
        <v>-15</v>
      </c>
      <c r="AM293" s="123">
        <f t="shared" si="168"/>
        <v>15</v>
      </c>
      <c r="AN293" s="123">
        <f t="shared" si="168"/>
        <v>0</v>
      </c>
      <c r="AO293" s="123">
        <f t="shared" si="168"/>
        <v>0</v>
      </c>
      <c r="AP293" s="154">
        <f t="shared" si="157"/>
        <v>0</v>
      </c>
      <c r="AQ293" s="123">
        <f t="shared" si="169"/>
        <v>-1</v>
      </c>
      <c r="AR293" s="123">
        <f t="shared" si="169"/>
        <v>0</v>
      </c>
      <c r="AS293" s="123">
        <f t="shared" si="169"/>
        <v>6422</v>
      </c>
      <c r="AT293" s="123">
        <f t="shared" si="169"/>
        <v>-6422</v>
      </c>
      <c r="AU293" s="154">
        <f t="shared" si="161"/>
        <v>-1</v>
      </c>
      <c r="AV293" s="123">
        <f t="shared" si="170"/>
        <v>-1</v>
      </c>
      <c r="AW293" s="123">
        <f t="shared" si="170"/>
        <v>1</v>
      </c>
      <c r="AX293" s="123">
        <f t="shared" si="170"/>
        <v>-421</v>
      </c>
      <c r="AY293" s="123">
        <f t="shared" si="170"/>
        <v>19042</v>
      </c>
      <c r="AZ293" s="142">
        <f t="shared" si="164"/>
        <v>18621</v>
      </c>
      <c r="BA293" s="123">
        <f t="shared" si="171"/>
        <v>5276</v>
      </c>
    </row>
    <row r="294" spans="1:53" s="2" customFormat="1">
      <c r="A294" s="9"/>
      <c r="B294" s="9" t="s">
        <v>420</v>
      </c>
      <c r="C294" s="117">
        <v>-407178.96716000058</v>
      </c>
      <c r="D294" s="117">
        <v>-369210.25115999894</v>
      </c>
      <c r="E294" s="117">
        <v>-381326.73471000133</v>
      </c>
      <c r="F294" s="117">
        <v>-449595.85688000114</v>
      </c>
      <c r="G294" s="118">
        <v>-1607311.8099100022</v>
      </c>
      <c r="H294" s="117">
        <v>-433213.74584000168</v>
      </c>
      <c r="I294" s="117">
        <v>-410027.23691999796</v>
      </c>
      <c r="J294" s="117">
        <v>-377979.90728000156</v>
      </c>
      <c r="K294" s="117">
        <v>-567314.74032999843</v>
      </c>
      <c r="L294" s="160">
        <v>-1785420.0782699997</v>
      </c>
      <c r="M294" s="117">
        <v>-555991.68692000117</v>
      </c>
      <c r="N294" s="117">
        <v>-360941.33680999751</v>
      </c>
      <c r="O294" s="117">
        <v>-573781.4658899951</v>
      </c>
      <c r="P294" s="117">
        <v>-577895.76627001376</v>
      </c>
      <c r="Q294" s="118">
        <v>-2068610.2558900074</v>
      </c>
      <c r="R294" s="117">
        <v>-556189.64670999697</v>
      </c>
      <c r="S294" s="117">
        <v>-508500.83834999951</v>
      </c>
      <c r="T294" s="117">
        <v>-596387.81116999034</v>
      </c>
      <c r="U294" s="117">
        <v>-643169.06178000965</v>
      </c>
      <c r="V294" s="118">
        <v>-2304247.3580099968</v>
      </c>
      <c r="W294" s="117">
        <v>-627830.94554000115</v>
      </c>
      <c r="X294" s="117">
        <v>-582210.52895999921</v>
      </c>
      <c r="Y294" s="117">
        <v>-603412.68621000159</v>
      </c>
      <c r="Z294" s="117">
        <v>-665929.84626000724</v>
      </c>
      <c r="AA294" s="118">
        <v>-2479384.0069700093</v>
      </c>
      <c r="AB294" s="117">
        <f>SUM(AB292:AB293)</f>
        <v>-371216.94343000138</v>
      </c>
      <c r="AC294" s="117">
        <f>SUM(AC292:AC293)</f>
        <v>-336508.57130999689</v>
      </c>
      <c r="AD294" s="117">
        <f t="shared" ref="AD294:AE294" si="175">SUM(AD292:AD293)</f>
        <v>-308159.48651000171</v>
      </c>
      <c r="AE294" s="117">
        <f t="shared" si="175"/>
        <v>-285265.53698999999</v>
      </c>
      <c r="AF294" s="118">
        <f t="shared" si="172"/>
        <v>-1301150.5382399999</v>
      </c>
      <c r="AG294" s="117">
        <f t="shared" si="167"/>
        <v>-339893</v>
      </c>
      <c r="AH294" s="117">
        <f t="shared" si="167"/>
        <v>-258218.59571999987</v>
      </c>
      <c r="AI294" s="160">
        <f t="shared" si="167"/>
        <v>-546533</v>
      </c>
      <c r="AJ294" s="160">
        <f t="shared" si="167"/>
        <v>12718.294170000037</v>
      </c>
      <c r="AK294" s="118">
        <f t="shared" si="173"/>
        <v>-1131926.3015499997</v>
      </c>
      <c r="AL294" s="160">
        <f t="shared" si="168"/>
        <v>-242074</v>
      </c>
      <c r="AM294" s="160">
        <f t="shared" si="168"/>
        <v>-227708</v>
      </c>
      <c r="AN294" s="160">
        <f t="shared" si="168"/>
        <v>-263335</v>
      </c>
      <c r="AO294" s="160">
        <f t="shared" si="168"/>
        <v>-272123</v>
      </c>
      <c r="AP294" s="118">
        <f t="shared" si="157"/>
        <v>-1005240</v>
      </c>
      <c r="AQ294" s="160">
        <f t="shared" si="169"/>
        <v>-224724.50599999999</v>
      </c>
      <c r="AR294" s="160">
        <f t="shared" si="169"/>
        <v>-167036</v>
      </c>
      <c r="AS294" s="160">
        <f t="shared" si="169"/>
        <v>-225393</v>
      </c>
      <c r="AT294" s="160">
        <f t="shared" si="169"/>
        <v>-213614</v>
      </c>
      <c r="AU294" s="118">
        <f t="shared" si="161"/>
        <v>-830767.50600000005</v>
      </c>
      <c r="AV294" s="160">
        <f t="shared" si="170"/>
        <v>-190715.63299999997</v>
      </c>
      <c r="AW294" s="160">
        <f t="shared" si="170"/>
        <v>-219428.49399999995</v>
      </c>
      <c r="AX294" s="160">
        <f t="shared" si="170"/>
        <v>-221843</v>
      </c>
      <c r="AY294" s="160">
        <f t="shared" si="170"/>
        <v>-251718</v>
      </c>
      <c r="AZ294" s="118">
        <f t="shared" si="164"/>
        <v>-883705.12699999986</v>
      </c>
      <c r="BA294" s="160">
        <f t="shared" si="171"/>
        <v>-264615</v>
      </c>
    </row>
    <row r="295" spans="1:53">
      <c r="A295" s="11"/>
      <c r="B295" s="11" t="s">
        <v>421</v>
      </c>
      <c r="C295" s="123">
        <v>-2211.5963599999759</v>
      </c>
      <c r="D295" s="123">
        <v>-1840.7854500000972</v>
      </c>
      <c r="E295" s="123">
        <v>-2002.1314200000984</v>
      </c>
      <c r="F295" s="123">
        <v>-42299.722649999734</v>
      </c>
      <c r="G295" s="154">
        <v>-48354.235879999906</v>
      </c>
      <c r="H295" s="123">
        <v>-4615.5421099999567</v>
      </c>
      <c r="I295" s="123">
        <v>-1095.3158100000223</v>
      </c>
      <c r="J295" s="123">
        <v>-11805.999170000028</v>
      </c>
      <c r="K295" s="123">
        <v>-8572.170910000028</v>
      </c>
      <c r="L295" s="123">
        <v>-26458.511010000031</v>
      </c>
      <c r="M295" s="123">
        <v>46792.414800000035</v>
      </c>
      <c r="N295" s="123">
        <v>-53606.373310000083</v>
      </c>
      <c r="O295" s="123">
        <v>-75818.556239999874</v>
      </c>
      <c r="P295" s="123">
        <v>18929.326219999995</v>
      </c>
      <c r="Q295" s="154">
        <v>-63703.188529999919</v>
      </c>
      <c r="R295" s="123">
        <v>-2436.0340776000112</v>
      </c>
      <c r="S295" s="123">
        <v>-4053.4863880001053</v>
      </c>
      <c r="T295" s="123">
        <v>-5743.9547743999183</v>
      </c>
      <c r="U295" s="123">
        <v>-7015.128159999982</v>
      </c>
      <c r="V295" s="154">
        <v>-19248.603400000018</v>
      </c>
      <c r="W295" s="123">
        <v>-3276.9986899999694</v>
      </c>
      <c r="X295" s="123">
        <v>-41890.66879000012</v>
      </c>
      <c r="Y295" s="123">
        <v>-1932.184029999936</v>
      </c>
      <c r="Z295" s="123">
        <v>40399.681467500086</v>
      </c>
      <c r="AA295" s="154">
        <v>-6700.1700424999435</v>
      </c>
      <c r="AB295" s="123">
        <f t="shared" ref="AB295:AE297" si="176">AB18-AB46-AB84-AB112-AB134-AB156-AB186-AB207-AB229-AB273-AB251</f>
        <v>26351.948790000006</v>
      </c>
      <c r="AC295" s="123">
        <f t="shared" si="176"/>
        <v>20805.018660000005</v>
      </c>
      <c r="AD295" s="123">
        <f t="shared" si="176"/>
        <v>24830.657179999987</v>
      </c>
      <c r="AE295" s="123">
        <f t="shared" si="176"/>
        <v>-2235.3517099999995</v>
      </c>
      <c r="AF295" s="154">
        <f t="shared" si="172"/>
        <v>69752.272920000003</v>
      </c>
      <c r="AG295" s="123">
        <f t="shared" si="167"/>
        <v>22516</v>
      </c>
      <c r="AH295" s="123">
        <f t="shared" si="167"/>
        <v>13978.69929</v>
      </c>
      <c r="AI295" s="123">
        <f t="shared" si="167"/>
        <v>18842</v>
      </c>
      <c r="AJ295" s="123">
        <f t="shared" si="167"/>
        <v>17873.071059999998</v>
      </c>
      <c r="AK295" s="154">
        <f t="shared" si="173"/>
        <v>73209.770350000006</v>
      </c>
      <c r="AL295" s="123">
        <f t="shared" si="168"/>
        <v>660</v>
      </c>
      <c r="AM295" s="123">
        <f t="shared" si="168"/>
        <v>966</v>
      </c>
      <c r="AN295" s="123">
        <f t="shared" si="168"/>
        <v>357</v>
      </c>
      <c r="AO295" s="123">
        <f t="shared" si="168"/>
        <v>5094</v>
      </c>
      <c r="AP295" s="154">
        <f t="shared" si="157"/>
        <v>7077</v>
      </c>
      <c r="AQ295" s="123">
        <f t="shared" si="169"/>
        <v>861</v>
      </c>
      <c r="AR295" s="123">
        <f t="shared" si="169"/>
        <v>1554</v>
      </c>
      <c r="AS295" s="123">
        <f t="shared" si="169"/>
        <v>951</v>
      </c>
      <c r="AT295" s="123">
        <f t="shared" si="169"/>
        <v>678</v>
      </c>
      <c r="AU295" s="154">
        <f t="shared" si="161"/>
        <v>4044</v>
      </c>
      <c r="AV295" s="123">
        <f t="shared" si="170"/>
        <v>619</v>
      </c>
      <c r="AW295" s="123">
        <f t="shared" si="170"/>
        <v>220</v>
      </c>
      <c r="AX295" s="123">
        <f t="shared" si="170"/>
        <v>642</v>
      </c>
      <c r="AY295" s="123">
        <f t="shared" si="170"/>
        <v>-1429</v>
      </c>
      <c r="AZ295" s="142">
        <f t="shared" si="164"/>
        <v>52</v>
      </c>
      <c r="BA295" s="123">
        <f t="shared" si="171"/>
        <v>7932</v>
      </c>
    </row>
    <row r="296" spans="1:53">
      <c r="A296" s="11"/>
      <c r="B296" s="11" t="s">
        <v>422</v>
      </c>
      <c r="C296" s="123">
        <v>-1671.8385600000142</v>
      </c>
      <c r="D296" s="123">
        <v>-1478.1647500000015</v>
      </c>
      <c r="E296" s="123">
        <v>-1316.0170399999695</v>
      </c>
      <c r="F296" s="123">
        <v>-16466.947910000068</v>
      </c>
      <c r="G296" s="154">
        <v>-20932.968260000052</v>
      </c>
      <c r="H296" s="123">
        <v>-3552.6970399999891</v>
      </c>
      <c r="I296" s="123">
        <v>-847.33981000002223</v>
      </c>
      <c r="J296" s="123">
        <v>4232.319480000031</v>
      </c>
      <c r="K296" s="123">
        <v>3160.4413500000073</v>
      </c>
      <c r="L296" s="123">
        <v>2851.0700900000265</v>
      </c>
      <c r="M296" s="123">
        <v>33854.092660000031</v>
      </c>
      <c r="N296" s="123">
        <v>-37250.166060000083</v>
      </c>
      <c r="O296" s="123">
        <v>-58951.999649999751</v>
      </c>
      <c r="P296" s="123">
        <v>38187.486309999666</v>
      </c>
      <c r="Q296" s="154">
        <v>-24160.586740000137</v>
      </c>
      <c r="R296" s="123">
        <v>-1572.4569323999754</v>
      </c>
      <c r="S296" s="123">
        <v>-1872.1179619999684</v>
      </c>
      <c r="T296" s="123">
        <v>-2585.8519556000783</v>
      </c>
      <c r="U296" s="123">
        <v>-2694.1701900000494</v>
      </c>
      <c r="V296" s="154">
        <v>-8724.5970400000715</v>
      </c>
      <c r="W296" s="123">
        <v>-1660.5373800000132</v>
      </c>
      <c r="X296" s="123">
        <v>-25279.702579999925</v>
      </c>
      <c r="Y296" s="123">
        <v>-702.36580000015988</v>
      </c>
      <c r="Z296" s="123">
        <v>24884.45545155018</v>
      </c>
      <c r="AA296" s="154">
        <v>-2758.1503084499163</v>
      </c>
      <c r="AB296" s="123">
        <f t="shared" si="176"/>
        <v>12946.040509999999</v>
      </c>
      <c r="AC296" s="123">
        <f t="shared" si="176"/>
        <v>9594.7192799999939</v>
      </c>
      <c r="AD296" s="123">
        <f t="shared" si="176"/>
        <v>13539.025730000008</v>
      </c>
      <c r="AE296" s="123">
        <f t="shared" si="176"/>
        <v>-1598.6508300000005</v>
      </c>
      <c r="AF296" s="154">
        <f t="shared" si="172"/>
        <v>34481.134690000006</v>
      </c>
      <c r="AG296" s="123">
        <f t="shared" si="167"/>
        <v>9996</v>
      </c>
      <c r="AH296" s="123">
        <f t="shared" si="167"/>
        <v>5310.7805200000003</v>
      </c>
      <c r="AI296" s="123">
        <f t="shared" si="167"/>
        <v>8102</v>
      </c>
      <c r="AJ296" s="123">
        <f t="shared" si="167"/>
        <v>12879.977499999999</v>
      </c>
      <c r="AK296" s="154">
        <f t="shared" si="173"/>
        <v>36288.758020000001</v>
      </c>
      <c r="AL296" s="123">
        <f t="shared" si="168"/>
        <v>383</v>
      </c>
      <c r="AM296" s="123">
        <f t="shared" si="168"/>
        <v>362</v>
      </c>
      <c r="AN296" s="123">
        <f t="shared" si="168"/>
        <v>98</v>
      </c>
      <c r="AO296" s="123">
        <f t="shared" si="168"/>
        <v>458</v>
      </c>
      <c r="AP296" s="154">
        <f t="shared" si="157"/>
        <v>1301</v>
      </c>
      <c r="AQ296" s="123">
        <f t="shared" si="169"/>
        <v>400</v>
      </c>
      <c r="AR296" s="123">
        <f t="shared" si="169"/>
        <v>818</v>
      </c>
      <c r="AS296" s="123">
        <f t="shared" si="169"/>
        <v>455</v>
      </c>
      <c r="AT296" s="123">
        <f t="shared" si="169"/>
        <v>155</v>
      </c>
      <c r="AU296" s="154">
        <f t="shared" si="161"/>
        <v>1828</v>
      </c>
      <c r="AV296" s="123">
        <f t="shared" si="170"/>
        <v>265</v>
      </c>
      <c r="AW296" s="123">
        <f t="shared" si="170"/>
        <v>102</v>
      </c>
      <c r="AX296" s="123">
        <f t="shared" si="170"/>
        <v>349</v>
      </c>
      <c r="AY296" s="123">
        <f t="shared" si="170"/>
        <v>-678</v>
      </c>
      <c r="AZ296" s="142">
        <f t="shared" si="164"/>
        <v>38</v>
      </c>
      <c r="BA296" s="123">
        <f t="shared" si="171"/>
        <v>3935</v>
      </c>
    </row>
    <row r="297" spans="1:53">
      <c r="A297" s="11"/>
      <c r="B297" s="11" t="s">
        <v>423</v>
      </c>
      <c r="C297" s="123">
        <v>0</v>
      </c>
      <c r="D297" s="123">
        <v>0</v>
      </c>
      <c r="E297" s="123">
        <v>0</v>
      </c>
      <c r="F297" s="123">
        <v>0</v>
      </c>
      <c r="G297" s="154">
        <v>0</v>
      </c>
      <c r="H297" s="123">
        <v>0</v>
      </c>
      <c r="I297" s="123">
        <v>0</v>
      </c>
      <c r="J297" s="123">
        <v>0</v>
      </c>
      <c r="K297" s="123">
        <v>0</v>
      </c>
      <c r="L297" s="123">
        <v>0</v>
      </c>
      <c r="M297" s="123">
        <v>229.68346</v>
      </c>
      <c r="N297" s="123">
        <v>1847.11922</v>
      </c>
      <c r="O297" s="123">
        <v>107.07791999999998</v>
      </c>
      <c r="P297" s="123">
        <v>14.900270000000004</v>
      </c>
      <c r="Q297" s="154">
        <v>2198.7808700000005</v>
      </c>
      <c r="R297" s="123">
        <v>2444.0559200000002</v>
      </c>
      <c r="S297" s="123">
        <v>2321.6864400000004</v>
      </c>
      <c r="T297" s="123">
        <v>2518.5479999999998</v>
      </c>
      <c r="U297" s="123">
        <v>-45.987150000000021</v>
      </c>
      <c r="V297" s="154">
        <v>7238.30321</v>
      </c>
      <c r="W297" s="123">
        <v>1334.82564</v>
      </c>
      <c r="X297" s="123">
        <v>-1984.0928600000004</v>
      </c>
      <c r="Y297" s="123">
        <v>1362.9544799999999</v>
      </c>
      <c r="Z297" s="123">
        <v>929.25184000000013</v>
      </c>
      <c r="AA297" s="154">
        <v>1642.9390999999996</v>
      </c>
      <c r="AB297" s="123">
        <f t="shared" si="176"/>
        <v>-2164.68824</v>
      </c>
      <c r="AC297" s="123">
        <f t="shared" si="176"/>
        <v>860.02718999999991</v>
      </c>
      <c r="AD297" s="123">
        <f t="shared" si="176"/>
        <v>1254.5288699999999</v>
      </c>
      <c r="AE297" s="123">
        <f t="shared" si="176"/>
        <v>1254.5288699999999</v>
      </c>
      <c r="AF297" s="154">
        <f t="shared" si="172"/>
        <v>1204.3966899999996</v>
      </c>
      <c r="AG297" s="123">
        <f t="shared" si="167"/>
        <v>0</v>
      </c>
      <c r="AH297" s="123">
        <f t="shared" si="167"/>
        <v>0</v>
      </c>
      <c r="AI297" s="123">
        <f t="shared" si="167"/>
        <v>0</v>
      </c>
      <c r="AJ297" s="123">
        <f t="shared" si="167"/>
        <v>0</v>
      </c>
      <c r="AK297" s="154">
        <f t="shared" si="173"/>
        <v>0</v>
      </c>
      <c r="AL297" s="123">
        <f t="shared" si="168"/>
        <v>0</v>
      </c>
      <c r="AM297" s="123">
        <f t="shared" si="168"/>
        <v>0</v>
      </c>
      <c r="AN297" s="123">
        <f t="shared" si="168"/>
        <v>0</v>
      </c>
      <c r="AO297" s="123">
        <f t="shared" si="168"/>
        <v>0</v>
      </c>
      <c r="AP297" s="154">
        <f t="shared" si="157"/>
        <v>0</v>
      </c>
      <c r="AQ297" s="123">
        <f t="shared" si="169"/>
        <v>0</v>
      </c>
      <c r="AR297" s="123">
        <f t="shared" si="169"/>
        <v>0</v>
      </c>
      <c r="AS297" s="123">
        <f t="shared" si="169"/>
        <v>0</v>
      </c>
      <c r="AT297" s="123">
        <f t="shared" si="169"/>
        <v>0</v>
      </c>
      <c r="AU297" s="154">
        <f t="shared" si="161"/>
        <v>0</v>
      </c>
      <c r="AV297" s="123">
        <f>AV20-AV48-AV114-AV136-AV158-AV188-AV209-AV231-AV253-AV275-AV86</f>
        <v>0</v>
      </c>
      <c r="AW297" s="123">
        <f>AW20-AW48-AW114-AW136-AW158-AW188-AW209-AW231-AW253-AW275-AW86</f>
        <v>0</v>
      </c>
      <c r="AX297" s="123">
        <f>AX20-AX48-AX114-AX136-AX158-AX188-AX209-AX231-AX253-AX275-AX86</f>
        <v>0</v>
      </c>
      <c r="AY297" s="123">
        <f>AY18-AY48-AY114-AY136-AY158-AY188-AY209-AY231-AY253-AY275-AY86</f>
        <v>-97591</v>
      </c>
      <c r="AZ297" s="142">
        <f t="shared" si="164"/>
        <v>-97591</v>
      </c>
      <c r="BA297" s="123">
        <f>BA20-BA48-BA114-BA136-BA158-BA188-BA209-BA231-BA253-BA275-BA86</f>
        <v>0</v>
      </c>
    </row>
    <row r="298" spans="1:53">
      <c r="A298" s="11"/>
      <c r="B298" s="11" t="s">
        <v>424</v>
      </c>
      <c r="C298" s="123">
        <v>0</v>
      </c>
      <c r="D298" s="123">
        <v>0</v>
      </c>
      <c r="E298" s="123">
        <v>0</v>
      </c>
      <c r="F298" s="123">
        <v>0</v>
      </c>
      <c r="G298" s="154">
        <v>0</v>
      </c>
      <c r="H298" s="123">
        <v>0</v>
      </c>
      <c r="I298" s="123">
        <v>0</v>
      </c>
      <c r="J298" s="123">
        <v>0</v>
      </c>
      <c r="K298" s="123">
        <v>0</v>
      </c>
      <c r="L298" s="123">
        <v>0</v>
      </c>
      <c r="M298" s="123">
        <v>0</v>
      </c>
      <c r="N298" s="123">
        <v>0</v>
      </c>
      <c r="O298" s="123">
        <v>0</v>
      </c>
      <c r="P298" s="123">
        <v>0</v>
      </c>
      <c r="Q298" s="154">
        <v>0</v>
      </c>
      <c r="R298" s="123">
        <v>0</v>
      </c>
      <c r="S298" s="123">
        <v>0</v>
      </c>
      <c r="T298" s="123">
        <v>0</v>
      </c>
      <c r="U298" s="123">
        <v>0</v>
      </c>
      <c r="V298" s="154">
        <v>0</v>
      </c>
      <c r="W298" s="123">
        <v>0</v>
      </c>
      <c r="X298" s="123">
        <v>0</v>
      </c>
      <c r="Y298" s="123">
        <v>0</v>
      </c>
      <c r="Z298" s="123">
        <v>0</v>
      </c>
      <c r="AA298" s="154">
        <v>0</v>
      </c>
      <c r="AB298" s="123">
        <f>AB21-AB49-AB87-AB115-AB137-AB159-AB210-AB232-AB276-AB254</f>
        <v>0</v>
      </c>
      <c r="AC298" s="123">
        <f>AC21-AC49-AC87-AC115-AC137-AC159-AC210-AC232-AC276-AC254</f>
        <v>0</v>
      </c>
      <c r="AD298" s="123">
        <f>AD21-AD49-AD87-AD115-AD137-AD159-AD210-AD232-AD276-AD254</f>
        <v>0</v>
      </c>
      <c r="AE298" s="123">
        <f>AE21-AE49-AE87-AE115-AE137-AE159-AE210-AE232-AE276-AE254</f>
        <v>0</v>
      </c>
      <c r="AF298" s="154">
        <f t="shared" si="172"/>
        <v>0</v>
      </c>
      <c r="AG298" s="123">
        <f>AG21-AG49-AG115-AG137-AG159-AG210-AG232-AG254-AG276-AG87</f>
        <v>0</v>
      </c>
      <c r="AH298" s="123">
        <f>AH21-AH49-AH115-AH137-AH159-AH210-AH232-AH254-AH276-AH87</f>
        <v>0</v>
      </c>
      <c r="AI298" s="123">
        <f>AI21-AI49-AI115-AI137-AI159-AI210-AI232-AI254-AI276-AI87</f>
        <v>0</v>
      </c>
      <c r="AJ298" s="123">
        <f>AJ21-AJ49-AJ115-AJ137-AJ159-AJ210-AJ232-AJ254-AJ276-AJ87</f>
        <v>0</v>
      </c>
      <c r="AK298" s="154">
        <f t="shared" si="173"/>
        <v>0</v>
      </c>
      <c r="AL298" s="123">
        <f>AL21-AL49-AL115-AL137-AL159-AL210-AL232-AL254-AL276-AL87</f>
        <v>0</v>
      </c>
      <c r="AM298" s="123">
        <f>AM21-AM49-AM115-AM137-AM159-AM210-AM232-AM254-AM276-AM87</f>
        <v>0</v>
      </c>
      <c r="AN298" s="123">
        <f>AN21-AN49-AN115-AN137-AN159-AN210-AN232-AN254-AN276-AN87</f>
        <v>0</v>
      </c>
      <c r="AO298" s="123">
        <f>AO21-AO49-AO115-AO137-AO159-AO210-AO232-AO254-AO276-AO87</f>
        <v>0</v>
      </c>
      <c r="AP298" s="154">
        <f t="shared" si="157"/>
        <v>0</v>
      </c>
      <c r="AQ298" s="123">
        <f>AQ21-AQ49-AQ115-AQ137-AQ159-AQ210-AQ232-AQ254-AQ276-AQ87</f>
        <v>0</v>
      </c>
      <c r="AR298" s="123">
        <f>AR21-AR49-AR115-AR137-AR159-AR210-AR232-AR254-AR276-AR87</f>
        <v>0</v>
      </c>
      <c r="AS298" s="123">
        <f>AS21-AS49-AS115-AS137-AS159-AS210-AS232-AS254-AS276-AS87</f>
        <v>0</v>
      </c>
      <c r="AT298" s="123">
        <f>AT21-AT49-AT115-AT137-AT159-AT210-AT232-AT254-AT276-AT87</f>
        <v>0</v>
      </c>
      <c r="AU298" s="154">
        <f t="shared" si="161"/>
        <v>0</v>
      </c>
      <c r="AV298" s="123">
        <f>AV21-AV49-AV115-AV137-AV159-AV210-AV232-AV254-AV276-AV87</f>
        <v>0</v>
      </c>
      <c r="AW298" s="123">
        <f>AW21-AW49-AW115-AW137-AW159-AW210-AW232-AW254-AW276-AW87</f>
        <v>0</v>
      </c>
      <c r="AX298" s="123">
        <f>AX21-AX49-AX115-AX137-AX159-AX210-AX232-AX254-AX276-AX87</f>
        <v>0</v>
      </c>
      <c r="AY298" s="123">
        <f>AY21-AY49-AY115-AY137-AY159-AY210-AY232-AY254-AY276-AY87</f>
        <v>0</v>
      </c>
      <c r="AZ298" s="142">
        <f t="shared" si="164"/>
        <v>0</v>
      </c>
      <c r="BA298" s="123">
        <f>BA21-BA49-BA115-BA137-BA159-BA210-BA232-BA254-BA276-BA87</f>
        <v>0</v>
      </c>
    </row>
    <row r="299" spans="1:53" s="2" customFormat="1">
      <c r="A299" s="15"/>
      <c r="B299" s="15" t="s">
        <v>450</v>
      </c>
      <c r="C299" s="155">
        <v>-411062.40208000055</v>
      </c>
      <c r="D299" s="155">
        <v>-372529.20135999902</v>
      </c>
      <c r="E299" s="155">
        <v>-384644.88317000138</v>
      </c>
      <c r="F299" s="155">
        <v>-508362.52744000091</v>
      </c>
      <c r="G299" s="156">
        <v>-1676599.0140500017</v>
      </c>
      <c r="H299" s="155">
        <v>-441381.98499000166</v>
      </c>
      <c r="I299" s="155">
        <v>-411969.89253999799</v>
      </c>
      <c r="J299" s="155">
        <v>-385553.58697000158</v>
      </c>
      <c r="K299" s="155">
        <v>-572726.46988999844</v>
      </c>
      <c r="L299" s="155">
        <v>-1809027.5191899997</v>
      </c>
      <c r="M299" s="155">
        <v>-475115.49600000115</v>
      </c>
      <c r="N299" s="155">
        <v>-449950.7569599977</v>
      </c>
      <c r="O299" s="155">
        <v>-708444.94385999476</v>
      </c>
      <c r="P299" s="155">
        <v>-520764.05347001407</v>
      </c>
      <c r="Q299" s="156">
        <v>-2154275.2502900078</v>
      </c>
      <c r="R299" s="155">
        <v>-557754.08179999702</v>
      </c>
      <c r="S299" s="155">
        <v>-512104.75625999953</v>
      </c>
      <c r="T299" s="155">
        <v>-602199.06989999034</v>
      </c>
      <c r="U299" s="155">
        <v>-652924.34728000965</v>
      </c>
      <c r="V299" s="156">
        <v>-2324982.2552399966</v>
      </c>
      <c r="W299" s="155">
        <v>-631433.65597000101</v>
      </c>
      <c r="X299" s="155">
        <v>-651364.99318999925</v>
      </c>
      <c r="Y299" s="155">
        <v>-604684.28156000166</v>
      </c>
      <c r="Z299" s="155">
        <v>-599716.45750095695</v>
      </c>
      <c r="AA299" s="156">
        <v>-2487199.3882209589</v>
      </c>
      <c r="AB299" s="155">
        <f>SUM(AB294:AB298)</f>
        <v>-334083.64237000135</v>
      </c>
      <c r="AC299" s="155">
        <f>SUM(AC294:AC298)</f>
        <v>-305248.80617999687</v>
      </c>
      <c r="AD299" s="155">
        <f t="shared" ref="AD299:AE299" si="177">SUM(AD294:AD298)</f>
        <v>-268535.27473000175</v>
      </c>
      <c r="AE299" s="155">
        <f t="shared" si="177"/>
        <v>-287845.01066000003</v>
      </c>
      <c r="AF299" s="156">
        <f t="shared" si="172"/>
        <v>-1195712.7339400002</v>
      </c>
      <c r="AG299" s="155">
        <f t="shared" ref="AG299:AJ303" si="178">AG22-AG50-AG116-AG138-AG160-AG189-AG211-AG233-AG255-AG277-AG88</f>
        <v>-307381</v>
      </c>
      <c r="AH299" s="155">
        <f t="shared" si="178"/>
        <v>-238929.11590999988</v>
      </c>
      <c r="AI299" s="155">
        <f t="shared" si="178"/>
        <v>-519589</v>
      </c>
      <c r="AJ299" s="155">
        <f t="shared" si="178"/>
        <v>43471.342730000033</v>
      </c>
      <c r="AK299" s="156">
        <f t="shared" si="173"/>
        <v>-1022427.7731799999</v>
      </c>
      <c r="AL299" s="155">
        <f t="shared" ref="AL299:AO303" si="179">AL22-AL50-AL116-AL138-AL160-AL189-AL211-AL233-AL255-AL277-AL88</f>
        <v>-241031</v>
      </c>
      <c r="AM299" s="155">
        <f t="shared" si="179"/>
        <v>-226380</v>
      </c>
      <c r="AN299" s="155">
        <f t="shared" si="179"/>
        <v>-262880</v>
      </c>
      <c r="AO299" s="155">
        <f t="shared" si="179"/>
        <v>-266571</v>
      </c>
      <c r="AP299" s="156">
        <f t="shared" si="157"/>
        <v>-996862</v>
      </c>
      <c r="AQ299" s="155">
        <f t="shared" ref="AQ299:AT303" si="180">AQ22-AQ50-AQ116-AQ138-AQ160-AQ189-AQ211-AQ233-AQ255-AQ277-AQ88</f>
        <v>-223463.50599999999</v>
      </c>
      <c r="AR299" s="155">
        <f t="shared" si="180"/>
        <v>-164664</v>
      </c>
      <c r="AS299" s="155">
        <f t="shared" si="180"/>
        <v>-223987</v>
      </c>
      <c r="AT299" s="155">
        <f t="shared" si="180"/>
        <v>-212781</v>
      </c>
      <c r="AU299" s="156">
        <f t="shared" si="161"/>
        <v>-824895.50600000005</v>
      </c>
      <c r="AV299" s="155">
        <f t="shared" ref="AV299:AY303" si="181">AV22-AV50-AV116-AV138-AV160-AV189-AV211-AV233-AV255-AV277-AV88</f>
        <v>-189831.63299999997</v>
      </c>
      <c r="AW299" s="155">
        <f t="shared" si="181"/>
        <v>-219106.49399999995</v>
      </c>
      <c r="AX299" s="155">
        <f t="shared" si="181"/>
        <v>-220852</v>
      </c>
      <c r="AY299" s="155">
        <f t="shared" si="181"/>
        <v>-253825</v>
      </c>
      <c r="AZ299" s="156">
        <f t="shared" si="164"/>
        <v>-883615.12699999986</v>
      </c>
      <c r="BA299" s="155">
        <f t="shared" ref="BA299:BA303" si="182">BA22-BA50-BA116-BA138-BA160-BA189-BA211-BA233-BA255-BA277-BA88</f>
        <v>-252748</v>
      </c>
    </row>
    <row r="300" spans="1:53">
      <c r="A300" s="11"/>
      <c r="B300" s="11" t="s">
        <v>468</v>
      </c>
      <c r="C300" s="123">
        <v>-411062.67902266467</v>
      </c>
      <c r="D300" s="123">
        <v>-372528.94468733738</v>
      </c>
      <c r="E300" s="123">
        <v>-384646.20554999303</v>
      </c>
      <c r="F300" s="123">
        <v>-508361.18479000631</v>
      </c>
      <c r="G300" s="154">
        <v>-1676599.0140500015</v>
      </c>
      <c r="H300" s="123">
        <v>-441381.98499000195</v>
      </c>
      <c r="I300" s="123">
        <v>-411969.89253999776</v>
      </c>
      <c r="J300" s="123">
        <v>-385553.58697000158</v>
      </c>
      <c r="K300" s="123">
        <v>-572726.46988999832</v>
      </c>
      <c r="L300" s="123">
        <v>-1809886.9897499997</v>
      </c>
      <c r="M300" s="123">
        <v>-475115.49600000121</v>
      </c>
      <c r="N300" s="123">
        <v>-449950.7569599977</v>
      </c>
      <c r="O300" s="123">
        <v>-708444.94385999464</v>
      </c>
      <c r="P300" s="123">
        <v>-520764.05347001425</v>
      </c>
      <c r="Q300" s="154">
        <v>-2154275.2502900078</v>
      </c>
      <c r="R300" s="123">
        <v>-557754.08179999702</v>
      </c>
      <c r="S300" s="123">
        <v>-512104.75625999959</v>
      </c>
      <c r="T300" s="123">
        <v>-602199.06989999046</v>
      </c>
      <c r="U300" s="123">
        <v>-652924.34728000977</v>
      </c>
      <c r="V300" s="154">
        <v>-2324982.2552399971</v>
      </c>
      <c r="W300" s="123">
        <v>-631433.65597000113</v>
      </c>
      <c r="X300" s="123">
        <v>-651364.99318999937</v>
      </c>
      <c r="Y300" s="123">
        <v>-604684.28156000166</v>
      </c>
      <c r="Z300" s="123">
        <v>-600258.91521195683</v>
      </c>
      <c r="AA300" s="154">
        <v>-2487741.8459319589</v>
      </c>
      <c r="AB300" s="123">
        <f t="shared" ref="AB300:AE303" si="183">AB23-AB51-AB89-AB117-AB139-AB161-AB190-AB212-AB234-AB278-AB256</f>
        <v>-334929.29471530154</v>
      </c>
      <c r="AC300" s="123">
        <f t="shared" si="183"/>
        <v>-306062.42815129919</v>
      </c>
      <c r="AD300" s="123">
        <f t="shared" si="183"/>
        <v>-316758.98450889729</v>
      </c>
      <c r="AE300" s="123">
        <f t="shared" si="183"/>
        <v>-291185.2553865001</v>
      </c>
      <c r="AF300" s="154">
        <f t="shared" si="172"/>
        <v>-1248935.9627619982</v>
      </c>
      <c r="AG300" s="123">
        <f t="shared" si="178"/>
        <v>-257046</v>
      </c>
      <c r="AH300" s="123">
        <f t="shared" si="178"/>
        <v>-209868</v>
      </c>
      <c r="AI300" s="123">
        <f t="shared" si="178"/>
        <v>-507635</v>
      </c>
      <c r="AJ300" s="123">
        <f t="shared" si="178"/>
        <v>44996.342730000033</v>
      </c>
      <c r="AK300" s="154">
        <f t="shared" si="173"/>
        <v>-929552.65726999997</v>
      </c>
      <c r="AL300" s="123">
        <f t="shared" si="179"/>
        <v>-241031</v>
      </c>
      <c r="AM300" s="123">
        <f t="shared" si="179"/>
        <v>-227461</v>
      </c>
      <c r="AN300" s="123">
        <f t="shared" si="179"/>
        <v>-262880</v>
      </c>
      <c r="AO300" s="123">
        <f t="shared" si="179"/>
        <v>-266571</v>
      </c>
      <c r="AP300" s="154">
        <f t="shared" si="157"/>
        <v>-997943</v>
      </c>
      <c r="AQ300" s="123">
        <f t="shared" si="180"/>
        <v>-223464</v>
      </c>
      <c r="AR300" s="123">
        <f t="shared" si="180"/>
        <v>-164663</v>
      </c>
      <c r="AS300" s="123">
        <f t="shared" si="180"/>
        <v>-224313</v>
      </c>
      <c r="AT300" s="123">
        <f t="shared" si="180"/>
        <v>-212457</v>
      </c>
      <c r="AU300" s="154">
        <f t="shared" si="161"/>
        <v>-824897</v>
      </c>
      <c r="AV300" s="123">
        <f t="shared" si="181"/>
        <v>-189830.63299999997</v>
      </c>
      <c r="AW300" s="123">
        <f t="shared" si="181"/>
        <v>-219106.49399999995</v>
      </c>
      <c r="AX300" s="123">
        <f t="shared" si="181"/>
        <v>-220852</v>
      </c>
      <c r="AY300" s="123">
        <f t="shared" si="181"/>
        <v>-253825</v>
      </c>
      <c r="AZ300" s="142">
        <f t="shared" si="164"/>
        <v>-883614.12699999986</v>
      </c>
      <c r="BA300" s="123">
        <f t="shared" si="182"/>
        <v>-252749</v>
      </c>
    </row>
    <row r="301" spans="1:53">
      <c r="A301" s="11"/>
      <c r="B301" s="11" t="s">
        <v>436</v>
      </c>
      <c r="C301" s="123">
        <v>0</v>
      </c>
      <c r="D301" s="123">
        <v>0</v>
      </c>
      <c r="E301" s="123">
        <v>0</v>
      </c>
      <c r="F301" s="123">
        <v>0</v>
      </c>
      <c r="G301" s="154">
        <v>0</v>
      </c>
      <c r="H301" s="123">
        <v>0</v>
      </c>
      <c r="I301" s="123">
        <v>0</v>
      </c>
      <c r="J301" s="123">
        <v>0</v>
      </c>
      <c r="K301" s="123">
        <v>0</v>
      </c>
      <c r="L301" s="123">
        <v>0</v>
      </c>
      <c r="M301" s="123">
        <v>0</v>
      </c>
      <c r="N301" s="123">
        <v>0</v>
      </c>
      <c r="O301" s="123">
        <v>0</v>
      </c>
      <c r="P301" s="123">
        <v>0</v>
      </c>
      <c r="Q301" s="154">
        <v>0</v>
      </c>
      <c r="R301" s="123">
        <v>0</v>
      </c>
      <c r="S301" s="123">
        <v>6409</v>
      </c>
      <c r="T301" s="123">
        <v>2728</v>
      </c>
      <c r="U301" s="123">
        <v>2710.601289997343</v>
      </c>
      <c r="V301" s="154">
        <v>11847.601289997343</v>
      </c>
      <c r="W301" s="123">
        <v>2711</v>
      </c>
      <c r="X301" s="123">
        <v>2721</v>
      </c>
      <c r="Y301" s="123">
        <v>2719</v>
      </c>
      <c r="Z301" s="123">
        <v>-3997</v>
      </c>
      <c r="AA301" s="154">
        <v>4154</v>
      </c>
      <c r="AB301" s="123">
        <f t="shared" si="183"/>
        <v>56750.909576582832</v>
      </c>
      <c r="AC301" s="123">
        <f t="shared" si="183"/>
        <v>59274.800722110813</v>
      </c>
      <c r="AD301" s="123">
        <f t="shared" si="183"/>
        <v>56400.771870840057</v>
      </c>
      <c r="AE301" s="123">
        <f t="shared" si="183"/>
        <v>21895.24068594315</v>
      </c>
      <c r="AF301" s="154">
        <f t="shared" si="172"/>
        <v>194321.72285547684</v>
      </c>
      <c r="AG301" s="123">
        <f t="shared" si="178"/>
        <v>52445</v>
      </c>
      <c r="AH301" s="123">
        <f t="shared" si="178"/>
        <v>34376</v>
      </c>
      <c r="AI301" s="123">
        <f t="shared" si="178"/>
        <v>14232</v>
      </c>
      <c r="AJ301" s="123">
        <f t="shared" si="178"/>
        <v>-175</v>
      </c>
      <c r="AK301" s="154">
        <f t="shared" si="173"/>
        <v>100878</v>
      </c>
      <c r="AL301" s="123">
        <f t="shared" si="179"/>
        <v>185.71</v>
      </c>
      <c r="AM301" s="123">
        <f t="shared" si="179"/>
        <v>678</v>
      </c>
      <c r="AN301" s="123">
        <f t="shared" si="179"/>
        <v>-936.01484455958541</v>
      </c>
      <c r="AO301" s="123">
        <f t="shared" si="179"/>
        <v>6141.6476683937826</v>
      </c>
      <c r="AP301" s="154">
        <f t="shared" si="157"/>
        <v>6069.3428238341976</v>
      </c>
      <c r="AQ301" s="123">
        <f t="shared" si="180"/>
        <v>362</v>
      </c>
      <c r="AR301" s="123">
        <f t="shared" si="180"/>
        <v>1994</v>
      </c>
      <c r="AS301" s="123">
        <f t="shared" si="180"/>
        <v>-5351.6994818652847</v>
      </c>
      <c r="AT301" s="123">
        <f t="shared" si="180"/>
        <v>-677</v>
      </c>
      <c r="AU301" s="154">
        <f t="shared" si="161"/>
        <v>-3672.6994818652847</v>
      </c>
      <c r="AV301" s="123">
        <f t="shared" si="181"/>
        <v>-131</v>
      </c>
      <c r="AW301" s="123">
        <f t="shared" si="181"/>
        <v>-524</v>
      </c>
      <c r="AX301" s="123">
        <f t="shared" si="181"/>
        <v>554</v>
      </c>
      <c r="AY301" s="123">
        <f t="shared" si="181"/>
        <v>-3503</v>
      </c>
      <c r="AZ301" s="142">
        <f t="shared" si="164"/>
        <v>-3604</v>
      </c>
      <c r="BA301" s="123">
        <f t="shared" si="182"/>
        <v>19590</v>
      </c>
    </row>
    <row r="302" spans="1:53">
      <c r="A302" s="11"/>
      <c r="B302" s="11" t="s">
        <v>470</v>
      </c>
      <c r="C302" s="123">
        <v>-411062.67902266467</v>
      </c>
      <c r="D302" s="123">
        <v>-372528.94468733738</v>
      </c>
      <c r="E302" s="123">
        <v>-384646.20554999303</v>
      </c>
      <c r="F302" s="123">
        <v>-508361.18479000631</v>
      </c>
      <c r="G302" s="154">
        <v>-1676599.0140500015</v>
      </c>
      <c r="H302" s="123">
        <v>-441381.98499000195</v>
      </c>
      <c r="I302" s="123">
        <v>-411969.89253999776</v>
      </c>
      <c r="J302" s="123">
        <v>-385553.58697000158</v>
      </c>
      <c r="K302" s="123">
        <v>-572726.46988999832</v>
      </c>
      <c r="L302" s="123">
        <v>-1809886.9897514135</v>
      </c>
      <c r="M302" s="123">
        <v>-475115.49600000121</v>
      </c>
      <c r="N302" s="123">
        <v>-449950.7569599977</v>
      </c>
      <c r="O302" s="123">
        <v>-708444.94385999464</v>
      </c>
      <c r="P302" s="123">
        <v>-520764.05347001425</v>
      </c>
      <c r="Q302" s="154">
        <v>-2154275.2502900078</v>
      </c>
      <c r="R302" s="123">
        <v>-557754.08179999702</v>
      </c>
      <c r="S302" s="123">
        <v>-505695.75625999959</v>
      </c>
      <c r="T302" s="123">
        <v>-599471.06989999046</v>
      </c>
      <c r="U302" s="123">
        <v>-650213.74599001242</v>
      </c>
      <c r="V302" s="154">
        <v>-2313134.6539499997</v>
      </c>
      <c r="W302" s="123">
        <v>-628722.65597000113</v>
      </c>
      <c r="X302" s="123">
        <v>-648643.99318999937</v>
      </c>
      <c r="Y302" s="123">
        <v>-601965.28156000166</v>
      </c>
      <c r="Z302" s="123">
        <v>-604255.91521195683</v>
      </c>
      <c r="AA302" s="154">
        <v>-2483587.8459319589</v>
      </c>
      <c r="AB302" s="123">
        <f t="shared" si="183"/>
        <v>-278178.3851387187</v>
      </c>
      <c r="AC302" s="123">
        <f t="shared" si="183"/>
        <v>-246787.62742918837</v>
      </c>
      <c r="AD302" s="123">
        <f t="shared" si="183"/>
        <v>-260358.21263805724</v>
      </c>
      <c r="AE302" s="123">
        <f t="shared" si="183"/>
        <v>-269290.01470055693</v>
      </c>
      <c r="AF302" s="154">
        <f t="shared" si="172"/>
        <v>-1054614.2399065213</v>
      </c>
      <c r="AG302" s="123">
        <f t="shared" si="178"/>
        <v>-257286</v>
      </c>
      <c r="AH302" s="123">
        <f t="shared" si="178"/>
        <v>-206480</v>
      </c>
      <c r="AI302" s="123">
        <f t="shared" si="178"/>
        <v>-506221</v>
      </c>
      <c r="AJ302" s="123">
        <f t="shared" si="178"/>
        <v>45647.342730000033</v>
      </c>
      <c r="AK302" s="154">
        <f t="shared" si="173"/>
        <v>-924339.65726999997</v>
      </c>
      <c r="AL302" s="123">
        <f t="shared" si="179"/>
        <v>-240837</v>
      </c>
      <c r="AM302" s="123">
        <f t="shared" si="179"/>
        <v>-225684</v>
      </c>
      <c r="AN302" s="123">
        <f t="shared" si="179"/>
        <v>-263792</v>
      </c>
      <c r="AO302" s="123">
        <f t="shared" si="179"/>
        <v>-260425</v>
      </c>
      <c r="AP302" s="154">
        <f t="shared" si="157"/>
        <v>-990738</v>
      </c>
      <c r="AQ302" s="123">
        <f t="shared" si="180"/>
        <v>-223085</v>
      </c>
      <c r="AR302" s="123">
        <f t="shared" si="180"/>
        <v>-162669</v>
      </c>
      <c r="AS302" s="123">
        <f t="shared" si="180"/>
        <v>-229664.69948186527</v>
      </c>
      <c r="AT302" s="123">
        <f t="shared" si="180"/>
        <v>-213134</v>
      </c>
      <c r="AU302" s="154">
        <f t="shared" si="161"/>
        <v>-828552.69948186527</v>
      </c>
      <c r="AV302" s="123">
        <f t="shared" si="181"/>
        <v>-189961.63299999997</v>
      </c>
      <c r="AW302" s="123">
        <f t="shared" si="181"/>
        <v>-219630.49399999995</v>
      </c>
      <c r="AX302" s="123">
        <f t="shared" si="181"/>
        <v>-220298</v>
      </c>
      <c r="AY302" s="123">
        <f t="shared" si="181"/>
        <v>-257328</v>
      </c>
      <c r="AZ302" s="142">
        <f t="shared" si="164"/>
        <v>-887218.12699999986</v>
      </c>
      <c r="BA302" s="123">
        <f t="shared" si="182"/>
        <v>-233129</v>
      </c>
    </row>
    <row r="303" spans="1:53">
      <c r="A303" s="11"/>
      <c r="B303" s="11" t="s">
        <v>471</v>
      </c>
      <c r="C303" s="123">
        <v>7.2126657978515141E-3</v>
      </c>
      <c r="D303" s="123">
        <v>-7.2126657905755565E-3</v>
      </c>
      <c r="E303" s="123">
        <v>-1.4551915228366852E-11</v>
      </c>
      <c r="F303" s="123">
        <v>-1.8189894035458565E-12</v>
      </c>
      <c r="G303" s="154">
        <v>-9.0949470177292824E-12</v>
      </c>
      <c r="H303" s="123">
        <v>0</v>
      </c>
      <c r="I303" s="123">
        <v>-2.1827872842550278E-11</v>
      </c>
      <c r="J303" s="123">
        <v>1.8189894035458565E-11</v>
      </c>
      <c r="K303" s="123">
        <v>1.0913936421275139E-11</v>
      </c>
      <c r="L303" s="123">
        <v>0</v>
      </c>
      <c r="M303" s="123">
        <v>-7.2759576141834259E-12</v>
      </c>
      <c r="N303" s="123">
        <v>-3.637978807091713E-12</v>
      </c>
      <c r="O303" s="123">
        <v>2.1827872842550278E-11</v>
      </c>
      <c r="P303" s="123">
        <v>-3.637978807091713E-12</v>
      </c>
      <c r="Q303" s="154">
        <v>7.2759576141834259E-12</v>
      </c>
      <c r="R303" s="123">
        <v>-7.2759576141834259E-12</v>
      </c>
      <c r="S303" s="123">
        <v>1.4551915228366852E-11</v>
      </c>
      <c r="T303" s="123">
        <v>7.2759576141834259E-12</v>
      </c>
      <c r="U303" s="123">
        <v>-7.2759576141834259E-12</v>
      </c>
      <c r="V303" s="154">
        <v>7.2759576141834259E-12</v>
      </c>
      <c r="W303" s="123">
        <v>0</v>
      </c>
      <c r="X303" s="123">
        <v>-1.8189894035458565E-12</v>
      </c>
      <c r="Y303" s="123">
        <v>-3.637978807091713E-12</v>
      </c>
      <c r="Z303" s="123">
        <v>542.4577109998645</v>
      </c>
      <c r="AA303" s="154">
        <v>542.45771099985905</v>
      </c>
      <c r="AB303" s="123">
        <f t="shared" si="183"/>
        <v>845.65234529999725</v>
      </c>
      <c r="AC303" s="123">
        <f t="shared" si="183"/>
        <v>813.48640130002059</v>
      </c>
      <c r="AD303" s="123">
        <f t="shared" si="183"/>
        <v>795.5379688999783</v>
      </c>
      <c r="AE303" s="123">
        <f t="shared" si="183"/>
        <v>3339.244726500071</v>
      </c>
      <c r="AF303" s="154">
        <f t="shared" si="172"/>
        <v>5793.9214420000671</v>
      </c>
      <c r="AG303" s="123">
        <f t="shared" si="178"/>
        <v>2349</v>
      </c>
      <c r="AH303" s="123">
        <f t="shared" si="178"/>
        <v>1044</v>
      </c>
      <c r="AI303" s="123">
        <f t="shared" si="178"/>
        <v>1114</v>
      </c>
      <c r="AJ303" s="123">
        <f t="shared" si="178"/>
        <v>-1083</v>
      </c>
      <c r="AK303" s="154">
        <f t="shared" si="173"/>
        <v>3424</v>
      </c>
      <c r="AL303" s="123">
        <f t="shared" si="179"/>
        <v>0</v>
      </c>
      <c r="AM303" s="123">
        <f t="shared" si="179"/>
        <v>0</v>
      </c>
      <c r="AN303" s="123">
        <f t="shared" si="179"/>
        <v>0</v>
      </c>
      <c r="AO303" s="123">
        <f t="shared" si="179"/>
        <v>0</v>
      </c>
      <c r="AP303" s="154">
        <f t="shared" si="157"/>
        <v>0</v>
      </c>
      <c r="AQ303" s="123">
        <f t="shared" si="180"/>
        <v>0</v>
      </c>
      <c r="AR303" s="123">
        <f t="shared" si="180"/>
        <v>0</v>
      </c>
      <c r="AS303" s="123">
        <f t="shared" si="180"/>
        <v>0</v>
      </c>
      <c r="AT303" s="123">
        <f t="shared" si="180"/>
        <v>0</v>
      </c>
      <c r="AU303" s="154">
        <f t="shared" si="161"/>
        <v>0</v>
      </c>
      <c r="AV303" s="123">
        <f t="shared" si="181"/>
        <v>0</v>
      </c>
      <c r="AW303" s="123">
        <f t="shared" si="181"/>
        <v>0</v>
      </c>
      <c r="AX303" s="123">
        <f t="shared" si="181"/>
        <v>0</v>
      </c>
      <c r="AY303" s="123">
        <f t="shared" si="181"/>
        <v>0</v>
      </c>
      <c r="AZ303" s="142">
        <f t="shared" si="164"/>
        <v>0</v>
      </c>
      <c r="BA303" s="123">
        <f t="shared" si="182"/>
        <v>0</v>
      </c>
    </row>
    <row r="304" spans="1:53" s="505" customFormat="1" ht="15.75" thickBot="1">
      <c r="A304" s="17"/>
      <c r="B304" s="17" t="s">
        <v>451</v>
      </c>
      <c r="C304" s="18">
        <v>0.48209999999999997</v>
      </c>
      <c r="D304" s="18">
        <v>0.48209999999999997</v>
      </c>
      <c r="E304" s="18">
        <v>0.48209999999999997</v>
      </c>
      <c r="F304" s="18">
        <v>0.48209999999999997</v>
      </c>
      <c r="G304" s="48">
        <v>0.48209999999999997</v>
      </c>
      <c r="H304" s="18">
        <v>0.48209999999999997</v>
      </c>
      <c r="I304" s="18">
        <v>0.48209999999999997</v>
      </c>
      <c r="J304" s="18">
        <v>0.48209999999999997</v>
      </c>
      <c r="K304" s="18">
        <v>0.48209999999999997</v>
      </c>
      <c r="L304" s="48">
        <v>0.48209999999999997</v>
      </c>
      <c r="M304" s="18">
        <v>0.48209999999999997</v>
      </c>
      <c r="N304" s="18">
        <v>0.48209999999999997</v>
      </c>
      <c r="O304" s="18">
        <v>0.48209999999999997</v>
      </c>
      <c r="P304" s="18">
        <v>0.48209999999999997</v>
      </c>
      <c r="Q304" s="48">
        <v>0.48209999999999997</v>
      </c>
      <c r="R304" s="18">
        <v>0.48209999999999997</v>
      </c>
      <c r="S304" s="18">
        <v>0.48209999999999997</v>
      </c>
      <c r="T304" s="18">
        <v>0.48209999999999997</v>
      </c>
      <c r="U304" s="18">
        <v>0.48209999999999997</v>
      </c>
      <c r="V304" s="48">
        <v>0.48209999999999997</v>
      </c>
      <c r="W304" s="18">
        <v>0.48209999999999997</v>
      </c>
      <c r="X304" s="18">
        <v>0.48209999999999997</v>
      </c>
      <c r="Y304" s="18">
        <v>0.48209999999999997</v>
      </c>
      <c r="Z304" s="18">
        <v>0.48209999999999997</v>
      </c>
      <c r="AA304" s="48">
        <v>0.48209999999999997</v>
      </c>
      <c r="AB304" s="18">
        <v>0.48249999999999998</v>
      </c>
      <c r="AC304" s="18">
        <v>0.48249999999999998</v>
      </c>
      <c r="AD304" s="18">
        <v>0.48249999999999998</v>
      </c>
      <c r="AE304" s="18">
        <v>0.48249999999999998</v>
      </c>
      <c r="AF304" s="48">
        <v>0.48249999999999998</v>
      </c>
      <c r="AG304" s="18">
        <v>0.48249999999999998</v>
      </c>
      <c r="AH304" s="18">
        <v>0.48249999999999998</v>
      </c>
      <c r="AI304" s="169">
        <v>0.48249999999999998</v>
      </c>
      <c r="AJ304" s="169">
        <v>0.48249999999999998</v>
      </c>
      <c r="AK304" s="48">
        <v>0.48249999999999998</v>
      </c>
      <c r="AL304" s="169">
        <v>0.48249999999999998</v>
      </c>
      <c r="AM304" s="169">
        <v>0.48249999999999998</v>
      </c>
      <c r="AN304" s="169">
        <f t="shared" ref="AN304:AO304" si="184">AM304</f>
        <v>0.48249999999999998</v>
      </c>
      <c r="AO304" s="169">
        <f t="shared" si="184"/>
        <v>0.48249999999999998</v>
      </c>
      <c r="AP304" s="48">
        <f>AO304</f>
        <v>0.48249999999999998</v>
      </c>
      <c r="AQ304" s="169">
        <v>0.48249999999999998</v>
      </c>
      <c r="AR304" s="169">
        <v>0.48249999999999998</v>
      </c>
      <c r="AS304" s="169">
        <v>0.48249999999999998</v>
      </c>
      <c r="AT304" s="169">
        <v>0.48249999999999998</v>
      </c>
      <c r="AU304" s="48">
        <v>0.48249999999999998</v>
      </c>
      <c r="AV304" s="169">
        <v>0.48249999999999998</v>
      </c>
      <c r="AW304" s="169">
        <v>0.48249999999999998</v>
      </c>
      <c r="AX304" s="169">
        <v>0.48249999999999998</v>
      </c>
      <c r="AY304" s="169">
        <v>0.48249999999999998</v>
      </c>
      <c r="AZ304" s="48">
        <v>0.48249999999999998</v>
      </c>
      <c r="BA304" s="169">
        <v>0.48249999999999998</v>
      </c>
    </row>
    <row r="306" spans="32:53">
      <c r="AF306" s="102"/>
      <c r="AG306" s="102"/>
      <c r="AK306" s="102"/>
      <c r="AP306" s="102"/>
      <c r="AU306" s="102"/>
      <c r="AZ306" s="102"/>
      <c r="BA306" s="102"/>
    </row>
    <row r="307" spans="32:53">
      <c r="AF307" s="102"/>
      <c r="AG307" s="102"/>
      <c r="AK307" s="102"/>
      <c r="AP307" s="102"/>
      <c r="AU307" s="102"/>
      <c r="AZ307" s="102"/>
      <c r="BA307" s="102"/>
    </row>
    <row r="308" spans="32:53">
      <c r="AF308" s="102"/>
      <c r="AG308" s="102"/>
      <c r="AK308" s="102"/>
      <c r="AP308" s="102"/>
      <c r="AU308" s="102"/>
      <c r="AZ308" s="102"/>
      <c r="BA308" s="102"/>
    </row>
    <row r="309" spans="32:53">
      <c r="AF309" s="102"/>
      <c r="AG309" s="102"/>
      <c r="AK309" s="102"/>
      <c r="AP309" s="102"/>
      <c r="AU309" s="102"/>
      <c r="AZ309" s="102"/>
      <c r="BA309" s="102"/>
    </row>
    <row r="310" spans="32:53">
      <c r="AF310" s="102"/>
      <c r="AG310" s="102"/>
      <c r="AK310" s="102"/>
      <c r="AP310" s="102"/>
      <c r="AU310" s="102"/>
      <c r="AZ310" s="102"/>
      <c r="BA310" s="102"/>
    </row>
    <row r="311" spans="32:53">
      <c r="AF311" s="102"/>
      <c r="AG311" s="102"/>
      <c r="AK311" s="102"/>
      <c r="AP311" s="102"/>
      <c r="AU311" s="102"/>
      <c r="AZ311" s="102"/>
      <c r="BA311" s="102"/>
    </row>
    <row r="312" spans="32:53">
      <c r="AF312" s="102"/>
      <c r="AG312" s="102"/>
      <c r="AK312" s="102"/>
      <c r="AP312" s="102"/>
      <c r="AU312" s="102"/>
      <c r="AZ312" s="102"/>
      <c r="BA312" s="102"/>
    </row>
    <row r="313" spans="32:53">
      <c r="AF313" s="102"/>
      <c r="AG313" s="102"/>
      <c r="AK313" s="102"/>
      <c r="AP313" s="102"/>
      <c r="AU313" s="102"/>
      <c r="AZ313" s="102"/>
      <c r="BA313" s="102"/>
    </row>
    <row r="314" spans="32:53">
      <c r="AF314" s="102"/>
      <c r="AG314" s="102"/>
      <c r="AK314" s="102"/>
      <c r="AP314" s="102"/>
      <c r="AU314" s="102"/>
      <c r="AZ314" s="102"/>
      <c r="BA314" s="102"/>
    </row>
    <row r="315" spans="32:53">
      <c r="AF315" s="102"/>
      <c r="AG315" s="102"/>
      <c r="AK315" s="102"/>
      <c r="AP315" s="102"/>
      <c r="AU315" s="102"/>
      <c r="AZ315" s="102"/>
      <c r="BA315" s="102"/>
    </row>
    <row r="316" spans="32:53">
      <c r="AF316" s="102"/>
      <c r="AG316" s="102"/>
      <c r="AK316" s="102"/>
      <c r="AP316" s="102"/>
      <c r="AU316" s="102"/>
      <c r="AZ316" s="102"/>
      <c r="BA316" s="102"/>
    </row>
    <row r="317" spans="32:53">
      <c r="AF317" s="102"/>
      <c r="AG317" s="102"/>
      <c r="AK317" s="102"/>
      <c r="AP317" s="102"/>
      <c r="AU317" s="102"/>
      <c r="AZ317" s="102"/>
      <c r="BA317" s="102"/>
    </row>
    <row r="318" spans="32:53">
      <c r="AF318" s="102"/>
      <c r="AG318" s="102"/>
      <c r="AK318" s="102"/>
      <c r="AP318" s="102"/>
      <c r="AU318" s="102"/>
      <c r="AZ318" s="102"/>
      <c r="BA318" s="102"/>
    </row>
    <row r="319" spans="32:53">
      <c r="AF319" s="102"/>
      <c r="AG319" s="102"/>
      <c r="AK319" s="102"/>
      <c r="AP319" s="102"/>
      <c r="AU319" s="102"/>
      <c r="AZ319" s="102"/>
      <c r="BA319" s="102"/>
    </row>
    <row r="320" spans="32:53">
      <c r="AF320" s="102"/>
      <c r="AG320" s="102"/>
      <c r="AK320" s="102"/>
      <c r="AP320" s="102"/>
      <c r="AU320" s="102"/>
      <c r="AZ320" s="102"/>
      <c r="BA320" s="102"/>
    </row>
    <row r="321" spans="32:53">
      <c r="AF321" s="102"/>
      <c r="AG321" s="102"/>
      <c r="AK321" s="102"/>
      <c r="AP321" s="102"/>
      <c r="AU321" s="102"/>
      <c r="AZ321" s="102"/>
      <c r="BA321" s="102"/>
    </row>
    <row r="322" spans="32:53">
      <c r="AF322" s="102"/>
      <c r="AG322" s="102"/>
      <c r="AK322" s="102"/>
      <c r="AP322" s="102"/>
      <c r="AU322" s="102"/>
      <c r="AZ322" s="102"/>
      <c r="BA322" s="102"/>
    </row>
  </sheetData>
  <mergeCells count="1">
    <mergeCell ref="B2:AB2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24B7A-1B77-4550-B859-1492BE3B4289}">
  <dimension ref="A1:BY52"/>
  <sheetViews>
    <sheetView showGridLines="0" showRowColHeaders="0" zoomScale="75" zoomScaleNormal="75" workbookViewId="0">
      <pane xSplit="2" ySplit="5" topLeftCell="AV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1"/>
  <cols>
    <col min="1" max="1" width="2.5703125" customWidth="1"/>
    <col min="2" max="2" width="60.5703125" customWidth="1"/>
    <col min="3" max="5" width="9.42578125" hidden="1" customWidth="1" outlineLevel="1"/>
    <col min="6" max="6" width="10.42578125" hidden="1" customWidth="1" outlineLevel="1"/>
    <col min="7" max="7" width="10.42578125" customWidth="1" collapsed="1"/>
    <col min="8" max="11" width="11.42578125" hidden="1" customWidth="1" outlineLevel="1"/>
    <col min="12" max="12" width="10.42578125" bestFit="1" customWidth="1" collapsed="1"/>
    <col min="13" max="16" width="11.42578125" hidden="1" customWidth="1" outlineLevel="1"/>
    <col min="17" max="17" width="10.42578125" bestFit="1" customWidth="1" collapsed="1"/>
    <col min="18" max="18" width="12.42578125" hidden="1" customWidth="1" outlineLevel="1"/>
    <col min="19" max="21" width="11.42578125" hidden="1" customWidth="1" outlineLevel="1"/>
    <col min="22" max="22" width="11.42578125" customWidth="1" collapsed="1"/>
    <col min="23" max="26" width="11.42578125" hidden="1" customWidth="1" outlineLevel="1"/>
    <col min="27" max="27" width="11.42578125" customWidth="1" collapsed="1"/>
    <col min="28" max="31" width="11.42578125" hidden="1" customWidth="1" outlineLevel="1"/>
    <col min="32" max="32" width="11.42578125" customWidth="1" collapsed="1"/>
    <col min="33" max="33" width="11.42578125" hidden="1" customWidth="1" outlineLevel="1"/>
    <col min="34" max="35" width="10.42578125" hidden="1" customWidth="1" outlineLevel="1"/>
    <col min="36" max="36" width="11.42578125" hidden="1" customWidth="1" outlineLevel="1"/>
    <col min="37" max="37" width="11.42578125" customWidth="1" collapsed="1"/>
    <col min="38" max="41" width="11.42578125" hidden="1" customWidth="1" outlineLevel="1"/>
    <col min="42" max="42" width="11.42578125" bestFit="1" customWidth="1" collapsed="1"/>
    <col min="43" max="43" width="10.42578125" hidden="1" customWidth="1" outlineLevel="1"/>
    <col min="44" max="46" width="11.42578125" hidden="1" customWidth="1" outlineLevel="1"/>
    <col min="47" max="47" width="11.42578125" bestFit="1" customWidth="1" collapsed="1"/>
    <col min="48" max="51" width="11.42578125" customWidth="1" outlineLevel="1"/>
    <col min="52" max="52" width="11.42578125" bestFit="1" customWidth="1"/>
    <col min="53" max="53" width="11.42578125" customWidth="1" outlineLevel="1"/>
    <col min="54" max="77" width="8.7109375" bestFit="1" customWidth="1"/>
  </cols>
  <sheetData>
    <row r="1" spans="1:77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77" ht="15" customHeight="1">
      <c r="A2" s="619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32"/>
      <c r="BA2" s="630"/>
    </row>
    <row r="3" spans="1:77" ht="50.1" customHeight="1">
      <c r="A3" s="635"/>
      <c r="B3" s="635" t="s">
        <v>538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77" s="108" customFormat="1" ht="10.35" customHeight="1"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R4" s="109"/>
      <c r="S4" s="109"/>
      <c r="T4" s="109"/>
      <c r="U4" s="109"/>
      <c r="W4" s="109"/>
      <c r="X4" s="109"/>
      <c r="Y4" s="109"/>
      <c r="Z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</row>
    <row r="5" spans="1:77" s="103" customFormat="1" ht="23.25">
      <c r="A5" s="74"/>
      <c r="B5" s="74" t="s">
        <v>539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</row>
    <row r="6" spans="1:77" s="696" customFormat="1" ht="10.35" customHeight="1" thickBot="1">
      <c r="C6" s="697"/>
      <c r="D6" s="697"/>
      <c r="E6" s="697"/>
      <c r="F6" s="697"/>
      <c r="H6" s="697"/>
      <c r="I6" s="697"/>
      <c r="J6" s="697"/>
      <c r="K6" s="697"/>
      <c r="M6" s="697"/>
      <c r="N6" s="697"/>
      <c r="O6" s="697"/>
      <c r="P6" s="697"/>
      <c r="R6" s="697"/>
      <c r="S6" s="697"/>
      <c r="T6" s="697"/>
      <c r="U6" s="697"/>
      <c r="W6" s="697"/>
      <c r="X6" s="697"/>
      <c r="Y6" s="697"/>
      <c r="Z6" s="697"/>
      <c r="AB6" s="697"/>
      <c r="AC6" s="697"/>
      <c r="AD6" s="697"/>
      <c r="AE6" s="697"/>
      <c r="AF6" s="697"/>
      <c r="AG6" s="697"/>
      <c r="AH6" s="697"/>
      <c r="AI6" s="697"/>
      <c r="AJ6" s="697"/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AU6" s="697"/>
      <c r="AV6" s="697"/>
      <c r="AW6" s="697"/>
      <c r="AX6" s="697"/>
      <c r="AY6" s="697"/>
      <c r="AZ6" s="697"/>
      <c r="BA6" s="697"/>
    </row>
    <row r="7" spans="1:77" s="2" customFormat="1">
      <c r="A7" s="625"/>
      <c r="B7" s="625" t="s">
        <v>540</v>
      </c>
      <c r="C7" s="626" t="s">
        <v>224</v>
      </c>
      <c r="D7" s="626" t="s">
        <v>225</v>
      </c>
      <c r="E7" s="626" t="s">
        <v>226</v>
      </c>
      <c r="F7" s="626" t="s">
        <v>227</v>
      </c>
      <c r="G7" s="652">
        <v>2016</v>
      </c>
      <c r="H7" s="626" t="s">
        <v>228</v>
      </c>
      <c r="I7" s="626" t="s">
        <v>229</v>
      </c>
      <c r="J7" s="626" t="s">
        <v>230</v>
      </c>
      <c r="K7" s="626" t="s">
        <v>231</v>
      </c>
      <c r="L7" s="652">
        <v>2017</v>
      </c>
      <c r="M7" s="626" t="s">
        <v>232</v>
      </c>
      <c r="N7" s="626" t="s">
        <v>233</v>
      </c>
      <c r="O7" s="626" t="s">
        <v>234</v>
      </c>
      <c r="P7" s="626" t="s">
        <v>235</v>
      </c>
      <c r="Q7" s="652">
        <v>2018</v>
      </c>
      <c r="R7" s="626" t="s">
        <v>236</v>
      </c>
      <c r="S7" s="626" t="s">
        <v>237</v>
      </c>
      <c r="T7" s="626" t="s">
        <v>238</v>
      </c>
      <c r="U7" s="626" t="s">
        <v>239</v>
      </c>
      <c r="V7" s="652">
        <v>2019</v>
      </c>
      <c r="W7" s="626" t="s">
        <v>240</v>
      </c>
      <c r="X7" s="626" t="s">
        <v>241</v>
      </c>
      <c r="Y7" s="626" t="s">
        <v>242</v>
      </c>
      <c r="Z7" s="626" t="s">
        <v>243</v>
      </c>
      <c r="AA7" s="652">
        <v>2020</v>
      </c>
      <c r="AB7" s="626" t="s">
        <v>244</v>
      </c>
      <c r="AC7" s="626" t="s">
        <v>245</v>
      </c>
      <c r="AD7" s="626" t="s">
        <v>246</v>
      </c>
      <c r="AE7" s="626" t="s">
        <v>247</v>
      </c>
      <c r="AF7" s="652">
        <v>2021</v>
      </c>
      <c r="AG7" s="626" t="s">
        <v>248</v>
      </c>
      <c r="AH7" s="626" t="s">
        <v>249</v>
      </c>
      <c r="AI7" s="626" t="s">
        <v>250</v>
      </c>
      <c r="AJ7" s="626" t="s">
        <v>215</v>
      </c>
      <c r="AK7" s="652">
        <v>2022</v>
      </c>
      <c r="AL7" s="626" t="s">
        <v>252</v>
      </c>
      <c r="AM7" s="626" t="s">
        <v>253</v>
      </c>
      <c r="AN7" s="626" t="s">
        <v>254</v>
      </c>
      <c r="AO7" s="626" t="s">
        <v>219</v>
      </c>
      <c r="AP7" s="652">
        <v>2023</v>
      </c>
      <c r="AQ7" s="626" t="s">
        <v>223</v>
      </c>
      <c r="AR7" s="626" t="s">
        <v>256</v>
      </c>
      <c r="AS7" s="626" t="s">
        <v>357</v>
      </c>
      <c r="AT7" s="626" t="s">
        <v>358</v>
      </c>
      <c r="AU7" s="652">
        <v>2024</v>
      </c>
      <c r="AV7" s="626" t="s">
        <v>359</v>
      </c>
      <c r="AW7" s="626" t="s">
        <v>1115</v>
      </c>
      <c r="AX7" s="626" t="s">
        <v>1116</v>
      </c>
      <c r="AY7" s="626" t="s">
        <v>1117</v>
      </c>
      <c r="AZ7" s="653" t="s">
        <v>1118</v>
      </c>
      <c r="BA7" s="645" t="s">
        <v>1124</v>
      </c>
    </row>
    <row r="8" spans="1:77" s="2" customFormat="1">
      <c r="A8" s="9"/>
      <c r="B8" s="9" t="s">
        <v>541</v>
      </c>
      <c r="C8" s="117">
        <v>145269.872</v>
      </c>
      <c r="D8" s="117">
        <v>166322.55999999997</v>
      </c>
      <c r="E8" s="117">
        <v>158244.10100000002</v>
      </c>
      <c r="F8" s="117">
        <v>209981.68199999997</v>
      </c>
      <c r="G8" s="118">
        <v>679818.21499999997</v>
      </c>
      <c r="H8" s="117">
        <v>191242.291</v>
      </c>
      <c r="I8" s="117">
        <v>202031.27700000003</v>
      </c>
      <c r="J8" s="117">
        <v>209802.42199999996</v>
      </c>
      <c r="K8" s="117">
        <v>105223.48999999999</v>
      </c>
      <c r="L8" s="118">
        <v>708299.48</v>
      </c>
      <c r="M8" s="117">
        <v>194689.685</v>
      </c>
      <c r="N8" s="117">
        <v>137149.31699999998</v>
      </c>
      <c r="O8" s="117">
        <v>218892.66200000001</v>
      </c>
      <c r="P8" s="117">
        <v>141640.41200000001</v>
      </c>
      <c r="Q8" s="118">
        <v>692372.076</v>
      </c>
      <c r="R8" s="117">
        <v>288906.31</v>
      </c>
      <c r="S8" s="117">
        <v>178642.09299999999</v>
      </c>
      <c r="T8" s="117">
        <v>96262.723999999987</v>
      </c>
      <c r="U8" s="117">
        <v>216980.75699999998</v>
      </c>
      <c r="V8" s="118">
        <v>780791.88399999996</v>
      </c>
      <c r="W8" s="117">
        <v>170668.516</v>
      </c>
      <c r="X8" s="117">
        <v>226275.20899999997</v>
      </c>
      <c r="Y8" s="117">
        <v>291681.00600000005</v>
      </c>
      <c r="Z8" s="117">
        <v>278167.74699999997</v>
      </c>
      <c r="AA8" s="118">
        <v>966792.478</v>
      </c>
      <c r="AB8" s="117">
        <v>245215.51500000001</v>
      </c>
      <c r="AC8" s="117">
        <v>278658.14299999998</v>
      </c>
      <c r="AD8" s="117">
        <v>254616.342</v>
      </c>
      <c r="AE8" s="117">
        <v>265533</v>
      </c>
      <c r="AF8" s="118">
        <v>1044023</v>
      </c>
      <c r="AG8" s="125">
        <v>339557</v>
      </c>
      <c r="AH8" s="125">
        <v>305071</v>
      </c>
      <c r="AI8" s="125">
        <v>326631</v>
      </c>
      <c r="AJ8" s="117">
        <v>408421</v>
      </c>
      <c r="AK8" s="118">
        <f>SUM(AG8:AJ8)</f>
        <v>1379680</v>
      </c>
      <c r="AL8" s="125">
        <v>438339</v>
      </c>
      <c r="AM8" s="125">
        <v>422465</v>
      </c>
      <c r="AN8" s="125">
        <v>439262</v>
      </c>
      <c r="AO8" s="117">
        <v>435477</v>
      </c>
      <c r="AP8" s="118">
        <f>SUM(AL8:AO8)</f>
        <v>1735543</v>
      </c>
      <c r="AQ8" s="125">
        <v>442182</v>
      </c>
      <c r="AR8" s="125">
        <v>475892</v>
      </c>
      <c r="AS8" s="125">
        <v>516806</v>
      </c>
      <c r="AT8" s="117">
        <v>553978</v>
      </c>
      <c r="AU8" s="118">
        <f>SUM(AQ8:AT8)</f>
        <v>1988858</v>
      </c>
      <c r="AV8" s="117">
        <v>454370</v>
      </c>
      <c r="AW8" s="117">
        <v>468105</v>
      </c>
      <c r="AX8" s="117">
        <v>468264</v>
      </c>
      <c r="AY8" s="117">
        <v>514971</v>
      </c>
      <c r="AZ8" s="118">
        <f>SUM(AV8:AY8)</f>
        <v>1905710</v>
      </c>
      <c r="BA8" s="117">
        <v>565601</v>
      </c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</row>
    <row r="9" spans="1:77">
      <c r="A9" s="11"/>
      <c r="B9" s="11" t="s">
        <v>443</v>
      </c>
      <c r="C9" s="123">
        <v>-20536.755000000001</v>
      </c>
      <c r="D9" s="123">
        <v>-43402.046000000002</v>
      </c>
      <c r="E9" s="123">
        <v>-25443.310999999994</v>
      </c>
      <c r="F9" s="123">
        <v>-65523.00900000002</v>
      </c>
      <c r="G9" s="144">
        <v>-154905.12100000001</v>
      </c>
      <c r="H9" s="123">
        <v>-47953.095999999998</v>
      </c>
      <c r="I9" s="123">
        <v>-52171.136999999995</v>
      </c>
      <c r="J9" s="123">
        <v>-53543.629000000001</v>
      </c>
      <c r="K9" s="123">
        <v>27485.320999999996</v>
      </c>
      <c r="L9" s="144">
        <v>-126182.541</v>
      </c>
      <c r="M9" s="123">
        <v>-20536.755000000001</v>
      </c>
      <c r="N9" s="123">
        <v>8500.5790000000015</v>
      </c>
      <c r="O9" s="123">
        <v>-50413.707999999999</v>
      </c>
      <c r="P9" s="123">
        <v>27286.58</v>
      </c>
      <c r="Q9" s="144">
        <v>-35163.303999999996</v>
      </c>
      <c r="R9" s="123">
        <v>-114303.686</v>
      </c>
      <c r="S9" s="123">
        <v>10607.949999999997</v>
      </c>
      <c r="T9" s="123">
        <v>88434.59</v>
      </c>
      <c r="U9" s="123">
        <v>-5947.7669999999998</v>
      </c>
      <c r="V9" s="144">
        <v>-21208.913000000008</v>
      </c>
      <c r="W9" s="123">
        <v>42213.565000000002</v>
      </c>
      <c r="X9" s="123">
        <v>-25272.730000000003</v>
      </c>
      <c r="Y9" s="123">
        <v>-87004.337999999989</v>
      </c>
      <c r="Z9" s="123">
        <v>-36444.699999999997</v>
      </c>
      <c r="AA9" s="144">
        <v>-106508.20299999999</v>
      </c>
      <c r="AB9" s="123">
        <v>855.32399999999996</v>
      </c>
      <c r="AC9" s="153">
        <v>-53860.754999999997</v>
      </c>
      <c r="AD9" s="153">
        <v>-40164.569000000003</v>
      </c>
      <c r="AE9" s="153">
        <v>-32535</v>
      </c>
      <c r="AF9" s="144">
        <v>-125705</v>
      </c>
      <c r="AG9" s="136">
        <v>-77863</v>
      </c>
      <c r="AH9" s="136">
        <v>-30503</v>
      </c>
      <c r="AI9" s="136">
        <v>-41817</v>
      </c>
      <c r="AJ9" s="153">
        <v>-85458</v>
      </c>
      <c r="AK9" s="144">
        <f t="shared" ref="AK9:AK29" si="0">SUM(AG9:AJ9)</f>
        <v>-235641</v>
      </c>
      <c r="AL9" s="136">
        <v>-91550</v>
      </c>
      <c r="AM9" s="136">
        <v>-50296</v>
      </c>
      <c r="AN9" s="136">
        <v>-58404</v>
      </c>
      <c r="AO9" s="153">
        <v>-38014</v>
      </c>
      <c r="AP9" s="144">
        <f t="shared" ref="AP9:AP28" si="1">SUM(AL9:AO9)</f>
        <v>-238264</v>
      </c>
      <c r="AQ9" s="136">
        <v>-32954</v>
      </c>
      <c r="AR9" s="214">
        <v>-61593</v>
      </c>
      <c r="AS9" s="136">
        <v>-84877</v>
      </c>
      <c r="AT9" s="121">
        <v>-90409</v>
      </c>
      <c r="AU9" s="144">
        <f t="shared" ref="AU9:AU28" si="2">SUM(AQ9:AT9)</f>
        <v>-269833</v>
      </c>
      <c r="AV9" s="121">
        <v>10559</v>
      </c>
      <c r="AW9" s="121">
        <v>4742</v>
      </c>
      <c r="AX9" s="121">
        <v>12947</v>
      </c>
      <c r="AY9" s="121">
        <v>6757</v>
      </c>
      <c r="AZ9" s="144">
        <f t="shared" ref="AZ9:AZ28" si="3">SUM(AV9:AY9)</f>
        <v>35005</v>
      </c>
      <c r="BA9" s="123">
        <v>-26515</v>
      </c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7" s="2" customFormat="1">
      <c r="A10" s="9"/>
      <c r="B10" s="9" t="s">
        <v>475</v>
      </c>
      <c r="C10" s="117">
        <v>124733.117</v>
      </c>
      <c r="D10" s="117">
        <v>122920.51399999997</v>
      </c>
      <c r="E10" s="117">
        <v>132800.79</v>
      </c>
      <c r="F10" s="117">
        <v>144458.67299999995</v>
      </c>
      <c r="G10" s="118">
        <v>524913.09399999992</v>
      </c>
      <c r="H10" s="117">
        <v>143289.19500000001</v>
      </c>
      <c r="I10" s="117">
        <v>149860.14000000001</v>
      </c>
      <c r="J10" s="117">
        <v>156258.79300000001</v>
      </c>
      <c r="K10" s="117">
        <v>132708.81099999999</v>
      </c>
      <c r="L10" s="118">
        <v>582116.93900000001</v>
      </c>
      <c r="M10" s="117">
        <v>174152.93</v>
      </c>
      <c r="N10" s="117">
        <v>145649.89600000001</v>
      </c>
      <c r="O10" s="117">
        <v>168478.95399999997</v>
      </c>
      <c r="P10" s="117">
        <v>168926.99200000003</v>
      </c>
      <c r="Q10" s="118">
        <v>657208.772</v>
      </c>
      <c r="R10" s="117">
        <v>174602.62400000001</v>
      </c>
      <c r="S10" s="117">
        <v>189250.04300000001</v>
      </c>
      <c r="T10" s="117">
        <v>184697.31400000001</v>
      </c>
      <c r="U10" s="117">
        <v>211032.98999999987</v>
      </c>
      <c r="V10" s="118">
        <v>759582.9709999999</v>
      </c>
      <c r="W10" s="117">
        <v>212882.08100000001</v>
      </c>
      <c r="X10" s="117">
        <v>201002.47899999999</v>
      </c>
      <c r="Y10" s="117">
        <v>204676.66800000001</v>
      </c>
      <c r="Z10" s="117">
        <v>241723.04700000002</v>
      </c>
      <c r="AA10" s="118">
        <v>860284.27500000002</v>
      </c>
      <c r="AB10" s="117">
        <v>246070.83900000001</v>
      </c>
      <c r="AC10" s="117">
        <v>224797.38799999998</v>
      </c>
      <c r="AD10" s="117">
        <v>214451.77299999999</v>
      </c>
      <c r="AE10" s="117">
        <v>232998</v>
      </c>
      <c r="AF10" s="118">
        <v>918318</v>
      </c>
      <c r="AG10" s="125">
        <f>AG9+AG8</f>
        <v>261694</v>
      </c>
      <c r="AH10" s="125">
        <f>AH9+AH8</f>
        <v>274568</v>
      </c>
      <c r="AI10" s="125">
        <f>AI9+AI8</f>
        <v>284814</v>
      </c>
      <c r="AJ10" s="337">
        <f>AJ9+AJ8</f>
        <v>322963</v>
      </c>
      <c r="AK10" s="118">
        <f t="shared" si="0"/>
        <v>1144039</v>
      </c>
      <c r="AL10" s="125">
        <f>AL9+AL8</f>
        <v>346789</v>
      </c>
      <c r="AM10" s="125">
        <f>AM9+AM8</f>
        <v>372169</v>
      </c>
      <c r="AN10" s="125">
        <f>AN9+AN8</f>
        <v>380858</v>
      </c>
      <c r="AO10" s="337">
        <f>AO9+AO8</f>
        <v>397463</v>
      </c>
      <c r="AP10" s="118">
        <f t="shared" si="1"/>
        <v>1497279</v>
      </c>
      <c r="AQ10" s="337">
        <f>AQ9+AQ8</f>
        <v>409228</v>
      </c>
      <c r="AR10" s="337">
        <f t="shared" ref="AR10:BA10" si="4">AR9+AR8</f>
        <v>414299</v>
      </c>
      <c r="AS10" s="337">
        <f t="shared" si="4"/>
        <v>431929</v>
      </c>
      <c r="AT10" s="337">
        <f t="shared" si="4"/>
        <v>463569</v>
      </c>
      <c r="AU10" s="118">
        <f t="shared" si="2"/>
        <v>1719025</v>
      </c>
      <c r="AV10" s="337">
        <f t="shared" si="4"/>
        <v>464929</v>
      </c>
      <c r="AW10" s="337">
        <f t="shared" si="4"/>
        <v>472847</v>
      </c>
      <c r="AX10" s="337">
        <f t="shared" si="4"/>
        <v>481211</v>
      </c>
      <c r="AY10" s="337">
        <f t="shared" si="4"/>
        <v>521728</v>
      </c>
      <c r="AZ10" s="118">
        <f t="shared" si="3"/>
        <v>1940715</v>
      </c>
      <c r="BA10" s="337">
        <f t="shared" si="4"/>
        <v>539086</v>
      </c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</row>
    <row r="11" spans="1:77">
      <c r="A11" s="11"/>
      <c r="B11" s="11" t="s">
        <v>476</v>
      </c>
      <c r="C11" s="123">
        <v>0</v>
      </c>
      <c r="D11" s="123">
        <v>0</v>
      </c>
      <c r="E11" s="123">
        <v>0</v>
      </c>
      <c r="F11" s="123">
        <v>0</v>
      </c>
      <c r="G11" s="144">
        <v>0</v>
      </c>
      <c r="H11" s="123">
        <v>0</v>
      </c>
      <c r="I11" s="123">
        <v>0</v>
      </c>
      <c r="J11" s="123">
        <v>0</v>
      </c>
      <c r="K11" s="123">
        <v>0</v>
      </c>
      <c r="L11" s="144">
        <v>0</v>
      </c>
      <c r="M11" s="123">
        <v>0</v>
      </c>
      <c r="N11" s="123">
        <v>0</v>
      </c>
      <c r="O11" s="123">
        <v>0</v>
      </c>
      <c r="P11" s="123">
        <v>0</v>
      </c>
      <c r="Q11" s="144">
        <v>0</v>
      </c>
      <c r="R11" s="123">
        <v>0</v>
      </c>
      <c r="S11" s="123">
        <v>0</v>
      </c>
      <c r="T11" s="123">
        <v>0</v>
      </c>
      <c r="U11" s="123">
        <v>0</v>
      </c>
      <c r="V11" s="144">
        <v>0</v>
      </c>
      <c r="W11" s="123">
        <v>0</v>
      </c>
      <c r="X11" s="123">
        <v>0</v>
      </c>
      <c r="Y11" s="123">
        <v>0</v>
      </c>
      <c r="Z11" s="123">
        <v>0</v>
      </c>
      <c r="AA11" s="144">
        <v>0</v>
      </c>
      <c r="AB11" s="123">
        <v>0</v>
      </c>
      <c r="AC11" s="153">
        <v>0</v>
      </c>
      <c r="AD11" s="153">
        <v>0</v>
      </c>
      <c r="AE11" s="153" t="s">
        <v>0</v>
      </c>
      <c r="AF11" s="144">
        <v>0</v>
      </c>
      <c r="AG11" s="136">
        <v>0</v>
      </c>
      <c r="AH11" s="136">
        <v>0</v>
      </c>
      <c r="AI11" s="136">
        <v>0</v>
      </c>
      <c r="AJ11" s="153">
        <v>0</v>
      </c>
      <c r="AK11" s="144">
        <f t="shared" si="0"/>
        <v>0</v>
      </c>
      <c r="AL11" s="136">
        <v>0</v>
      </c>
      <c r="AM11" s="136">
        <v>0</v>
      </c>
      <c r="AN11" s="136">
        <v>0</v>
      </c>
      <c r="AO11" s="153">
        <v>0</v>
      </c>
      <c r="AP11" s="144">
        <f t="shared" si="1"/>
        <v>0</v>
      </c>
      <c r="AQ11" s="136">
        <v>0</v>
      </c>
      <c r="AR11" s="136">
        <v>0</v>
      </c>
      <c r="AS11" s="136">
        <v>0</v>
      </c>
      <c r="AT11" s="153">
        <v>0</v>
      </c>
      <c r="AU11" s="144">
        <f t="shared" si="2"/>
        <v>0</v>
      </c>
      <c r="AV11" s="153">
        <v>0</v>
      </c>
      <c r="AW11" s="153">
        <v>0</v>
      </c>
      <c r="AX11" s="153">
        <v>0</v>
      </c>
      <c r="AY11" s="153">
        <v>0</v>
      </c>
      <c r="AZ11" s="144">
        <f t="shared" si="3"/>
        <v>0</v>
      </c>
      <c r="BA11" s="123">
        <v>0</v>
      </c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>
      <c r="A12" s="11"/>
      <c r="B12" s="11" t="s">
        <v>477</v>
      </c>
      <c r="C12" s="123">
        <v>-28513.667000000001</v>
      </c>
      <c r="D12" s="123">
        <v>-23880.614000000001</v>
      </c>
      <c r="E12" s="123">
        <v>-24450.72099999999</v>
      </c>
      <c r="F12" s="123">
        <v>-44379.091</v>
      </c>
      <c r="G12" s="144">
        <v>-121224.09299999999</v>
      </c>
      <c r="H12" s="123">
        <v>-36346.764000000003</v>
      </c>
      <c r="I12" s="123">
        <v>-30737.503000000004</v>
      </c>
      <c r="J12" s="123">
        <v>-41050.377999999997</v>
      </c>
      <c r="K12" s="123">
        <v>-27408.800999999992</v>
      </c>
      <c r="L12" s="144">
        <v>-135543.446</v>
      </c>
      <c r="M12" s="123">
        <v>-28513.667000000001</v>
      </c>
      <c r="N12" s="123">
        <v>-21744.432999999997</v>
      </c>
      <c r="O12" s="123">
        <v>-22060.253000000004</v>
      </c>
      <c r="P12" s="123">
        <v>-34786.72099999999</v>
      </c>
      <c r="Q12" s="144">
        <v>-107105.07399999999</v>
      </c>
      <c r="R12" s="123">
        <v>-33182.544999999998</v>
      </c>
      <c r="S12" s="123">
        <v>-43043.369999999995</v>
      </c>
      <c r="T12" s="123">
        <v>-38762.573000000004</v>
      </c>
      <c r="U12" s="123">
        <v>-34946.884999999995</v>
      </c>
      <c r="V12" s="144">
        <v>-149935.37299999999</v>
      </c>
      <c r="W12" s="123">
        <v>-33812.760999999999</v>
      </c>
      <c r="X12" s="123">
        <v>-59152.187000000005</v>
      </c>
      <c r="Y12" s="123">
        <v>-64515.687999999995</v>
      </c>
      <c r="Z12" s="123">
        <v>-53633.288</v>
      </c>
      <c r="AA12" s="144">
        <v>-211113.924</v>
      </c>
      <c r="AB12" s="123">
        <v>-118473.398</v>
      </c>
      <c r="AC12" s="153">
        <v>-35371.455999999991</v>
      </c>
      <c r="AD12" s="153">
        <v>-150507.14600000001</v>
      </c>
      <c r="AE12" s="153">
        <v>-99607</v>
      </c>
      <c r="AF12" s="144">
        <v>-403959</v>
      </c>
      <c r="AG12" s="136">
        <v>-240072</v>
      </c>
      <c r="AH12" s="136">
        <v>-128524</v>
      </c>
      <c r="AI12" s="136">
        <v>-35482</v>
      </c>
      <c r="AJ12" s="153">
        <v>-51008</v>
      </c>
      <c r="AK12" s="144">
        <f t="shared" si="0"/>
        <v>-455086</v>
      </c>
      <c r="AL12" s="136">
        <v>-93673</v>
      </c>
      <c r="AM12" s="136">
        <v>-318686</v>
      </c>
      <c r="AN12" s="136">
        <v>163183</v>
      </c>
      <c r="AO12" s="153">
        <v>-107604</v>
      </c>
      <c r="AP12" s="144">
        <f t="shared" si="1"/>
        <v>-356780</v>
      </c>
      <c r="AQ12" s="136">
        <v>-108184</v>
      </c>
      <c r="AR12" s="136">
        <v>-131105</v>
      </c>
      <c r="AS12" s="136">
        <v>-87697</v>
      </c>
      <c r="AT12" s="153">
        <v>-133262</v>
      </c>
      <c r="AU12" s="144">
        <f t="shared" si="2"/>
        <v>-460248</v>
      </c>
      <c r="AV12" s="153">
        <v>-115348</v>
      </c>
      <c r="AW12" s="153">
        <v>-94504</v>
      </c>
      <c r="AX12" s="153">
        <v>-76405</v>
      </c>
      <c r="AY12" s="153">
        <v>-171442</v>
      </c>
      <c r="AZ12" s="144">
        <f t="shared" si="3"/>
        <v>-457699</v>
      </c>
      <c r="BA12" s="123">
        <v>-65523</v>
      </c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>
      <c r="A13" s="11"/>
      <c r="B13" s="11" t="s">
        <v>478</v>
      </c>
      <c r="C13" s="123">
        <v>-26354.421999999999</v>
      </c>
      <c r="D13" s="123">
        <v>-27327.398000000001</v>
      </c>
      <c r="E13" s="123">
        <v>-33960.779000000002</v>
      </c>
      <c r="F13" s="123">
        <v>-35429.72</v>
      </c>
      <c r="G13" s="144">
        <v>-123072.319</v>
      </c>
      <c r="H13" s="123">
        <v>-37653.182000000001</v>
      </c>
      <c r="I13" s="123">
        <v>-38521.410999999993</v>
      </c>
      <c r="J13" s="123">
        <v>-40784.560000000012</v>
      </c>
      <c r="K13" s="123">
        <v>-33382.84199999999</v>
      </c>
      <c r="L13" s="144">
        <v>-150341.995</v>
      </c>
      <c r="M13" s="123">
        <v>-26354.421999999999</v>
      </c>
      <c r="N13" s="123">
        <v>-47687.219000000005</v>
      </c>
      <c r="O13" s="123">
        <v>-39946.660999999993</v>
      </c>
      <c r="P13" s="123">
        <v>-39434.081000000006</v>
      </c>
      <c r="Q13" s="144">
        <v>-153422.383</v>
      </c>
      <c r="R13" s="123">
        <v>-39027.065999999999</v>
      </c>
      <c r="S13" s="123">
        <v>-42682.117000000006</v>
      </c>
      <c r="T13" s="123">
        <v>-44277.566999999995</v>
      </c>
      <c r="U13" s="123">
        <v>-50267.277999999991</v>
      </c>
      <c r="V13" s="144">
        <v>-176254.02799999999</v>
      </c>
      <c r="W13" s="123">
        <v>-52073.587</v>
      </c>
      <c r="X13" s="123">
        <v>-45809.668000000005</v>
      </c>
      <c r="Y13" s="123">
        <v>-45572.717000000004</v>
      </c>
      <c r="Z13" s="123">
        <v>-52122.144</v>
      </c>
      <c r="AA13" s="144">
        <v>-195578.11600000001</v>
      </c>
      <c r="AB13" s="123">
        <v>-53412.915999999997</v>
      </c>
      <c r="AC13" s="153">
        <v>-48484.377000000008</v>
      </c>
      <c r="AD13" s="153">
        <v>-45041.706999999995</v>
      </c>
      <c r="AE13" s="153">
        <v>-48761</v>
      </c>
      <c r="AF13" s="144">
        <v>-195700</v>
      </c>
      <c r="AG13" s="136">
        <v>-55718</v>
      </c>
      <c r="AH13" s="136">
        <v>-58218</v>
      </c>
      <c r="AI13" s="136">
        <v>-58730</v>
      </c>
      <c r="AJ13" s="153">
        <v>-66584</v>
      </c>
      <c r="AK13" s="144">
        <f t="shared" si="0"/>
        <v>-239250</v>
      </c>
      <c r="AL13" s="136">
        <v>-72167</v>
      </c>
      <c r="AM13" s="136">
        <v>-77089</v>
      </c>
      <c r="AN13" s="136">
        <v>-81791</v>
      </c>
      <c r="AO13" s="153">
        <v>-83833</v>
      </c>
      <c r="AP13" s="144">
        <f t="shared" si="1"/>
        <v>-314880</v>
      </c>
      <c r="AQ13" s="136">
        <v>-89588</v>
      </c>
      <c r="AR13" s="136">
        <v>-95957</v>
      </c>
      <c r="AS13" s="136">
        <v>-102018</v>
      </c>
      <c r="AT13" s="153">
        <v>-112455</v>
      </c>
      <c r="AU13" s="144">
        <f t="shared" si="2"/>
        <v>-400018</v>
      </c>
      <c r="AV13" s="153">
        <v>-120793</v>
      </c>
      <c r="AW13" s="153">
        <v>-131950</v>
      </c>
      <c r="AX13" s="153">
        <v>-141658</v>
      </c>
      <c r="AY13" s="153">
        <v>-159782</v>
      </c>
      <c r="AZ13" s="144">
        <f t="shared" si="3"/>
        <v>-554183</v>
      </c>
      <c r="BA13" s="123">
        <v>-168119</v>
      </c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>
      <c r="A14" s="11"/>
      <c r="B14" s="11" t="s">
        <v>479</v>
      </c>
      <c r="C14" s="123">
        <v>-982.66</v>
      </c>
      <c r="D14" s="123">
        <v>-8412.3469999999998</v>
      </c>
      <c r="E14" s="123">
        <v>-11511.788999999999</v>
      </c>
      <c r="F14" s="123">
        <v>-16018.271000000004</v>
      </c>
      <c r="G14" s="144">
        <v>-36925.067000000003</v>
      </c>
      <c r="H14" s="123">
        <v>-8259.8189999999995</v>
      </c>
      <c r="I14" s="123">
        <v>-9268.3060000000005</v>
      </c>
      <c r="J14" s="123">
        <v>-6362.0629999999983</v>
      </c>
      <c r="K14" s="123">
        <v>291.97899999999936</v>
      </c>
      <c r="L14" s="144">
        <v>-23598.208999999999</v>
      </c>
      <c r="M14" s="123">
        <v>-982.66</v>
      </c>
      <c r="N14" s="123">
        <v>-10924.460999999999</v>
      </c>
      <c r="O14" s="123">
        <v>-6696.0040000000008</v>
      </c>
      <c r="P14" s="123">
        <v>-5252.2779999999984</v>
      </c>
      <c r="Q14" s="144">
        <v>-23855.402999999998</v>
      </c>
      <c r="R14" s="123">
        <v>-9116.0069999999996</v>
      </c>
      <c r="S14" s="123">
        <v>-1035.3950000000004</v>
      </c>
      <c r="T14" s="123">
        <v>-10836.482999999998</v>
      </c>
      <c r="U14" s="123">
        <v>-575.07200000000012</v>
      </c>
      <c r="V14" s="144">
        <v>-21562.956999999999</v>
      </c>
      <c r="W14" s="123">
        <v>-3455.79</v>
      </c>
      <c r="X14" s="123">
        <v>875.52599999999984</v>
      </c>
      <c r="Y14" s="123">
        <v>-2207.5429999999997</v>
      </c>
      <c r="Z14" s="123">
        <v>-6026.4319999999998</v>
      </c>
      <c r="AA14" s="144">
        <v>-10814.239</v>
      </c>
      <c r="AB14" s="123">
        <v>-4028.5880000000002</v>
      </c>
      <c r="AC14" s="153">
        <v>-5048.1820000000007</v>
      </c>
      <c r="AD14" s="153">
        <v>-480.22999999999956</v>
      </c>
      <c r="AE14" s="153">
        <v>-5418</v>
      </c>
      <c r="AF14" s="144">
        <v>-14975</v>
      </c>
      <c r="AG14" s="136">
        <v>-3742</v>
      </c>
      <c r="AH14" s="136">
        <v>-3169</v>
      </c>
      <c r="AI14" s="136">
        <v>-5028</v>
      </c>
      <c r="AJ14" s="153">
        <v>-8063</v>
      </c>
      <c r="AK14" s="144">
        <f t="shared" si="0"/>
        <v>-20002</v>
      </c>
      <c r="AL14" s="136">
        <v>-4740</v>
      </c>
      <c r="AM14" s="136">
        <v>-16958</v>
      </c>
      <c r="AN14" s="136">
        <v>-11972</v>
      </c>
      <c r="AO14" s="153">
        <v>-9450</v>
      </c>
      <c r="AP14" s="144">
        <f t="shared" si="1"/>
        <v>-43120</v>
      </c>
      <c r="AQ14" s="136">
        <v>4210</v>
      </c>
      <c r="AR14" s="136">
        <v>-5814</v>
      </c>
      <c r="AS14" s="136">
        <v>-4721</v>
      </c>
      <c r="AT14" s="153">
        <v>-15965</v>
      </c>
      <c r="AU14" s="144">
        <f t="shared" si="2"/>
        <v>-22290</v>
      </c>
      <c r="AV14" s="153">
        <v>-11618</v>
      </c>
      <c r="AW14" s="153">
        <v>-14775</v>
      </c>
      <c r="AX14" s="153">
        <v>-9783</v>
      </c>
      <c r="AY14" s="153">
        <v>-5890</v>
      </c>
      <c r="AZ14" s="144">
        <f t="shared" si="3"/>
        <v>-42066</v>
      </c>
      <c r="BA14" s="123">
        <v>-11192</v>
      </c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>
      <c r="A15" s="11"/>
      <c r="B15" s="11" t="s">
        <v>480</v>
      </c>
      <c r="C15" s="120">
        <v>-30979</v>
      </c>
      <c r="D15" s="120">
        <v>-25808</v>
      </c>
      <c r="E15" s="120">
        <v>-34148</v>
      </c>
      <c r="F15" s="120">
        <v>-37182</v>
      </c>
      <c r="G15" s="154">
        <v>-128117</v>
      </c>
      <c r="H15" s="120">
        <v>-35069.468309999997</v>
      </c>
      <c r="I15" s="120">
        <v>-36445.531690000003</v>
      </c>
      <c r="J15" s="120">
        <v>-33542</v>
      </c>
      <c r="K15" s="120">
        <v>-34148</v>
      </c>
      <c r="L15" s="154">
        <v>-139205</v>
      </c>
      <c r="M15" s="120">
        <v>-49135</v>
      </c>
      <c r="N15" s="120">
        <v>-39307</v>
      </c>
      <c r="O15" s="120">
        <v>-52863</v>
      </c>
      <c r="P15" s="120">
        <v>-53485</v>
      </c>
      <c r="Q15" s="154">
        <v>-194790</v>
      </c>
      <c r="R15" s="120">
        <v>-53990</v>
      </c>
      <c r="S15" s="120">
        <v>-50813</v>
      </c>
      <c r="T15" s="120">
        <v>-44733</v>
      </c>
      <c r="U15" s="120">
        <v>-68073</v>
      </c>
      <c r="V15" s="154">
        <v>-217609</v>
      </c>
      <c r="W15" s="120">
        <v>-61138</v>
      </c>
      <c r="X15" s="120">
        <v>-41556</v>
      </c>
      <c r="Y15" s="120">
        <v>-46306</v>
      </c>
      <c r="Z15" s="120">
        <v>-63953</v>
      </c>
      <c r="AA15" s="154">
        <v>-212953</v>
      </c>
      <c r="AB15" s="120">
        <v>-13903</v>
      </c>
      <c r="AC15" s="120">
        <v>-95505</v>
      </c>
      <c r="AD15" s="153">
        <v>24016</v>
      </c>
      <c r="AE15" s="153">
        <v>-10730</v>
      </c>
      <c r="AF15" s="154">
        <v>-96122</v>
      </c>
      <c r="AG15" s="136">
        <v>107158</v>
      </c>
      <c r="AH15" s="136">
        <v>-11166</v>
      </c>
      <c r="AI15" s="136">
        <v>-75435</v>
      </c>
      <c r="AJ15" s="153">
        <v>-60184</v>
      </c>
      <c r="AK15" s="269">
        <f t="shared" si="0"/>
        <v>-39627</v>
      </c>
      <c r="AL15" s="136">
        <v>-27410</v>
      </c>
      <c r="AM15" s="136">
        <v>178854</v>
      </c>
      <c r="AN15" s="136">
        <v>-307714</v>
      </c>
      <c r="AO15" s="153">
        <v>-50409</v>
      </c>
      <c r="AP15" s="269">
        <f t="shared" si="1"/>
        <v>-206679</v>
      </c>
      <c r="AQ15" s="136">
        <v>-25143</v>
      </c>
      <c r="AR15" s="136">
        <v>-10841</v>
      </c>
      <c r="AS15" s="136">
        <v>-28830</v>
      </c>
      <c r="AT15" s="153">
        <v>-10450</v>
      </c>
      <c r="AU15" s="269">
        <f t="shared" si="2"/>
        <v>-75264</v>
      </c>
      <c r="AV15" s="153">
        <v>-22635</v>
      </c>
      <c r="AW15" s="153">
        <v>-52338</v>
      </c>
      <c r="AX15" s="153">
        <v>-45894</v>
      </c>
      <c r="AY15" s="153">
        <v>-30728</v>
      </c>
      <c r="AZ15" s="269">
        <f t="shared" si="3"/>
        <v>-151595</v>
      </c>
      <c r="BA15" s="672">
        <v>-40086</v>
      </c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s="2" customFormat="1">
      <c r="A16" s="9"/>
      <c r="B16" s="9" t="s">
        <v>412</v>
      </c>
      <c r="C16" s="117">
        <v>37903.367999999988</v>
      </c>
      <c r="D16" s="117">
        <v>37492.154999999962</v>
      </c>
      <c r="E16" s="117">
        <v>28729.501000000011</v>
      </c>
      <c r="F16" s="117">
        <v>11449.590999999942</v>
      </c>
      <c r="G16" s="118">
        <v>115574.6149999999</v>
      </c>
      <c r="H16" s="117">
        <v>25959.961690000011</v>
      </c>
      <c r="I16" s="117">
        <v>34887.388310000024</v>
      </c>
      <c r="J16" s="117">
        <v>34519.792000000001</v>
      </c>
      <c r="K16" s="117">
        <v>38061.146999999997</v>
      </c>
      <c r="L16" s="118">
        <v>133428.28900000005</v>
      </c>
      <c r="M16" s="117">
        <v>69167.180999999982</v>
      </c>
      <c r="N16" s="117">
        <v>25986.78300000001</v>
      </c>
      <c r="O16" s="117">
        <v>46913.035999999978</v>
      </c>
      <c r="P16" s="117">
        <v>35968.91200000004</v>
      </c>
      <c r="Q16" s="118">
        <v>178035.91199999995</v>
      </c>
      <c r="R16" s="117">
        <v>39287.006000000038</v>
      </c>
      <c r="S16" s="117">
        <v>51676.161000000007</v>
      </c>
      <c r="T16" s="117">
        <v>46087.691000000021</v>
      </c>
      <c r="U16" s="117">
        <v>57170.754999999874</v>
      </c>
      <c r="V16" s="118">
        <v>194221.6129999999</v>
      </c>
      <c r="W16" s="117">
        <v>62401.943000000014</v>
      </c>
      <c r="X16" s="117">
        <v>55360.14999999998</v>
      </c>
      <c r="Y16" s="117">
        <v>46074.720000000001</v>
      </c>
      <c r="Z16" s="117">
        <v>65988.183000000019</v>
      </c>
      <c r="AA16" s="118">
        <v>229824.99599999998</v>
      </c>
      <c r="AB16" s="117">
        <v>56252.937000000005</v>
      </c>
      <c r="AC16" s="117">
        <v>40388.372999999963</v>
      </c>
      <c r="AD16" s="117">
        <v>42438.689999999988</v>
      </c>
      <c r="AE16" s="117">
        <v>68482</v>
      </c>
      <c r="AF16" s="118">
        <v>207562</v>
      </c>
      <c r="AG16" s="125">
        <f t="shared" ref="AG16:AO16" si="5">SUM(AG10:AG15)</f>
        <v>69320</v>
      </c>
      <c r="AH16" s="125">
        <f t="shared" si="5"/>
        <v>73491</v>
      </c>
      <c r="AI16" s="125">
        <f t="shared" si="5"/>
        <v>110139</v>
      </c>
      <c r="AJ16" s="337">
        <f t="shared" si="5"/>
        <v>137124</v>
      </c>
      <c r="AK16" s="118">
        <f t="shared" si="5"/>
        <v>390074</v>
      </c>
      <c r="AL16" s="125">
        <f t="shared" si="5"/>
        <v>148799</v>
      </c>
      <c r="AM16" s="125">
        <f t="shared" si="5"/>
        <v>138290</v>
      </c>
      <c r="AN16" s="125">
        <f t="shared" si="5"/>
        <v>142564</v>
      </c>
      <c r="AO16" s="337">
        <f t="shared" si="5"/>
        <v>146167</v>
      </c>
      <c r="AP16" s="118">
        <f t="shared" si="1"/>
        <v>575820</v>
      </c>
      <c r="AQ16" s="337">
        <f>SUM(AQ10:AQ15)</f>
        <v>190523</v>
      </c>
      <c r="AR16" s="337">
        <f t="shared" ref="AR16:AX16" si="6">SUM(AR10:AR15)</f>
        <v>170582</v>
      </c>
      <c r="AS16" s="337">
        <f t="shared" si="6"/>
        <v>208663</v>
      </c>
      <c r="AT16" s="337">
        <f t="shared" si="6"/>
        <v>191437</v>
      </c>
      <c r="AU16" s="118">
        <f t="shared" si="2"/>
        <v>761205</v>
      </c>
      <c r="AV16" s="337">
        <f t="shared" si="6"/>
        <v>194535</v>
      </c>
      <c r="AW16" s="337">
        <f t="shared" si="6"/>
        <v>179280</v>
      </c>
      <c r="AX16" s="337">
        <f t="shared" si="6"/>
        <v>207471</v>
      </c>
      <c r="AY16" s="337">
        <v>153886</v>
      </c>
      <c r="AZ16" s="118">
        <f t="shared" si="3"/>
        <v>735172</v>
      </c>
      <c r="BA16" s="337">
        <f t="shared" ref="BA16" si="7">SUM(BA10:BA15)</f>
        <v>254166</v>
      </c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>
      <c r="A17" s="11"/>
      <c r="B17" s="11" t="s">
        <v>413</v>
      </c>
      <c r="C17" s="123">
        <v>-15223</v>
      </c>
      <c r="D17" s="123">
        <v>-15752</v>
      </c>
      <c r="E17" s="123">
        <v>-15510</v>
      </c>
      <c r="F17" s="123">
        <v>-48642</v>
      </c>
      <c r="G17" s="144">
        <v>-95127</v>
      </c>
      <c r="H17" s="123">
        <v>-18326</v>
      </c>
      <c r="I17" s="123">
        <v>-19255</v>
      </c>
      <c r="J17" s="123">
        <v>-22918</v>
      </c>
      <c r="K17" s="123">
        <v>-28874</v>
      </c>
      <c r="L17" s="144">
        <v>-89373</v>
      </c>
      <c r="M17" s="123">
        <v>-20451</v>
      </c>
      <c r="N17" s="123">
        <v>-21236</v>
      </c>
      <c r="O17" s="123">
        <v>-22942</v>
      </c>
      <c r="P17" s="123">
        <v>-26378</v>
      </c>
      <c r="Q17" s="144">
        <v>-91007</v>
      </c>
      <c r="R17" s="153">
        <v>-17472</v>
      </c>
      <c r="S17" s="153">
        <v>-21507</v>
      </c>
      <c r="T17" s="153">
        <v>-26850</v>
      </c>
      <c r="U17" s="153">
        <v>-20696</v>
      </c>
      <c r="V17" s="144">
        <v>-86525</v>
      </c>
      <c r="W17" s="153">
        <v>-22909</v>
      </c>
      <c r="X17" s="153">
        <v>-21421</v>
      </c>
      <c r="Y17" s="153">
        <v>-21374</v>
      </c>
      <c r="Z17" s="153">
        <v>-29297</v>
      </c>
      <c r="AA17" s="144">
        <v>-95001</v>
      </c>
      <c r="AB17" s="153">
        <v>-21755</v>
      </c>
      <c r="AC17" s="153">
        <v>-16567</v>
      </c>
      <c r="AD17" s="153">
        <v>-26248</v>
      </c>
      <c r="AE17" s="153">
        <v>-32591</v>
      </c>
      <c r="AF17" s="144">
        <v>-97161</v>
      </c>
      <c r="AG17" s="136">
        <v>-29677</v>
      </c>
      <c r="AH17" s="136">
        <v>-31026</v>
      </c>
      <c r="AI17" s="136">
        <v>-33068</v>
      </c>
      <c r="AJ17" s="153">
        <v>-37294</v>
      </c>
      <c r="AK17" s="144">
        <f t="shared" si="0"/>
        <v>-131065</v>
      </c>
      <c r="AL17" s="136">
        <v>-36889</v>
      </c>
      <c r="AM17" s="136">
        <v>-39596</v>
      </c>
      <c r="AN17" s="136">
        <v>-38489</v>
      </c>
      <c r="AO17" s="153">
        <v>-46178</v>
      </c>
      <c r="AP17" s="144">
        <f t="shared" si="1"/>
        <v>-161152</v>
      </c>
      <c r="AQ17" s="136">
        <v>-39880</v>
      </c>
      <c r="AR17" s="136">
        <v>-37674</v>
      </c>
      <c r="AS17" s="136">
        <v>-40909</v>
      </c>
      <c r="AT17" s="153">
        <v>-53760</v>
      </c>
      <c r="AU17" s="144">
        <f t="shared" si="2"/>
        <v>-172223</v>
      </c>
      <c r="AV17" s="153">
        <v>-37715</v>
      </c>
      <c r="AW17" s="153">
        <v>-36180</v>
      </c>
      <c r="AX17" s="153">
        <v>-37454</v>
      </c>
      <c r="AY17" s="153">
        <v>-53979</v>
      </c>
      <c r="AZ17" s="144">
        <f t="shared" si="3"/>
        <v>-165328</v>
      </c>
      <c r="BA17" s="123">
        <v>-36854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>
      <c r="A18" s="11"/>
      <c r="B18" s="11" t="s">
        <v>414</v>
      </c>
      <c r="C18" s="120">
        <v>-5842</v>
      </c>
      <c r="D18" s="120">
        <v>-4845</v>
      </c>
      <c r="E18" s="120">
        <v>-5047</v>
      </c>
      <c r="F18" s="120">
        <v>-5667</v>
      </c>
      <c r="G18" s="154">
        <v>-21401</v>
      </c>
      <c r="H18" s="120">
        <v>-4870</v>
      </c>
      <c r="I18" s="120">
        <v>-4845</v>
      </c>
      <c r="J18" s="120">
        <v>-5238</v>
      </c>
      <c r="K18" s="120">
        <v>-4317</v>
      </c>
      <c r="L18" s="154">
        <v>-19270</v>
      </c>
      <c r="M18" s="120">
        <v>-578</v>
      </c>
      <c r="N18" s="120">
        <v>-4971</v>
      </c>
      <c r="O18" s="120">
        <v>-5415</v>
      </c>
      <c r="P18" s="120">
        <v>-5058</v>
      </c>
      <c r="Q18" s="154">
        <v>-16022</v>
      </c>
      <c r="R18" s="120">
        <v>-4802</v>
      </c>
      <c r="S18" s="120">
        <v>-5985</v>
      </c>
      <c r="T18" s="120">
        <v>-6661</v>
      </c>
      <c r="U18" s="120">
        <v>-6308</v>
      </c>
      <c r="V18" s="154">
        <v>-23756</v>
      </c>
      <c r="W18" s="120">
        <v>-6051</v>
      </c>
      <c r="X18" s="120">
        <v>-5467</v>
      </c>
      <c r="Y18" s="120">
        <v>-6354</v>
      </c>
      <c r="Z18" s="120">
        <v>-5927</v>
      </c>
      <c r="AA18" s="154">
        <v>-23799</v>
      </c>
      <c r="AB18" s="120">
        <v>-5430</v>
      </c>
      <c r="AC18" s="120">
        <v>-7228</v>
      </c>
      <c r="AD18" s="153">
        <v>-7658</v>
      </c>
      <c r="AE18" s="153">
        <v>-6071</v>
      </c>
      <c r="AF18" s="154">
        <v>-26387</v>
      </c>
      <c r="AG18" s="136">
        <v>-10655</v>
      </c>
      <c r="AH18" s="136">
        <v>-10175</v>
      </c>
      <c r="AI18" s="136">
        <v>-12142</v>
      </c>
      <c r="AJ18" s="153">
        <v>-12308</v>
      </c>
      <c r="AK18" s="154">
        <f t="shared" si="0"/>
        <v>-45280</v>
      </c>
      <c r="AL18" s="136">
        <v>-13375</v>
      </c>
      <c r="AM18" s="136">
        <v>-14393</v>
      </c>
      <c r="AN18" s="136">
        <v>-14525</v>
      </c>
      <c r="AO18" s="153">
        <v>-13691</v>
      </c>
      <c r="AP18" s="154">
        <f t="shared" si="1"/>
        <v>-55984</v>
      </c>
      <c r="AQ18" s="136">
        <v>-16578</v>
      </c>
      <c r="AR18" s="136">
        <v>-15114</v>
      </c>
      <c r="AS18" s="136">
        <v>-17364</v>
      </c>
      <c r="AT18" s="153">
        <v>-18688</v>
      </c>
      <c r="AU18" s="154">
        <f t="shared" si="2"/>
        <v>-67744</v>
      </c>
      <c r="AV18" s="153">
        <v>-18972</v>
      </c>
      <c r="AW18" s="153">
        <v>-19585</v>
      </c>
      <c r="AX18" s="153">
        <v>-19484</v>
      </c>
      <c r="AY18" s="153">
        <v>-20750</v>
      </c>
      <c r="AZ18" s="142">
        <f t="shared" si="3"/>
        <v>-78791</v>
      </c>
      <c r="BA18" s="120">
        <v>-23080</v>
      </c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</row>
    <row r="19" spans="1:77">
      <c r="A19" s="11"/>
      <c r="B19" s="11" t="s">
        <v>415</v>
      </c>
      <c r="C19" s="120">
        <v>17282</v>
      </c>
      <c r="D19" s="120">
        <v>14870</v>
      </c>
      <c r="E19" s="120">
        <v>15863</v>
      </c>
      <c r="F19" s="120">
        <v>7135</v>
      </c>
      <c r="G19" s="154">
        <v>55150</v>
      </c>
      <c r="H19" s="120">
        <v>16948</v>
      </c>
      <c r="I19" s="120">
        <v>16970</v>
      </c>
      <c r="J19" s="120">
        <v>16449</v>
      </c>
      <c r="K19" s="120">
        <v>13605</v>
      </c>
      <c r="L19" s="154">
        <v>63972</v>
      </c>
      <c r="M19" s="120">
        <v>15686</v>
      </c>
      <c r="N19" s="120">
        <v>7167</v>
      </c>
      <c r="O19" s="120">
        <v>9685</v>
      </c>
      <c r="P19" s="120">
        <v>13940</v>
      </c>
      <c r="Q19" s="154">
        <v>46478</v>
      </c>
      <c r="R19" s="120">
        <v>12711</v>
      </c>
      <c r="S19" s="120">
        <v>12591</v>
      </c>
      <c r="T19" s="120">
        <v>11904</v>
      </c>
      <c r="U19" s="120">
        <v>9794</v>
      </c>
      <c r="V19" s="154">
        <v>47000</v>
      </c>
      <c r="W19" s="120">
        <v>-9729</v>
      </c>
      <c r="X19" s="120">
        <v>8519</v>
      </c>
      <c r="Y19" s="120">
        <v>6525</v>
      </c>
      <c r="Z19" s="120">
        <v>8143</v>
      </c>
      <c r="AA19" s="154">
        <v>13458</v>
      </c>
      <c r="AB19" s="120">
        <v>6002</v>
      </c>
      <c r="AC19" s="120">
        <v>10599</v>
      </c>
      <c r="AD19" s="153">
        <v>4019</v>
      </c>
      <c r="AE19" s="153">
        <v>11778</v>
      </c>
      <c r="AF19" s="154">
        <v>32398</v>
      </c>
      <c r="AG19" s="136">
        <v>24800</v>
      </c>
      <c r="AH19" s="136">
        <v>25438</v>
      </c>
      <c r="AI19" s="136">
        <v>34234</v>
      </c>
      <c r="AJ19" s="153">
        <v>39398</v>
      </c>
      <c r="AK19" s="154">
        <f t="shared" si="0"/>
        <v>123870</v>
      </c>
      <c r="AL19" s="136">
        <v>37992</v>
      </c>
      <c r="AM19" s="136">
        <v>42196</v>
      </c>
      <c r="AN19" s="136">
        <v>51802</v>
      </c>
      <c r="AO19" s="153">
        <v>46225</v>
      </c>
      <c r="AP19" s="154">
        <f t="shared" si="1"/>
        <v>178215</v>
      </c>
      <c r="AQ19" s="136">
        <v>43817</v>
      </c>
      <c r="AR19" s="136">
        <v>47208</v>
      </c>
      <c r="AS19" s="136">
        <v>49217</v>
      </c>
      <c r="AT19" s="153">
        <v>52398</v>
      </c>
      <c r="AU19" s="154">
        <f t="shared" si="2"/>
        <v>192640</v>
      </c>
      <c r="AV19" s="153">
        <v>52532</v>
      </c>
      <c r="AW19" s="153">
        <v>59669</v>
      </c>
      <c r="AX19" s="153">
        <v>71267</v>
      </c>
      <c r="AY19" s="153">
        <v>62627</v>
      </c>
      <c r="AZ19" s="142">
        <f t="shared" si="3"/>
        <v>246095</v>
      </c>
      <c r="BA19" s="120">
        <v>63354</v>
      </c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>
      <c r="A20" s="11"/>
      <c r="B20" s="11" t="s">
        <v>416</v>
      </c>
      <c r="C20" s="123">
        <v>85</v>
      </c>
      <c r="D20" s="123">
        <v>75</v>
      </c>
      <c r="E20" s="123">
        <v>-181</v>
      </c>
      <c r="F20" s="123">
        <v>62</v>
      </c>
      <c r="G20" s="144">
        <v>41</v>
      </c>
      <c r="H20" s="123">
        <v>62</v>
      </c>
      <c r="I20" s="123">
        <v>67</v>
      </c>
      <c r="J20" s="123">
        <v>62</v>
      </c>
      <c r="K20" s="123">
        <v>32</v>
      </c>
      <c r="L20" s="144">
        <v>223</v>
      </c>
      <c r="M20" s="123">
        <v>-26</v>
      </c>
      <c r="N20" s="123">
        <v>-27</v>
      </c>
      <c r="O20" s="123">
        <v>-26</v>
      </c>
      <c r="P20" s="123">
        <v>-26</v>
      </c>
      <c r="Q20" s="144">
        <v>-105</v>
      </c>
      <c r="R20" s="153">
        <v>-5</v>
      </c>
      <c r="S20" s="153">
        <v>0</v>
      </c>
      <c r="T20" s="153">
        <v>-1</v>
      </c>
      <c r="U20" s="153">
        <v>0</v>
      </c>
      <c r="V20" s="144">
        <v>-6</v>
      </c>
      <c r="W20" s="153">
        <v>0</v>
      </c>
      <c r="X20" s="153">
        <v>0</v>
      </c>
      <c r="Y20" s="153">
        <v>0</v>
      </c>
      <c r="Z20" s="153">
        <v>0</v>
      </c>
      <c r="AA20" s="144">
        <v>0</v>
      </c>
      <c r="AB20" s="153">
        <v>-1</v>
      </c>
      <c r="AC20" s="153">
        <v>1</v>
      </c>
      <c r="AD20" s="153">
        <v>0</v>
      </c>
      <c r="AE20" s="153">
        <v>0</v>
      </c>
      <c r="AF20" s="144">
        <v>0</v>
      </c>
      <c r="AG20" s="136">
        <v>0</v>
      </c>
      <c r="AH20" s="136">
        <v>0</v>
      </c>
      <c r="AI20" s="65">
        <v>0</v>
      </c>
      <c r="AJ20" s="153">
        <v>0</v>
      </c>
      <c r="AK20" s="144">
        <f t="shared" si="0"/>
        <v>0</v>
      </c>
      <c r="AL20" s="136">
        <v>0</v>
      </c>
      <c r="AM20" s="136">
        <v>0</v>
      </c>
      <c r="AN20" s="136">
        <v>0</v>
      </c>
      <c r="AO20" s="153">
        <v>0</v>
      </c>
      <c r="AP20" s="144">
        <f t="shared" si="1"/>
        <v>0</v>
      </c>
      <c r="AQ20" s="136">
        <v>0</v>
      </c>
      <c r="AR20" s="136">
        <v>0</v>
      </c>
      <c r="AS20" s="136">
        <v>0</v>
      </c>
      <c r="AT20" s="153">
        <v>0</v>
      </c>
      <c r="AU20" s="144">
        <f t="shared" si="2"/>
        <v>0</v>
      </c>
      <c r="AV20" s="153">
        <v>0</v>
      </c>
      <c r="AW20" s="153">
        <v>0</v>
      </c>
      <c r="AX20" s="153">
        <v>0</v>
      </c>
      <c r="AY20" s="153">
        <v>0</v>
      </c>
      <c r="AZ20" s="144">
        <f t="shared" si="3"/>
        <v>0</v>
      </c>
      <c r="BA20" s="123">
        <v>0</v>
      </c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>
      <c r="A21" s="11"/>
      <c r="B21" s="56" t="s">
        <v>417</v>
      </c>
      <c r="C21" s="120"/>
      <c r="D21" s="120"/>
      <c r="E21" s="120"/>
      <c r="F21" s="120"/>
      <c r="G21" s="154"/>
      <c r="H21" s="120"/>
      <c r="I21" s="120"/>
      <c r="J21" s="120"/>
      <c r="K21" s="120"/>
      <c r="L21" s="154"/>
      <c r="M21" s="120"/>
      <c r="N21" s="120"/>
      <c r="O21" s="120"/>
      <c r="P21" s="120"/>
      <c r="Q21" s="154"/>
      <c r="R21" s="120"/>
      <c r="S21" s="120"/>
      <c r="T21" s="120"/>
      <c r="U21" s="120"/>
      <c r="V21" s="154"/>
      <c r="W21" s="120"/>
      <c r="X21" s="120"/>
      <c r="Y21" s="120"/>
      <c r="Z21" s="120"/>
      <c r="AA21" s="154"/>
      <c r="AB21" s="120"/>
      <c r="AC21" s="120"/>
      <c r="AD21" s="120"/>
      <c r="AE21" s="120"/>
      <c r="AF21" s="154">
        <v>0</v>
      </c>
      <c r="AG21" s="136">
        <v>0</v>
      </c>
      <c r="AH21" s="136">
        <v>0</v>
      </c>
      <c r="AI21" s="136">
        <v>0</v>
      </c>
      <c r="AJ21" s="120">
        <v>0</v>
      </c>
      <c r="AK21" s="154">
        <f t="shared" si="0"/>
        <v>0</v>
      </c>
      <c r="AL21" s="136">
        <v>0</v>
      </c>
      <c r="AM21" s="136">
        <v>0</v>
      </c>
      <c r="AN21" s="136">
        <v>0</v>
      </c>
      <c r="AO21" s="120">
        <v>0</v>
      </c>
      <c r="AP21" s="154">
        <f t="shared" si="1"/>
        <v>0</v>
      </c>
      <c r="AQ21" s="136">
        <v>0</v>
      </c>
      <c r="AR21" s="136">
        <v>0</v>
      </c>
      <c r="AS21" s="136">
        <v>0</v>
      </c>
      <c r="AT21" s="121">
        <v>0</v>
      </c>
      <c r="AU21" s="154">
        <f t="shared" si="2"/>
        <v>0</v>
      </c>
      <c r="AV21" s="121">
        <v>0</v>
      </c>
      <c r="AW21" s="121">
        <v>0</v>
      </c>
      <c r="AX21" s="121">
        <v>0</v>
      </c>
      <c r="AY21" s="121">
        <v>0</v>
      </c>
      <c r="AZ21" s="142">
        <f t="shared" si="3"/>
        <v>0</v>
      </c>
      <c r="BA21" s="120"/>
    </row>
    <row r="22" spans="1:77" s="2" customFormat="1">
      <c r="A22" s="9"/>
      <c r="B22" s="9" t="s">
        <v>418</v>
      </c>
      <c r="C22" s="117">
        <v>34205.367999999988</v>
      </c>
      <c r="D22" s="117">
        <v>31840.154999999962</v>
      </c>
      <c r="E22" s="117">
        <v>23854.501000000011</v>
      </c>
      <c r="F22" s="117">
        <v>-25189.409000000058</v>
      </c>
      <c r="G22" s="118">
        <v>64710.614999999903</v>
      </c>
      <c r="H22" s="117">
        <v>21978.961690000011</v>
      </c>
      <c r="I22" s="117">
        <v>30619.388310000024</v>
      </c>
      <c r="J22" s="117">
        <v>25374.792000000001</v>
      </c>
      <c r="K22" s="117">
        <v>27007.146999999997</v>
      </c>
      <c r="L22" s="118">
        <v>104980.28900000005</v>
      </c>
      <c r="M22" s="117">
        <v>68298.180999999982</v>
      </c>
      <c r="N22" s="117">
        <v>11419.78300000001</v>
      </c>
      <c r="O22" s="117">
        <v>32715.035999999978</v>
      </c>
      <c r="P22" s="117">
        <v>22946.91200000004</v>
      </c>
      <c r="Q22" s="118">
        <v>135379.91199999995</v>
      </c>
      <c r="R22" s="117">
        <v>26103.006000000038</v>
      </c>
      <c r="S22" s="117">
        <v>41275.161000000007</v>
      </c>
      <c r="T22" s="117">
        <v>28979.691000000021</v>
      </c>
      <c r="U22" s="117">
        <v>36460.754999999874</v>
      </c>
      <c r="V22" s="118">
        <v>132818.6129999999</v>
      </c>
      <c r="W22" s="117">
        <v>26966.943000000014</v>
      </c>
      <c r="X22" s="117">
        <v>40246.14999999998</v>
      </c>
      <c r="Y22" s="117">
        <v>28125.72</v>
      </c>
      <c r="Z22" s="117">
        <v>42162.183000000019</v>
      </c>
      <c r="AA22" s="118">
        <v>137500.99599999998</v>
      </c>
      <c r="AB22" s="117">
        <v>38630.937000000005</v>
      </c>
      <c r="AC22" s="117">
        <v>24836.372999999963</v>
      </c>
      <c r="AD22" s="117">
        <v>16113.689999999988</v>
      </c>
      <c r="AE22" s="117">
        <v>45161</v>
      </c>
      <c r="AF22" s="118">
        <v>124741.99999999996</v>
      </c>
      <c r="AG22" s="125">
        <f>SUM(AG16:AG21)</f>
        <v>53788</v>
      </c>
      <c r="AH22" s="125">
        <f>SUM(AH16:AH21)</f>
        <v>57728</v>
      </c>
      <c r="AI22" s="125">
        <f>SUM(AI16:AI21)</f>
        <v>99163</v>
      </c>
      <c r="AJ22" s="337">
        <f>SUM(AJ16:AJ21)</f>
        <v>126920</v>
      </c>
      <c r="AK22" s="118">
        <f t="shared" si="0"/>
        <v>337599</v>
      </c>
      <c r="AL22" s="337">
        <f>SUM(AL16:AL21)</f>
        <v>136527</v>
      </c>
      <c r="AM22" s="337">
        <f>SUM(AM16:AM21)</f>
        <v>126497</v>
      </c>
      <c r="AN22" s="125">
        <f>SUM(AN16:AN21)</f>
        <v>141352</v>
      </c>
      <c r="AO22" s="337">
        <f>SUM(AO16:AO21)</f>
        <v>132523</v>
      </c>
      <c r="AP22" s="118">
        <f t="shared" si="1"/>
        <v>536899</v>
      </c>
      <c r="AQ22" s="337">
        <f>SUM(AQ16:AQ21)</f>
        <v>177882</v>
      </c>
      <c r="AR22" s="337">
        <f t="shared" ref="AR22:BA22" si="8">SUM(AR16:AR21)</f>
        <v>165002</v>
      </c>
      <c r="AS22" s="337">
        <f t="shared" si="8"/>
        <v>199607</v>
      </c>
      <c r="AT22" s="337">
        <f t="shared" si="8"/>
        <v>171387</v>
      </c>
      <c r="AU22" s="118">
        <f t="shared" si="2"/>
        <v>713878</v>
      </c>
      <c r="AV22" s="337">
        <f t="shared" si="8"/>
        <v>190380</v>
      </c>
      <c r="AW22" s="337">
        <f t="shared" si="8"/>
        <v>183184</v>
      </c>
      <c r="AX22" s="337">
        <f t="shared" si="8"/>
        <v>221800</v>
      </c>
      <c r="AY22" s="337">
        <f t="shared" si="8"/>
        <v>141784</v>
      </c>
      <c r="AZ22" s="118">
        <f>SUM(AV22:AY22)</f>
        <v>737148</v>
      </c>
      <c r="BA22" s="337">
        <f t="shared" si="8"/>
        <v>257586</v>
      </c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>
      <c r="A23" s="11"/>
      <c r="B23" s="11" t="s">
        <v>419</v>
      </c>
      <c r="C23" s="120">
        <v>0</v>
      </c>
      <c r="D23" s="120">
        <v>0</v>
      </c>
      <c r="E23" s="120">
        <v>0</v>
      </c>
      <c r="F23" s="120">
        <v>0</v>
      </c>
      <c r="G23" s="154">
        <v>0</v>
      </c>
      <c r="H23" s="120">
        <v>476</v>
      </c>
      <c r="I23" s="120">
        <v>479</v>
      </c>
      <c r="J23" s="120">
        <v>3110</v>
      </c>
      <c r="K23" s="120">
        <v>-1915</v>
      </c>
      <c r="L23" s="154">
        <v>2150</v>
      </c>
      <c r="M23" s="120">
        <v>479</v>
      </c>
      <c r="N23" s="120">
        <v>-729</v>
      </c>
      <c r="O23" s="120">
        <v>479</v>
      </c>
      <c r="P23" s="120">
        <v>480</v>
      </c>
      <c r="Q23" s="154">
        <v>709</v>
      </c>
      <c r="R23" s="120">
        <v>2413</v>
      </c>
      <c r="S23" s="120">
        <v>-4383</v>
      </c>
      <c r="T23" s="120">
        <v>1924</v>
      </c>
      <c r="U23" s="120">
        <v>2931</v>
      </c>
      <c r="V23" s="154">
        <v>2885</v>
      </c>
      <c r="W23" s="120">
        <v>0</v>
      </c>
      <c r="X23" s="120">
        <v>25</v>
      </c>
      <c r="Y23" s="120">
        <v>1355</v>
      </c>
      <c r="Z23" s="120">
        <v>10</v>
      </c>
      <c r="AA23" s="154">
        <v>1390</v>
      </c>
      <c r="AB23" s="120">
        <v>2867</v>
      </c>
      <c r="AC23" s="120">
        <v>743</v>
      </c>
      <c r="AD23" s="120">
        <v>804</v>
      </c>
      <c r="AE23" s="120">
        <v>-291</v>
      </c>
      <c r="AF23" s="154">
        <v>4123</v>
      </c>
      <c r="AG23" s="136">
        <v>0</v>
      </c>
      <c r="AH23" s="136">
        <v>0</v>
      </c>
      <c r="AI23" s="136">
        <v>0</v>
      </c>
      <c r="AJ23" s="120">
        <v>-2000</v>
      </c>
      <c r="AK23" s="269">
        <f t="shared" si="0"/>
        <v>-2000</v>
      </c>
      <c r="AL23" s="136">
        <v>0</v>
      </c>
      <c r="AM23" s="136">
        <v>0</v>
      </c>
      <c r="AN23" s="136">
        <v>63</v>
      </c>
      <c r="AO23" s="120">
        <v>51</v>
      </c>
      <c r="AP23" s="269">
        <f t="shared" si="1"/>
        <v>114</v>
      </c>
      <c r="AQ23" s="136">
        <v>0</v>
      </c>
      <c r="AR23" s="136">
        <v>63</v>
      </c>
      <c r="AS23" s="136">
        <v>0</v>
      </c>
      <c r="AT23" s="120">
        <v>41</v>
      </c>
      <c r="AU23" s="269">
        <f t="shared" si="2"/>
        <v>104</v>
      </c>
      <c r="AV23" s="120">
        <v>0</v>
      </c>
      <c r="AW23" s="120">
        <v>-23</v>
      </c>
      <c r="AX23" s="120">
        <v>0</v>
      </c>
      <c r="AY23" s="120">
        <v>-421</v>
      </c>
      <c r="AZ23" s="269">
        <f t="shared" si="3"/>
        <v>-444</v>
      </c>
      <c r="BA23" s="672">
        <v>72</v>
      </c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s="2" customFormat="1">
      <c r="A24" s="9"/>
      <c r="B24" s="9" t="s">
        <v>420</v>
      </c>
      <c r="C24" s="117">
        <v>34205</v>
      </c>
      <c r="D24" s="117">
        <v>31841</v>
      </c>
      <c r="E24" s="117">
        <v>23854</v>
      </c>
      <c r="F24" s="117">
        <v>-25189</v>
      </c>
      <c r="G24" s="118">
        <v>64711</v>
      </c>
      <c r="H24" s="117">
        <v>29109.531690000003</v>
      </c>
      <c r="I24" s="117">
        <v>24443.468309999997</v>
      </c>
      <c r="J24" s="117">
        <v>26556</v>
      </c>
      <c r="K24" s="117">
        <v>27021</v>
      </c>
      <c r="L24" s="118">
        <v>107130</v>
      </c>
      <c r="M24" s="117">
        <v>50086</v>
      </c>
      <c r="N24" s="117">
        <v>29587</v>
      </c>
      <c r="O24" s="117">
        <v>33322</v>
      </c>
      <c r="P24" s="117">
        <v>23094</v>
      </c>
      <c r="Q24" s="118">
        <v>136089</v>
      </c>
      <c r="R24" s="117">
        <v>28515</v>
      </c>
      <c r="S24" s="117">
        <v>36893</v>
      </c>
      <c r="T24" s="117">
        <v>30907</v>
      </c>
      <c r="U24" s="117">
        <v>39389</v>
      </c>
      <c r="V24" s="118">
        <v>135704</v>
      </c>
      <c r="W24" s="117">
        <v>26967</v>
      </c>
      <c r="X24" s="117">
        <v>40272</v>
      </c>
      <c r="Y24" s="117">
        <v>29479</v>
      </c>
      <c r="Z24" s="117">
        <v>42173</v>
      </c>
      <c r="AA24" s="118">
        <v>138891</v>
      </c>
      <c r="AB24" s="117">
        <v>41498</v>
      </c>
      <c r="AC24" s="117">
        <v>25579</v>
      </c>
      <c r="AD24" s="117">
        <v>16917.689999999988</v>
      </c>
      <c r="AE24" s="117">
        <v>44870</v>
      </c>
      <c r="AF24" s="118">
        <v>128864.68999999999</v>
      </c>
      <c r="AG24" s="125">
        <f>AG22+AG23</f>
        <v>53788</v>
      </c>
      <c r="AH24" s="125">
        <f>AH22+AH23</f>
        <v>57728</v>
      </c>
      <c r="AI24" s="125">
        <f>AI22+AI23</f>
        <v>99163</v>
      </c>
      <c r="AJ24" s="337">
        <f>AJ22+AJ23</f>
        <v>124920</v>
      </c>
      <c r="AK24" s="118">
        <f t="shared" si="0"/>
        <v>335599</v>
      </c>
      <c r="AL24" s="337">
        <f>AL22+AL23</f>
        <v>136527</v>
      </c>
      <c r="AM24" s="125">
        <f>AM22+AM23</f>
        <v>126497</v>
      </c>
      <c r="AN24" s="125">
        <f>AN22+AN23</f>
        <v>141415</v>
      </c>
      <c r="AO24" s="337">
        <f>AO22+AO23</f>
        <v>132574</v>
      </c>
      <c r="AP24" s="118">
        <f t="shared" si="1"/>
        <v>537013</v>
      </c>
      <c r="AQ24" s="337">
        <f>AQ22+AQ23</f>
        <v>177882</v>
      </c>
      <c r="AR24" s="337">
        <f t="shared" ref="AR24:BA24" si="9">AR22+AR23</f>
        <v>165065</v>
      </c>
      <c r="AS24" s="337">
        <f t="shared" si="9"/>
        <v>199607</v>
      </c>
      <c r="AT24" s="337">
        <f t="shared" si="9"/>
        <v>171428</v>
      </c>
      <c r="AU24" s="118">
        <f t="shared" si="2"/>
        <v>713982</v>
      </c>
      <c r="AV24" s="337">
        <f t="shared" si="9"/>
        <v>190380</v>
      </c>
      <c r="AW24" s="337">
        <f t="shared" si="9"/>
        <v>183161</v>
      </c>
      <c r="AX24" s="337">
        <f t="shared" si="9"/>
        <v>221800</v>
      </c>
      <c r="AY24" s="337">
        <f t="shared" si="9"/>
        <v>141363</v>
      </c>
      <c r="AZ24" s="118">
        <f t="shared" si="3"/>
        <v>736704</v>
      </c>
      <c r="BA24" s="337">
        <f t="shared" si="9"/>
        <v>257658</v>
      </c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>
      <c r="A25" s="11"/>
      <c r="B25" s="11" t="s">
        <v>421</v>
      </c>
      <c r="C25" s="120">
        <v>-4885</v>
      </c>
      <c r="D25" s="120">
        <v>-3609</v>
      </c>
      <c r="E25" s="120">
        <v>-2815</v>
      </c>
      <c r="F25" s="120">
        <v>7286</v>
      </c>
      <c r="G25" s="154">
        <v>-4023</v>
      </c>
      <c r="H25" s="120">
        <v>-4510</v>
      </c>
      <c r="I25" s="120">
        <v>-3081</v>
      </c>
      <c r="J25" s="120">
        <v>-3798</v>
      </c>
      <c r="K25" s="120">
        <v>12095</v>
      </c>
      <c r="L25" s="154">
        <v>706</v>
      </c>
      <c r="M25" s="120">
        <v>-10087</v>
      </c>
      <c r="N25" s="120">
        <v>-4271</v>
      </c>
      <c r="O25" s="120">
        <v>-5054</v>
      </c>
      <c r="P25" s="120">
        <v>11621</v>
      </c>
      <c r="Q25" s="154">
        <v>-7791</v>
      </c>
      <c r="R25" s="120">
        <v>-6541</v>
      </c>
      <c r="S25" s="120">
        <v>-6457</v>
      </c>
      <c r="T25" s="120">
        <v>-3615</v>
      </c>
      <c r="U25" s="120">
        <v>2727</v>
      </c>
      <c r="V25" s="154">
        <v>-13886</v>
      </c>
      <c r="W25" s="120">
        <v>-5866</v>
      </c>
      <c r="X25" s="120">
        <v>-9333</v>
      </c>
      <c r="Y25" s="120">
        <v>-6700</v>
      </c>
      <c r="Z25" s="120">
        <v>-2202</v>
      </c>
      <c r="AA25" s="154">
        <v>-24101</v>
      </c>
      <c r="AB25" s="120">
        <v>-7654</v>
      </c>
      <c r="AC25" s="120">
        <v>-6553</v>
      </c>
      <c r="AD25" s="120">
        <v>-3783</v>
      </c>
      <c r="AE25" s="120">
        <v>-3998</v>
      </c>
      <c r="AF25" s="154">
        <v>-21988</v>
      </c>
      <c r="AG25" s="136">
        <v>-13636</v>
      </c>
      <c r="AH25" s="136">
        <v>-15047</v>
      </c>
      <c r="AI25" s="136">
        <v>-25383</v>
      </c>
      <c r="AJ25" s="120">
        <v>-17817</v>
      </c>
      <c r="AK25" s="154">
        <f t="shared" si="0"/>
        <v>-71883</v>
      </c>
      <c r="AL25" s="136">
        <v>-31830</v>
      </c>
      <c r="AM25" s="136">
        <v>-28902</v>
      </c>
      <c r="AN25" s="136">
        <v>-32652</v>
      </c>
      <c r="AO25" s="120">
        <v>-24068</v>
      </c>
      <c r="AP25" s="154">
        <f t="shared" si="1"/>
        <v>-117452</v>
      </c>
      <c r="AQ25" s="136">
        <v>-41502</v>
      </c>
      <c r="AR25" s="136">
        <v>-38909</v>
      </c>
      <c r="AS25" s="136">
        <v>-46790</v>
      </c>
      <c r="AT25" s="120">
        <v>-31938</v>
      </c>
      <c r="AU25" s="154">
        <f t="shared" si="2"/>
        <v>-159139</v>
      </c>
      <c r="AV25" s="120">
        <v>-44448</v>
      </c>
      <c r="AW25" s="120">
        <v>-42720</v>
      </c>
      <c r="AX25" s="120">
        <v>-52193</v>
      </c>
      <c r="AY25" s="120">
        <v>-22388</v>
      </c>
      <c r="AZ25" s="142">
        <f t="shared" si="3"/>
        <v>-161749</v>
      </c>
      <c r="BA25" s="120">
        <v>-59415</v>
      </c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>
      <c r="A26" s="11"/>
      <c r="B26" s="11" t="s">
        <v>422</v>
      </c>
      <c r="C26" s="120">
        <v>-2317</v>
      </c>
      <c r="D26" s="120">
        <v>-3004</v>
      </c>
      <c r="E26" s="120">
        <v>-1518</v>
      </c>
      <c r="F26" s="120">
        <v>7226</v>
      </c>
      <c r="G26" s="154">
        <v>387</v>
      </c>
      <c r="H26" s="120">
        <v>-2222</v>
      </c>
      <c r="I26" s="120">
        <v>-1077</v>
      </c>
      <c r="J26" s="120">
        <v>-1653</v>
      </c>
      <c r="K26" s="120">
        <v>10926</v>
      </c>
      <c r="L26" s="154">
        <v>5974</v>
      </c>
      <c r="M26" s="120">
        <v>-6440</v>
      </c>
      <c r="N26" s="120">
        <v>-1786</v>
      </c>
      <c r="O26" s="120">
        <v>-2472</v>
      </c>
      <c r="P26" s="120">
        <v>7755</v>
      </c>
      <c r="Q26" s="154">
        <v>-2943</v>
      </c>
      <c r="R26" s="120">
        <v>-2610</v>
      </c>
      <c r="S26" s="120">
        <v>-5670</v>
      </c>
      <c r="T26" s="120">
        <v>-2224</v>
      </c>
      <c r="U26" s="120">
        <v>1706</v>
      </c>
      <c r="V26" s="154">
        <v>-8798</v>
      </c>
      <c r="W26" s="120">
        <v>-3575</v>
      </c>
      <c r="X26" s="120">
        <v>-5686</v>
      </c>
      <c r="Y26" s="120">
        <v>-4088</v>
      </c>
      <c r="Z26" s="120">
        <v>-1726</v>
      </c>
      <c r="AA26" s="154">
        <v>-15075</v>
      </c>
      <c r="AB26" s="120">
        <v>-7572</v>
      </c>
      <c r="AC26" s="120">
        <v>-4700</v>
      </c>
      <c r="AD26" s="120">
        <v>-2906</v>
      </c>
      <c r="AE26" s="120">
        <v>-1525</v>
      </c>
      <c r="AF26" s="154">
        <v>-16703</v>
      </c>
      <c r="AG26" s="136">
        <v>-8215</v>
      </c>
      <c r="AH26" s="136">
        <v>-9058</v>
      </c>
      <c r="AI26" s="136">
        <v>-15961</v>
      </c>
      <c r="AJ26" s="120">
        <v>-12483</v>
      </c>
      <c r="AK26" s="269">
        <f t="shared" si="0"/>
        <v>-45717</v>
      </c>
      <c r="AL26" s="136">
        <v>-19136</v>
      </c>
      <c r="AM26" s="136">
        <v>-17377</v>
      </c>
      <c r="AN26" s="136">
        <v>-19635</v>
      </c>
      <c r="AO26" s="120">
        <v>-17653</v>
      </c>
      <c r="AP26" s="269">
        <f t="shared" si="1"/>
        <v>-73801</v>
      </c>
      <c r="AQ26" s="136">
        <v>-24950</v>
      </c>
      <c r="AR26" s="136">
        <v>-23393</v>
      </c>
      <c r="AS26" s="136">
        <v>-28123</v>
      </c>
      <c r="AT26" s="120">
        <v>-23605</v>
      </c>
      <c r="AU26" s="269">
        <f t="shared" si="2"/>
        <v>-100071</v>
      </c>
      <c r="AV26" s="120">
        <v>-26720</v>
      </c>
      <c r="AW26" s="120">
        <v>-25676</v>
      </c>
      <c r="AX26" s="120">
        <v>-31364</v>
      </c>
      <c r="AY26" s="120">
        <v>-20347</v>
      </c>
      <c r="AZ26" s="269">
        <f t="shared" si="3"/>
        <v>-104107</v>
      </c>
      <c r="BA26" s="120">
        <v>-35781</v>
      </c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>
      <c r="A27" s="11"/>
      <c r="B27" s="11" t="s">
        <v>423</v>
      </c>
      <c r="C27" s="120">
        <v>0</v>
      </c>
      <c r="D27" s="120">
        <v>0</v>
      </c>
      <c r="E27" s="120">
        <v>0</v>
      </c>
      <c r="F27" s="120">
        <v>0</v>
      </c>
      <c r="G27" s="154">
        <v>0</v>
      </c>
      <c r="H27" s="120">
        <v>0</v>
      </c>
      <c r="I27" s="120">
        <v>0</v>
      </c>
      <c r="J27" s="120">
        <v>0</v>
      </c>
      <c r="K27" s="120">
        <v>0</v>
      </c>
      <c r="L27" s="154">
        <v>0</v>
      </c>
      <c r="M27" s="120">
        <v>0</v>
      </c>
      <c r="N27" s="120">
        <v>0</v>
      </c>
      <c r="O27" s="120">
        <v>0</v>
      </c>
      <c r="P27" s="120">
        <v>0</v>
      </c>
      <c r="Q27" s="154">
        <v>0</v>
      </c>
      <c r="R27" s="120">
        <v>0</v>
      </c>
      <c r="S27" s="120">
        <v>0</v>
      </c>
      <c r="T27" s="120">
        <v>0</v>
      </c>
      <c r="U27" s="120">
        <v>0</v>
      </c>
      <c r="V27" s="154">
        <v>0</v>
      </c>
      <c r="W27" s="120">
        <v>0</v>
      </c>
      <c r="X27" s="120">
        <v>0</v>
      </c>
      <c r="Y27" s="120">
        <v>0</v>
      </c>
      <c r="Z27" s="120">
        <v>0</v>
      </c>
      <c r="AA27" s="154">
        <v>0</v>
      </c>
      <c r="AB27" s="120">
        <v>0</v>
      </c>
      <c r="AC27" s="120">
        <v>0</v>
      </c>
      <c r="AD27" s="120">
        <v>0</v>
      </c>
      <c r="AE27" s="120">
        <v>0</v>
      </c>
      <c r="AF27" s="154">
        <v>0</v>
      </c>
      <c r="AG27" s="120">
        <v>0</v>
      </c>
      <c r="AH27" s="120">
        <v>0</v>
      </c>
      <c r="AI27" s="120">
        <v>0</v>
      </c>
      <c r="AJ27" s="120">
        <v>0</v>
      </c>
      <c r="AK27" s="269">
        <f t="shared" si="0"/>
        <v>0</v>
      </c>
      <c r="AL27" s="120">
        <v>0</v>
      </c>
      <c r="AM27" s="120">
        <v>0</v>
      </c>
      <c r="AN27" s="120">
        <v>0</v>
      </c>
      <c r="AO27" s="120">
        <v>0</v>
      </c>
      <c r="AP27" s="269">
        <f t="shared" si="1"/>
        <v>0</v>
      </c>
      <c r="AQ27" s="120">
        <v>0</v>
      </c>
      <c r="AR27" s="120">
        <v>0</v>
      </c>
      <c r="AS27" s="120">
        <v>0</v>
      </c>
      <c r="AT27" s="120">
        <v>0</v>
      </c>
      <c r="AU27" s="269">
        <f t="shared" si="2"/>
        <v>0</v>
      </c>
      <c r="AV27" s="120">
        <v>0</v>
      </c>
      <c r="AW27" s="120">
        <v>0</v>
      </c>
      <c r="AX27" s="120">
        <v>0</v>
      </c>
      <c r="AY27" s="120">
        <v>0</v>
      </c>
      <c r="AZ27" s="269">
        <f t="shared" si="3"/>
        <v>0</v>
      </c>
      <c r="BA27" s="120">
        <v>0</v>
      </c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>
      <c r="A28" s="11"/>
      <c r="B28" s="11" t="s">
        <v>424</v>
      </c>
      <c r="C28" s="120">
        <v>-4800</v>
      </c>
      <c r="D28" s="120">
        <v>-4500</v>
      </c>
      <c r="E28" s="120">
        <v>-2187</v>
      </c>
      <c r="F28" s="120">
        <v>11487</v>
      </c>
      <c r="G28" s="154">
        <v>0</v>
      </c>
      <c r="H28" s="120">
        <v>0</v>
      </c>
      <c r="I28" s="120">
        <v>0</v>
      </c>
      <c r="J28" s="120">
        <v>0</v>
      </c>
      <c r="K28" s="120">
        <v>0</v>
      </c>
      <c r="L28" s="154">
        <v>0</v>
      </c>
      <c r="M28" s="120">
        <v>0</v>
      </c>
      <c r="N28" s="120">
        <v>0</v>
      </c>
      <c r="O28" s="120">
        <v>0</v>
      </c>
      <c r="P28" s="120">
        <v>0</v>
      </c>
      <c r="Q28" s="154">
        <v>0</v>
      </c>
      <c r="R28" s="120">
        <v>0</v>
      </c>
      <c r="S28" s="120">
        <v>0</v>
      </c>
      <c r="T28" s="120">
        <v>0</v>
      </c>
      <c r="U28" s="120">
        <v>0</v>
      </c>
      <c r="V28" s="154">
        <v>0</v>
      </c>
      <c r="W28" s="120">
        <v>0</v>
      </c>
      <c r="X28" s="120">
        <v>0</v>
      </c>
      <c r="Y28" s="120">
        <v>0</v>
      </c>
      <c r="Z28" s="120">
        <v>0</v>
      </c>
      <c r="AA28" s="154">
        <v>0</v>
      </c>
      <c r="AB28" s="120">
        <v>0</v>
      </c>
      <c r="AC28" s="120">
        <v>0</v>
      </c>
      <c r="AD28" s="120">
        <v>0</v>
      </c>
      <c r="AE28" s="120">
        <v>0</v>
      </c>
      <c r="AF28" s="154">
        <v>0</v>
      </c>
      <c r="AG28" s="136">
        <v>0</v>
      </c>
      <c r="AH28" s="136">
        <v>0</v>
      </c>
      <c r="AI28" s="136">
        <v>0</v>
      </c>
      <c r="AJ28" s="120">
        <v>0</v>
      </c>
      <c r="AK28" s="154">
        <f t="shared" si="0"/>
        <v>0</v>
      </c>
      <c r="AL28" s="136">
        <v>0</v>
      </c>
      <c r="AM28" s="136">
        <v>0</v>
      </c>
      <c r="AN28" s="136">
        <v>0</v>
      </c>
      <c r="AO28" s="120">
        <v>0</v>
      </c>
      <c r="AP28" s="154">
        <f t="shared" si="1"/>
        <v>0</v>
      </c>
      <c r="AQ28" s="136">
        <v>0</v>
      </c>
      <c r="AR28" s="136">
        <v>0</v>
      </c>
      <c r="AS28" s="136">
        <v>0</v>
      </c>
      <c r="AT28" s="120">
        <v>0</v>
      </c>
      <c r="AU28" s="154">
        <f t="shared" si="2"/>
        <v>0</v>
      </c>
      <c r="AV28" s="120">
        <v>0</v>
      </c>
      <c r="AW28" s="120">
        <v>0</v>
      </c>
      <c r="AX28" s="120">
        <v>0</v>
      </c>
      <c r="AY28" s="120">
        <v>0</v>
      </c>
      <c r="AZ28" s="142">
        <f t="shared" si="3"/>
        <v>0</v>
      </c>
      <c r="BA28" s="120">
        <v>0</v>
      </c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s="2" customFormat="1">
      <c r="A29" s="15"/>
      <c r="B29" s="15" t="s">
        <v>450</v>
      </c>
      <c r="C29" s="155">
        <v>22203</v>
      </c>
      <c r="D29" s="155">
        <v>20728</v>
      </c>
      <c r="E29" s="155">
        <v>17334</v>
      </c>
      <c r="F29" s="155">
        <v>-9663</v>
      </c>
      <c r="G29" s="156">
        <v>50602</v>
      </c>
      <c r="H29" s="155">
        <v>20172.531690000003</v>
      </c>
      <c r="I29" s="155">
        <v>17490.468309999997</v>
      </c>
      <c r="J29" s="155">
        <v>18605</v>
      </c>
      <c r="K29" s="155">
        <v>41542</v>
      </c>
      <c r="L29" s="156">
        <v>97810</v>
      </c>
      <c r="M29" s="155">
        <v>29059</v>
      </c>
      <c r="N29" s="155">
        <v>19030</v>
      </c>
      <c r="O29" s="155">
        <v>21296</v>
      </c>
      <c r="P29" s="155">
        <v>37970</v>
      </c>
      <c r="Q29" s="156">
        <v>107355</v>
      </c>
      <c r="R29" s="155">
        <v>22980</v>
      </c>
      <c r="S29" s="155">
        <v>20266</v>
      </c>
      <c r="T29" s="155">
        <v>20568</v>
      </c>
      <c r="U29" s="155">
        <v>47322</v>
      </c>
      <c r="V29" s="156">
        <v>111136</v>
      </c>
      <c r="W29" s="155">
        <v>14272</v>
      </c>
      <c r="X29" s="155">
        <v>21998</v>
      </c>
      <c r="Y29" s="155">
        <v>15437</v>
      </c>
      <c r="Z29" s="155">
        <v>34990</v>
      </c>
      <c r="AA29" s="156">
        <v>86697</v>
      </c>
      <c r="AB29" s="155">
        <v>22710</v>
      </c>
      <c r="AC29" s="155">
        <v>16683</v>
      </c>
      <c r="AD29" s="155">
        <v>6666.6899999999878</v>
      </c>
      <c r="AE29" s="155">
        <v>35784</v>
      </c>
      <c r="AF29" s="156">
        <v>81843.689999999988</v>
      </c>
      <c r="AG29" s="155">
        <f>SUM(AG24:AG28)</f>
        <v>31937</v>
      </c>
      <c r="AH29" s="155">
        <f>SUM(AH24:AH28)</f>
        <v>33623</v>
      </c>
      <c r="AI29" s="155">
        <f>SUM(AI24:AI28)</f>
        <v>57819</v>
      </c>
      <c r="AJ29" s="155">
        <f>SUM(AJ24:AJ28)</f>
        <v>94620</v>
      </c>
      <c r="AK29" s="156">
        <f t="shared" si="0"/>
        <v>217999</v>
      </c>
      <c r="AL29" s="155">
        <f t="shared" ref="AL29:AY29" si="10">SUM(AL24:AL28)</f>
        <v>85561</v>
      </c>
      <c r="AM29" s="155">
        <f t="shared" si="10"/>
        <v>80218</v>
      </c>
      <c r="AN29" s="155">
        <f t="shared" si="10"/>
        <v>89128</v>
      </c>
      <c r="AO29" s="155">
        <f t="shared" si="10"/>
        <v>90853</v>
      </c>
      <c r="AP29" s="156">
        <f t="shared" si="10"/>
        <v>345760</v>
      </c>
      <c r="AQ29" s="155">
        <f t="shared" si="10"/>
        <v>111430</v>
      </c>
      <c r="AR29" s="155">
        <f t="shared" si="10"/>
        <v>102763</v>
      </c>
      <c r="AS29" s="155">
        <f t="shared" si="10"/>
        <v>124694</v>
      </c>
      <c r="AT29" s="155">
        <f t="shared" si="10"/>
        <v>115885</v>
      </c>
      <c r="AU29" s="156">
        <f t="shared" si="10"/>
        <v>454772</v>
      </c>
      <c r="AV29" s="155">
        <f t="shared" si="10"/>
        <v>119212</v>
      </c>
      <c r="AW29" s="155">
        <f t="shared" si="10"/>
        <v>114765</v>
      </c>
      <c r="AX29" s="155">
        <f t="shared" si="10"/>
        <v>138243</v>
      </c>
      <c r="AY29" s="155">
        <f t="shared" si="10"/>
        <v>98628</v>
      </c>
      <c r="AZ29" s="156">
        <f t="shared" ref="AZ29:BA29" si="11">SUM(AZ24:AZ28)</f>
        <v>470848</v>
      </c>
      <c r="BA29" s="155">
        <f t="shared" si="11"/>
        <v>162462</v>
      </c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</row>
    <row r="30" spans="1:77" ht="15.75" thickBot="1">
      <c r="A30" s="17"/>
      <c r="B30" s="17" t="s">
        <v>451</v>
      </c>
      <c r="C30" s="18">
        <v>0.49</v>
      </c>
      <c r="D30" s="18">
        <v>0.49</v>
      </c>
      <c r="E30" s="18">
        <v>0.49</v>
      </c>
      <c r="F30" s="18">
        <v>0.49</v>
      </c>
      <c r="G30" s="48">
        <v>0.49</v>
      </c>
      <c r="H30" s="18">
        <v>0.49</v>
      </c>
      <c r="I30" s="18">
        <v>0.49</v>
      </c>
      <c r="J30" s="18">
        <v>0.49</v>
      </c>
      <c r="K30" s="18">
        <v>0.49</v>
      </c>
      <c r="L30" s="48">
        <v>0.49</v>
      </c>
      <c r="M30" s="18">
        <v>0.49</v>
      </c>
      <c r="N30" s="18">
        <v>0.49</v>
      </c>
      <c r="O30" s="18">
        <v>0.49</v>
      </c>
      <c r="P30" s="18">
        <v>0.49</v>
      </c>
      <c r="Q30" s="48">
        <v>0.49</v>
      </c>
      <c r="R30" s="18">
        <v>0.49</v>
      </c>
      <c r="S30" s="18">
        <v>0.49</v>
      </c>
      <c r="T30" s="18">
        <v>0.49</v>
      </c>
      <c r="U30" s="18">
        <v>0.49</v>
      </c>
      <c r="V30" s="48">
        <v>0.49</v>
      </c>
      <c r="W30" s="18">
        <v>0.49</v>
      </c>
      <c r="X30" s="18">
        <v>0.49</v>
      </c>
      <c r="Y30" s="18">
        <v>0.49</v>
      </c>
      <c r="Z30" s="18">
        <v>0.49</v>
      </c>
      <c r="AA30" s="48">
        <v>0.49</v>
      </c>
      <c r="AB30" s="18">
        <v>0.49</v>
      </c>
      <c r="AC30" s="18">
        <v>0.49</v>
      </c>
      <c r="AD30" s="18">
        <v>0.49</v>
      </c>
      <c r="AE30" s="18">
        <v>0.49</v>
      </c>
      <c r="AF30" s="48">
        <v>0.49</v>
      </c>
      <c r="AG30" s="18">
        <v>0.48998999999999998</v>
      </c>
      <c r="AH30" s="18">
        <v>0.48998999999999998</v>
      </c>
      <c r="AI30" s="18">
        <v>0.48998999999999998</v>
      </c>
      <c r="AJ30" s="18">
        <v>0.48998999999999998</v>
      </c>
      <c r="AK30" s="48">
        <v>0.49</v>
      </c>
      <c r="AL30" s="18">
        <v>0.48998999999999998</v>
      </c>
      <c r="AM30" s="18">
        <v>0.48998999999999998</v>
      </c>
      <c r="AN30" s="18">
        <v>0.48998999999999998</v>
      </c>
      <c r="AO30" s="18">
        <v>0.49</v>
      </c>
      <c r="AP30" s="48">
        <v>0.49</v>
      </c>
      <c r="AQ30" s="18">
        <v>0.48998999999999998</v>
      </c>
      <c r="AR30" s="18">
        <v>0.48998999999999998</v>
      </c>
      <c r="AS30" s="18">
        <v>0.48998999999999998</v>
      </c>
      <c r="AT30" s="18">
        <v>0.49</v>
      </c>
      <c r="AU30" s="48">
        <v>0.49</v>
      </c>
      <c r="AV30" s="18">
        <v>0.49</v>
      </c>
      <c r="AW30" s="18">
        <v>0.49</v>
      </c>
      <c r="AX30" s="18">
        <v>0.49</v>
      </c>
      <c r="AY30" s="18">
        <v>0.49</v>
      </c>
      <c r="AZ30" s="48">
        <v>0.49</v>
      </c>
      <c r="BA30" s="18">
        <v>0.49</v>
      </c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ht="15.75" thickBot="1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476"/>
      <c r="AQ31" s="8"/>
      <c r="AR31" s="8"/>
      <c r="AS31" s="8"/>
      <c r="AT31" s="8"/>
      <c r="AU31" s="476"/>
      <c r="AV31" s="8"/>
      <c r="AW31" s="8"/>
      <c r="AX31" s="8"/>
      <c r="AY31" s="8"/>
      <c r="AZ31" s="476"/>
      <c r="BA31" s="476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</row>
    <row r="32" spans="1:77" s="2" customFormat="1">
      <c r="A32" s="625"/>
      <c r="B32" s="625" t="s">
        <v>542</v>
      </c>
      <c r="C32" s="626" t="s">
        <v>224</v>
      </c>
      <c r="D32" s="626" t="s">
        <v>225</v>
      </c>
      <c r="E32" s="626" t="s">
        <v>226</v>
      </c>
      <c r="F32" s="626" t="s">
        <v>227</v>
      </c>
      <c r="G32" s="652">
        <v>2016</v>
      </c>
      <c r="H32" s="626" t="s">
        <v>228</v>
      </c>
      <c r="I32" s="626" t="s">
        <v>229</v>
      </c>
      <c r="J32" s="626" t="s">
        <v>230</v>
      </c>
      <c r="K32" s="626" t="s">
        <v>231</v>
      </c>
      <c r="L32" s="652">
        <v>2017</v>
      </c>
      <c r="M32" s="626" t="s">
        <v>232</v>
      </c>
      <c r="N32" s="626" t="s">
        <v>233</v>
      </c>
      <c r="O32" s="626" t="s">
        <v>234</v>
      </c>
      <c r="P32" s="626" t="s">
        <v>235</v>
      </c>
      <c r="Q32" s="652">
        <v>2018</v>
      </c>
      <c r="R32" s="626" t="s">
        <v>236</v>
      </c>
      <c r="S32" s="626" t="s">
        <v>237</v>
      </c>
      <c r="T32" s="626" t="s">
        <v>238</v>
      </c>
      <c r="U32" s="626" t="s">
        <v>239</v>
      </c>
      <c r="V32" s="652">
        <v>2019</v>
      </c>
      <c r="W32" s="626" t="s">
        <v>240</v>
      </c>
      <c r="X32" s="626" t="s">
        <v>241</v>
      </c>
      <c r="Y32" s="626" t="s">
        <v>242</v>
      </c>
      <c r="Z32" s="626" t="s">
        <v>243</v>
      </c>
      <c r="AA32" s="652">
        <v>2020</v>
      </c>
      <c r="AB32" s="626" t="s">
        <v>244</v>
      </c>
      <c r="AC32" s="626" t="s">
        <v>245</v>
      </c>
      <c r="AD32" s="626" t="s">
        <v>246</v>
      </c>
      <c r="AE32" s="626" t="s">
        <v>247</v>
      </c>
      <c r="AF32" s="652">
        <v>2021</v>
      </c>
      <c r="AG32" s="626" t="s">
        <v>248</v>
      </c>
      <c r="AH32" s="626" t="s">
        <v>249</v>
      </c>
      <c r="AI32" s="626" t="s">
        <v>250</v>
      </c>
      <c r="AJ32" s="626" t="s">
        <v>215</v>
      </c>
      <c r="AK32" s="652">
        <v>2022</v>
      </c>
      <c r="AL32" s="626" t="s">
        <v>252</v>
      </c>
      <c r="AM32" s="626" t="s">
        <v>253</v>
      </c>
      <c r="AN32" s="626" t="s">
        <v>254</v>
      </c>
      <c r="AO32" s="626" t="s">
        <v>219</v>
      </c>
      <c r="AP32" s="652">
        <v>2023</v>
      </c>
      <c r="AQ32" s="626" t="s">
        <v>223</v>
      </c>
      <c r="AR32" s="626" t="s">
        <v>256</v>
      </c>
      <c r="AS32" s="626" t="s">
        <v>357</v>
      </c>
      <c r="AT32" s="626" t="s">
        <v>358</v>
      </c>
      <c r="AU32" s="652">
        <v>2024</v>
      </c>
      <c r="AV32" s="626" t="s">
        <v>359</v>
      </c>
      <c r="AW32" s="626" t="s">
        <v>1115</v>
      </c>
      <c r="AX32" s="626" t="s">
        <v>1116</v>
      </c>
      <c r="AY32" s="626" t="s">
        <v>1117</v>
      </c>
      <c r="AZ32" s="653" t="s">
        <v>1118</v>
      </c>
      <c r="BA32" s="645" t="s">
        <v>1124</v>
      </c>
    </row>
    <row r="33" spans="1:77" s="2" customFormat="1">
      <c r="A33" s="9"/>
      <c r="B33" s="9" t="s">
        <v>412</v>
      </c>
      <c r="C33" s="117">
        <v>5195</v>
      </c>
      <c r="D33" s="117">
        <v>6029</v>
      </c>
      <c r="E33" s="117">
        <v>4444</v>
      </c>
      <c r="F33" s="117">
        <v>6374</v>
      </c>
      <c r="G33" s="118">
        <v>22042</v>
      </c>
      <c r="H33" s="117">
        <v>5950.8007200000002</v>
      </c>
      <c r="I33" s="117">
        <v>3501.34069</v>
      </c>
      <c r="J33" s="117">
        <v>3358.5316000000003</v>
      </c>
      <c r="K33" s="117">
        <v>4024.5487400000002</v>
      </c>
      <c r="L33" s="118">
        <v>16835.221750000001</v>
      </c>
      <c r="M33" s="117">
        <v>5058.4754899999998</v>
      </c>
      <c r="N33" s="117">
        <v>4408.8881300000003</v>
      </c>
      <c r="O33" s="117">
        <v>4561.4901700000009</v>
      </c>
      <c r="P33" s="117">
        <v>4857.7616799999996</v>
      </c>
      <c r="Q33" s="118">
        <v>18886.615470000001</v>
      </c>
      <c r="R33" s="117">
        <v>5855.5090599999994</v>
      </c>
      <c r="S33" s="117">
        <v>17505.817929999997</v>
      </c>
      <c r="T33" s="117">
        <v>20025.673010000002</v>
      </c>
      <c r="U33" s="117">
        <v>24707.854530000011</v>
      </c>
      <c r="V33" s="118">
        <v>68094.854530000011</v>
      </c>
      <c r="W33" s="117">
        <v>12528</v>
      </c>
      <c r="X33" s="117">
        <v>9084.9941900000049</v>
      </c>
      <c r="Y33" s="117">
        <v>13772</v>
      </c>
      <c r="Z33" s="117">
        <v>16605</v>
      </c>
      <c r="AA33" s="118">
        <v>51989.994190000005</v>
      </c>
      <c r="AB33" s="117">
        <v>17634</v>
      </c>
      <c r="AC33" s="117">
        <v>16399</v>
      </c>
      <c r="AD33" s="117">
        <v>13034.752410000001</v>
      </c>
      <c r="AE33" s="117">
        <v>13108</v>
      </c>
      <c r="AF33" s="118">
        <v>60175.752410000001</v>
      </c>
      <c r="AG33" s="117">
        <v>11996</v>
      </c>
      <c r="AH33" s="117">
        <v>13222</v>
      </c>
      <c r="AI33" s="117">
        <v>14352</v>
      </c>
      <c r="AJ33" s="117">
        <v>15498</v>
      </c>
      <c r="AK33" s="118">
        <f>SUM(AG33:AJ33)</f>
        <v>55068</v>
      </c>
      <c r="AL33" s="117">
        <v>16306</v>
      </c>
      <c r="AM33" s="117">
        <v>15398</v>
      </c>
      <c r="AN33" s="117">
        <v>15869</v>
      </c>
      <c r="AO33" s="117">
        <v>20481.706999999995</v>
      </c>
      <c r="AP33" s="118">
        <f>SUM(AL33:AO33)</f>
        <v>68054.706999999995</v>
      </c>
      <c r="AQ33" s="117">
        <v>20086.099999999999</v>
      </c>
      <c r="AR33" s="117">
        <v>9416.8860000000022</v>
      </c>
      <c r="AS33" s="117">
        <v>9264.1269999999968</v>
      </c>
      <c r="AT33" s="117">
        <v>9571.1070000000036</v>
      </c>
      <c r="AU33" s="118">
        <f>SUM(AQ33:AT33)</f>
        <v>48338.22</v>
      </c>
      <c r="AV33" s="117">
        <v>13543</v>
      </c>
      <c r="AW33" s="117">
        <v>14623</v>
      </c>
      <c r="AX33" s="117">
        <v>14941</v>
      </c>
      <c r="AY33" s="117">
        <v>16869</v>
      </c>
      <c r="AZ33" s="118">
        <f>SUM(AV33:AY33)</f>
        <v>59976</v>
      </c>
      <c r="BA33" s="117">
        <v>15432.847</v>
      </c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</row>
    <row r="34" spans="1:77">
      <c r="A34" s="11"/>
      <c r="B34" s="11" t="s">
        <v>413</v>
      </c>
      <c r="C34" s="123">
        <v>-1534</v>
      </c>
      <c r="D34" s="123">
        <v>-1394</v>
      </c>
      <c r="E34" s="123">
        <v>-2251</v>
      </c>
      <c r="F34" s="123">
        <v>-1762</v>
      </c>
      <c r="G34" s="144">
        <v>-6941</v>
      </c>
      <c r="H34" s="123">
        <v>-1783.3770799999995</v>
      </c>
      <c r="I34" s="123">
        <v>-1262.5373500000003</v>
      </c>
      <c r="J34" s="123">
        <v>-1415.6733399999994</v>
      </c>
      <c r="K34" s="123">
        <v>-1568.0801000000001</v>
      </c>
      <c r="L34" s="144">
        <v>-6029.6678699999993</v>
      </c>
      <c r="M34" s="123">
        <v>-1648.8004900000001</v>
      </c>
      <c r="N34" s="123">
        <v>-1704.8406699999996</v>
      </c>
      <c r="O34" s="123">
        <v>-1592.2669799999999</v>
      </c>
      <c r="P34" s="123">
        <v>-1795.0366800000011</v>
      </c>
      <c r="Q34" s="144">
        <v>-6740.9448200000006</v>
      </c>
      <c r="R34" s="153">
        <v>-2022.5778600000001</v>
      </c>
      <c r="S34" s="153">
        <v>-1580.6932700000004</v>
      </c>
      <c r="T34" s="153">
        <v>-1597.7288699999995</v>
      </c>
      <c r="U34" s="153">
        <v>-1663.1956600000003</v>
      </c>
      <c r="V34" s="144">
        <v>-6864.1956600000003</v>
      </c>
      <c r="W34" s="153">
        <v>-1965</v>
      </c>
      <c r="X34" s="153">
        <v>-1803.1949099999999</v>
      </c>
      <c r="Y34" s="153">
        <v>-2348</v>
      </c>
      <c r="Z34" s="153">
        <v>-1539</v>
      </c>
      <c r="AA34" s="144">
        <v>-7655.1949100000002</v>
      </c>
      <c r="AB34" s="153">
        <v>-1425</v>
      </c>
      <c r="AC34" s="153">
        <v>-1563</v>
      </c>
      <c r="AD34" s="153">
        <v>-2693.11382</v>
      </c>
      <c r="AE34" s="153">
        <v>-1065</v>
      </c>
      <c r="AF34" s="144">
        <v>-6746.1138200000005</v>
      </c>
      <c r="AG34" s="153">
        <v>-1389</v>
      </c>
      <c r="AH34" s="153">
        <v>-1226</v>
      </c>
      <c r="AI34" s="153">
        <v>-1430</v>
      </c>
      <c r="AJ34" s="153">
        <v>-1413</v>
      </c>
      <c r="AK34" s="144">
        <f t="shared" ref="AK34:AK46" si="12">SUM(AG34:AJ34)</f>
        <v>-5458</v>
      </c>
      <c r="AL34" s="153">
        <v>-1225</v>
      </c>
      <c r="AM34" s="136">
        <v>-1374</v>
      </c>
      <c r="AN34" s="153">
        <v>-1386</v>
      </c>
      <c r="AO34" s="153">
        <v>-1195.2579999999998</v>
      </c>
      <c r="AP34" s="144">
        <f t="shared" ref="AP34:AP46" si="13">SUM(AL34:AO34)</f>
        <v>-5180.2579999999998</v>
      </c>
      <c r="AQ34" s="153">
        <v>-1013.038</v>
      </c>
      <c r="AR34" s="214">
        <v>-779.93599999999992</v>
      </c>
      <c r="AS34" s="153">
        <v>-748.48000000000025</v>
      </c>
      <c r="AT34" s="121">
        <v>-764.75499999999965</v>
      </c>
      <c r="AU34" s="144">
        <f t="shared" ref="AU34:AU46" si="14">SUM(AQ34:AT34)</f>
        <v>-3306.2089999999998</v>
      </c>
      <c r="AV34" s="121">
        <v>-766.57299999999998</v>
      </c>
      <c r="AW34" s="121">
        <v>-781.81799999999998</v>
      </c>
      <c r="AX34" s="121">
        <v>-803.21500000000003</v>
      </c>
      <c r="AY34" s="121">
        <v>-733.73400000000004</v>
      </c>
      <c r="AZ34" s="144">
        <f t="shared" ref="AZ34:AZ46" si="15">SUM(AV34:AY34)</f>
        <v>-3085.34</v>
      </c>
      <c r="BA34" s="123">
        <v>-778.48400000000004</v>
      </c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</row>
    <row r="35" spans="1:77">
      <c r="A35" s="11"/>
      <c r="B35" s="11" t="s">
        <v>414</v>
      </c>
      <c r="C35" s="120">
        <v>0</v>
      </c>
      <c r="D35" s="120">
        <v>-1148</v>
      </c>
      <c r="E35" s="120">
        <v>-518</v>
      </c>
      <c r="F35" s="120">
        <v>-642</v>
      </c>
      <c r="G35" s="154">
        <v>-2308</v>
      </c>
      <c r="H35" s="120">
        <v>-39.929199999999994</v>
      </c>
      <c r="I35" s="120">
        <v>-10.189440000000005</v>
      </c>
      <c r="J35" s="120">
        <v>-7.0165500000000023</v>
      </c>
      <c r="K35" s="120">
        <v>-5.4570900000000009</v>
      </c>
      <c r="L35" s="154">
        <v>-62.592280000000002</v>
      </c>
      <c r="M35" s="120">
        <v>-5.8429099999999998</v>
      </c>
      <c r="N35" s="120">
        <v>-7.9710199999999993</v>
      </c>
      <c r="O35" s="120">
        <v>-24.46752</v>
      </c>
      <c r="P35" s="120">
        <v>-16.738320000000002</v>
      </c>
      <c r="Q35" s="154">
        <v>-55.019770000000001</v>
      </c>
      <c r="R35" s="120">
        <v>-16.142769999999999</v>
      </c>
      <c r="S35" s="120">
        <v>-15.6951</v>
      </c>
      <c r="T35" s="120">
        <v>-11.162130000000001</v>
      </c>
      <c r="U35" s="120">
        <v>-10.252400000000009</v>
      </c>
      <c r="V35" s="154">
        <v>-53.252400000000009</v>
      </c>
      <c r="W35" s="120">
        <v>-10</v>
      </c>
      <c r="X35" s="120">
        <v>-12.394830000000002</v>
      </c>
      <c r="Y35" s="120">
        <v>-11</v>
      </c>
      <c r="Z35" s="120">
        <v>-6</v>
      </c>
      <c r="AA35" s="154">
        <v>-39.394829999999999</v>
      </c>
      <c r="AB35" s="120">
        <v>-6</v>
      </c>
      <c r="AC35" s="120">
        <v>-8</v>
      </c>
      <c r="AD35" s="120">
        <v>-8.6070899999999995</v>
      </c>
      <c r="AE35" s="120">
        <v>-8</v>
      </c>
      <c r="AF35" s="154">
        <v>-30.607089999999999</v>
      </c>
      <c r="AG35" s="120">
        <v>-7</v>
      </c>
      <c r="AH35" s="120">
        <v>-33</v>
      </c>
      <c r="AI35" s="120">
        <v>-20</v>
      </c>
      <c r="AJ35" s="120">
        <v>-13</v>
      </c>
      <c r="AK35" s="154">
        <f t="shared" si="12"/>
        <v>-73</v>
      </c>
      <c r="AL35" s="120">
        <v>-23</v>
      </c>
      <c r="AM35" s="120">
        <v>-49</v>
      </c>
      <c r="AN35" s="120">
        <v>-21</v>
      </c>
      <c r="AO35" s="120">
        <v>-19.656999999999996</v>
      </c>
      <c r="AP35" s="154">
        <f t="shared" si="13"/>
        <v>-112.657</v>
      </c>
      <c r="AQ35" s="120">
        <v>-9.92</v>
      </c>
      <c r="AR35" s="121">
        <v>-18.170999999999999</v>
      </c>
      <c r="AS35" s="120">
        <v>-14.064</v>
      </c>
      <c r="AT35" s="121">
        <v>-23.137</v>
      </c>
      <c r="AU35" s="154">
        <f t="shared" si="14"/>
        <v>-65.292000000000002</v>
      </c>
      <c r="AV35" s="121">
        <v>-6.5090000000000003</v>
      </c>
      <c r="AW35" s="121">
        <v>-6.3870000000000005</v>
      </c>
      <c r="AX35" s="121">
        <v>-5.6389999999999993</v>
      </c>
      <c r="AY35" s="121">
        <v>1.7210000000000001</v>
      </c>
      <c r="AZ35" s="142">
        <f t="shared" si="15"/>
        <v>-16.814</v>
      </c>
      <c r="BA35" s="120">
        <v>-7.0259999999999998</v>
      </c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</row>
    <row r="36" spans="1:77">
      <c r="A36" s="11"/>
      <c r="B36" s="11" t="s">
        <v>415</v>
      </c>
      <c r="C36" s="120">
        <v>717</v>
      </c>
      <c r="D36" s="120">
        <v>672</v>
      </c>
      <c r="E36" s="120">
        <v>860</v>
      </c>
      <c r="F36" s="120">
        <v>962</v>
      </c>
      <c r="G36" s="154">
        <v>3211</v>
      </c>
      <c r="H36" s="120">
        <v>1006.8966199999999</v>
      </c>
      <c r="I36" s="120">
        <v>1043.6352499999998</v>
      </c>
      <c r="J36" s="120">
        <v>1153.4962600000003</v>
      </c>
      <c r="K36" s="120">
        <v>514.95861000000014</v>
      </c>
      <c r="L36" s="154">
        <v>3718.9867400000003</v>
      </c>
      <c r="M36" s="120">
        <v>376.43422000000004</v>
      </c>
      <c r="N36" s="120">
        <v>264.56380999999993</v>
      </c>
      <c r="O36" s="120">
        <v>257.44665000000009</v>
      </c>
      <c r="P36" s="120">
        <v>238.31364000000031</v>
      </c>
      <c r="Q36" s="154">
        <v>1136.7583200000004</v>
      </c>
      <c r="R36" s="120">
        <v>247.77452</v>
      </c>
      <c r="S36" s="120">
        <v>191.45423</v>
      </c>
      <c r="T36" s="120">
        <v>424.77125000000001</v>
      </c>
      <c r="U36" s="120">
        <v>258.32684999999969</v>
      </c>
      <c r="V36" s="154">
        <v>1122.3268499999997</v>
      </c>
      <c r="W36" s="120">
        <v>113</v>
      </c>
      <c r="X36" s="120">
        <v>96.530659999999983</v>
      </c>
      <c r="Y36" s="120">
        <v>182</v>
      </c>
      <c r="Z36" s="120">
        <v>6277</v>
      </c>
      <c r="AA36" s="154">
        <v>6668.5306600000004</v>
      </c>
      <c r="AB36" s="120">
        <v>274</v>
      </c>
      <c r="AC36" s="120">
        <v>482</v>
      </c>
      <c r="AD36" s="120">
        <v>761.25163000000009</v>
      </c>
      <c r="AE36" s="120">
        <v>1275</v>
      </c>
      <c r="AF36" s="154">
        <v>2792.2516300000002</v>
      </c>
      <c r="AG36" s="120">
        <v>1371</v>
      </c>
      <c r="AH36" s="120">
        <v>1310</v>
      </c>
      <c r="AI36" s="120">
        <v>1935</v>
      </c>
      <c r="AJ36" s="120">
        <v>2230</v>
      </c>
      <c r="AK36" s="154">
        <f t="shared" si="12"/>
        <v>6846</v>
      </c>
      <c r="AL36" s="120">
        <v>2076</v>
      </c>
      <c r="AM36" s="120">
        <v>1554</v>
      </c>
      <c r="AN36" s="120">
        <v>1971</v>
      </c>
      <c r="AO36" s="120">
        <v>2623.009</v>
      </c>
      <c r="AP36" s="154">
        <f t="shared" si="13"/>
        <v>8224.009</v>
      </c>
      <c r="AQ36" s="120">
        <v>2056.4499999999998</v>
      </c>
      <c r="AR36" s="121">
        <v>1965</v>
      </c>
      <c r="AS36" s="120">
        <v>2203.5529999999999</v>
      </c>
      <c r="AT36" s="121">
        <v>2395.2390000000005</v>
      </c>
      <c r="AU36" s="154">
        <f t="shared" si="14"/>
        <v>8620.2420000000002</v>
      </c>
      <c r="AV36" s="121">
        <v>1542</v>
      </c>
      <c r="AW36" s="121">
        <v>773</v>
      </c>
      <c r="AX36" s="121">
        <v>1191</v>
      </c>
      <c r="AY36" s="121">
        <v>1654</v>
      </c>
      <c r="AZ36" s="142">
        <f t="shared" si="15"/>
        <v>5160</v>
      </c>
      <c r="BA36" s="120">
        <v>2096.7640000000001</v>
      </c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</row>
    <row r="37" spans="1:77">
      <c r="A37" s="11"/>
      <c r="B37" s="11" t="s">
        <v>416</v>
      </c>
      <c r="C37" s="123">
        <v>0</v>
      </c>
      <c r="D37" s="123">
        <v>0</v>
      </c>
      <c r="E37" s="123">
        <v>0</v>
      </c>
      <c r="F37" s="123">
        <v>0</v>
      </c>
      <c r="G37" s="144">
        <v>0</v>
      </c>
      <c r="H37" s="123">
        <v>0</v>
      </c>
      <c r="I37" s="123">
        <v>0</v>
      </c>
      <c r="J37" s="123">
        <v>0</v>
      </c>
      <c r="K37" s="123">
        <v>0</v>
      </c>
      <c r="L37" s="144">
        <v>0</v>
      </c>
      <c r="M37" s="123">
        <v>0</v>
      </c>
      <c r="N37" s="123">
        <v>0</v>
      </c>
      <c r="O37" s="123">
        <v>0</v>
      </c>
      <c r="P37" s="123">
        <v>0</v>
      </c>
      <c r="Q37" s="144">
        <v>0</v>
      </c>
      <c r="R37" s="153">
        <v>0</v>
      </c>
      <c r="S37" s="153">
        <v>0</v>
      </c>
      <c r="T37" s="153">
        <v>0</v>
      </c>
      <c r="U37" s="153">
        <v>0</v>
      </c>
      <c r="V37" s="144">
        <v>0</v>
      </c>
      <c r="W37" s="153">
        <v>0</v>
      </c>
      <c r="X37" s="153">
        <v>0</v>
      </c>
      <c r="Y37" s="153">
        <v>0</v>
      </c>
      <c r="Z37" s="153">
        <v>0</v>
      </c>
      <c r="AA37" s="144">
        <v>0</v>
      </c>
      <c r="AB37" s="153">
        <v>0</v>
      </c>
      <c r="AC37" s="153">
        <v>0</v>
      </c>
      <c r="AD37" s="153">
        <v>0</v>
      </c>
      <c r="AE37" s="153">
        <v>0</v>
      </c>
      <c r="AF37" s="144">
        <v>0</v>
      </c>
      <c r="AG37" s="153">
        <v>0</v>
      </c>
      <c r="AH37" s="153">
        <v>0</v>
      </c>
      <c r="AI37" s="153">
        <v>0</v>
      </c>
      <c r="AJ37" s="153">
        <v>0</v>
      </c>
      <c r="AK37" s="144">
        <f t="shared" si="12"/>
        <v>0</v>
      </c>
      <c r="AL37" s="153">
        <v>0</v>
      </c>
      <c r="AM37" s="153">
        <v>0</v>
      </c>
      <c r="AN37" s="153">
        <v>0</v>
      </c>
      <c r="AO37" s="153">
        <v>0</v>
      </c>
      <c r="AP37" s="144">
        <f t="shared" si="13"/>
        <v>0</v>
      </c>
      <c r="AQ37" s="153">
        <v>0</v>
      </c>
      <c r="AR37" s="121">
        <v>0</v>
      </c>
      <c r="AS37" s="153">
        <v>0</v>
      </c>
      <c r="AT37" s="121">
        <v>0</v>
      </c>
      <c r="AU37" s="144">
        <f t="shared" si="14"/>
        <v>0</v>
      </c>
      <c r="AV37" s="121">
        <v>0</v>
      </c>
      <c r="AW37" s="121">
        <v>0</v>
      </c>
      <c r="AX37" s="121">
        <v>0</v>
      </c>
      <c r="AY37" s="121">
        <v>0</v>
      </c>
      <c r="AZ37" s="144">
        <f t="shared" si="15"/>
        <v>0</v>
      </c>
      <c r="BA37" s="123">
        <v>0</v>
      </c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</row>
    <row r="38" spans="1:77">
      <c r="A38" s="11"/>
      <c r="B38" s="11" t="s">
        <v>417</v>
      </c>
      <c r="C38" s="120">
        <v>-381</v>
      </c>
      <c r="D38" s="120">
        <v>377</v>
      </c>
      <c r="E38" s="120">
        <v>-1</v>
      </c>
      <c r="F38" s="120">
        <v>-120</v>
      </c>
      <c r="G38" s="154">
        <v>-125</v>
      </c>
      <c r="H38" s="120">
        <v>-209.61695</v>
      </c>
      <c r="I38" s="120">
        <v>0</v>
      </c>
      <c r="J38" s="120">
        <v>-278.60002999999995</v>
      </c>
      <c r="K38" s="120">
        <v>0</v>
      </c>
      <c r="L38" s="154">
        <v>-488.21697999999992</v>
      </c>
      <c r="M38" s="120">
        <v>0</v>
      </c>
      <c r="N38" s="120">
        <v>5.89</v>
      </c>
      <c r="O38" s="120">
        <v>0</v>
      </c>
      <c r="P38" s="120">
        <v>0</v>
      </c>
      <c r="Q38" s="154">
        <v>5.89</v>
      </c>
      <c r="R38" s="120">
        <v>0</v>
      </c>
      <c r="S38" s="120">
        <v>0</v>
      </c>
      <c r="T38" s="120">
        <v>0</v>
      </c>
      <c r="U38" s="120">
        <v>0</v>
      </c>
      <c r="V38" s="154">
        <v>0</v>
      </c>
      <c r="W38" s="120">
        <v>0</v>
      </c>
      <c r="X38" s="120">
        <v>0</v>
      </c>
      <c r="Y38" s="120">
        <v>0</v>
      </c>
      <c r="Z38" s="120">
        <v>0</v>
      </c>
      <c r="AA38" s="154">
        <v>0</v>
      </c>
      <c r="AB38" s="120">
        <v>0</v>
      </c>
      <c r="AC38" s="120">
        <v>0</v>
      </c>
      <c r="AD38" s="120">
        <v>-2</v>
      </c>
      <c r="AE38" s="120">
        <v>-433</v>
      </c>
      <c r="AF38" s="154">
        <v>-435</v>
      </c>
      <c r="AG38" s="120">
        <v>-46</v>
      </c>
      <c r="AH38" s="120">
        <v>-1</v>
      </c>
      <c r="AI38" s="120">
        <v>0</v>
      </c>
      <c r="AJ38" s="120">
        <v>145</v>
      </c>
      <c r="AK38" s="154">
        <f t="shared" si="12"/>
        <v>98</v>
      </c>
      <c r="AL38" s="120">
        <v>60</v>
      </c>
      <c r="AM38" s="120">
        <v>-10</v>
      </c>
      <c r="AN38" s="120">
        <v>0</v>
      </c>
      <c r="AO38" s="120">
        <v>31.61099999999999</v>
      </c>
      <c r="AP38" s="154">
        <f t="shared" si="13"/>
        <v>81.61099999999999</v>
      </c>
      <c r="AQ38" s="120">
        <v>0</v>
      </c>
      <c r="AR38" s="121">
        <v>0</v>
      </c>
      <c r="AS38" s="120">
        <v>0</v>
      </c>
      <c r="AT38" s="121">
        <v>0</v>
      </c>
      <c r="AU38" s="154">
        <f t="shared" si="14"/>
        <v>0</v>
      </c>
      <c r="AV38" s="121">
        <v>0</v>
      </c>
      <c r="AW38" s="121">
        <v>0</v>
      </c>
      <c r="AX38" s="121">
        <v>0</v>
      </c>
      <c r="AY38" s="121">
        <v>0</v>
      </c>
      <c r="AZ38" s="142">
        <f t="shared" si="15"/>
        <v>0</v>
      </c>
      <c r="BA38" s="120">
        <v>0</v>
      </c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</row>
    <row r="39" spans="1:77" s="2" customFormat="1">
      <c r="A39" s="9"/>
      <c r="B39" s="9" t="s">
        <v>418</v>
      </c>
      <c r="C39" s="117">
        <v>3997</v>
      </c>
      <c r="D39" s="117">
        <v>4536</v>
      </c>
      <c r="E39" s="117">
        <v>2534</v>
      </c>
      <c r="F39" s="117">
        <v>4812</v>
      </c>
      <c r="G39" s="118">
        <v>15879</v>
      </c>
      <c r="H39" s="117">
        <v>4924.7741100000012</v>
      </c>
      <c r="I39" s="117">
        <v>3272.2491500000006</v>
      </c>
      <c r="J39" s="117">
        <v>2810.7379399999991</v>
      </c>
      <c r="K39" s="117">
        <v>2965.9701600000008</v>
      </c>
      <c r="L39" s="118">
        <v>13973.731360000002</v>
      </c>
      <c r="M39" s="117">
        <v>3780.26631</v>
      </c>
      <c r="N39" s="117">
        <v>2966.5302500000007</v>
      </c>
      <c r="O39" s="117">
        <v>3202.2023200000003</v>
      </c>
      <c r="P39" s="117">
        <v>3284.3003199999985</v>
      </c>
      <c r="Q39" s="118">
        <v>13233.299199999999</v>
      </c>
      <c r="R39" s="117">
        <v>4064.5629499999991</v>
      </c>
      <c r="S39" s="117">
        <v>16100.883789999996</v>
      </c>
      <c r="T39" s="117">
        <v>18840.553260000004</v>
      </c>
      <c r="U39" s="117">
        <v>23292.733320000021</v>
      </c>
      <c r="V39" s="118">
        <v>62298.733320000021</v>
      </c>
      <c r="W39" s="117">
        <v>10666</v>
      </c>
      <c r="X39" s="117">
        <v>7365.935110000004</v>
      </c>
      <c r="Y39" s="117">
        <v>11596</v>
      </c>
      <c r="Z39" s="117">
        <v>21337</v>
      </c>
      <c r="AA39" s="118">
        <v>50964.935110000006</v>
      </c>
      <c r="AB39" s="117">
        <v>16477</v>
      </c>
      <c r="AC39" s="117">
        <v>15310</v>
      </c>
      <c r="AD39" s="117">
        <v>11092.283130000002</v>
      </c>
      <c r="AE39" s="117">
        <v>12877</v>
      </c>
      <c r="AF39" s="118">
        <v>55756.283130000003</v>
      </c>
      <c r="AG39" s="117">
        <f>SUM(AG33:AG38)</f>
        <v>11925</v>
      </c>
      <c r="AH39" s="117">
        <f>SUM(AH33:AH38)</f>
        <v>13272</v>
      </c>
      <c r="AI39" s="117">
        <f>SUM(AI33:AI38)</f>
        <v>14837</v>
      </c>
      <c r="AJ39" s="117">
        <f>SUM(AJ33:AJ38)</f>
        <v>16447</v>
      </c>
      <c r="AK39" s="118">
        <f t="shared" si="12"/>
        <v>56481</v>
      </c>
      <c r="AL39" s="117">
        <f>SUM(AL33:AL38)</f>
        <v>17194</v>
      </c>
      <c r="AM39" s="117">
        <f>SUM(AM33:AM38)</f>
        <v>15519</v>
      </c>
      <c r="AN39" s="117">
        <f>SUM(AN33:AN38)</f>
        <v>16433</v>
      </c>
      <c r="AO39" s="117">
        <f>SUM(AO33:AO38)</f>
        <v>21921.411999999993</v>
      </c>
      <c r="AP39" s="118">
        <f t="shared" si="13"/>
        <v>71067.411999999997</v>
      </c>
      <c r="AQ39" s="117">
        <f>SUM(AQ33:AQ38)</f>
        <v>21119.592000000001</v>
      </c>
      <c r="AR39" s="117">
        <f t="shared" ref="AR39:BA39" si="16">SUM(AR33:AR38)</f>
        <v>10583.779000000002</v>
      </c>
      <c r="AS39" s="117">
        <f t="shared" si="16"/>
        <v>10705.135999999997</v>
      </c>
      <c r="AT39" s="117">
        <f t="shared" si="16"/>
        <v>11178.454000000005</v>
      </c>
      <c r="AU39" s="118">
        <f t="shared" si="14"/>
        <v>53586.961000000003</v>
      </c>
      <c r="AV39" s="117">
        <f t="shared" si="16"/>
        <v>14311.918</v>
      </c>
      <c r="AW39" s="117">
        <f t="shared" si="16"/>
        <v>14607.795</v>
      </c>
      <c r="AX39" s="117">
        <f t="shared" si="16"/>
        <v>15323.146000000001</v>
      </c>
      <c r="AY39" s="117">
        <f t="shared" si="16"/>
        <v>17790.987000000001</v>
      </c>
      <c r="AZ39" s="118">
        <f t="shared" si="15"/>
        <v>62033.845999999998</v>
      </c>
      <c r="BA39" s="117">
        <f t="shared" si="16"/>
        <v>16744.100999999999</v>
      </c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</row>
    <row r="40" spans="1:77">
      <c r="A40" s="11"/>
      <c r="B40" s="11" t="s">
        <v>419</v>
      </c>
      <c r="C40" s="120">
        <v>0</v>
      </c>
      <c r="D40" s="120">
        <v>0</v>
      </c>
      <c r="E40" s="120">
        <v>0</v>
      </c>
      <c r="F40" s="120">
        <v>-2735.3694112244898</v>
      </c>
      <c r="G40" s="154">
        <v>-2735.3694112244898</v>
      </c>
      <c r="H40" s="120">
        <v>0</v>
      </c>
      <c r="I40" s="120">
        <v>0</v>
      </c>
      <c r="J40" s="120">
        <v>0</v>
      </c>
      <c r="K40" s="120">
        <v>0</v>
      </c>
      <c r="L40" s="154">
        <v>0</v>
      </c>
      <c r="M40" s="120">
        <v>0</v>
      </c>
      <c r="N40" s="120">
        <v>0</v>
      </c>
      <c r="O40" s="120">
        <v>0</v>
      </c>
      <c r="P40" s="120">
        <v>0</v>
      </c>
      <c r="Q40" s="154">
        <v>0</v>
      </c>
      <c r="R40" s="120">
        <v>0</v>
      </c>
      <c r="S40" s="120">
        <v>0</v>
      </c>
      <c r="T40" s="120">
        <v>0</v>
      </c>
      <c r="U40" s="120">
        <v>0</v>
      </c>
      <c r="V40" s="154">
        <v>0</v>
      </c>
      <c r="W40" s="120">
        <v>0</v>
      </c>
      <c r="X40" s="120">
        <v>0</v>
      </c>
      <c r="Y40" s="120">
        <v>0</v>
      </c>
      <c r="Z40" s="120">
        <v>0</v>
      </c>
      <c r="AA40" s="154">
        <v>0</v>
      </c>
      <c r="AB40" s="120">
        <v>0</v>
      </c>
      <c r="AC40" s="120">
        <v>0</v>
      </c>
      <c r="AD40" s="120">
        <v>0</v>
      </c>
      <c r="AE40" s="120">
        <v>0</v>
      </c>
      <c r="AF40" s="154">
        <v>0</v>
      </c>
      <c r="AG40" s="120">
        <v>0</v>
      </c>
      <c r="AH40" s="120">
        <v>0</v>
      </c>
      <c r="AI40" s="120">
        <v>0</v>
      </c>
      <c r="AJ40" s="120">
        <v>0</v>
      </c>
      <c r="AK40" s="154">
        <f t="shared" si="12"/>
        <v>0</v>
      </c>
      <c r="AL40" s="120">
        <v>0</v>
      </c>
      <c r="AM40" s="120">
        <v>0</v>
      </c>
      <c r="AN40" s="120">
        <v>0</v>
      </c>
      <c r="AO40" s="120">
        <v>0</v>
      </c>
      <c r="AP40" s="154">
        <f t="shared" si="13"/>
        <v>0</v>
      </c>
      <c r="AQ40" s="120">
        <v>0</v>
      </c>
      <c r="AR40" s="120">
        <v>0</v>
      </c>
      <c r="AS40" s="120">
        <v>0</v>
      </c>
      <c r="AT40" s="120">
        <v>0</v>
      </c>
      <c r="AU40" s="154">
        <f t="shared" si="14"/>
        <v>0</v>
      </c>
      <c r="AV40" s="120">
        <v>0</v>
      </c>
      <c r="AW40" s="120">
        <v>0</v>
      </c>
      <c r="AX40" s="120">
        <v>0</v>
      </c>
      <c r="AY40" s="120">
        <v>0</v>
      </c>
      <c r="AZ40" s="142">
        <f t="shared" si="15"/>
        <v>0</v>
      </c>
      <c r="BA40" s="120">
        <v>0</v>
      </c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</row>
    <row r="41" spans="1:77" s="2" customFormat="1">
      <c r="A41" s="9"/>
      <c r="B41" s="9" t="s">
        <v>420</v>
      </c>
      <c r="C41" s="117">
        <v>3997</v>
      </c>
      <c r="D41" s="117">
        <v>4536</v>
      </c>
      <c r="E41" s="117">
        <v>2534</v>
      </c>
      <c r="F41" s="117">
        <v>2076.6305887755102</v>
      </c>
      <c r="G41" s="118">
        <v>13143.63058877551</v>
      </c>
      <c r="H41" s="117">
        <v>4924.7741100000012</v>
      </c>
      <c r="I41" s="117">
        <v>3272.2491500000006</v>
      </c>
      <c r="J41" s="117">
        <v>2810.7379399999991</v>
      </c>
      <c r="K41" s="117">
        <v>2965.9701600000008</v>
      </c>
      <c r="L41" s="118">
        <v>13973.731360000002</v>
      </c>
      <c r="M41" s="117">
        <v>3780.26631</v>
      </c>
      <c r="N41" s="117">
        <v>2966.5302500000007</v>
      </c>
      <c r="O41" s="117">
        <v>3202.2023200000003</v>
      </c>
      <c r="P41" s="117">
        <v>3284.3003199999985</v>
      </c>
      <c r="Q41" s="118">
        <v>13233.299199999999</v>
      </c>
      <c r="R41" s="117">
        <v>4064.5629499999991</v>
      </c>
      <c r="S41" s="117">
        <v>16100.883789999996</v>
      </c>
      <c r="T41" s="117">
        <v>18840.553260000004</v>
      </c>
      <c r="U41" s="117">
        <v>23292.733320000021</v>
      </c>
      <c r="V41" s="118">
        <v>62298.733320000021</v>
      </c>
      <c r="W41" s="117">
        <v>10666</v>
      </c>
      <c r="X41" s="117">
        <v>7365.935110000004</v>
      </c>
      <c r="Y41" s="117">
        <v>11596</v>
      </c>
      <c r="Z41" s="117">
        <v>21337</v>
      </c>
      <c r="AA41" s="118">
        <v>50964.935110000006</v>
      </c>
      <c r="AB41" s="117">
        <v>16477</v>
      </c>
      <c r="AC41" s="117">
        <v>15310</v>
      </c>
      <c r="AD41" s="117">
        <v>11092.283130000002</v>
      </c>
      <c r="AE41" s="117">
        <v>12877</v>
      </c>
      <c r="AF41" s="118">
        <v>55756.283130000003</v>
      </c>
      <c r="AG41" s="117">
        <v>11925</v>
      </c>
      <c r="AH41" s="117">
        <v>13272</v>
      </c>
      <c r="AI41" s="117">
        <v>14837</v>
      </c>
      <c r="AJ41" s="117">
        <f>AJ39+AJ40</f>
        <v>16447</v>
      </c>
      <c r="AK41" s="118">
        <f t="shared" si="12"/>
        <v>56481</v>
      </c>
      <c r="AL41" s="117">
        <f>AL39+AL40</f>
        <v>17194</v>
      </c>
      <c r="AM41" s="117">
        <f>SUM(AM39:AM40)</f>
        <v>15519</v>
      </c>
      <c r="AN41" s="117">
        <f>SUM(AN39:AN40)</f>
        <v>16433</v>
      </c>
      <c r="AO41" s="117">
        <f>AO39+AO40</f>
        <v>21921.411999999993</v>
      </c>
      <c r="AP41" s="118">
        <f t="shared" si="13"/>
        <v>71067.411999999997</v>
      </c>
      <c r="AQ41" s="117">
        <f>AQ39+AQ40</f>
        <v>21119.592000000001</v>
      </c>
      <c r="AR41" s="117">
        <f t="shared" ref="AR41:BA41" si="17">AR39+AR40</f>
        <v>10583.779000000002</v>
      </c>
      <c r="AS41" s="117">
        <f t="shared" si="17"/>
        <v>10705.135999999997</v>
      </c>
      <c r="AT41" s="117">
        <f t="shared" si="17"/>
        <v>11178.454000000005</v>
      </c>
      <c r="AU41" s="118">
        <f t="shared" si="14"/>
        <v>53586.961000000003</v>
      </c>
      <c r="AV41" s="117">
        <f t="shared" si="17"/>
        <v>14311.918</v>
      </c>
      <c r="AW41" s="117">
        <f t="shared" si="17"/>
        <v>14607.795</v>
      </c>
      <c r="AX41" s="117">
        <f t="shared" si="17"/>
        <v>15323.146000000001</v>
      </c>
      <c r="AY41" s="117">
        <f t="shared" si="17"/>
        <v>17790.987000000001</v>
      </c>
      <c r="AZ41" s="118">
        <f t="shared" si="15"/>
        <v>62033.845999999998</v>
      </c>
      <c r="BA41" s="117">
        <f t="shared" si="17"/>
        <v>16744.100999999999</v>
      </c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</row>
    <row r="42" spans="1:77">
      <c r="A42" s="11"/>
      <c r="B42" s="11" t="s">
        <v>421</v>
      </c>
      <c r="C42" s="120">
        <v>-965</v>
      </c>
      <c r="D42" s="120">
        <v>-1132</v>
      </c>
      <c r="E42" s="120">
        <v>-628</v>
      </c>
      <c r="F42" s="120">
        <v>-1227</v>
      </c>
      <c r="G42" s="154">
        <v>-3952</v>
      </c>
      <c r="H42" s="120">
        <v>-277.76438000000002</v>
      </c>
      <c r="I42" s="120">
        <v>-200.82751999999999</v>
      </c>
      <c r="J42" s="120">
        <v>-173.10055999999997</v>
      </c>
      <c r="K42" s="120">
        <v>-168.56598999999994</v>
      </c>
      <c r="L42" s="154">
        <v>-820.25844999999993</v>
      </c>
      <c r="M42" s="120">
        <v>-190.53196</v>
      </c>
      <c r="N42" s="120">
        <v>-768.08402999999998</v>
      </c>
      <c r="O42" s="120">
        <v>-445.27438000000006</v>
      </c>
      <c r="P42" s="120">
        <v>-467.60239999999999</v>
      </c>
      <c r="Q42" s="154">
        <v>-1871.4927700000001</v>
      </c>
      <c r="R42" s="120">
        <v>-546.43029000000001</v>
      </c>
      <c r="S42" s="120">
        <v>-1525.8815400000001</v>
      </c>
      <c r="T42" s="120">
        <v>-1798.6881699999999</v>
      </c>
      <c r="U42" s="120">
        <v>-2155.4382099999993</v>
      </c>
      <c r="V42" s="154">
        <v>-6026.4382099999993</v>
      </c>
      <c r="W42" s="120">
        <v>-1085</v>
      </c>
      <c r="X42" s="120">
        <v>-788.58709999999974</v>
      </c>
      <c r="Y42" s="120">
        <v>-1208</v>
      </c>
      <c r="Z42" s="120">
        <v>-4218</v>
      </c>
      <c r="AA42" s="154">
        <v>-7299.5870999999997</v>
      </c>
      <c r="AB42" s="120">
        <v>-1557</v>
      </c>
      <c r="AC42" s="120">
        <v>-1506</v>
      </c>
      <c r="AD42" s="120">
        <v>-466.30889000000002</v>
      </c>
      <c r="AE42" s="120">
        <v>-1426</v>
      </c>
      <c r="AF42" s="154">
        <v>-4955.3088900000002</v>
      </c>
      <c r="AG42" s="120">
        <v>-1400</v>
      </c>
      <c r="AH42" s="120">
        <v>-1448</v>
      </c>
      <c r="AI42" s="120">
        <v>-1683</v>
      </c>
      <c r="AJ42" s="120">
        <v>-1857</v>
      </c>
      <c r="AK42" s="154">
        <f t="shared" si="12"/>
        <v>-6388</v>
      </c>
      <c r="AL42" s="120">
        <v>-1913</v>
      </c>
      <c r="AM42" s="120">
        <v>-1517</v>
      </c>
      <c r="AN42" s="120">
        <v>-1900</v>
      </c>
      <c r="AO42" s="120">
        <v>-2345.0810000000001</v>
      </c>
      <c r="AP42" s="154">
        <f t="shared" si="13"/>
        <v>-7675.0810000000001</v>
      </c>
      <c r="AQ42" s="120">
        <v>-2304.0639999999999</v>
      </c>
      <c r="AR42" s="120">
        <v>-1158.1490000000003</v>
      </c>
      <c r="AS42" s="120">
        <v>-1328.7570000000001</v>
      </c>
      <c r="AT42" s="120">
        <v>-1413.1019999999999</v>
      </c>
      <c r="AU42" s="154">
        <f t="shared" si="14"/>
        <v>-6204.0720000000001</v>
      </c>
      <c r="AV42" s="120">
        <v>-2127.6610000000001</v>
      </c>
      <c r="AW42" s="120">
        <v>-1430.6610000000001</v>
      </c>
      <c r="AX42" s="120">
        <v>-1561.5990000000002</v>
      </c>
      <c r="AY42" s="120">
        <v>-592.16399999999976</v>
      </c>
      <c r="AZ42" s="142">
        <f t="shared" si="15"/>
        <v>-5712.085</v>
      </c>
      <c r="BA42" s="120">
        <v>-1747.498</v>
      </c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</row>
    <row r="43" spans="1:77">
      <c r="A43" s="11"/>
      <c r="B43" s="11" t="s">
        <v>422</v>
      </c>
      <c r="C43" s="120">
        <v>-350</v>
      </c>
      <c r="D43" s="120">
        <v>-409</v>
      </c>
      <c r="E43" s="120">
        <v>-228</v>
      </c>
      <c r="F43" s="120">
        <v>-444</v>
      </c>
      <c r="G43" s="154">
        <v>-1431</v>
      </c>
      <c r="H43" s="120">
        <v>-765.56768999999997</v>
      </c>
      <c r="I43" s="120">
        <v>-551.85424999999998</v>
      </c>
      <c r="J43" s="120">
        <v>-474.83489000000009</v>
      </c>
      <c r="K43" s="120">
        <v>-462.23887000000036</v>
      </c>
      <c r="L43" s="154">
        <v>-2254.4957000000004</v>
      </c>
      <c r="M43" s="120">
        <v>-523.25541999999996</v>
      </c>
      <c r="N43" s="120">
        <v>173.83364999999992</v>
      </c>
      <c r="O43" s="120">
        <v>-162.45876999999996</v>
      </c>
      <c r="P43" s="120">
        <v>-170.49686000000008</v>
      </c>
      <c r="Q43" s="154">
        <v>-682.37740000000008</v>
      </c>
      <c r="R43" s="120">
        <v>-198.8749</v>
      </c>
      <c r="S43" s="120">
        <v>-551.47735</v>
      </c>
      <c r="T43" s="120">
        <v>-649.64774999999997</v>
      </c>
      <c r="U43" s="120">
        <v>-778.11774999999989</v>
      </c>
      <c r="V43" s="154">
        <v>-2178.1177499999999</v>
      </c>
      <c r="W43" s="120">
        <v>-393</v>
      </c>
      <c r="X43" s="120">
        <v>-286.05135999999999</v>
      </c>
      <c r="Y43" s="120">
        <v>-437</v>
      </c>
      <c r="Z43" s="120">
        <v>-1520</v>
      </c>
      <c r="AA43" s="154">
        <v>-2636.0513599999999</v>
      </c>
      <c r="AB43" s="120">
        <v>-563</v>
      </c>
      <c r="AC43" s="120">
        <v>-544</v>
      </c>
      <c r="AD43" s="120">
        <v>-1289.3025299999999</v>
      </c>
      <c r="AE43" s="120">
        <v>-516</v>
      </c>
      <c r="AF43" s="154">
        <v>-2912.3025299999999</v>
      </c>
      <c r="AG43" s="120">
        <v>-518</v>
      </c>
      <c r="AH43" s="120">
        <v>-525</v>
      </c>
      <c r="AI43" s="120">
        <v>-611</v>
      </c>
      <c r="AJ43" s="120">
        <v>-673</v>
      </c>
      <c r="AK43" s="154">
        <f t="shared" si="12"/>
        <v>-2327</v>
      </c>
      <c r="AL43" s="120">
        <v>-684</v>
      </c>
      <c r="AM43" s="120">
        <v>-551</v>
      </c>
      <c r="AN43" s="120">
        <v>-689</v>
      </c>
      <c r="AO43" s="120">
        <v>-847.07099999999991</v>
      </c>
      <c r="AP43" s="154">
        <f t="shared" si="13"/>
        <v>-2771.0709999999999</v>
      </c>
      <c r="AQ43" s="120">
        <v>-816.50300000000004</v>
      </c>
      <c r="AR43" s="120">
        <v>-421.38900000000001</v>
      </c>
      <c r="AS43" s="120">
        <v>-480.51199999999994</v>
      </c>
      <c r="AT43" s="120">
        <v>-511.67099999999982</v>
      </c>
      <c r="AU43" s="154">
        <f t="shared" si="14"/>
        <v>-2230.0749999999998</v>
      </c>
      <c r="AV43" s="120">
        <v>-768.76499999999999</v>
      </c>
      <c r="AW43" s="120">
        <v>-526.9620000000001</v>
      </c>
      <c r="AX43" s="120">
        <v>-564.33600000000001</v>
      </c>
      <c r="AY43" s="120">
        <v>-211.01899999999978</v>
      </c>
      <c r="AZ43" s="142">
        <f t="shared" si="15"/>
        <v>-2071.0819999999999</v>
      </c>
      <c r="BA43" s="120">
        <v>-586.64499999999998</v>
      </c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</row>
    <row r="44" spans="1:77">
      <c r="A44" s="11"/>
      <c r="B44" s="11" t="s">
        <v>423</v>
      </c>
      <c r="C44" s="120">
        <v>-110</v>
      </c>
      <c r="D44" s="120">
        <v>0</v>
      </c>
      <c r="E44" s="120">
        <v>0</v>
      </c>
      <c r="F44" s="120">
        <v>0</v>
      </c>
      <c r="G44" s="154">
        <v>-110</v>
      </c>
      <c r="H44" s="120">
        <v>0</v>
      </c>
      <c r="I44" s="120">
        <v>0</v>
      </c>
      <c r="J44" s="120">
        <v>0</v>
      </c>
      <c r="K44" s="120">
        <v>0</v>
      </c>
      <c r="L44" s="154">
        <v>0</v>
      </c>
      <c r="M44" s="120">
        <v>0</v>
      </c>
      <c r="N44" s="120">
        <v>0</v>
      </c>
      <c r="O44" s="120">
        <v>0</v>
      </c>
      <c r="P44" s="120">
        <v>0</v>
      </c>
      <c r="Q44" s="154">
        <v>0</v>
      </c>
      <c r="R44" s="120">
        <v>0</v>
      </c>
      <c r="S44" s="120">
        <v>0</v>
      </c>
      <c r="T44" s="120">
        <v>0</v>
      </c>
      <c r="U44" s="120">
        <v>0</v>
      </c>
      <c r="V44" s="154">
        <v>0</v>
      </c>
      <c r="W44" s="120">
        <v>0</v>
      </c>
      <c r="X44" s="120">
        <v>0</v>
      </c>
      <c r="Y44" s="120">
        <v>0</v>
      </c>
      <c r="Z44" s="120">
        <v>0</v>
      </c>
      <c r="AA44" s="154">
        <v>0</v>
      </c>
      <c r="AB44" s="120">
        <v>0</v>
      </c>
      <c r="AC44" s="120">
        <v>0</v>
      </c>
      <c r="AD44" s="120">
        <v>0</v>
      </c>
      <c r="AE44" s="120">
        <v>0</v>
      </c>
      <c r="AF44" s="154">
        <v>0</v>
      </c>
      <c r="AG44" s="120">
        <v>0</v>
      </c>
      <c r="AH44" s="120">
        <v>0</v>
      </c>
      <c r="AI44" s="120">
        <v>0</v>
      </c>
      <c r="AJ44" s="120">
        <v>0</v>
      </c>
      <c r="AK44" s="154">
        <f t="shared" si="12"/>
        <v>0</v>
      </c>
      <c r="AL44" s="120">
        <v>0</v>
      </c>
      <c r="AM44" s="120">
        <v>0</v>
      </c>
      <c r="AN44" s="120">
        <v>0</v>
      </c>
      <c r="AO44" s="120">
        <v>0</v>
      </c>
      <c r="AP44" s="154">
        <f t="shared" si="13"/>
        <v>0</v>
      </c>
      <c r="AQ44" s="120">
        <v>0</v>
      </c>
      <c r="AR44" s="120">
        <v>0</v>
      </c>
      <c r="AS44" s="120">
        <v>0</v>
      </c>
      <c r="AT44" s="120">
        <v>0</v>
      </c>
      <c r="AU44" s="154">
        <f t="shared" si="14"/>
        <v>0</v>
      </c>
      <c r="AV44" s="120">
        <v>0</v>
      </c>
      <c r="AW44" s="120">
        <v>0</v>
      </c>
      <c r="AX44" s="120">
        <v>0</v>
      </c>
      <c r="AY44" s="120">
        <v>0</v>
      </c>
      <c r="AZ44" s="142">
        <f t="shared" si="15"/>
        <v>0</v>
      </c>
      <c r="BA44" s="120">
        <v>0</v>
      </c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</row>
    <row r="45" spans="1:77">
      <c r="A45" s="11"/>
      <c r="B45" s="11" t="s">
        <v>424</v>
      </c>
      <c r="C45" s="120">
        <v>0</v>
      </c>
      <c r="D45" s="120">
        <v>0</v>
      </c>
      <c r="E45" s="120">
        <v>0</v>
      </c>
      <c r="F45" s="120">
        <v>0</v>
      </c>
      <c r="G45" s="154">
        <v>0</v>
      </c>
      <c r="H45" s="120">
        <v>0</v>
      </c>
      <c r="I45" s="120">
        <v>0</v>
      </c>
      <c r="J45" s="120">
        <v>0</v>
      </c>
      <c r="K45" s="120">
        <v>0</v>
      </c>
      <c r="L45" s="154">
        <v>0</v>
      </c>
      <c r="M45" s="120">
        <v>0</v>
      </c>
      <c r="N45" s="120">
        <v>0</v>
      </c>
      <c r="O45" s="120">
        <v>0</v>
      </c>
      <c r="P45" s="120">
        <v>0</v>
      </c>
      <c r="Q45" s="154">
        <v>0</v>
      </c>
      <c r="R45" s="120">
        <v>0</v>
      </c>
      <c r="S45" s="120">
        <v>0</v>
      </c>
      <c r="T45" s="120">
        <v>0</v>
      </c>
      <c r="U45" s="120">
        <v>0</v>
      </c>
      <c r="V45" s="154">
        <v>0</v>
      </c>
      <c r="W45" s="120">
        <v>0</v>
      </c>
      <c r="X45" s="120">
        <v>0</v>
      </c>
      <c r="Y45" s="120">
        <v>0</v>
      </c>
      <c r="Z45" s="120">
        <v>0</v>
      </c>
      <c r="AA45" s="154">
        <v>0</v>
      </c>
      <c r="AB45" s="120">
        <v>0</v>
      </c>
      <c r="AC45" s="120">
        <v>0</v>
      </c>
      <c r="AD45" s="120">
        <v>0</v>
      </c>
      <c r="AE45" s="120">
        <v>0</v>
      </c>
      <c r="AF45" s="154">
        <v>0</v>
      </c>
      <c r="AG45" s="120">
        <v>0</v>
      </c>
      <c r="AH45" s="120">
        <v>0</v>
      </c>
      <c r="AI45" s="120">
        <v>0</v>
      </c>
      <c r="AJ45" s="120">
        <v>0</v>
      </c>
      <c r="AK45" s="154">
        <f t="shared" si="12"/>
        <v>0</v>
      </c>
      <c r="AL45" s="120">
        <v>0</v>
      </c>
      <c r="AM45" s="120">
        <v>0</v>
      </c>
      <c r="AN45" s="120">
        <v>0</v>
      </c>
      <c r="AO45" s="120">
        <v>0</v>
      </c>
      <c r="AP45" s="154">
        <f t="shared" si="13"/>
        <v>0</v>
      </c>
      <c r="AQ45" s="120">
        <v>0</v>
      </c>
      <c r="AR45" s="120">
        <v>0</v>
      </c>
      <c r="AS45" s="120">
        <v>0</v>
      </c>
      <c r="AT45" s="120">
        <v>0</v>
      </c>
      <c r="AU45" s="154">
        <f t="shared" si="14"/>
        <v>0</v>
      </c>
      <c r="AV45" s="120">
        <v>0</v>
      </c>
      <c r="AW45" s="120">
        <v>0</v>
      </c>
      <c r="AX45" s="120">
        <v>0</v>
      </c>
      <c r="AY45" s="120">
        <v>0</v>
      </c>
      <c r="AZ45" s="142">
        <f t="shared" si="15"/>
        <v>0</v>
      </c>
      <c r="BA45" s="120">
        <v>0</v>
      </c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</row>
    <row r="46" spans="1:77" s="2" customFormat="1">
      <c r="A46" s="15"/>
      <c r="B46" s="15" t="s">
        <v>450</v>
      </c>
      <c r="C46" s="155">
        <v>2572</v>
      </c>
      <c r="D46" s="155">
        <v>2995</v>
      </c>
      <c r="E46" s="155">
        <v>1678</v>
      </c>
      <c r="F46" s="155">
        <v>405.6305887755102</v>
      </c>
      <c r="G46" s="156">
        <v>7650.6305887755098</v>
      </c>
      <c r="H46" s="155">
        <v>3881.4420400000017</v>
      </c>
      <c r="I46" s="155">
        <v>2519.5673799999995</v>
      </c>
      <c r="J46" s="155">
        <v>2162.8024899999991</v>
      </c>
      <c r="K46" s="155">
        <v>2335.1653000000006</v>
      </c>
      <c r="L46" s="156">
        <v>10898.977210000001</v>
      </c>
      <c r="M46" s="155">
        <v>3066.4789300000002</v>
      </c>
      <c r="N46" s="155">
        <v>2372.2798700000003</v>
      </c>
      <c r="O46" s="155">
        <v>2594.4691700000012</v>
      </c>
      <c r="P46" s="155">
        <v>2646.2010599999976</v>
      </c>
      <c r="Q46" s="156">
        <v>10679.429029999999</v>
      </c>
      <c r="R46" s="155">
        <v>3319.2577599999995</v>
      </c>
      <c r="S46" s="155">
        <v>14023.524899999997</v>
      </c>
      <c r="T46" s="155">
        <v>16392.217340000003</v>
      </c>
      <c r="U46" s="155">
        <v>20359.177360000023</v>
      </c>
      <c r="V46" s="156">
        <v>54094.177360000023</v>
      </c>
      <c r="W46" s="155">
        <v>9189</v>
      </c>
      <c r="X46" s="155">
        <v>6291.2966500000057</v>
      </c>
      <c r="Y46" s="155">
        <v>9951</v>
      </c>
      <c r="Z46" s="155">
        <v>15599</v>
      </c>
      <c r="AA46" s="156">
        <v>41030.296650000004</v>
      </c>
      <c r="AB46" s="155">
        <v>14357</v>
      </c>
      <c r="AC46" s="155">
        <v>13260</v>
      </c>
      <c r="AD46" s="155">
        <v>9336.6717100000023</v>
      </c>
      <c r="AE46" s="155">
        <v>10935</v>
      </c>
      <c r="AF46" s="156">
        <v>47888.671710000002</v>
      </c>
      <c r="AG46" s="155">
        <f>SUM(AG41:AG45)</f>
        <v>10007</v>
      </c>
      <c r="AH46" s="155">
        <f>SUM(AH41:AH45)</f>
        <v>11299</v>
      </c>
      <c r="AI46" s="155">
        <f>SUM(AI41:AI45)</f>
        <v>12543</v>
      </c>
      <c r="AJ46" s="155">
        <f>SUM(AJ41:AJ45)</f>
        <v>13917</v>
      </c>
      <c r="AK46" s="156">
        <f t="shared" si="12"/>
        <v>47766</v>
      </c>
      <c r="AL46" s="155">
        <f>SUM(AL41:AL45)</f>
        <v>14597</v>
      </c>
      <c r="AM46" s="155">
        <f>SUM(AM41:AM45)</f>
        <v>13451</v>
      </c>
      <c r="AN46" s="155">
        <f>SUM(AN41:AN45)</f>
        <v>13844</v>
      </c>
      <c r="AO46" s="155">
        <f>SUM(AO41:AO45)</f>
        <v>18729.259999999991</v>
      </c>
      <c r="AP46" s="156">
        <f t="shared" si="13"/>
        <v>60621.259999999995</v>
      </c>
      <c r="AQ46" s="155">
        <f>SUM(AQ41:AQ45)</f>
        <v>17999.025000000001</v>
      </c>
      <c r="AR46" s="155">
        <f t="shared" ref="AR46:AY46" si="18">SUM(AR41:AR45)</f>
        <v>9004.2410000000018</v>
      </c>
      <c r="AS46" s="155">
        <f t="shared" si="18"/>
        <v>8895.8669999999966</v>
      </c>
      <c r="AT46" s="155">
        <f t="shared" si="18"/>
        <v>9253.681000000006</v>
      </c>
      <c r="AU46" s="156">
        <f t="shared" si="14"/>
        <v>45152.814000000006</v>
      </c>
      <c r="AV46" s="155">
        <f t="shared" si="18"/>
        <v>11415.492</v>
      </c>
      <c r="AW46" s="155">
        <f t="shared" si="18"/>
        <v>12650.172</v>
      </c>
      <c r="AX46" s="155">
        <f t="shared" si="18"/>
        <v>13197.211000000001</v>
      </c>
      <c r="AY46" s="155">
        <f t="shared" si="18"/>
        <v>16987.804</v>
      </c>
      <c r="AZ46" s="156">
        <f t="shared" si="15"/>
        <v>54250.679000000004</v>
      </c>
      <c r="BA46" s="155">
        <f t="shared" ref="BA46" si="19">SUM(BA41:BA45)</f>
        <v>14409.957999999999</v>
      </c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</row>
    <row r="47" spans="1:77" ht="15.75" thickBot="1">
      <c r="A47" s="17"/>
      <c r="B47" s="17" t="s">
        <v>451</v>
      </c>
      <c r="C47" s="18">
        <v>0.49</v>
      </c>
      <c r="D47" s="18">
        <v>0.49</v>
      </c>
      <c r="E47" s="18">
        <v>0.49</v>
      </c>
      <c r="F47" s="18">
        <v>0.49</v>
      </c>
      <c r="G47" s="48">
        <v>0.49</v>
      </c>
      <c r="H47" s="18">
        <v>0.49</v>
      </c>
      <c r="I47" s="18">
        <v>0.49</v>
      </c>
      <c r="J47" s="18">
        <v>0.49</v>
      </c>
      <c r="K47" s="18">
        <v>0.49</v>
      </c>
      <c r="L47" s="48">
        <v>0.49</v>
      </c>
      <c r="M47" s="18">
        <v>0.49</v>
      </c>
      <c r="N47" s="18">
        <v>0.49</v>
      </c>
      <c r="O47" s="18">
        <v>0.49</v>
      </c>
      <c r="P47" s="18">
        <v>0.49</v>
      </c>
      <c r="Q47" s="48">
        <v>0.49</v>
      </c>
      <c r="R47" s="18">
        <v>0.49</v>
      </c>
      <c r="S47" s="18">
        <v>0.49</v>
      </c>
      <c r="T47" s="18">
        <v>0.49</v>
      </c>
      <c r="U47" s="18">
        <v>0.49</v>
      </c>
      <c r="V47" s="48">
        <v>0.49</v>
      </c>
      <c r="W47" s="18">
        <v>0.49</v>
      </c>
      <c r="X47" s="18">
        <v>0.49</v>
      </c>
      <c r="Y47" s="18">
        <v>0.49</v>
      </c>
      <c r="Z47" s="18">
        <v>0.49</v>
      </c>
      <c r="AA47" s="48">
        <v>0.49</v>
      </c>
      <c r="AB47" s="18">
        <v>0.49</v>
      </c>
      <c r="AC47" s="18">
        <v>0.49</v>
      </c>
      <c r="AD47" s="18">
        <v>0.49</v>
      </c>
      <c r="AE47" s="18">
        <v>0.49</v>
      </c>
      <c r="AF47" s="48">
        <v>0.49</v>
      </c>
      <c r="AG47" s="18">
        <v>0.48998999999999998</v>
      </c>
      <c r="AH47" s="18">
        <v>0.48998999999999998</v>
      </c>
      <c r="AI47" s="18">
        <v>0.48998999999999998</v>
      </c>
      <c r="AJ47" s="18">
        <v>0.48998999999999998</v>
      </c>
      <c r="AK47" s="48">
        <v>0.49</v>
      </c>
      <c r="AL47" s="18">
        <v>0.48998999999999998</v>
      </c>
      <c r="AM47" s="18">
        <v>0.48998999999999998</v>
      </c>
      <c r="AN47" s="18">
        <v>0.48998999999999998</v>
      </c>
      <c r="AO47" s="18">
        <v>0.48998999999999998</v>
      </c>
      <c r="AP47" s="48">
        <v>0.49</v>
      </c>
      <c r="AQ47" s="18">
        <v>0.48998999999999998</v>
      </c>
      <c r="AR47" s="18">
        <v>0.48998999999999998</v>
      </c>
      <c r="AS47" s="18">
        <v>0.48998999999999998</v>
      </c>
      <c r="AT47" s="18">
        <v>0.48998999999999998</v>
      </c>
      <c r="AU47" s="48">
        <f>AT47</f>
        <v>0.48998999999999998</v>
      </c>
      <c r="AV47" s="18">
        <v>0.48998999999999998</v>
      </c>
      <c r="AW47" s="18">
        <v>0.48998999999999998</v>
      </c>
      <c r="AX47" s="18">
        <v>0.48998999999999998</v>
      </c>
      <c r="AY47" s="18">
        <v>0.48998999999999998</v>
      </c>
      <c r="AZ47" s="48">
        <v>0.48998999999999998</v>
      </c>
      <c r="BA47" s="18">
        <v>0.48998999999999998</v>
      </c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</row>
    <row r="48" spans="1:77"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J48" s="49"/>
      <c r="AK48" s="8"/>
      <c r="AL48" s="8"/>
      <c r="AM48" s="8"/>
      <c r="AN48" s="8"/>
      <c r="AO48" s="8"/>
      <c r="AP48" s="476"/>
      <c r="AQ48" s="8"/>
      <c r="AR48" s="8"/>
      <c r="AS48" s="8"/>
      <c r="AT48" s="8"/>
      <c r="AU48" s="476"/>
      <c r="AV48" s="8"/>
      <c r="AW48" s="8"/>
      <c r="AX48" s="8"/>
      <c r="AY48" s="8"/>
      <c r="AZ48" s="476"/>
      <c r="BA48" s="476"/>
    </row>
    <row r="49" spans="6:53">
      <c r="AG49" s="123"/>
      <c r="AL49" s="420"/>
      <c r="AM49" s="8"/>
      <c r="AN49" s="420"/>
      <c r="AO49" s="420"/>
      <c r="AP49" s="420"/>
      <c r="AQ49" s="114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</row>
    <row r="50" spans="6:53">
      <c r="F50" s="65"/>
      <c r="G50" s="65"/>
      <c r="AG50" s="49"/>
      <c r="AL50" s="49"/>
      <c r="AQ50" s="49"/>
    </row>
    <row r="51" spans="6:53">
      <c r="AQ51" s="1"/>
      <c r="AR51" s="1"/>
      <c r="AS51" s="1"/>
      <c r="AT51" s="1"/>
      <c r="AV51" s="1"/>
      <c r="AW51" s="1"/>
      <c r="AX51" s="1"/>
      <c r="AY51" s="1"/>
      <c r="AZ51" s="1"/>
      <c r="BA51" s="1"/>
    </row>
    <row r="52" spans="6:53">
      <c r="AQ52" s="187"/>
      <c r="AR52" s="187"/>
      <c r="AS52" s="187"/>
      <c r="AT52" s="187"/>
      <c r="AV52" s="187"/>
      <c r="AW52" s="187"/>
      <c r="AX52" s="187"/>
      <c r="AY52" s="187"/>
      <c r="AZ52" s="187"/>
      <c r="BA52" s="187"/>
    </row>
  </sheetData>
  <phoneticPr fontId="18" type="noConversion"/>
  <conditionalFormatting sqref="BL7:BL26 BL32:BL43">
    <cfRule type="expression" dxfId="53" priority="5">
      <formula>IF(BI7 = 0,1,BI7*BK7)&lt;0</formula>
    </cfRule>
    <cfRule type="expression" dxfId="52" priority="6">
      <formula>IF(BI7 =0,1,BI7*BK7)&gt;=0</formula>
    </cfRule>
  </conditionalFormatting>
  <conditionalFormatting sqref="BO7:BP15">
    <cfRule type="expression" dxfId="51" priority="144">
      <formula>"SE(AV9=0;1;AV9*$BA$9) &lt;0"</formula>
    </cfRule>
    <cfRule type="expression" dxfId="50" priority="143">
      <formula>"SE(AV9=0;1;AV9*BA9) &gt;=0"</formula>
    </cfRule>
  </conditionalFormatting>
  <conditionalFormatting sqref="BO7:BP18">
    <cfRule type="expression" dxfId="49" priority="140">
      <formula>IF(BI7 =0,1,BI7*BN7)&gt;=0</formula>
    </cfRule>
    <cfRule type="expression" dxfId="48" priority="139">
      <formula>IF(BI7 = 0,1,BI7*BN7)&lt;0</formula>
    </cfRule>
  </conditionalFormatting>
  <conditionalFormatting sqref="BO16:BP19">
    <cfRule type="expression" dxfId="47" priority="128">
      <formula>"SE(AV9=0;1;AV9*$BA$9) &lt;0"</formula>
    </cfRule>
    <cfRule type="expression" dxfId="46" priority="127">
      <formula>"SE(AV9=0;1;AV9*BA9) &gt;=0"</formula>
    </cfRule>
  </conditionalFormatting>
  <conditionalFormatting sqref="BO19:BP21">
    <cfRule type="expression" dxfId="45" priority="3">
      <formula>IF(BI19 = 0,1,BI19*BN19)&lt;0</formula>
    </cfRule>
    <cfRule type="expression" dxfId="44" priority="4">
      <formula>IF(BI19 =0,1,BI19*BN19)&gt;=0</formula>
    </cfRule>
  </conditionalFormatting>
  <conditionalFormatting sqref="BO20:BP20">
    <cfRule type="expression" dxfId="43" priority="1">
      <formula>"SE(AV9=0;1;AV9*BA9) &gt;=0"</formula>
    </cfRule>
    <cfRule type="expression" dxfId="42" priority="2">
      <formula>"SE(AV9=0;1;AV9*$BA$9) &lt;0"</formula>
    </cfRule>
  </conditionalFormatting>
  <conditionalFormatting sqref="BO21:BP24">
    <cfRule type="expression" dxfId="41" priority="103">
      <formula>"SE(AV9=0;1;AV9*BA9) &gt;=0"</formula>
    </cfRule>
    <cfRule type="expression" dxfId="40" priority="104">
      <formula>"SE(AV9=0;1;AV9*$BA$9) &lt;0"</formula>
    </cfRule>
  </conditionalFormatting>
  <conditionalFormatting sqref="BO22:BP26">
    <cfRule type="expression" dxfId="39" priority="155">
      <formula>IF(BI22 = 0,1,BI22*BN22)&lt;0</formula>
    </cfRule>
    <cfRule type="expression" dxfId="38" priority="156">
      <formula>IF(BI22 =0,1,BI22*BN22)&gt;=0</formula>
    </cfRule>
  </conditionalFormatting>
  <conditionalFormatting sqref="BO25:BP26">
    <cfRule type="expression" dxfId="37" priority="159">
      <formula>"SE(AV9=0;1;AV9*BA9) &gt;=0"</formula>
    </cfRule>
    <cfRule type="expression" dxfId="36" priority="160">
      <formula>"SE(AV9=0;1;AV9*$BA$9) &lt;0"</formula>
    </cfRule>
  </conditionalFormatting>
  <conditionalFormatting sqref="BO26:BP26">
    <cfRule type="expression" dxfId="35" priority="163">
      <formula>"SE(AV9=0;1;AV9*$BA$9)&lt;0"</formula>
    </cfRule>
    <cfRule type="expression" dxfId="34" priority="164">
      <formula>"SE(AV9=0;1;AV9*BA9)&gt;=0"</formula>
    </cfRule>
  </conditionalFormatting>
  <conditionalFormatting sqref="BO32:BP39">
    <cfRule type="expression" dxfId="33" priority="9">
      <formula>IF(BI32 = 0,1,BI32*BN32)&lt;0</formula>
    </cfRule>
    <cfRule type="expression" dxfId="32" priority="10">
      <formula>IF(BI32 =0,1,BI32*BN32)&gt;=0</formula>
    </cfRule>
  </conditionalFormatting>
  <conditionalFormatting sqref="BO32:BP43">
    <cfRule type="expression" dxfId="31" priority="84">
      <formula>"SE(AV9=0;1;AV9*$BA$9) &lt;0"</formula>
    </cfRule>
    <cfRule type="expression" dxfId="30" priority="83">
      <formula>"SE(AV9=0;1;AV9*BA9) &gt;=0"</formula>
    </cfRule>
  </conditionalFormatting>
  <conditionalFormatting sqref="BO40:BP42">
    <cfRule type="expression" dxfId="29" priority="165">
      <formula>IF(BI40 = 0,1,BI40*BN40)&lt;0</formula>
    </cfRule>
    <cfRule type="expression" dxfId="28" priority="166">
      <formula>IF(BI40 =0,1,BI40*BN40)&gt;=0</formula>
    </cfRule>
  </conditionalFormatting>
  <conditionalFormatting sqref="BO43:BP43">
    <cfRule type="expression" dxfId="27" priority="86">
      <formula>"SE(AV9=0;1;AV9*BA9)&gt;=0"</formula>
    </cfRule>
    <cfRule type="expression" dxfId="26" priority="85">
      <formula>"SE(AV9=0;1;AV9*$BA$9)&lt;0"</formula>
    </cfRule>
    <cfRule type="expression" dxfId="25" priority="80">
      <formula>IF(BI43 =0,1,BI43*BN43)&gt;=0</formula>
    </cfRule>
    <cfRule type="expression" dxfId="24" priority="79">
      <formula>IF(BI43 = 0,1,BI43*BN43)&lt;0</formula>
    </cfRule>
  </conditionalFormatting>
  <conditionalFormatting sqref="BT7:BT26">
    <cfRule type="expression" dxfId="23" priority="1791">
      <formula>IF(BS7=0,1,BQ7*BS7)&lt;0</formula>
    </cfRule>
    <cfRule type="expression" dxfId="22" priority="1792">
      <formula>IF(BS7=0,1,BQ7*BS7)&gt;=0</formula>
    </cfRule>
  </conditionalFormatting>
  <conditionalFormatting sqref="BT32:BT43">
    <cfRule type="expression" dxfId="21" priority="15">
      <formula>IF(BS32 = 0,1,BQ32*BS32)&lt;0</formula>
    </cfRule>
    <cfRule type="expression" dxfId="20" priority="16">
      <formula>IF(BQ32 =0,1,BQ32*BS32)&gt;=0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8290-96E5-4D59-B743-A33200C6ACFC}">
  <dimension ref="A1:BH194"/>
  <sheetViews>
    <sheetView showGridLines="0" showRowColHeaders="0" zoomScale="75" zoomScaleNormal="75" workbookViewId="0">
      <pane xSplit="2" ySplit="5" topLeftCell="AV6" activePane="bottomRight" state="frozen"/>
      <selection activeCell="M8" sqref="M8"/>
      <selection pane="topRight" activeCell="M8" sqref="M8"/>
      <selection pane="bottomLeft" activeCell="M8" sqref="M8"/>
      <selection pane="bottomRight" activeCell="B1" sqref="B1:B1048576"/>
    </sheetView>
  </sheetViews>
  <sheetFormatPr defaultColWidth="8.7109375" defaultRowHeight="15"/>
  <cols>
    <col min="1" max="1" width="4.28515625" customWidth="1"/>
    <col min="2" max="2" width="70.7109375" customWidth="1"/>
    <col min="3" max="3" width="13.42578125" customWidth="1"/>
    <col min="4" max="6" width="11.5703125" customWidth="1"/>
    <col min="7" max="7" width="11.5703125" bestFit="1" customWidth="1" collapsed="1"/>
    <col min="8" max="11" width="11.5703125" customWidth="1"/>
    <col min="12" max="12" width="11.5703125" bestFit="1" customWidth="1"/>
    <col min="13" max="13" width="12.42578125" customWidth="1"/>
    <col min="14" max="16" width="11.5703125" customWidth="1"/>
    <col min="17" max="17" width="13.42578125" bestFit="1" customWidth="1"/>
    <col min="18" max="18" width="13.42578125" customWidth="1"/>
    <col min="19" max="21" width="12.42578125" customWidth="1"/>
    <col min="22" max="22" width="13.42578125" bestFit="1" customWidth="1"/>
    <col min="23" max="24" width="12.42578125" customWidth="1"/>
    <col min="25" max="26" width="13.42578125" customWidth="1"/>
    <col min="27" max="27" width="13.42578125" bestFit="1" customWidth="1"/>
    <col min="28" max="30" width="13.42578125" customWidth="1"/>
    <col min="31" max="31" width="11.42578125" customWidth="1"/>
    <col min="32" max="32" width="13.42578125" bestFit="1" customWidth="1"/>
    <col min="33" max="33" width="13.42578125" customWidth="1"/>
    <col min="34" max="36" width="12.42578125" customWidth="1"/>
    <col min="37" max="37" width="13.42578125" bestFit="1" customWidth="1"/>
    <col min="38" max="38" width="13.42578125" customWidth="1"/>
    <col min="39" max="41" width="12.42578125" customWidth="1"/>
    <col min="42" max="42" width="13.42578125" customWidth="1" collapsed="1"/>
    <col min="43" max="45" width="13.42578125" customWidth="1"/>
    <col min="46" max="46" width="12" bestFit="1" customWidth="1"/>
    <col min="47" max="47" width="12.42578125" bestFit="1" customWidth="1"/>
    <col min="48" max="48" width="12" bestFit="1" customWidth="1"/>
    <col min="49" max="53" width="13.42578125" customWidth="1"/>
    <col min="54" max="54" width="11.42578125" style="20" bestFit="1" customWidth="1"/>
    <col min="55" max="55" width="19.5703125" style="20" bestFit="1" customWidth="1"/>
    <col min="56" max="56" width="15.42578125" style="20" bestFit="1" customWidth="1"/>
    <col min="57" max="57" width="11" style="20" bestFit="1" customWidth="1"/>
    <col min="58" max="58" width="16.5703125" style="20" bestFit="1" customWidth="1"/>
    <col min="59" max="59" width="12.5703125" style="20" bestFit="1" customWidth="1"/>
    <col min="60" max="16384" width="8.7109375" style="20"/>
  </cols>
  <sheetData>
    <row r="1" spans="1:60" customFormat="1" ht="15" customHeight="1">
      <c r="A1" s="27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60" customFormat="1" ht="15" customHeight="1">
      <c r="A2" s="27"/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31"/>
      <c r="BA2" s="630"/>
    </row>
    <row r="3" spans="1:60" customFormat="1" ht="50.1" customHeight="1">
      <c r="A3" s="72"/>
      <c r="B3" s="781" t="s">
        <v>560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60" customFormat="1"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</row>
    <row r="5" spans="1:60" s="103" customFormat="1" ht="23.25">
      <c r="A5" s="74"/>
      <c r="B5" s="74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</row>
    <row r="6" spans="1:60" customFormat="1"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</row>
    <row r="7" spans="1:60" s="100" customFormat="1">
      <c r="A7" s="164"/>
      <c r="B7" s="164" t="s">
        <v>561</v>
      </c>
      <c r="C7" s="165" t="s">
        <v>224</v>
      </c>
      <c r="D7" s="165" t="s">
        <v>225</v>
      </c>
      <c r="E7" s="165" t="s">
        <v>226</v>
      </c>
      <c r="F7" s="165" t="s">
        <v>227</v>
      </c>
      <c r="G7" s="166">
        <v>2016</v>
      </c>
      <c r="H7" s="165" t="s">
        <v>228</v>
      </c>
      <c r="I7" s="165" t="s">
        <v>229</v>
      </c>
      <c r="J7" s="165" t="s">
        <v>230</v>
      </c>
      <c r="K7" s="165" t="s">
        <v>231</v>
      </c>
      <c r="L7" s="166">
        <v>2017</v>
      </c>
      <c r="M7" s="165" t="s">
        <v>232</v>
      </c>
      <c r="N7" s="165" t="s">
        <v>233</v>
      </c>
      <c r="O7" s="165" t="s">
        <v>234</v>
      </c>
      <c r="P7" s="165" t="s">
        <v>235</v>
      </c>
      <c r="Q7" s="166">
        <v>2018</v>
      </c>
      <c r="R7" s="165" t="s">
        <v>236</v>
      </c>
      <c r="S7" s="165" t="s">
        <v>237</v>
      </c>
      <c r="T7" s="165" t="s">
        <v>238</v>
      </c>
      <c r="U7" s="165" t="s">
        <v>239</v>
      </c>
      <c r="V7" s="166">
        <v>2019</v>
      </c>
      <c r="W7" s="165" t="s">
        <v>240</v>
      </c>
      <c r="X7" s="165" t="s">
        <v>241</v>
      </c>
      <c r="Y7" s="165" t="s">
        <v>242</v>
      </c>
      <c r="Z7" s="165" t="s">
        <v>243</v>
      </c>
      <c r="AA7" s="166">
        <v>2020</v>
      </c>
      <c r="AB7" s="165" t="s">
        <v>244</v>
      </c>
      <c r="AC7" s="165" t="s">
        <v>245</v>
      </c>
      <c r="AD7" s="165" t="s">
        <v>246</v>
      </c>
      <c r="AE7" s="165" t="s">
        <v>247</v>
      </c>
      <c r="AF7" s="166">
        <v>2021</v>
      </c>
      <c r="AG7" s="165" t="s">
        <v>248</v>
      </c>
      <c r="AH7" s="165" t="s">
        <v>249</v>
      </c>
      <c r="AI7" s="165" t="s">
        <v>250</v>
      </c>
      <c r="AJ7" s="165" t="s">
        <v>215</v>
      </c>
      <c r="AK7" s="166">
        <v>2022</v>
      </c>
      <c r="AL7" s="165" t="s">
        <v>252</v>
      </c>
      <c r="AM7" s="165" t="s">
        <v>253</v>
      </c>
      <c r="AN7" s="165" t="s">
        <v>254</v>
      </c>
      <c r="AO7" s="165" t="s">
        <v>219</v>
      </c>
      <c r="AP7" s="166">
        <v>2023</v>
      </c>
      <c r="AQ7" s="166" t="s">
        <v>223</v>
      </c>
      <c r="AR7" s="166" t="s">
        <v>256</v>
      </c>
      <c r="AS7" s="166" t="s">
        <v>357</v>
      </c>
      <c r="AT7" s="166" t="s">
        <v>358</v>
      </c>
      <c r="AU7" s="166">
        <v>2024</v>
      </c>
      <c r="AV7" s="166" t="s">
        <v>359</v>
      </c>
      <c r="AW7" s="166" t="s">
        <v>1115</v>
      </c>
      <c r="AX7" s="166" t="s">
        <v>1116</v>
      </c>
      <c r="AY7" s="166" t="s">
        <v>1117</v>
      </c>
      <c r="AZ7" s="166">
        <v>2025</v>
      </c>
      <c r="BA7" s="166" t="s">
        <v>1124</v>
      </c>
      <c r="BB7"/>
      <c r="BC7"/>
      <c r="BD7"/>
      <c r="BE7"/>
      <c r="BF7"/>
      <c r="BG7"/>
      <c r="BH7"/>
    </row>
    <row r="8" spans="1:60" s="100" customFormat="1">
      <c r="A8" s="9"/>
      <c r="B8" s="9" t="s">
        <v>562</v>
      </c>
      <c r="C8" s="76">
        <f t="shared" ref="C8:AU8" si="0">SUM(C9:C18)</f>
        <v>1537825.4633299997</v>
      </c>
      <c r="D8" s="76">
        <f t="shared" si="0"/>
        <v>1614506.3991699989</v>
      </c>
      <c r="E8" s="76">
        <f t="shared" si="0"/>
        <v>1650151.5904700004</v>
      </c>
      <c r="F8" s="76">
        <f t="shared" si="0"/>
        <v>1684050.6264499994</v>
      </c>
      <c r="G8" s="76">
        <f t="shared" si="0"/>
        <v>6486534.0794200003</v>
      </c>
      <c r="H8" s="76">
        <f t="shared" si="0"/>
        <v>1753058.8843599991</v>
      </c>
      <c r="I8" s="76">
        <f t="shared" si="0"/>
        <v>1787100.4060100005</v>
      </c>
      <c r="J8" s="76">
        <f t="shared" si="0"/>
        <v>1798688.8804299999</v>
      </c>
      <c r="K8" s="76">
        <f t="shared" si="0"/>
        <v>1741035.4736300006</v>
      </c>
      <c r="L8" s="76">
        <f t="shared" si="0"/>
        <v>7079883.6444300022</v>
      </c>
      <c r="M8" s="76">
        <f t="shared" si="0"/>
        <v>1988104.6831599995</v>
      </c>
      <c r="N8" s="76">
        <f t="shared" si="0"/>
        <v>1976835.0767499986</v>
      </c>
      <c r="O8" s="76">
        <f t="shared" si="0"/>
        <v>2815995.680470001</v>
      </c>
      <c r="P8" s="76">
        <f t="shared" si="0"/>
        <v>1765694.1501300032</v>
      </c>
      <c r="Q8" s="76">
        <f t="shared" si="0"/>
        <v>8546629.5905100033</v>
      </c>
      <c r="R8" s="76">
        <f t="shared" si="0"/>
        <v>2046255.1312599997</v>
      </c>
      <c r="S8" s="76">
        <f t="shared" si="0"/>
        <v>1853661.4452500015</v>
      </c>
      <c r="T8" s="76">
        <f t="shared" si="0"/>
        <v>2139514.4639099999</v>
      </c>
      <c r="U8" s="76">
        <f t="shared" si="0"/>
        <v>2133899.5010900018</v>
      </c>
      <c r="V8" s="76">
        <f t="shared" si="0"/>
        <v>8173330.5415100046</v>
      </c>
      <c r="W8" s="76">
        <f t="shared" si="0"/>
        <v>2168770.9883000026</v>
      </c>
      <c r="X8" s="76">
        <f t="shared" si="0"/>
        <v>2145760.7456299998</v>
      </c>
      <c r="Y8" s="76">
        <f t="shared" si="0"/>
        <v>2249704.2379699987</v>
      </c>
      <c r="Z8" s="76">
        <f t="shared" si="0"/>
        <v>2241442.6632299968</v>
      </c>
      <c r="AA8" s="76">
        <f t="shared" si="0"/>
        <v>8805678.6351300012</v>
      </c>
      <c r="AB8" s="76">
        <f t="shared" si="0"/>
        <v>1171680.0834100004</v>
      </c>
      <c r="AC8" s="76">
        <f t="shared" si="0"/>
        <v>1142475.5465299997</v>
      </c>
      <c r="AD8" s="76">
        <f t="shared" si="0"/>
        <v>1122976.6596899999</v>
      </c>
      <c r="AE8" s="76">
        <f t="shared" si="0"/>
        <v>1011363.0998400002</v>
      </c>
      <c r="AF8" s="76">
        <f t="shared" si="0"/>
        <v>4448495.3894699998</v>
      </c>
      <c r="AG8" s="76">
        <f t="shared" si="0"/>
        <v>1047160</v>
      </c>
      <c r="AH8" s="76">
        <f t="shared" si="0"/>
        <v>964557.41811000009</v>
      </c>
      <c r="AI8" s="76">
        <f t="shared" si="0"/>
        <v>1010183</v>
      </c>
      <c r="AJ8" s="76">
        <f t="shared" si="0"/>
        <v>1020806.9033099997</v>
      </c>
      <c r="AK8" s="76">
        <f t="shared" si="0"/>
        <v>4042707.3214199999</v>
      </c>
      <c r="AL8" s="76">
        <f t="shared" si="0"/>
        <v>785054</v>
      </c>
      <c r="AM8" s="76">
        <f t="shared" si="0"/>
        <v>735359</v>
      </c>
      <c r="AN8" s="76">
        <f t="shared" si="0"/>
        <v>761827</v>
      </c>
      <c r="AO8" s="76">
        <f t="shared" si="0"/>
        <v>715677</v>
      </c>
      <c r="AP8" s="76">
        <f t="shared" si="0"/>
        <v>2997917</v>
      </c>
      <c r="AQ8" s="76">
        <f t="shared" si="0"/>
        <v>738922</v>
      </c>
      <c r="AR8" s="76">
        <f t="shared" si="0"/>
        <v>725438</v>
      </c>
      <c r="AS8" s="76">
        <f t="shared" si="0"/>
        <v>732032</v>
      </c>
      <c r="AT8" s="76">
        <f t="shared" si="0"/>
        <v>678215</v>
      </c>
      <c r="AU8" s="76">
        <f t="shared" si="0"/>
        <v>2874607</v>
      </c>
      <c r="AV8" s="76">
        <f t="shared" ref="AV8" si="1">SUM(AV9:AV18)</f>
        <v>735879</v>
      </c>
      <c r="AW8" s="76">
        <f>SUM(AW9:AW18)</f>
        <v>693353</v>
      </c>
      <c r="AX8" s="76">
        <f>SUM(AX9:AX18)</f>
        <v>709063</v>
      </c>
      <c r="AY8" s="76">
        <f>SUM(AY9:AY18)</f>
        <v>747314</v>
      </c>
      <c r="AZ8" s="76">
        <f>SUM(AZ9:AZ18)</f>
        <v>2885609</v>
      </c>
      <c r="BA8" s="76">
        <f t="shared" ref="BA8" si="2">SUM(BA9:BA18)</f>
        <v>707951</v>
      </c>
      <c r="BB8" s="2"/>
      <c r="BC8" s="2"/>
      <c r="BD8" s="2"/>
      <c r="BE8" s="2"/>
      <c r="BF8" s="2"/>
      <c r="BG8" s="2"/>
      <c r="BH8" s="2"/>
    </row>
    <row r="9" spans="1:60">
      <c r="B9" t="s">
        <v>563</v>
      </c>
      <c r="C9" s="1">
        <f>'DRE ANTIGA PARCERIA CAIXA'!C263+'DRE ANTIGA PARCERIA CAIXA'!C271</f>
        <v>0</v>
      </c>
      <c r="D9" s="1">
        <f>'DRE ANTIGA PARCERIA CAIXA'!D263+'DRE ANTIGA PARCERIA CAIXA'!D271</f>
        <v>0</v>
      </c>
      <c r="E9" s="1">
        <f>'DRE ANTIGA PARCERIA CAIXA'!E263+'DRE ANTIGA PARCERIA CAIXA'!E271</f>
        <v>0</v>
      </c>
      <c r="F9" s="1">
        <f>'DRE ANTIGA PARCERIA CAIXA'!F263+'DRE ANTIGA PARCERIA CAIXA'!F271</f>
        <v>0</v>
      </c>
      <c r="G9" s="1">
        <f>'DRE ANTIGA PARCERIA CAIXA'!G263+'DRE ANTIGA PARCERIA CAIXA'!G271</f>
        <v>0</v>
      </c>
      <c r="H9" s="1">
        <f>'DRE ANTIGA PARCERIA CAIXA'!H263+'DRE ANTIGA PARCERIA CAIXA'!H271</f>
        <v>0</v>
      </c>
      <c r="I9" s="1">
        <f>'DRE ANTIGA PARCERIA CAIXA'!I263+'DRE ANTIGA PARCERIA CAIXA'!I271</f>
        <v>0</v>
      </c>
      <c r="J9" s="1">
        <f>'DRE ANTIGA PARCERIA CAIXA'!J263+'DRE ANTIGA PARCERIA CAIXA'!J271</f>
        <v>0</v>
      </c>
      <c r="K9" s="1">
        <f>'DRE ANTIGA PARCERIA CAIXA'!K263+'DRE ANTIGA PARCERIA CAIXA'!K271</f>
        <v>859.47056000000009</v>
      </c>
      <c r="L9" s="1">
        <f>'DRE ANTIGA PARCERIA CAIXA'!L263+'DRE ANTIGA PARCERIA CAIXA'!L271</f>
        <v>859.47056000000009</v>
      </c>
      <c r="M9" s="1">
        <f>'DRE ANTIGA PARCERIA CAIXA'!M263+'DRE ANTIGA PARCERIA CAIXA'!M271</f>
        <v>0</v>
      </c>
      <c r="N9" s="1">
        <f>'DRE ANTIGA PARCERIA CAIXA'!N263+'DRE ANTIGA PARCERIA CAIXA'!N271</f>
        <v>0</v>
      </c>
      <c r="O9" s="1">
        <f>'DRE ANTIGA PARCERIA CAIXA'!O263+'DRE ANTIGA PARCERIA CAIXA'!O271</f>
        <v>-17061.124299999999</v>
      </c>
      <c r="P9" s="1">
        <f>'DRE ANTIGA PARCERIA CAIXA'!P263+'DRE ANTIGA PARCERIA CAIXA'!P271</f>
        <v>0</v>
      </c>
      <c r="Q9" s="1">
        <f>'DRE ANTIGA PARCERIA CAIXA'!Q263+'DRE ANTIGA PARCERIA CAIXA'!Q271</f>
        <v>-17061.124299999999</v>
      </c>
      <c r="R9" s="1">
        <f>'DRE ANTIGA PARCERIA CAIXA'!R263+'DRE ANTIGA PARCERIA CAIXA'!R271</f>
        <v>0</v>
      </c>
      <c r="S9" s="1">
        <f>'DRE ANTIGA PARCERIA CAIXA'!S263+'DRE ANTIGA PARCERIA CAIXA'!S271</f>
        <v>1715.6541399999999</v>
      </c>
      <c r="T9" s="1">
        <f>'DRE ANTIGA PARCERIA CAIXA'!T263+'DRE ANTIGA PARCERIA CAIXA'!T271</f>
        <v>0</v>
      </c>
      <c r="U9" s="1">
        <f>'DRE ANTIGA PARCERIA CAIXA'!U263+'DRE ANTIGA PARCERIA CAIXA'!U271</f>
        <v>0</v>
      </c>
      <c r="V9" s="1">
        <f>'DRE ANTIGA PARCERIA CAIXA'!V263+'DRE ANTIGA PARCERIA CAIXA'!V271</f>
        <v>1715.6541399999999</v>
      </c>
      <c r="W9" s="1">
        <f>'DRE ANTIGA PARCERIA CAIXA'!W263+'DRE ANTIGA PARCERIA CAIXA'!W271</f>
        <v>0</v>
      </c>
      <c r="X9" s="1">
        <f>'DRE ANTIGA PARCERIA CAIXA'!X263+'DRE ANTIGA PARCERIA CAIXA'!X271</f>
        <v>0</v>
      </c>
      <c r="Y9" s="1">
        <f>'DRE ANTIGA PARCERIA CAIXA'!Y263+'DRE ANTIGA PARCERIA CAIXA'!Y271</f>
        <v>0</v>
      </c>
      <c r="Z9" s="1">
        <f>'DRE ANTIGA PARCERIA CAIXA'!Z263+'DRE ANTIGA PARCERIA CAIXA'!Z271</f>
        <v>-30700.963780000002</v>
      </c>
      <c r="AA9" s="1">
        <f>'DRE ANTIGA PARCERIA CAIXA'!AA263+'DRE ANTIGA PARCERIA CAIXA'!AA271</f>
        <v>-30700.963780000002</v>
      </c>
      <c r="AB9" s="1">
        <f>'DRE ANTIGA PARCERIA CAIXA'!AB263+'DRE ANTIGA PARCERIA CAIXA'!AB271</f>
        <v>0</v>
      </c>
      <c r="AC9" s="1">
        <f>'DRE ANTIGA PARCERIA CAIXA'!AC263+'DRE ANTIGA PARCERIA CAIXA'!AC271</f>
        <v>0</v>
      </c>
      <c r="AD9" s="1">
        <f>'DRE ANTIGA PARCERIA CAIXA'!AD263+'DRE ANTIGA PARCERIA CAIXA'!AD271</f>
        <v>0</v>
      </c>
      <c r="AE9" s="1">
        <f>'DRE ANTIGA PARCERIA CAIXA'!AE263+'DRE ANTIGA PARCERIA CAIXA'!AE271</f>
        <v>-2.6250200000000001</v>
      </c>
      <c r="AF9" s="1">
        <f>'DRE ANTIGA PARCERIA CAIXA'!AF263+'DRE ANTIGA PARCERIA CAIXA'!AF271</f>
        <v>-2.6250200000000001</v>
      </c>
      <c r="AG9" s="1">
        <f>'DRE ANTIGA PARCERIA CAIXA'!AG263+'DRE ANTIGA PARCERIA CAIXA'!AG271</f>
        <v>0</v>
      </c>
      <c r="AH9" s="1">
        <f>'DRE ANTIGA PARCERIA CAIXA'!AH263+'DRE ANTIGA PARCERIA CAIXA'!AH271</f>
        <v>0</v>
      </c>
      <c r="AI9" s="1">
        <f>'DRE ANTIGA PARCERIA CAIXA'!AI263+'DRE ANTIGA PARCERIA CAIXA'!AI271</f>
        <v>0</v>
      </c>
      <c r="AJ9" s="1">
        <f>'DRE ANTIGA PARCERIA CAIXA'!AJ263+'DRE ANTIGA PARCERIA CAIXA'!AJ271</f>
        <v>-3266</v>
      </c>
      <c r="AK9" s="1">
        <f>'DRE ANTIGA PARCERIA CAIXA'!AK263+'DRE ANTIGA PARCERIA CAIXA'!AK271</f>
        <v>-3266</v>
      </c>
      <c r="AL9" s="1">
        <f>'DRE ANTIGA PARCERIA CAIXA'!AL263+'DRE ANTIGA PARCERIA CAIXA'!AL271</f>
        <v>0</v>
      </c>
      <c r="AM9" s="1">
        <f>'DRE ANTIGA PARCERIA CAIXA'!AM263+'DRE ANTIGA PARCERIA CAIXA'!AM271</f>
        <v>0</v>
      </c>
      <c r="AN9" s="1">
        <f>'DRE ANTIGA PARCERIA CAIXA'!AN263+'DRE ANTIGA PARCERIA CAIXA'!AN271</f>
        <v>0</v>
      </c>
      <c r="AO9" s="1">
        <f>'DRE ANTIGA PARCERIA CAIXA'!AO263+'DRE ANTIGA PARCERIA CAIXA'!AO271</f>
        <v>0</v>
      </c>
      <c r="AP9" s="1">
        <f>'DRE ANTIGA PARCERIA CAIXA'!AP263+'DRE ANTIGA PARCERIA CAIXA'!AP271</f>
        <v>0</v>
      </c>
      <c r="AQ9" s="1">
        <f>'DRE ANTIGA PARCERIA CAIXA'!AQ263+'DRE ANTIGA PARCERIA CAIXA'!AQ271</f>
        <v>0</v>
      </c>
      <c r="AR9" s="1">
        <f>'DRE ANTIGA PARCERIA CAIXA'!AR263+'DRE ANTIGA PARCERIA CAIXA'!AR271</f>
        <v>0</v>
      </c>
      <c r="AS9" s="1">
        <f>'DRE ANTIGA PARCERIA CAIXA'!AS263+'DRE ANTIGA PARCERIA CAIXA'!AS271</f>
        <v>0</v>
      </c>
      <c r="AT9" s="1">
        <f>'DRE ANTIGA PARCERIA CAIXA'!AT263+'DRE ANTIGA PARCERIA CAIXA'!AT271</f>
        <v>0</v>
      </c>
      <c r="AU9" s="1">
        <f>'DRE ANTIGA PARCERIA CAIXA'!AU263+'DRE ANTIGA PARCERIA CAIXA'!AU271</f>
        <v>0</v>
      </c>
      <c r="AV9" s="1">
        <f>'DRE ANTIGA PARCERIA CAIXA'!AV263+'DRE ANTIGA PARCERIA CAIXA'!AV271</f>
        <v>20341</v>
      </c>
      <c r="AW9" s="1">
        <f>'DRE ANTIGA PARCERIA CAIXA'!AW263+'DRE ANTIGA PARCERIA CAIXA'!AW271</f>
        <v>0</v>
      </c>
      <c r="AX9" s="1">
        <f>'DRE ANTIGA PARCERIA CAIXA'!AX263+'DRE ANTIGA PARCERIA CAIXA'!AX271</f>
        <v>0</v>
      </c>
      <c r="AY9" s="1">
        <f>'DRE ANTIGA PARCERIA CAIXA'!AY263+'DRE ANTIGA PARCERIA CAIXA'!AY271</f>
        <v>0</v>
      </c>
      <c r="AZ9" s="1">
        <f>'DRE ANTIGA PARCERIA CAIXA'!AZ263+'DRE ANTIGA PARCERIA CAIXA'!AZ271</f>
        <v>20341</v>
      </c>
      <c r="BA9" s="1">
        <f>'DRE ANTIGA PARCERIA CAIXA'!BA263+'DRE ANTIGA PARCERIA CAIXA'!BA271</f>
        <v>0</v>
      </c>
      <c r="BB9"/>
      <c r="BC9"/>
      <c r="BD9"/>
      <c r="BE9"/>
      <c r="BF9"/>
      <c r="BG9"/>
      <c r="BH9"/>
    </row>
    <row r="10" spans="1:60">
      <c r="B10" t="s">
        <v>564</v>
      </c>
      <c r="C10" s="1">
        <f>'DRE ANTIGA PARCERIA CAIXA'!C32+'DRE ANTIGA PARCERIA CAIXA'!C44</f>
        <v>1101590.5663799995</v>
      </c>
      <c r="D10" s="1">
        <f>'DRE ANTIGA PARCERIA CAIXA'!D32+'DRE ANTIGA PARCERIA CAIXA'!D44</f>
        <v>1120990.4163499991</v>
      </c>
      <c r="E10" s="1">
        <f>'DRE ANTIGA PARCERIA CAIXA'!E32+'DRE ANTIGA PARCERIA CAIXA'!E44</f>
        <v>1127062.5959900003</v>
      </c>
      <c r="F10" s="1">
        <f>'DRE ANTIGA PARCERIA CAIXA'!F32+'DRE ANTIGA PARCERIA CAIXA'!F44</f>
        <v>1175271.3242800008</v>
      </c>
      <c r="G10" s="1">
        <f>'DRE ANTIGA PARCERIA CAIXA'!G32+'DRE ANTIGA PARCERIA CAIXA'!G44</f>
        <v>4524914.9030000009</v>
      </c>
      <c r="H10" s="1">
        <f>'DRE ANTIGA PARCERIA CAIXA'!H32+'DRE ANTIGA PARCERIA CAIXA'!H44</f>
        <v>1204024.0290499988</v>
      </c>
      <c r="I10" s="1">
        <f>'DRE ANTIGA PARCERIA CAIXA'!I32+'DRE ANTIGA PARCERIA CAIXA'!I44</f>
        <v>1245816.8971500006</v>
      </c>
      <c r="J10" s="1">
        <f>'DRE ANTIGA PARCERIA CAIXA'!J32+'DRE ANTIGA PARCERIA CAIXA'!J44</f>
        <v>1272916.1082799998</v>
      </c>
      <c r="K10" s="1">
        <f>'DRE ANTIGA PARCERIA CAIXA'!K32+'DRE ANTIGA PARCERIA CAIXA'!K44</f>
        <v>1225728.5215000012</v>
      </c>
      <c r="L10" s="1">
        <f>'DRE ANTIGA PARCERIA CAIXA'!L32+'DRE ANTIGA PARCERIA CAIXA'!L44</f>
        <v>4948485.5559800006</v>
      </c>
      <c r="M10" s="1">
        <f>'DRE ANTIGA PARCERIA CAIXA'!M32+'DRE ANTIGA PARCERIA CAIXA'!M44</f>
        <v>1357164.9363599997</v>
      </c>
      <c r="N10" s="1">
        <f>'DRE ANTIGA PARCERIA CAIXA'!N32+'DRE ANTIGA PARCERIA CAIXA'!N44</f>
        <v>1356674.7077999993</v>
      </c>
      <c r="O10" s="1">
        <f>'DRE ANTIGA PARCERIA CAIXA'!O32+'DRE ANTIGA PARCERIA CAIXA'!O44</f>
        <v>2204246.9404999996</v>
      </c>
      <c r="P10" s="1">
        <f>'DRE ANTIGA PARCERIA CAIXA'!P32+'DRE ANTIGA PARCERIA CAIXA'!P44</f>
        <v>1131931.0677100003</v>
      </c>
      <c r="Q10" s="1">
        <f>'DRE ANTIGA PARCERIA CAIXA'!Q32+'DRE ANTIGA PARCERIA CAIXA'!Q44</f>
        <v>6050017.6523699993</v>
      </c>
      <c r="R10" s="1">
        <f>'DRE ANTIGA PARCERIA CAIXA'!R32+'DRE ANTIGA PARCERIA CAIXA'!R44</f>
        <v>1410950.25651</v>
      </c>
      <c r="S10" s="1">
        <f>'DRE ANTIGA PARCERIA CAIXA'!S32+'DRE ANTIGA PARCERIA CAIXA'!S44</f>
        <v>1224944.7442399992</v>
      </c>
      <c r="T10" s="1">
        <f>'DRE ANTIGA PARCERIA CAIXA'!T32+'DRE ANTIGA PARCERIA CAIXA'!T44</f>
        <v>1497586.0872899995</v>
      </c>
      <c r="U10" s="1">
        <f>'DRE ANTIGA PARCERIA CAIXA'!U32+'DRE ANTIGA PARCERIA CAIXA'!U44</f>
        <v>1489652.9265999997</v>
      </c>
      <c r="V10" s="1">
        <f>'DRE ANTIGA PARCERIA CAIXA'!V32+'DRE ANTIGA PARCERIA CAIXA'!V44</f>
        <v>5623134.0146399997</v>
      </c>
      <c r="W10" s="1">
        <f>'DRE ANTIGA PARCERIA CAIXA'!W32+'DRE ANTIGA PARCERIA CAIXA'!W44</f>
        <v>1522730.7816900008</v>
      </c>
      <c r="X10" s="1">
        <f>'DRE ANTIGA PARCERIA CAIXA'!X32+'DRE ANTIGA PARCERIA CAIXA'!X44</f>
        <v>1548145.6586999996</v>
      </c>
      <c r="Y10" s="1">
        <f>'DRE ANTIGA PARCERIA CAIXA'!Y32+'DRE ANTIGA PARCERIA CAIXA'!Y44</f>
        <v>867879.13318000024</v>
      </c>
      <c r="Z10" s="1">
        <f>'DRE ANTIGA PARCERIA CAIXA'!Z32+'DRE ANTIGA PARCERIA CAIXA'!Z44</f>
        <v>800674.74389999965</v>
      </c>
      <c r="AA10" s="1">
        <f>'DRE ANTIGA PARCERIA CAIXA'!AA32+'DRE ANTIGA PARCERIA CAIXA'!AA44</f>
        <v>4739430.3174700001</v>
      </c>
      <c r="AB10" s="1">
        <f>'DRE ANTIGA PARCERIA CAIXA'!AB32+'DRE ANTIGA PARCERIA CAIXA'!AB44</f>
        <v>898614.92478000035</v>
      </c>
      <c r="AC10" s="1">
        <f>'DRE ANTIGA PARCERIA CAIXA'!AC32+'DRE ANTIGA PARCERIA CAIXA'!AC44</f>
        <v>882596.32439999981</v>
      </c>
      <c r="AD10" s="1">
        <f>'DRE ANTIGA PARCERIA CAIXA'!AD32+'DRE ANTIGA PARCERIA CAIXA'!AD44</f>
        <v>849711.36979999999</v>
      </c>
      <c r="AE10" s="1">
        <f>'DRE ANTIGA PARCERIA CAIXA'!AE32+'DRE ANTIGA PARCERIA CAIXA'!AE44</f>
        <v>767951.60800000001</v>
      </c>
      <c r="AF10" s="1">
        <f>'DRE ANTIGA PARCERIA CAIXA'!AF32+'DRE ANTIGA PARCERIA CAIXA'!AF44</f>
        <v>3398874.2269800003</v>
      </c>
      <c r="AG10" s="1">
        <f>'DRE ANTIGA PARCERIA CAIXA'!AG32+'DRE ANTIGA PARCERIA CAIXA'!AG44</f>
        <v>799653</v>
      </c>
      <c r="AH10" s="1">
        <f>'DRE ANTIGA PARCERIA CAIXA'!AH32+'DRE ANTIGA PARCERIA CAIXA'!AH44</f>
        <v>791717</v>
      </c>
      <c r="AI10" s="1">
        <f>'DRE ANTIGA PARCERIA CAIXA'!AI32+'DRE ANTIGA PARCERIA CAIXA'!AI44</f>
        <v>779274</v>
      </c>
      <c r="AJ10" s="1">
        <f>'DRE ANTIGA PARCERIA CAIXA'!AJ32+'DRE ANTIGA PARCERIA CAIXA'!AJ44</f>
        <v>917472</v>
      </c>
      <c r="AK10" s="1">
        <f>'DRE ANTIGA PARCERIA CAIXA'!AK32+'DRE ANTIGA PARCERIA CAIXA'!AK44</f>
        <v>3288116</v>
      </c>
      <c r="AL10" s="1">
        <f>'DRE ANTIGA PARCERIA CAIXA'!AL32+'DRE ANTIGA PARCERIA CAIXA'!AL44</f>
        <v>776357</v>
      </c>
      <c r="AM10" s="1">
        <f>'DRE ANTIGA PARCERIA CAIXA'!AM32+'DRE ANTIGA PARCERIA CAIXA'!AM44</f>
        <v>725547</v>
      </c>
      <c r="AN10" s="1">
        <f>'DRE ANTIGA PARCERIA CAIXA'!AN32+'DRE ANTIGA PARCERIA CAIXA'!AN44</f>
        <v>751823</v>
      </c>
      <c r="AO10" s="1">
        <f>'DRE ANTIGA PARCERIA CAIXA'!AO32+'DRE ANTIGA PARCERIA CAIXA'!AO44</f>
        <v>706000</v>
      </c>
      <c r="AP10" s="1">
        <f>'DRE ANTIGA PARCERIA CAIXA'!AP32+'DRE ANTIGA PARCERIA CAIXA'!AP44</f>
        <v>2959727</v>
      </c>
      <c r="AQ10" s="1">
        <f>'DRE ANTIGA PARCERIA CAIXA'!AQ32+'DRE ANTIGA PARCERIA CAIXA'!AQ44</f>
        <v>728799</v>
      </c>
      <c r="AR10" s="1">
        <f>'DRE ANTIGA PARCERIA CAIXA'!AR32+'DRE ANTIGA PARCERIA CAIXA'!AR44</f>
        <v>713533</v>
      </c>
      <c r="AS10" s="1">
        <f>'DRE ANTIGA PARCERIA CAIXA'!AS32+'DRE ANTIGA PARCERIA CAIXA'!AS44</f>
        <v>719719</v>
      </c>
      <c r="AT10" s="1">
        <f>'DRE ANTIGA PARCERIA CAIXA'!AT32+'DRE ANTIGA PARCERIA CAIXA'!AT44</f>
        <v>663892</v>
      </c>
      <c r="AU10" s="1">
        <f>'DRE ANTIGA PARCERIA CAIXA'!AU32+'DRE ANTIGA PARCERIA CAIXA'!AU44</f>
        <v>2825943</v>
      </c>
      <c r="AV10" s="1">
        <f>'DRE ANTIGA PARCERIA CAIXA'!AV32+'DRE ANTIGA PARCERIA CAIXA'!AV44</f>
        <v>703327</v>
      </c>
      <c r="AW10" s="1">
        <f>'DRE ANTIGA PARCERIA CAIXA'!AW32+'DRE ANTIGA PARCERIA CAIXA'!AW44</f>
        <v>684060</v>
      </c>
      <c r="AX10" s="1">
        <f>'DRE ANTIGA PARCERIA CAIXA'!AX32+'DRE ANTIGA PARCERIA CAIXA'!AX44</f>
        <v>696490</v>
      </c>
      <c r="AY10" s="1">
        <f>'DRE ANTIGA PARCERIA CAIXA'!AY32+'DRE ANTIGA PARCERIA CAIXA'!AY44</f>
        <v>734856</v>
      </c>
      <c r="AZ10" s="1">
        <f>'DRE ANTIGA PARCERIA CAIXA'!AZ32+'DRE ANTIGA PARCERIA CAIXA'!AZ44</f>
        <v>2818733</v>
      </c>
      <c r="BA10" s="1">
        <f>'DRE ANTIGA PARCERIA CAIXA'!BA32+'DRE ANTIGA PARCERIA CAIXA'!BA44</f>
        <v>691935</v>
      </c>
      <c r="BB10"/>
      <c r="BC10"/>
      <c r="BD10"/>
      <c r="BE10"/>
      <c r="BF10"/>
      <c r="BG10"/>
      <c r="BH10"/>
    </row>
    <row r="11" spans="1:60">
      <c r="B11" t="s">
        <v>565</v>
      </c>
      <c r="C11" s="1">
        <f>SUM('DRE ANTIGA PARCERIA CAIXA'!C60,'DRE ANTIGA PARCERIA CAIXA'!C70,'DRE ANTIGA PARCERIA CAIXA'!C61,'DRE ANTIGA PARCERIA CAIXA'!C82)</f>
        <v>174299.16500000021</v>
      </c>
      <c r="D11" s="1">
        <f>SUM('DRE ANTIGA PARCERIA CAIXA'!D60,'DRE ANTIGA PARCERIA CAIXA'!D70,'DRE ANTIGA PARCERIA CAIXA'!D61,'DRE ANTIGA PARCERIA CAIXA'!D82)</f>
        <v>174972.13599999979</v>
      </c>
      <c r="E11" s="1">
        <f>SUM('DRE ANTIGA PARCERIA CAIXA'!E60,'DRE ANTIGA PARCERIA CAIXA'!E70,'DRE ANTIGA PARCERIA CAIXA'!E61,'DRE ANTIGA PARCERIA CAIXA'!E82)</f>
        <v>189145.27200000011</v>
      </c>
      <c r="F11" s="1">
        <f>SUM('DRE ANTIGA PARCERIA CAIXA'!F60,'DRE ANTIGA PARCERIA CAIXA'!F70,'DRE ANTIGA PARCERIA CAIXA'!F61,'DRE ANTIGA PARCERIA CAIXA'!F82)</f>
        <v>192301.75293999942</v>
      </c>
      <c r="G11" s="1">
        <f>SUM('DRE ANTIGA PARCERIA CAIXA'!G60,'DRE ANTIGA PARCERIA CAIXA'!G70,'DRE ANTIGA PARCERIA CAIXA'!G61,'DRE ANTIGA PARCERIA CAIXA'!G82)</f>
        <v>730718.32593999954</v>
      </c>
      <c r="H11" s="1">
        <f>SUM('DRE ANTIGA PARCERIA CAIXA'!H60,'DRE ANTIGA PARCERIA CAIXA'!H70,'DRE ANTIGA PARCERIA CAIXA'!H61,'DRE ANTIGA PARCERIA CAIXA'!H82)</f>
        <v>199166.94813000032</v>
      </c>
      <c r="I11" s="1">
        <f>SUM('DRE ANTIGA PARCERIA CAIXA'!I60,'DRE ANTIGA PARCERIA CAIXA'!I70,'DRE ANTIGA PARCERIA CAIXA'!I61,'DRE ANTIGA PARCERIA CAIXA'!I82)</f>
        <v>219602.83279999939</v>
      </c>
      <c r="J11" s="1">
        <f>SUM('DRE ANTIGA PARCERIA CAIXA'!J60,'DRE ANTIGA PARCERIA CAIXA'!J70,'DRE ANTIGA PARCERIA CAIXA'!J61,'DRE ANTIGA PARCERIA CAIXA'!J82)</f>
        <v>223836.87377000041</v>
      </c>
      <c r="K11" s="1">
        <f>SUM('DRE ANTIGA PARCERIA CAIXA'!K60,'DRE ANTIGA PARCERIA CAIXA'!K70,'DRE ANTIGA PARCERIA CAIXA'!K61,'DRE ANTIGA PARCERIA CAIXA'!K82)</f>
        <v>226671.64010999977</v>
      </c>
      <c r="L11" s="1">
        <f>SUM('DRE ANTIGA PARCERIA CAIXA'!L60,'DRE ANTIGA PARCERIA CAIXA'!L70,'DRE ANTIGA PARCERIA CAIXA'!L61,'DRE ANTIGA PARCERIA CAIXA'!L82)</f>
        <v>869278.29480999988</v>
      </c>
      <c r="M11" s="1">
        <f>SUM('DRE ANTIGA PARCERIA CAIXA'!M60,'DRE ANTIGA PARCERIA CAIXA'!M70,'DRE ANTIGA PARCERIA CAIXA'!M61,'DRE ANTIGA PARCERIA CAIXA'!M82)</f>
        <v>236749.89058000018</v>
      </c>
      <c r="N11" s="1">
        <f>SUM('DRE ANTIGA PARCERIA CAIXA'!N60,'DRE ANTIGA PARCERIA CAIXA'!N70,'DRE ANTIGA PARCERIA CAIXA'!N61,'DRE ANTIGA PARCERIA CAIXA'!N82)</f>
        <v>252687.57533999969</v>
      </c>
      <c r="O11" s="1">
        <f>SUM('DRE ANTIGA PARCERIA CAIXA'!O60,'DRE ANTIGA PARCERIA CAIXA'!O70,'DRE ANTIGA PARCERIA CAIXA'!O61,'DRE ANTIGA PARCERIA CAIXA'!O82)</f>
        <v>264864.90392000094</v>
      </c>
      <c r="P11" s="1">
        <f>SUM('DRE ANTIGA PARCERIA CAIXA'!P60,'DRE ANTIGA PARCERIA CAIXA'!P70,'DRE ANTIGA PARCERIA CAIXA'!P61,'DRE ANTIGA PARCERIA CAIXA'!P82)</f>
        <v>268484.00701000262</v>
      </c>
      <c r="Q11" s="1">
        <f>SUM('DRE ANTIGA PARCERIA CAIXA'!Q60,'DRE ANTIGA PARCERIA CAIXA'!Q70,'DRE ANTIGA PARCERIA CAIXA'!Q61,'DRE ANTIGA PARCERIA CAIXA'!Q82)</f>
        <v>1022786.3768500035</v>
      </c>
      <c r="R11" s="1">
        <f>SUM('DRE ANTIGA PARCERIA CAIXA'!R60,'DRE ANTIGA PARCERIA CAIXA'!R70,'DRE ANTIGA PARCERIA CAIXA'!R61,'DRE ANTIGA PARCERIA CAIXA'!R82)</f>
        <v>277847.55400999973</v>
      </c>
      <c r="S11" s="1">
        <f>SUM('DRE ANTIGA PARCERIA CAIXA'!S60,'DRE ANTIGA PARCERIA CAIXA'!S70,'DRE ANTIGA PARCERIA CAIXA'!S61,'DRE ANTIGA PARCERIA CAIXA'!S82)</f>
        <v>288934.71399000252</v>
      </c>
      <c r="T11" s="1">
        <f>SUM('DRE ANTIGA PARCERIA CAIXA'!T60,'DRE ANTIGA PARCERIA CAIXA'!T70,'DRE ANTIGA PARCERIA CAIXA'!T61,'DRE ANTIGA PARCERIA CAIXA'!T82)</f>
        <v>314495.29299000022</v>
      </c>
      <c r="U11" s="1">
        <f>SUM('DRE ANTIGA PARCERIA CAIXA'!U60,'DRE ANTIGA PARCERIA CAIXA'!U70,'DRE ANTIGA PARCERIA CAIXA'!U61,'DRE ANTIGA PARCERIA CAIXA'!U82)</f>
        <v>318864.45622000174</v>
      </c>
      <c r="V11" s="1">
        <f>SUM('DRE ANTIGA PARCERIA CAIXA'!V60,'DRE ANTIGA PARCERIA CAIXA'!V70,'DRE ANTIGA PARCERIA CAIXA'!V61,'DRE ANTIGA PARCERIA CAIXA'!V82)</f>
        <v>1200142.0172100042</v>
      </c>
      <c r="W11" s="1">
        <f>SUM('DRE ANTIGA PARCERIA CAIXA'!W60,'DRE ANTIGA PARCERIA CAIXA'!W70,'DRE ANTIGA PARCERIA CAIXA'!W61,'DRE ANTIGA PARCERIA CAIXA'!W82)</f>
        <v>326519.00603000185</v>
      </c>
      <c r="X11" s="1">
        <f>SUM('DRE ANTIGA PARCERIA CAIXA'!X60,'DRE ANTIGA PARCERIA CAIXA'!X70,'DRE ANTIGA PARCERIA CAIXA'!X61,'DRE ANTIGA PARCERIA CAIXA'!X82)</f>
        <v>314718.45000000065</v>
      </c>
      <c r="Y11" s="1">
        <f>SUM('DRE ANTIGA PARCERIA CAIXA'!Y60,'DRE ANTIGA PARCERIA CAIXA'!Y70,'DRE ANTIGA PARCERIA CAIXA'!Y61,'DRE ANTIGA PARCERIA CAIXA'!Y82)</f>
        <v>1094416.1413399982</v>
      </c>
      <c r="Z11" s="1">
        <f>SUM('DRE ANTIGA PARCERIA CAIXA'!Z60,'DRE ANTIGA PARCERIA CAIXA'!Z70,'DRE ANTIGA PARCERIA CAIXA'!Z61,'DRE ANTIGA PARCERIA CAIXA'!Z82)</f>
        <v>1181289.5232299978</v>
      </c>
      <c r="AA11" s="1">
        <f>SUM('DRE ANTIGA PARCERIA CAIXA'!AA60,'DRE ANTIGA PARCERIA CAIXA'!AA70,'DRE ANTIGA PARCERIA CAIXA'!AA61,'DRE ANTIGA PARCERIA CAIXA'!AA82)</f>
        <v>2916943.1205999986</v>
      </c>
      <c r="AB11" s="1">
        <f>SUM('DRE ANTIGA PARCERIA CAIXA'!AB60,'DRE ANTIGA PARCERIA CAIXA'!AB70,'DRE ANTIGA PARCERIA CAIXA'!AB61,'DRE ANTIGA PARCERIA CAIXA'!AB82)</f>
        <v>0</v>
      </c>
      <c r="AC11" s="1">
        <f>SUM('DRE ANTIGA PARCERIA CAIXA'!AC60,'DRE ANTIGA PARCERIA CAIXA'!AC70,'DRE ANTIGA PARCERIA CAIXA'!AC61,'DRE ANTIGA PARCERIA CAIXA'!AC82)</f>
        <v>0</v>
      </c>
      <c r="AD11" s="1">
        <f>SUM('DRE ANTIGA PARCERIA CAIXA'!AD60,'DRE ANTIGA PARCERIA CAIXA'!AD70,'DRE ANTIGA PARCERIA CAIXA'!AD61,'DRE ANTIGA PARCERIA CAIXA'!AD82)</f>
        <v>0</v>
      </c>
      <c r="AE11" s="1">
        <f>SUM('DRE ANTIGA PARCERIA CAIXA'!AE60,'DRE ANTIGA PARCERIA CAIXA'!AE70,'DRE ANTIGA PARCERIA CAIXA'!AE61,'DRE ANTIGA PARCERIA CAIXA'!AE82)</f>
        <v>0</v>
      </c>
      <c r="AF11" s="1">
        <f>SUM('DRE ANTIGA PARCERIA CAIXA'!AF60,'DRE ANTIGA PARCERIA CAIXA'!AF70,'DRE ANTIGA PARCERIA CAIXA'!AF61,'DRE ANTIGA PARCERIA CAIXA'!AF82)</f>
        <v>0</v>
      </c>
      <c r="AG11" s="1">
        <f>SUM('DRE ANTIGA PARCERIA CAIXA'!AG60,'DRE ANTIGA PARCERIA CAIXA'!AG70,'DRE ANTIGA PARCERIA CAIXA'!AG61,'DRE ANTIGA PARCERIA CAIXA'!AG82)</f>
        <v>0</v>
      </c>
      <c r="AH11" s="1">
        <f>SUM('DRE ANTIGA PARCERIA CAIXA'!AH60,'DRE ANTIGA PARCERIA CAIXA'!AH70,'DRE ANTIGA PARCERIA CAIXA'!AH61,'DRE ANTIGA PARCERIA CAIXA'!AH82)</f>
        <v>0</v>
      </c>
      <c r="AI11" s="1">
        <f>SUM('DRE ANTIGA PARCERIA CAIXA'!AI60,'DRE ANTIGA PARCERIA CAIXA'!AI70,'DRE ANTIGA PARCERIA CAIXA'!AI61,'DRE ANTIGA PARCERIA CAIXA'!AI82)</f>
        <v>0</v>
      </c>
      <c r="AJ11" s="1">
        <f>SUM('DRE ANTIGA PARCERIA CAIXA'!AJ60,'DRE ANTIGA PARCERIA CAIXA'!AJ70,'DRE ANTIGA PARCERIA CAIXA'!AJ61,'DRE ANTIGA PARCERIA CAIXA'!AJ82)</f>
        <v>0</v>
      </c>
      <c r="AK11" s="1">
        <f>SUM('DRE ANTIGA PARCERIA CAIXA'!AK60,'DRE ANTIGA PARCERIA CAIXA'!AK70,'DRE ANTIGA PARCERIA CAIXA'!AK61,'DRE ANTIGA PARCERIA CAIXA'!AK82)</f>
        <v>0</v>
      </c>
      <c r="AL11" s="1">
        <f>SUM('DRE ANTIGA PARCERIA CAIXA'!AL60,'DRE ANTIGA PARCERIA CAIXA'!AL70,'DRE ANTIGA PARCERIA CAIXA'!AL61,'DRE ANTIGA PARCERIA CAIXA'!AL82)</f>
        <v>0</v>
      </c>
      <c r="AM11" s="1">
        <f>SUM('DRE ANTIGA PARCERIA CAIXA'!AM60,'DRE ANTIGA PARCERIA CAIXA'!AM70,'DRE ANTIGA PARCERIA CAIXA'!AM61,'DRE ANTIGA PARCERIA CAIXA'!AM82)</f>
        <v>0</v>
      </c>
      <c r="AN11" s="1">
        <f>SUM('DRE ANTIGA PARCERIA CAIXA'!AN60,'DRE ANTIGA PARCERIA CAIXA'!AN70,'DRE ANTIGA PARCERIA CAIXA'!AN61,'DRE ANTIGA PARCERIA CAIXA'!AN82)</f>
        <v>0</v>
      </c>
      <c r="AO11" s="1">
        <f>SUM('DRE ANTIGA PARCERIA CAIXA'!AO60,'DRE ANTIGA PARCERIA CAIXA'!AO70,'DRE ANTIGA PARCERIA CAIXA'!AO61,'DRE ANTIGA PARCERIA CAIXA'!AO82)</f>
        <v>0</v>
      </c>
      <c r="AP11" s="1">
        <f>SUM('DRE ANTIGA PARCERIA CAIXA'!AP60,'DRE ANTIGA PARCERIA CAIXA'!AP70,'DRE ANTIGA PARCERIA CAIXA'!AP61,'DRE ANTIGA PARCERIA CAIXA'!AP82)</f>
        <v>0</v>
      </c>
      <c r="AQ11" s="1">
        <f>SUM('DRE ANTIGA PARCERIA CAIXA'!AQ60,'DRE ANTIGA PARCERIA CAIXA'!AQ70,'DRE ANTIGA PARCERIA CAIXA'!AQ61,'DRE ANTIGA PARCERIA CAIXA'!AQ82)</f>
        <v>0</v>
      </c>
      <c r="AR11" s="1">
        <f>SUM('DRE ANTIGA PARCERIA CAIXA'!AR60,'DRE ANTIGA PARCERIA CAIXA'!AR70,'DRE ANTIGA PARCERIA CAIXA'!AR61,'DRE ANTIGA PARCERIA CAIXA'!AR82)</f>
        <v>0</v>
      </c>
      <c r="AS11" s="1">
        <f>SUM('DRE ANTIGA PARCERIA CAIXA'!AS60,'DRE ANTIGA PARCERIA CAIXA'!AS70,'DRE ANTIGA PARCERIA CAIXA'!AS61,'DRE ANTIGA PARCERIA CAIXA'!AS82)</f>
        <v>0</v>
      </c>
      <c r="AT11" s="1">
        <f>SUM('DRE ANTIGA PARCERIA CAIXA'!AT60,'DRE ANTIGA PARCERIA CAIXA'!AT70,'DRE ANTIGA PARCERIA CAIXA'!AT61,'DRE ANTIGA PARCERIA CAIXA'!AT82)</f>
        <v>0</v>
      </c>
      <c r="AU11" s="1">
        <f>SUM('DRE ANTIGA PARCERIA CAIXA'!AU60,'DRE ANTIGA PARCERIA CAIXA'!AU70,'DRE ANTIGA PARCERIA CAIXA'!AU61,'DRE ANTIGA PARCERIA CAIXA'!AU82)</f>
        <v>0</v>
      </c>
      <c r="AV11" s="1">
        <f>SUM('DRE ANTIGA PARCERIA CAIXA'!AV60,'DRE ANTIGA PARCERIA CAIXA'!AV70,'DRE ANTIGA PARCERIA CAIXA'!AV61,'DRE ANTIGA PARCERIA CAIXA'!AV82)</f>
        <v>0</v>
      </c>
      <c r="AW11" s="1">
        <f>SUM('DRE ANTIGA PARCERIA CAIXA'!AW60,'DRE ANTIGA PARCERIA CAIXA'!AW70,'DRE ANTIGA PARCERIA CAIXA'!AW61,'DRE ANTIGA PARCERIA CAIXA'!AW82)</f>
        <v>0</v>
      </c>
      <c r="AX11" s="1">
        <f>SUM('DRE ANTIGA PARCERIA CAIXA'!AX60,'DRE ANTIGA PARCERIA CAIXA'!AX70,'DRE ANTIGA PARCERIA CAIXA'!AX61,'DRE ANTIGA PARCERIA CAIXA'!AX82)</f>
        <v>0</v>
      </c>
      <c r="AY11" s="1">
        <f>SUM('DRE ANTIGA PARCERIA CAIXA'!AY60,'DRE ANTIGA PARCERIA CAIXA'!AY70,'DRE ANTIGA PARCERIA CAIXA'!AY61,'DRE ANTIGA PARCERIA CAIXA'!AY82)</f>
        <v>0</v>
      </c>
      <c r="AZ11" s="1">
        <f>SUM('DRE ANTIGA PARCERIA CAIXA'!AZ60,'DRE ANTIGA PARCERIA CAIXA'!AZ70,'DRE ANTIGA PARCERIA CAIXA'!AZ61,'DRE ANTIGA PARCERIA CAIXA'!AZ82)</f>
        <v>0</v>
      </c>
      <c r="BA11" s="1">
        <f>SUM('DRE ANTIGA PARCERIA CAIXA'!BA60,'DRE ANTIGA PARCERIA CAIXA'!BA70,'DRE ANTIGA PARCERIA CAIXA'!BA61,'DRE ANTIGA PARCERIA CAIXA'!BA82)</f>
        <v>0</v>
      </c>
      <c r="BB11"/>
      <c r="BC11"/>
      <c r="BD11"/>
      <c r="BE11"/>
      <c r="BF11"/>
      <c r="BG11"/>
      <c r="BH11"/>
    </row>
    <row r="12" spans="1:60">
      <c r="B12" t="s">
        <v>566</v>
      </c>
      <c r="C12" s="1">
        <f>SUM('DRE ANTIGA PARCERIA CAIXA'!C97:C99)+'DRE ANTIGA PARCERIA CAIXA'!C110</f>
        <v>46716.754000000015</v>
      </c>
      <c r="D12" s="1">
        <f>SUM('DRE ANTIGA PARCERIA CAIXA'!D97:D99)+'DRE ANTIGA PARCERIA CAIXA'!D110</f>
        <v>48426.248999999967</v>
      </c>
      <c r="E12" s="1">
        <f>SUM('DRE ANTIGA PARCERIA CAIXA'!E97:E99)+'DRE ANTIGA PARCERIA CAIXA'!E110</f>
        <v>49375.945999999931</v>
      </c>
      <c r="F12" s="1">
        <f>SUM('DRE ANTIGA PARCERIA CAIXA'!F97:F99)+'DRE ANTIGA PARCERIA CAIXA'!F110</f>
        <v>56263.56368999993</v>
      </c>
      <c r="G12" s="1">
        <f>SUM('DRE ANTIGA PARCERIA CAIXA'!G97:G99)+'DRE ANTIGA PARCERIA CAIXA'!G110</f>
        <v>200782.51268999986</v>
      </c>
      <c r="H12" s="1">
        <f>SUM('DRE ANTIGA PARCERIA CAIXA'!H97:H99)+'DRE ANTIGA PARCERIA CAIXA'!H110</f>
        <v>62189.527860000111</v>
      </c>
      <c r="I12" s="1">
        <f>SUM('DRE ANTIGA PARCERIA CAIXA'!I97:I99)+'DRE ANTIGA PARCERIA CAIXA'!I110</f>
        <v>56133.607989999997</v>
      </c>
      <c r="J12" s="1">
        <f>SUM('DRE ANTIGA PARCERIA CAIXA'!J97:J99)+'DRE ANTIGA PARCERIA CAIXA'!J110</f>
        <v>52820.657639999954</v>
      </c>
      <c r="K12" s="1">
        <f>SUM('DRE ANTIGA PARCERIA CAIXA'!K97:K99)+'DRE ANTIGA PARCERIA CAIXA'!K110</f>
        <v>56277.582549999999</v>
      </c>
      <c r="L12" s="1">
        <f>SUM('DRE ANTIGA PARCERIA CAIXA'!L97:L99)+'DRE ANTIGA PARCERIA CAIXA'!L110</f>
        <v>227421.37604000012</v>
      </c>
      <c r="M12" s="1">
        <f>SUM('DRE ANTIGA PARCERIA CAIXA'!M97:M99)+'DRE ANTIGA PARCERIA CAIXA'!M110</f>
        <v>52782.153929999993</v>
      </c>
      <c r="N12" s="1">
        <f>SUM('DRE ANTIGA PARCERIA CAIXA'!N97:N99)+'DRE ANTIGA PARCERIA CAIXA'!N110</f>
        <v>60513.990069999942</v>
      </c>
      <c r="O12" s="1">
        <f>SUM('DRE ANTIGA PARCERIA CAIXA'!O97:O99)+'DRE ANTIGA PARCERIA CAIXA'!O110</f>
        <v>71779.120120000007</v>
      </c>
      <c r="P12" s="1">
        <f>SUM('DRE ANTIGA PARCERIA CAIXA'!P97:P99)+'DRE ANTIGA PARCERIA CAIXA'!P110</f>
        <v>81146.955189999964</v>
      </c>
      <c r="Q12" s="1">
        <f>SUM('DRE ANTIGA PARCERIA CAIXA'!Q97:Q99)+'DRE ANTIGA PARCERIA CAIXA'!Q110</f>
        <v>266222.21930999961</v>
      </c>
      <c r="R12" s="1">
        <f>SUM('DRE ANTIGA PARCERIA CAIXA'!R97:R99)+'DRE ANTIGA PARCERIA CAIXA'!R110</f>
        <v>76450.505999999994</v>
      </c>
      <c r="S12" s="1">
        <f>SUM('DRE ANTIGA PARCERIA CAIXA'!S97:S99)+'DRE ANTIGA PARCERIA CAIXA'!S110</f>
        <v>83676.071750000032</v>
      </c>
      <c r="T12" s="1">
        <f>SUM('DRE ANTIGA PARCERIA CAIXA'!T97:T99)+'DRE ANTIGA PARCERIA CAIXA'!T110</f>
        <v>77171.347499999974</v>
      </c>
      <c r="U12" s="1">
        <f>SUM('DRE ANTIGA PARCERIA CAIXA'!U97:U99)+'DRE ANTIGA PARCERIA CAIXA'!U110</f>
        <v>74353.432080000028</v>
      </c>
      <c r="V12" s="1">
        <f>SUM('DRE ANTIGA PARCERIA CAIXA'!V97:V99)+'DRE ANTIGA PARCERIA CAIXA'!V110</f>
        <v>311651.35733000014</v>
      </c>
      <c r="W12" s="1">
        <f>SUM('DRE ANTIGA PARCERIA CAIXA'!W97:W99)+'DRE ANTIGA PARCERIA CAIXA'!W110</f>
        <v>69905.160889999926</v>
      </c>
      <c r="X12" s="1">
        <f>SUM('DRE ANTIGA PARCERIA CAIXA'!X97:X99)+'DRE ANTIGA PARCERIA CAIXA'!X110</f>
        <v>54583.799639999932</v>
      </c>
      <c r="Y12" s="1">
        <f>SUM('DRE ANTIGA PARCERIA CAIXA'!Y97:Y99)+'DRE ANTIGA PARCERIA CAIXA'!Y110</f>
        <v>55496.523350000054</v>
      </c>
      <c r="Z12" s="1">
        <f>SUM('DRE ANTIGA PARCERIA CAIXA'!Z97:Z99)+'DRE ANTIGA PARCERIA CAIXA'!Z110</f>
        <v>51586.406759999976</v>
      </c>
      <c r="AA12" s="1">
        <f>SUM('DRE ANTIGA PARCERIA CAIXA'!AA97:AA99)+'DRE ANTIGA PARCERIA CAIXA'!AA110</f>
        <v>231571.89063999976</v>
      </c>
      <c r="AB12" s="1">
        <f>SUM('DRE ANTIGA PARCERIA CAIXA'!AB97:AB99)+'DRE ANTIGA PARCERIA CAIXA'!AB110</f>
        <v>42771.684130000096</v>
      </c>
      <c r="AC12" s="1">
        <f>SUM('DRE ANTIGA PARCERIA CAIXA'!AC97:AC99)+'DRE ANTIGA PARCERIA CAIXA'!AC110</f>
        <v>38253.279679999912</v>
      </c>
      <c r="AD12" s="1">
        <f>SUM('DRE ANTIGA PARCERIA CAIXA'!AD97:AD99)+'DRE ANTIGA PARCERIA CAIXA'!AD110</f>
        <v>28009.115720000056</v>
      </c>
      <c r="AE12" s="1">
        <f>SUM('DRE ANTIGA PARCERIA CAIXA'!AE97:AE99)+'DRE ANTIGA PARCERIA CAIXA'!AE110</f>
        <v>16525.481750000017</v>
      </c>
      <c r="AF12" s="1">
        <f>SUM('DRE ANTIGA PARCERIA CAIXA'!AF97:AF99)+'DRE ANTIGA PARCERIA CAIXA'!AF110</f>
        <v>125559.56127999994</v>
      </c>
      <c r="AG12" s="1">
        <f>SUM('DRE ANTIGA PARCERIA CAIXA'!AG97:AG99)+'DRE ANTIGA PARCERIA CAIXA'!AG110</f>
        <v>18111</v>
      </c>
      <c r="AH12" s="1">
        <f>SUM('DRE ANTIGA PARCERIA CAIXA'!AH97:AH99)+'DRE ANTIGA PARCERIA CAIXA'!AH110</f>
        <v>14501</v>
      </c>
      <c r="AI12" s="1">
        <f>SUM('DRE ANTIGA PARCERIA CAIXA'!AI97:AI99)+'DRE ANTIGA PARCERIA CAIXA'!AI110</f>
        <v>12083</v>
      </c>
      <c r="AJ12" s="1">
        <f>SUM('DRE ANTIGA PARCERIA CAIXA'!AJ97:AJ99)+'DRE ANTIGA PARCERIA CAIXA'!AJ110</f>
        <v>3578</v>
      </c>
      <c r="AK12" s="1">
        <f>SUM('DRE ANTIGA PARCERIA CAIXA'!AK97:AK99)+'DRE ANTIGA PARCERIA CAIXA'!AK110</f>
        <v>48273</v>
      </c>
      <c r="AL12" s="1">
        <f>SUM('DRE ANTIGA PARCERIA CAIXA'!AL97:AL99)+'DRE ANTIGA PARCERIA CAIXA'!AL110</f>
        <v>0</v>
      </c>
      <c r="AM12" s="1">
        <f>SUM('DRE ANTIGA PARCERIA CAIXA'!AM97:AM99)+'DRE ANTIGA PARCERIA CAIXA'!AM110</f>
        <v>0</v>
      </c>
      <c r="AN12" s="1">
        <f>SUM('DRE ANTIGA PARCERIA CAIXA'!AN97:AN99)+'DRE ANTIGA PARCERIA CAIXA'!AN110</f>
        <v>0</v>
      </c>
      <c r="AO12" s="1">
        <f>SUM('DRE ANTIGA PARCERIA CAIXA'!AO97:AO99)+'DRE ANTIGA PARCERIA CAIXA'!AO110</f>
        <v>0</v>
      </c>
      <c r="AP12" s="1">
        <f>SUM('DRE ANTIGA PARCERIA CAIXA'!AP97:AP99)+'DRE ANTIGA PARCERIA CAIXA'!AP110</f>
        <v>0</v>
      </c>
      <c r="AQ12" s="1">
        <f>SUM('DRE ANTIGA PARCERIA CAIXA'!AQ97:AQ99)+'DRE ANTIGA PARCERIA CAIXA'!AQ110</f>
        <v>0</v>
      </c>
      <c r="AR12" s="1">
        <f>SUM('DRE ANTIGA PARCERIA CAIXA'!AR97:AR99)+'DRE ANTIGA PARCERIA CAIXA'!AR110</f>
        <v>0</v>
      </c>
      <c r="AS12" s="1">
        <f>SUM('DRE ANTIGA PARCERIA CAIXA'!AS97:AS99)+'DRE ANTIGA PARCERIA CAIXA'!AS110</f>
        <v>0</v>
      </c>
      <c r="AT12" s="1">
        <f>SUM('DRE ANTIGA PARCERIA CAIXA'!AT97:AT99)+'DRE ANTIGA PARCERIA CAIXA'!AT110</f>
        <v>0</v>
      </c>
      <c r="AU12" s="1">
        <f>SUM('DRE ANTIGA PARCERIA CAIXA'!AU97:AU99)+'DRE ANTIGA PARCERIA CAIXA'!AU110</f>
        <v>0</v>
      </c>
      <c r="AV12" s="1">
        <f>SUM('DRE ANTIGA PARCERIA CAIXA'!AV97:AV99)+'DRE ANTIGA PARCERIA CAIXA'!AV110</f>
        <v>0</v>
      </c>
      <c r="AW12" s="1">
        <f>SUM('DRE ANTIGA PARCERIA CAIXA'!AW97:AW99)+'DRE ANTIGA PARCERIA CAIXA'!AW110</f>
        <v>0</v>
      </c>
      <c r="AX12" s="1">
        <f>SUM('DRE ANTIGA PARCERIA CAIXA'!AX97:AX99)+'DRE ANTIGA PARCERIA CAIXA'!AX110</f>
        <v>0</v>
      </c>
      <c r="AY12" s="1">
        <f>SUM('DRE ANTIGA PARCERIA CAIXA'!AY97:AY99)+'DRE ANTIGA PARCERIA CAIXA'!AY110</f>
        <v>0</v>
      </c>
      <c r="AZ12" s="1">
        <f>SUM('DRE ANTIGA PARCERIA CAIXA'!AZ97:AZ99)+'DRE ANTIGA PARCERIA CAIXA'!AZ110</f>
        <v>0</v>
      </c>
      <c r="BA12" s="1">
        <f>SUM('DRE ANTIGA PARCERIA CAIXA'!BA97:BA99)+'DRE ANTIGA PARCERIA CAIXA'!BA110</f>
        <v>0</v>
      </c>
      <c r="BB12"/>
      <c r="BC12"/>
      <c r="BD12"/>
      <c r="BE12"/>
      <c r="BF12"/>
      <c r="BG12"/>
      <c r="BH12"/>
    </row>
    <row r="13" spans="1:60">
      <c r="B13" t="s">
        <v>271</v>
      </c>
      <c r="C13" s="1">
        <f>'DRE ANTIGA PARCERIA CAIXA'!C124+'DRE ANTIGA PARCERIA CAIXA'!C132</f>
        <v>94217.991739999998</v>
      </c>
      <c r="D13" s="1">
        <f>'DRE ANTIGA PARCERIA CAIXA'!D124+'DRE ANTIGA PARCERIA CAIXA'!D132</f>
        <v>99178.238779999985</v>
      </c>
      <c r="E13" s="1">
        <f>'DRE ANTIGA PARCERIA CAIXA'!E124+'DRE ANTIGA PARCERIA CAIXA'!E132</f>
        <v>101167.50122999997</v>
      </c>
      <c r="F13" s="1">
        <f>'DRE ANTIGA PARCERIA CAIXA'!F124+'DRE ANTIGA PARCERIA CAIXA'!F132</f>
        <v>104457.53924000003</v>
      </c>
      <c r="G13" s="1">
        <f>'DRE ANTIGA PARCERIA CAIXA'!G124+'DRE ANTIGA PARCERIA CAIXA'!G132</f>
        <v>399021.27098999999</v>
      </c>
      <c r="H13" s="1">
        <f>'DRE ANTIGA PARCERIA CAIXA'!H124+'DRE ANTIGA PARCERIA CAIXA'!H132</f>
        <v>114657.10603000002</v>
      </c>
      <c r="I13" s="1">
        <f>'DRE ANTIGA PARCERIA CAIXA'!I124+'DRE ANTIGA PARCERIA CAIXA'!I132</f>
        <v>110571.44656999997</v>
      </c>
      <c r="J13" s="1">
        <f>'DRE ANTIGA PARCERIA CAIXA'!J124+'DRE ANTIGA PARCERIA CAIXA'!J132</f>
        <v>117051.11085999996</v>
      </c>
      <c r="K13" s="1">
        <f>'DRE ANTIGA PARCERIA CAIXA'!K124+'DRE ANTIGA PARCERIA CAIXA'!K132</f>
        <v>118844.14063999994</v>
      </c>
      <c r="L13" s="1">
        <f>'DRE ANTIGA PARCERIA CAIXA'!L124+'DRE ANTIGA PARCERIA CAIXA'!L132</f>
        <v>461123.80409999989</v>
      </c>
      <c r="M13" s="1">
        <f>'DRE ANTIGA PARCERIA CAIXA'!M124+'DRE ANTIGA PARCERIA CAIXA'!M132</f>
        <v>122172.52727000001</v>
      </c>
      <c r="N13" s="1">
        <f>'DRE ANTIGA PARCERIA CAIXA'!N124+'DRE ANTIGA PARCERIA CAIXA'!N132</f>
        <v>119358.36675999999</v>
      </c>
      <c r="O13" s="1">
        <f>'DRE ANTIGA PARCERIA CAIXA'!O124+'DRE ANTIGA PARCERIA CAIXA'!O132</f>
        <v>118850.19182000004</v>
      </c>
      <c r="P13" s="1">
        <f>'DRE ANTIGA PARCERIA CAIXA'!P124+'DRE ANTIGA PARCERIA CAIXA'!P132</f>
        <v>120659.54026999992</v>
      </c>
      <c r="Q13" s="1">
        <f>'DRE ANTIGA PARCERIA CAIXA'!Q124+'DRE ANTIGA PARCERIA CAIXA'!Q132</f>
        <v>481040.62611999997</v>
      </c>
      <c r="R13" s="1">
        <f>'DRE ANTIGA PARCERIA CAIXA'!R124+'DRE ANTIGA PARCERIA CAIXA'!R132</f>
        <v>123968.35270999999</v>
      </c>
      <c r="S13" s="1">
        <f>'DRE ANTIGA PARCERIA CAIXA'!S124+'DRE ANTIGA PARCERIA CAIXA'!S132</f>
        <v>130815.01541000001</v>
      </c>
      <c r="T13" s="1">
        <f>'DRE ANTIGA PARCERIA CAIXA'!T124+'DRE ANTIGA PARCERIA CAIXA'!T132</f>
        <v>145076.08743999986</v>
      </c>
      <c r="U13" s="1">
        <f>'DRE ANTIGA PARCERIA CAIXA'!U124+'DRE ANTIGA PARCERIA CAIXA'!U132</f>
        <v>146202.77163000003</v>
      </c>
      <c r="V13" s="1">
        <f>'DRE ANTIGA PARCERIA CAIXA'!V124+'DRE ANTIGA PARCERIA CAIXA'!V132</f>
        <v>546062.22718999989</v>
      </c>
      <c r="W13" s="1">
        <f>'DRE ANTIGA PARCERIA CAIXA'!W124+'DRE ANTIGA PARCERIA CAIXA'!W132</f>
        <v>149454.32198000001</v>
      </c>
      <c r="X13" s="1">
        <f>'DRE ANTIGA PARCERIA CAIXA'!X124+'DRE ANTIGA PARCERIA CAIXA'!X132</f>
        <v>143377.73657999997</v>
      </c>
      <c r="Y13" s="1">
        <f>'DRE ANTIGA PARCERIA CAIXA'!Y124+'DRE ANTIGA PARCERIA CAIXA'!Y132</f>
        <v>149920.24357999995</v>
      </c>
      <c r="Z13" s="1">
        <f>'DRE ANTIGA PARCERIA CAIXA'!Z124+'DRE ANTIGA PARCERIA CAIXA'!Z132</f>
        <v>158168.20924999996</v>
      </c>
      <c r="AA13" s="1">
        <f>'DRE ANTIGA PARCERIA CAIXA'!AA124+'DRE ANTIGA PARCERIA CAIXA'!AA132</f>
        <v>600920.51138999988</v>
      </c>
      <c r="AB13" s="1">
        <f>'DRE ANTIGA PARCERIA CAIXA'!AB124+'DRE ANTIGA PARCERIA CAIXA'!AB132</f>
        <v>153991.99594000005</v>
      </c>
      <c r="AC13" s="1">
        <f>'DRE ANTIGA PARCERIA CAIXA'!AC124+'DRE ANTIGA PARCERIA CAIXA'!AC132</f>
        <v>149714.16021999996</v>
      </c>
      <c r="AD13" s="1">
        <f>'DRE ANTIGA PARCERIA CAIXA'!AD124+'DRE ANTIGA PARCERIA CAIXA'!AD132</f>
        <v>155566.63123999996</v>
      </c>
      <c r="AE13" s="1">
        <f>'DRE ANTIGA PARCERIA CAIXA'!AE124+'DRE ANTIGA PARCERIA CAIXA'!AE132</f>
        <v>136617</v>
      </c>
      <c r="AF13" s="1">
        <f>'DRE ANTIGA PARCERIA CAIXA'!AF124+'DRE ANTIGA PARCERIA CAIXA'!AF132</f>
        <v>595889.78739999991</v>
      </c>
      <c r="AG13" s="1">
        <f>'DRE ANTIGA PARCERIA CAIXA'!AG124+'DRE ANTIGA PARCERIA CAIXA'!AG132</f>
        <v>136289</v>
      </c>
      <c r="AH13" s="1">
        <f>'DRE ANTIGA PARCERIA CAIXA'!AH124+'DRE ANTIGA PARCERIA CAIXA'!AH132</f>
        <v>78629.418110000115</v>
      </c>
      <c r="AI13" s="1">
        <f>'DRE ANTIGA PARCERIA CAIXA'!AI124+'DRE ANTIGA PARCERIA CAIXA'!AI132</f>
        <v>121825</v>
      </c>
      <c r="AJ13" s="1">
        <f>'DRE ANTIGA PARCERIA CAIXA'!AJ124+'DRE ANTIGA PARCERIA CAIXA'!AJ132</f>
        <v>22578.903309999791</v>
      </c>
      <c r="AK13" s="1">
        <f>'DRE ANTIGA PARCERIA CAIXA'!AK124+'DRE ANTIGA PARCERIA CAIXA'!AK132</f>
        <v>359322.32141999988</v>
      </c>
      <c r="AL13" s="1">
        <f>'DRE ANTIGA PARCERIA CAIXA'!AL124+'DRE ANTIGA PARCERIA CAIXA'!AL132</f>
        <v>0</v>
      </c>
      <c r="AM13" s="1">
        <f>'DRE ANTIGA PARCERIA CAIXA'!AM124+'DRE ANTIGA PARCERIA CAIXA'!AM132</f>
        <v>0</v>
      </c>
      <c r="AN13" s="1">
        <f>'DRE ANTIGA PARCERIA CAIXA'!AN124+'DRE ANTIGA PARCERIA CAIXA'!AN132</f>
        <v>0</v>
      </c>
      <c r="AO13" s="1">
        <f>'DRE ANTIGA PARCERIA CAIXA'!AO124+'DRE ANTIGA PARCERIA CAIXA'!AO132</f>
        <v>0</v>
      </c>
      <c r="AP13" s="1">
        <f>'DRE ANTIGA PARCERIA CAIXA'!AP124+'DRE ANTIGA PARCERIA CAIXA'!AP132</f>
        <v>0</v>
      </c>
      <c r="AQ13" s="1">
        <f>'DRE ANTIGA PARCERIA CAIXA'!AQ124+'DRE ANTIGA PARCERIA CAIXA'!AQ132</f>
        <v>0</v>
      </c>
      <c r="AR13" s="1">
        <f>'DRE ANTIGA PARCERIA CAIXA'!AR124+'DRE ANTIGA PARCERIA CAIXA'!AR132</f>
        <v>0</v>
      </c>
      <c r="AS13" s="1">
        <f>'DRE ANTIGA PARCERIA CAIXA'!AS124+'DRE ANTIGA PARCERIA CAIXA'!AS132</f>
        <v>0</v>
      </c>
      <c r="AT13" s="1">
        <f>'DRE ANTIGA PARCERIA CAIXA'!AT124+'DRE ANTIGA PARCERIA CAIXA'!AT132</f>
        <v>0</v>
      </c>
      <c r="AU13" s="1">
        <f>'DRE ANTIGA PARCERIA CAIXA'!AU124+'DRE ANTIGA PARCERIA CAIXA'!AU132</f>
        <v>0</v>
      </c>
      <c r="AV13" s="1">
        <f>'DRE ANTIGA PARCERIA CAIXA'!AV124+'DRE ANTIGA PARCERIA CAIXA'!AV132</f>
        <v>0</v>
      </c>
      <c r="AW13" s="1">
        <f>'DRE ANTIGA PARCERIA CAIXA'!AW124+'DRE ANTIGA PARCERIA CAIXA'!AW132</f>
        <v>0</v>
      </c>
      <c r="AX13" s="1">
        <f>'DRE ANTIGA PARCERIA CAIXA'!AX124+'DRE ANTIGA PARCERIA CAIXA'!AX132</f>
        <v>0</v>
      </c>
      <c r="AY13" s="1">
        <f>'DRE ANTIGA PARCERIA CAIXA'!AY124+'DRE ANTIGA PARCERIA CAIXA'!AY132</f>
        <v>0</v>
      </c>
      <c r="AZ13" s="1">
        <f>'DRE ANTIGA PARCERIA CAIXA'!AZ124+'DRE ANTIGA PARCERIA CAIXA'!AZ132</f>
        <v>0</v>
      </c>
      <c r="BA13" s="1">
        <f>'DRE ANTIGA PARCERIA CAIXA'!BA124+'DRE ANTIGA PARCERIA CAIXA'!BA132</f>
        <v>0</v>
      </c>
      <c r="BB13"/>
      <c r="BC13"/>
      <c r="BD13"/>
      <c r="BE13"/>
      <c r="BF13"/>
      <c r="BG13"/>
      <c r="BH13"/>
    </row>
    <row r="14" spans="1:60">
      <c r="B14" t="s">
        <v>567</v>
      </c>
      <c r="C14" s="1">
        <f>'DRE ANTIGA PARCERIA CAIXA'!C146+'DRE ANTIGA PARCERIA CAIXA'!C154</f>
        <v>99138.85940000003</v>
      </c>
      <c r="D14" s="1">
        <f>'DRE ANTIGA PARCERIA CAIXA'!D146+'DRE ANTIGA PARCERIA CAIXA'!D154</f>
        <v>149612.0371000001</v>
      </c>
      <c r="E14" s="1">
        <f>'DRE ANTIGA PARCERIA CAIXA'!E146+'DRE ANTIGA PARCERIA CAIXA'!E154</f>
        <v>161997.63606999989</v>
      </c>
      <c r="F14" s="1">
        <f>'DRE ANTIGA PARCERIA CAIXA'!F146+'DRE ANTIGA PARCERIA CAIXA'!F154</f>
        <v>133571.00206999935</v>
      </c>
      <c r="G14" s="1">
        <f>'DRE ANTIGA PARCERIA CAIXA'!G146+'DRE ANTIGA PARCERIA CAIXA'!G154</f>
        <v>544319.53463999939</v>
      </c>
      <c r="H14" s="1">
        <f>'DRE ANTIGA PARCERIA CAIXA'!H146+'DRE ANTIGA PARCERIA CAIXA'!H154</f>
        <v>151516.1106499999</v>
      </c>
      <c r="I14" s="1">
        <f>'DRE ANTIGA PARCERIA CAIXA'!I146+'DRE ANTIGA PARCERIA CAIXA'!I154</f>
        <v>132781.30392000053</v>
      </c>
      <c r="J14" s="1">
        <f>'DRE ANTIGA PARCERIA CAIXA'!J146+'DRE ANTIGA PARCERIA CAIXA'!J154</f>
        <v>109319.9088399997</v>
      </c>
      <c r="K14" s="1">
        <f>'DRE ANTIGA PARCERIA CAIXA'!K146+'DRE ANTIGA PARCERIA CAIXA'!K154</f>
        <v>88378.217419999943</v>
      </c>
      <c r="L14" s="1">
        <f>'DRE ANTIGA PARCERIA CAIXA'!L146+'DRE ANTIGA PARCERIA CAIXA'!L154</f>
        <v>481995.54083000007</v>
      </c>
      <c r="M14" s="1">
        <f>'DRE ANTIGA PARCERIA CAIXA'!M146+'DRE ANTIGA PARCERIA CAIXA'!M154</f>
        <v>97525.42816000001</v>
      </c>
      <c r="N14" s="1">
        <f>'DRE ANTIGA PARCERIA CAIXA'!N146+'DRE ANTIGA PARCERIA CAIXA'!N154</f>
        <v>72008.252530000056</v>
      </c>
      <c r="O14" s="1">
        <f>'DRE ANTIGA PARCERIA CAIXA'!O146+'DRE ANTIGA PARCERIA CAIXA'!O154</f>
        <v>59581.97247999996</v>
      </c>
      <c r="P14" s="1">
        <f>'DRE ANTIGA PARCERIA CAIXA'!P146+'DRE ANTIGA PARCERIA CAIXA'!P154</f>
        <v>48368.218810000166</v>
      </c>
      <c r="Q14" s="1">
        <f>'DRE ANTIGA PARCERIA CAIXA'!Q146+'DRE ANTIGA PARCERIA CAIXA'!Q154</f>
        <v>277483.87198000017</v>
      </c>
      <c r="R14" s="1">
        <f>'DRE ANTIGA PARCERIA CAIXA'!R146+'DRE ANTIGA PARCERIA CAIXA'!R154</f>
        <v>31574.455230000003</v>
      </c>
      <c r="S14" s="1">
        <f>'DRE ANTIGA PARCERIA CAIXA'!S146+'DRE ANTIGA PARCERIA CAIXA'!S154</f>
        <v>4538.9349300000285</v>
      </c>
      <c r="T14" s="1">
        <f>'DRE ANTIGA PARCERIA CAIXA'!T146+'DRE ANTIGA PARCERIA CAIXA'!T154</f>
        <v>-6.9769999987329356E-2</v>
      </c>
      <c r="U14" s="1">
        <f>'DRE ANTIGA PARCERIA CAIXA'!U146+'DRE ANTIGA PARCERIA CAIXA'!U154</f>
        <v>-250.50923000002513</v>
      </c>
      <c r="V14" s="1">
        <f>'DRE ANTIGA PARCERIA CAIXA'!V146+'DRE ANTIGA PARCERIA CAIXA'!V154</f>
        <v>35862.811160000019</v>
      </c>
      <c r="W14" s="1">
        <f>'DRE ANTIGA PARCERIA CAIXA'!W146+'DRE ANTIGA PARCERIA CAIXA'!W154</f>
        <v>419.75447999999983</v>
      </c>
      <c r="X14" s="1">
        <f>'DRE ANTIGA PARCERIA CAIXA'!X146+'DRE ANTIGA PARCERIA CAIXA'!X154</f>
        <v>151.65954000000008</v>
      </c>
      <c r="Y14" s="1">
        <f>'DRE ANTIGA PARCERIA CAIXA'!Y146+'DRE ANTIGA PARCERIA CAIXA'!Y154</f>
        <v>337.0484600000002</v>
      </c>
      <c r="Z14" s="1">
        <f>'DRE ANTIGA PARCERIA CAIXA'!Z146+'DRE ANTIGA PARCERIA CAIXA'!Z154</f>
        <v>271.04871000000003</v>
      </c>
      <c r="AA14" s="1">
        <f>'DRE ANTIGA PARCERIA CAIXA'!AA146+'DRE ANTIGA PARCERIA CAIXA'!AA154</f>
        <v>1179.5111900000002</v>
      </c>
      <c r="AB14" s="1">
        <f>'DRE ANTIGA PARCERIA CAIXA'!AB146+'DRE ANTIGA PARCERIA CAIXA'!AB154</f>
        <v>294.38751000000002</v>
      </c>
      <c r="AC14" s="1">
        <f>'DRE ANTIGA PARCERIA CAIXA'!AC146+'DRE ANTIGA PARCERIA CAIXA'!AC154</f>
        <v>516.98758999999984</v>
      </c>
      <c r="AD14" s="1">
        <f>'DRE ANTIGA PARCERIA CAIXA'!AD146+'DRE ANTIGA PARCERIA CAIXA'!AD154</f>
        <v>187.45971000000009</v>
      </c>
      <c r="AE14" s="1">
        <f>'DRE ANTIGA PARCERIA CAIXA'!AE146+'DRE ANTIGA PARCERIA CAIXA'!AE154</f>
        <v>188.72350999999989</v>
      </c>
      <c r="AF14" s="1">
        <f>'DRE ANTIGA PARCERIA CAIXA'!AF146+'DRE ANTIGA PARCERIA CAIXA'!AF154</f>
        <v>1187.5583199999999</v>
      </c>
      <c r="AG14" s="1">
        <f>'DRE ANTIGA PARCERIA CAIXA'!AG146+'DRE ANTIGA PARCERIA CAIXA'!AG154</f>
        <v>179</v>
      </c>
      <c r="AH14" s="1">
        <f>'DRE ANTIGA PARCERIA CAIXA'!AH146+'DRE ANTIGA PARCERIA CAIXA'!AH154</f>
        <v>368</v>
      </c>
      <c r="AI14" s="1">
        <f>'DRE ANTIGA PARCERIA CAIXA'!AI146+'DRE ANTIGA PARCERIA CAIXA'!AI154</f>
        <v>248</v>
      </c>
      <c r="AJ14" s="1">
        <f>'DRE ANTIGA PARCERIA CAIXA'!AJ146+'DRE ANTIGA PARCERIA CAIXA'!AJ154</f>
        <v>2191</v>
      </c>
      <c r="AK14" s="1">
        <f>'DRE ANTIGA PARCERIA CAIXA'!AK146+'DRE ANTIGA PARCERIA CAIXA'!AK154</f>
        <v>2986</v>
      </c>
      <c r="AL14" s="1">
        <f>'DRE ANTIGA PARCERIA CAIXA'!AL146+'DRE ANTIGA PARCERIA CAIXA'!AL154</f>
        <v>217</v>
      </c>
      <c r="AM14" s="1">
        <f>'DRE ANTIGA PARCERIA CAIXA'!AM146+'DRE ANTIGA PARCERIA CAIXA'!AM154</f>
        <v>135</v>
      </c>
      <c r="AN14" s="1">
        <f>'DRE ANTIGA PARCERIA CAIXA'!AN146+'DRE ANTIGA PARCERIA CAIXA'!AN154</f>
        <v>426</v>
      </c>
      <c r="AO14" s="1">
        <f>'DRE ANTIGA PARCERIA CAIXA'!AO146+'DRE ANTIGA PARCERIA CAIXA'!AO154</f>
        <v>146</v>
      </c>
      <c r="AP14" s="1">
        <f>'DRE ANTIGA PARCERIA CAIXA'!AP146+'DRE ANTIGA PARCERIA CAIXA'!AP154</f>
        <v>924</v>
      </c>
      <c r="AQ14" s="1">
        <f>'DRE ANTIGA PARCERIA CAIXA'!AQ146+'DRE ANTIGA PARCERIA CAIXA'!AQ154</f>
        <v>194</v>
      </c>
      <c r="AR14" s="1">
        <f>'DRE ANTIGA PARCERIA CAIXA'!AR146+'DRE ANTIGA PARCERIA CAIXA'!AR154</f>
        <v>27</v>
      </c>
      <c r="AS14" s="1">
        <f>'DRE ANTIGA PARCERIA CAIXA'!AS146+'DRE ANTIGA PARCERIA CAIXA'!AS154</f>
        <v>190</v>
      </c>
      <c r="AT14" s="1">
        <f>'DRE ANTIGA PARCERIA CAIXA'!AT146+'DRE ANTIGA PARCERIA CAIXA'!AT154</f>
        <v>154</v>
      </c>
      <c r="AU14" s="1">
        <f>'DRE ANTIGA PARCERIA CAIXA'!AU146+'DRE ANTIGA PARCERIA CAIXA'!AU154</f>
        <v>565</v>
      </c>
      <c r="AV14" s="1">
        <f>'DRE ANTIGA PARCERIA CAIXA'!AV146+'DRE ANTIGA PARCERIA CAIXA'!AV154</f>
        <v>266</v>
      </c>
      <c r="AW14" s="1">
        <f>'DRE ANTIGA PARCERIA CAIXA'!AW146+'DRE ANTIGA PARCERIA CAIXA'!AW154</f>
        <v>161</v>
      </c>
      <c r="AX14" s="1">
        <f>'DRE ANTIGA PARCERIA CAIXA'!AX146+'DRE ANTIGA PARCERIA CAIXA'!AX154</f>
        <v>187</v>
      </c>
      <c r="AY14" s="1">
        <f>'DRE ANTIGA PARCERIA CAIXA'!AY146+'DRE ANTIGA PARCERIA CAIXA'!AY154</f>
        <v>165</v>
      </c>
      <c r="AZ14" s="1">
        <f>'DRE ANTIGA PARCERIA CAIXA'!AZ146+'DRE ANTIGA PARCERIA CAIXA'!AZ154</f>
        <v>779</v>
      </c>
      <c r="BA14" s="1">
        <f>'DRE ANTIGA PARCERIA CAIXA'!BA146+'DRE ANTIGA PARCERIA CAIXA'!BA154</f>
        <v>172</v>
      </c>
      <c r="BB14"/>
      <c r="BC14"/>
      <c r="BD14"/>
      <c r="BE14"/>
      <c r="BF14"/>
      <c r="BG14"/>
      <c r="BH14"/>
    </row>
    <row r="15" spans="1:60">
      <c r="B15" t="s">
        <v>568</v>
      </c>
      <c r="C15" s="1">
        <f>'DRE ANTIGA PARCERIA CAIXA'!C172+'DRE ANTIGA PARCERIA CAIXA'!C184</f>
        <v>0</v>
      </c>
      <c r="D15" s="1">
        <f>'DRE ANTIGA PARCERIA CAIXA'!D172+'DRE ANTIGA PARCERIA CAIXA'!D184</f>
        <v>0</v>
      </c>
      <c r="E15" s="1">
        <f>'DRE ANTIGA PARCERIA CAIXA'!E172+'DRE ANTIGA PARCERIA CAIXA'!E184</f>
        <v>0</v>
      </c>
      <c r="F15" s="1">
        <f>'DRE ANTIGA PARCERIA CAIXA'!F172+'DRE ANTIGA PARCERIA CAIXA'!F184</f>
        <v>0</v>
      </c>
      <c r="G15" s="1">
        <f>'DRE ANTIGA PARCERIA CAIXA'!G172+'DRE ANTIGA PARCERIA CAIXA'!G184</f>
        <v>0</v>
      </c>
      <c r="H15" s="1">
        <f>'DRE ANTIGA PARCERIA CAIXA'!H172+'DRE ANTIGA PARCERIA CAIXA'!H184</f>
        <v>0</v>
      </c>
      <c r="I15" s="1">
        <f>'DRE ANTIGA PARCERIA CAIXA'!I172+'DRE ANTIGA PARCERIA CAIXA'!I184</f>
        <v>0</v>
      </c>
      <c r="J15" s="1">
        <f>'DRE ANTIGA PARCERIA CAIXA'!J172+'DRE ANTIGA PARCERIA CAIXA'!J184</f>
        <v>0</v>
      </c>
      <c r="K15" s="1">
        <f>'DRE ANTIGA PARCERIA CAIXA'!K172+'DRE ANTIGA PARCERIA CAIXA'!K184</f>
        <v>0</v>
      </c>
      <c r="L15" s="1">
        <f>'DRE ANTIGA PARCERIA CAIXA'!L172+'DRE ANTIGA PARCERIA CAIXA'!L184</f>
        <v>0</v>
      </c>
      <c r="M15" s="1">
        <f>'DRE ANTIGA PARCERIA CAIXA'!M172+'DRE ANTIGA PARCERIA CAIXA'!M184</f>
        <v>99896.112539999987</v>
      </c>
      <c r="N15" s="1">
        <f>'DRE ANTIGA PARCERIA CAIXA'!N172+'DRE ANTIGA PARCERIA CAIXA'!N184</f>
        <v>91516.898390000017</v>
      </c>
      <c r="O15" s="1">
        <f>'DRE ANTIGA PARCERIA CAIXA'!O172+'DRE ANTIGA PARCERIA CAIXA'!O184</f>
        <v>91137.923079999993</v>
      </c>
      <c r="P15" s="1">
        <f>'DRE ANTIGA PARCERIA CAIXA'!P172+'DRE ANTIGA PARCERIA CAIXA'!P184</f>
        <v>91812.998200000016</v>
      </c>
      <c r="Q15" s="1">
        <f>'DRE ANTIGA PARCERIA CAIXA'!Q172+'DRE ANTIGA PARCERIA CAIXA'!Q184</f>
        <v>374363.93221</v>
      </c>
      <c r="R15" s="1">
        <f>'DRE ANTIGA PARCERIA CAIXA'!R172+'DRE ANTIGA PARCERIA CAIXA'!R184</f>
        <v>103163.52077999999</v>
      </c>
      <c r="S15" s="1">
        <f>'DRE ANTIGA PARCERIA CAIXA'!S172+'DRE ANTIGA PARCERIA CAIXA'!S184</f>
        <v>97220.228099999993</v>
      </c>
      <c r="T15" s="1">
        <f>'DRE ANTIGA PARCERIA CAIXA'!T172+'DRE ANTIGA PARCERIA CAIXA'!T184</f>
        <v>83940.155080000011</v>
      </c>
      <c r="U15" s="1">
        <f>'DRE ANTIGA PARCERIA CAIXA'!U172+'DRE ANTIGA PARCERIA CAIXA'!U184</f>
        <v>82979.808879999997</v>
      </c>
      <c r="V15" s="1">
        <f>'DRE ANTIGA PARCERIA CAIXA'!V172+'DRE ANTIGA PARCERIA CAIXA'!V184</f>
        <v>367303.71283999999</v>
      </c>
      <c r="W15" s="1">
        <f>'DRE ANTIGA PARCERIA CAIXA'!W172+'DRE ANTIGA PARCERIA CAIXA'!W184</f>
        <v>77404.404809999993</v>
      </c>
      <c r="X15" s="1">
        <f>'DRE ANTIGA PARCERIA CAIXA'!X172+'DRE ANTIGA PARCERIA CAIXA'!X184</f>
        <v>64732.300840000018</v>
      </c>
      <c r="Y15" s="1">
        <f>'DRE ANTIGA PARCERIA CAIXA'!Y172+'DRE ANTIGA PARCERIA CAIXA'!Y184</f>
        <v>62135.923120000007</v>
      </c>
      <c r="Z15" s="1">
        <f>'DRE ANTIGA PARCERIA CAIXA'!Z172+'DRE ANTIGA PARCERIA CAIXA'!Z184</f>
        <v>60165.037859999975</v>
      </c>
      <c r="AA15" s="1">
        <f>'DRE ANTIGA PARCERIA CAIXA'!AA172+'DRE ANTIGA PARCERIA CAIXA'!AA184</f>
        <v>264437.66662999999</v>
      </c>
      <c r="AB15" s="1">
        <f>'DRE ANTIGA PARCERIA CAIXA'!AB172+'DRE ANTIGA PARCERIA CAIXA'!AB184</f>
        <v>56623.249120000008</v>
      </c>
      <c r="AC15" s="1">
        <f>'DRE ANTIGA PARCERIA CAIXA'!AC172+'DRE ANTIGA PARCERIA CAIXA'!AC184</f>
        <v>50981.020869999993</v>
      </c>
      <c r="AD15" s="1">
        <f>'DRE ANTIGA PARCERIA CAIXA'!AD172+'DRE ANTIGA PARCERIA CAIXA'!AD184</f>
        <v>67558.062820000021</v>
      </c>
      <c r="AE15" s="1">
        <f>'DRE ANTIGA PARCERIA CAIXA'!AE172+'DRE ANTIGA PARCERIA CAIXA'!AE184</f>
        <v>67315.606120000011</v>
      </c>
      <c r="AF15" s="1">
        <f>'DRE ANTIGA PARCERIA CAIXA'!AF172+'DRE ANTIGA PARCERIA CAIXA'!AF184</f>
        <v>242477.93893000003</v>
      </c>
      <c r="AG15" s="1">
        <f>'DRE ANTIGA PARCERIA CAIXA'!AG172+'DRE ANTIGA PARCERIA CAIXA'!AG184</f>
        <v>69046</v>
      </c>
      <c r="AH15" s="1">
        <f>'DRE ANTIGA PARCERIA CAIXA'!AH172+'DRE ANTIGA PARCERIA CAIXA'!AH184</f>
        <v>51756</v>
      </c>
      <c r="AI15" s="1">
        <f>'DRE ANTIGA PARCERIA CAIXA'!AI172+'DRE ANTIGA PARCERIA CAIXA'!AI184</f>
        <v>61734</v>
      </c>
      <c r="AJ15" s="1">
        <f>'DRE ANTIGA PARCERIA CAIXA'!AJ172+'DRE ANTIGA PARCERIA CAIXA'!AJ184</f>
        <v>65336</v>
      </c>
      <c r="AK15" s="1">
        <f>'DRE ANTIGA PARCERIA CAIXA'!AK172+'DRE ANTIGA PARCERIA CAIXA'!AK184</f>
        <v>247872</v>
      </c>
      <c r="AL15" s="1">
        <f>'DRE ANTIGA PARCERIA CAIXA'!AL172+'DRE ANTIGA PARCERIA CAIXA'!AL184</f>
        <v>0</v>
      </c>
      <c r="AM15" s="1">
        <f>'DRE ANTIGA PARCERIA CAIXA'!AM172+'DRE ANTIGA PARCERIA CAIXA'!AM184</f>
        <v>0</v>
      </c>
      <c r="AN15" s="1">
        <f>'DRE ANTIGA PARCERIA CAIXA'!AN172+'DRE ANTIGA PARCERIA CAIXA'!AN184</f>
        <v>0</v>
      </c>
      <c r="AO15" s="1">
        <f>'DRE ANTIGA PARCERIA CAIXA'!AO172+'DRE ANTIGA PARCERIA CAIXA'!AO184</f>
        <v>0</v>
      </c>
      <c r="AP15" s="1">
        <f>'DRE ANTIGA PARCERIA CAIXA'!AP172+'DRE ANTIGA PARCERIA CAIXA'!AP184</f>
        <v>0</v>
      </c>
      <c r="AQ15" s="1">
        <f>'DRE ANTIGA PARCERIA CAIXA'!AQ172+'DRE ANTIGA PARCERIA CAIXA'!AQ184</f>
        <v>0</v>
      </c>
      <c r="AR15" s="1">
        <f>'DRE ANTIGA PARCERIA CAIXA'!AR172+'DRE ANTIGA PARCERIA CAIXA'!AR184</f>
        <v>0</v>
      </c>
      <c r="AS15" s="1">
        <f>'DRE ANTIGA PARCERIA CAIXA'!AS172+'DRE ANTIGA PARCERIA CAIXA'!AS184</f>
        <v>0</v>
      </c>
      <c r="AT15" s="1">
        <f>'DRE ANTIGA PARCERIA CAIXA'!AT172+'DRE ANTIGA PARCERIA CAIXA'!AT184</f>
        <v>0</v>
      </c>
      <c r="AU15" s="1">
        <f>'DRE ANTIGA PARCERIA CAIXA'!AU172+'DRE ANTIGA PARCERIA CAIXA'!AU184</f>
        <v>0</v>
      </c>
      <c r="AV15" s="1">
        <f>'DRE ANTIGA PARCERIA CAIXA'!AV172+'DRE ANTIGA PARCERIA CAIXA'!AV184</f>
        <v>0</v>
      </c>
      <c r="AW15" s="1">
        <f>'DRE ANTIGA PARCERIA CAIXA'!AW172+'DRE ANTIGA PARCERIA CAIXA'!AW184</f>
        <v>0</v>
      </c>
      <c r="AX15" s="1">
        <f>'DRE ANTIGA PARCERIA CAIXA'!AX172+'DRE ANTIGA PARCERIA CAIXA'!AX184</f>
        <v>0</v>
      </c>
      <c r="AY15" s="1">
        <f>'DRE ANTIGA PARCERIA CAIXA'!AY172+'DRE ANTIGA PARCERIA CAIXA'!AY184</f>
        <v>0</v>
      </c>
      <c r="AZ15" s="1">
        <f>'DRE ANTIGA PARCERIA CAIXA'!AZ172+'DRE ANTIGA PARCERIA CAIXA'!AZ184</f>
        <v>0</v>
      </c>
      <c r="BA15" s="1">
        <f>'DRE ANTIGA PARCERIA CAIXA'!BA172+'DRE ANTIGA PARCERIA CAIXA'!BA184</f>
        <v>0</v>
      </c>
      <c r="BB15"/>
      <c r="BC15"/>
      <c r="BD15"/>
      <c r="BE15"/>
      <c r="BF15"/>
      <c r="BG15"/>
      <c r="BH15"/>
    </row>
    <row r="16" spans="1:60">
      <c r="B16" t="s">
        <v>569</v>
      </c>
      <c r="C16" s="1">
        <f>'DRE ANTIGA PARCERIA CAIXA'!C197+'DRE ANTIGA PARCERIA CAIXA'!C205</f>
        <v>21671.507650000003</v>
      </c>
      <c r="D16" s="1">
        <f>'DRE ANTIGA PARCERIA CAIXA'!D197+'DRE ANTIGA PARCERIA CAIXA'!D205</f>
        <v>21130.886609999998</v>
      </c>
      <c r="E16" s="1">
        <f>'DRE ANTIGA PARCERIA CAIXA'!E197+'DRE ANTIGA PARCERIA CAIXA'!E205</f>
        <v>21138.661640000013</v>
      </c>
      <c r="F16" s="1">
        <f>'DRE ANTIGA PARCERIA CAIXA'!F197+'DRE ANTIGA PARCERIA CAIXA'!F205</f>
        <v>22003.517949999987</v>
      </c>
      <c r="G16" s="1">
        <f>'DRE ANTIGA PARCERIA CAIXA'!G197+'DRE ANTIGA PARCERIA CAIXA'!G205</f>
        <v>85944.573850000001</v>
      </c>
      <c r="H16" s="1">
        <f>'DRE ANTIGA PARCERIA CAIXA'!H197+'DRE ANTIGA PARCERIA CAIXA'!H205</f>
        <v>21238.158729999999</v>
      </c>
      <c r="I16" s="1">
        <f>'DRE ANTIGA PARCERIA CAIXA'!I197+'DRE ANTIGA PARCERIA CAIXA'!I205</f>
        <v>21780.914110000002</v>
      </c>
      <c r="J16" s="1">
        <f>'DRE ANTIGA PARCERIA CAIXA'!J197+'DRE ANTIGA PARCERIA CAIXA'!J205</f>
        <v>22299.198459999992</v>
      </c>
      <c r="K16" s="1">
        <f>'DRE ANTIGA PARCERIA CAIXA'!K197+'DRE ANTIGA PARCERIA CAIXA'!K205</f>
        <v>22307.296740000005</v>
      </c>
      <c r="L16" s="1">
        <f>'DRE ANTIGA PARCERIA CAIXA'!L197+'DRE ANTIGA PARCERIA CAIXA'!L205</f>
        <v>87625.568039999998</v>
      </c>
      <c r="M16" s="1">
        <f>'DRE ANTIGA PARCERIA CAIXA'!M197+'DRE ANTIGA PARCERIA CAIXA'!M205</f>
        <v>21454.254729999997</v>
      </c>
      <c r="N16" s="1">
        <f>'DRE ANTIGA PARCERIA CAIXA'!N197+'DRE ANTIGA PARCERIA CAIXA'!N205</f>
        <v>20750.199060000003</v>
      </c>
      <c r="O16" s="1">
        <f>'DRE ANTIGA PARCERIA CAIXA'!O197+'DRE ANTIGA PARCERIA CAIXA'!O205</f>
        <v>20227.657789999997</v>
      </c>
      <c r="P16" s="1">
        <f>'DRE ANTIGA PARCERIA CAIXA'!P197+'DRE ANTIGA PARCERIA CAIXA'!P205</f>
        <v>20988.156850000028</v>
      </c>
      <c r="Q16" s="1">
        <f>'DRE ANTIGA PARCERIA CAIXA'!Q197+'DRE ANTIGA PARCERIA CAIXA'!Q205</f>
        <v>83420.268430000026</v>
      </c>
      <c r="R16" s="1">
        <f>'DRE ANTIGA PARCERIA CAIXA'!R197+'DRE ANTIGA PARCERIA CAIXA'!R205</f>
        <v>20571.775640000003</v>
      </c>
      <c r="S16" s="1">
        <f>'DRE ANTIGA PARCERIA CAIXA'!S197+'DRE ANTIGA PARCERIA CAIXA'!S205</f>
        <v>19523.190700000003</v>
      </c>
      <c r="T16" s="1">
        <f>'DRE ANTIGA PARCERIA CAIXA'!T197+'DRE ANTIGA PARCERIA CAIXA'!T205</f>
        <v>19095.130770000003</v>
      </c>
      <c r="U16" s="1">
        <f>'DRE ANTIGA PARCERIA CAIXA'!U197+'DRE ANTIGA PARCERIA CAIXA'!U205</f>
        <v>19634.217059999959</v>
      </c>
      <c r="V16" s="1">
        <f>'DRE ANTIGA PARCERIA CAIXA'!V197+'DRE ANTIGA PARCERIA CAIXA'!V205</f>
        <v>78824.314169999969</v>
      </c>
      <c r="W16" s="1">
        <f>'DRE ANTIGA PARCERIA CAIXA'!W197+'DRE ANTIGA PARCERIA CAIXA'!W205</f>
        <v>19265.945580000003</v>
      </c>
      <c r="X16" s="1">
        <f>'DRE ANTIGA PARCERIA CAIXA'!X197+'DRE ANTIGA PARCERIA CAIXA'!X205</f>
        <v>16601.947749999999</v>
      </c>
      <c r="Y16" s="1">
        <f>'DRE ANTIGA PARCERIA CAIXA'!Y197+'DRE ANTIGA PARCERIA CAIXA'!Y205</f>
        <v>15804.561299999959</v>
      </c>
      <c r="Z16" s="1">
        <f>'DRE ANTIGA PARCERIA CAIXA'!Z197+'DRE ANTIGA PARCERIA CAIXA'!Z205</f>
        <v>16174.652130000048</v>
      </c>
      <c r="AA16" s="1">
        <f>'DRE ANTIGA PARCERIA CAIXA'!AA197+'DRE ANTIGA PARCERIA CAIXA'!AA205</f>
        <v>67847.10676000001</v>
      </c>
      <c r="AB16" s="1">
        <f>'DRE ANTIGA PARCERIA CAIXA'!AB197+'DRE ANTIGA PARCERIA CAIXA'!AB205</f>
        <v>15375.425939999997</v>
      </c>
      <c r="AC16" s="1">
        <f>'DRE ANTIGA PARCERIA CAIXA'!AC197+'DRE ANTIGA PARCERIA CAIXA'!AC205</f>
        <v>15019.345780000005</v>
      </c>
      <c r="AD16" s="1">
        <f>'DRE ANTIGA PARCERIA CAIXA'!AD197+'DRE ANTIGA PARCERIA CAIXA'!AD205</f>
        <v>14920.663169999998</v>
      </c>
      <c r="AE16" s="1">
        <f>'DRE ANTIGA PARCERIA CAIXA'!AE197+'DRE ANTIGA PARCERIA CAIXA'!AE205</f>
        <v>15306.772709999996</v>
      </c>
      <c r="AF16" s="1">
        <f>'DRE ANTIGA PARCERIA CAIXA'!AF197+'DRE ANTIGA PARCERIA CAIXA'!AF205</f>
        <v>60622.207600000002</v>
      </c>
      <c r="AG16" s="1">
        <f>'DRE ANTIGA PARCERIA CAIXA'!AG197+'DRE ANTIGA PARCERIA CAIXA'!AG205</f>
        <v>14713</v>
      </c>
      <c r="AH16" s="1">
        <f>'DRE ANTIGA PARCERIA CAIXA'!AH197+'DRE ANTIGA PARCERIA CAIXA'!AH205</f>
        <v>14443</v>
      </c>
      <c r="AI16" s="1">
        <f>'DRE ANTIGA PARCERIA CAIXA'!AI197+'DRE ANTIGA PARCERIA CAIXA'!AI205</f>
        <v>15416</v>
      </c>
      <c r="AJ16" s="1">
        <f>'DRE ANTIGA PARCERIA CAIXA'!AJ197+'DRE ANTIGA PARCERIA CAIXA'!AJ205</f>
        <v>9755</v>
      </c>
      <c r="AK16" s="1">
        <f>'DRE ANTIGA PARCERIA CAIXA'!AK197+'DRE ANTIGA PARCERIA CAIXA'!AK205</f>
        <v>54327</v>
      </c>
      <c r="AL16" s="1">
        <f>'DRE ANTIGA PARCERIA CAIXA'!AL197+'DRE ANTIGA PARCERIA CAIXA'!AL205</f>
        <v>0</v>
      </c>
      <c r="AM16" s="1">
        <f>'DRE ANTIGA PARCERIA CAIXA'!AM197+'DRE ANTIGA PARCERIA CAIXA'!AM205</f>
        <v>0</v>
      </c>
      <c r="AN16" s="1">
        <f>'DRE ANTIGA PARCERIA CAIXA'!AN197+'DRE ANTIGA PARCERIA CAIXA'!AN205</f>
        <v>0</v>
      </c>
      <c r="AO16" s="1">
        <f>'DRE ANTIGA PARCERIA CAIXA'!AO197+'DRE ANTIGA PARCERIA CAIXA'!AO205</f>
        <v>0</v>
      </c>
      <c r="AP16" s="1">
        <f>'DRE ANTIGA PARCERIA CAIXA'!AP197+'DRE ANTIGA PARCERIA CAIXA'!AP205</f>
        <v>0</v>
      </c>
      <c r="AQ16" s="1">
        <f>'DRE ANTIGA PARCERIA CAIXA'!AQ197+'DRE ANTIGA PARCERIA CAIXA'!AQ205</f>
        <v>0</v>
      </c>
      <c r="AR16" s="1">
        <f>'DRE ANTIGA PARCERIA CAIXA'!AR197+'DRE ANTIGA PARCERIA CAIXA'!AR205</f>
        <v>0</v>
      </c>
      <c r="AS16" s="1">
        <f>'DRE ANTIGA PARCERIA CAIXA'!AS197+'DRE ANTIGA PARCERIA CAIXA'!AS205</f>
        <v>0</v>
      </c>
      <c r="AT16" s="1">
        <f>'DRE ANTIGA PARCERIA CAIXA'!AT197+'DRE ANTIGA PARCERIA CAIXA'!AT205</f>
        <v>0</v>
      </c>
      <c r="AU16" s="1">
        <f>'DRE ANTIGA PARCERIA CAIXA'!AU197+'DRE ANTIGA PARCERIA CAIXA'!AU205</f>
        <v>0</v>
      </c>
      <c r="AV16" s="1">
        <f>'DRE ANTIGA PARCERIA CAIXA'!AV197+'DRE ANTIGA PARCERIA CAIXA'!AV205</f>
        <v>0</v>
      </c>
      <c r="AW16" s="1">
        <f>'DRE ANTIGA PARCERIA CAIXA'!AW197+'DRE ANTIGA PARCERIA CAIXA'!AW205</f>
        <v>0</v>
      </c>
      <c r="AX16" s="1">
        <f>'DRE ANTIGA PARCERIA CAIXA'!AX197+'DRE ANTIGA PARCERIA CAIXA'!AX205</f>
        <v>0</v>
      </c>
      <c r="AY16" s="1">
        <f>'DRE ANTIGA PARCERIA CAIXA'!AY197+'DRE ANTIGA PARCERIA CAIXA'!AY205</f>
        <v>0</v>
      </c>
      <c r="AZ16" s="1">
        <f>'DRE ANTIGA PARCERIA CAIXA'!AZ197+'DRE ANTIGA PARCERIA CAIXA'!AZ205</f>
        <v>0</v>
      </c>
      <c r="BA16" s="1">
        <f>'DRE ANTIGA PARCERIA CAIXA'!BA197+'DRE ANTIGA PARCERIA CAIXA'!BA205</f>
        <v>0</v>
      </c>
      <c r="BB16"/>
      <c r="BC16"/>
      <c r="BD16"/>
      <c r="BE16"/>
      <c r="BF16"/>
      <c r="BG16"/>
      <c r="BH16"/>
    </row>
    <row r="17" spans="1:60">
      <c r="B17" t="s">
        <v>570</v>
      </c>
      <c r="C17" s="1">
        <f>SUM('DRE ANTIGA PARCERIA CAIXA'!C219)+SUM('DRE ANTIGA PARCERIA CAIXA'!C227)</f>
        <v>0</v>
      </c>
      <c r="D17" s="1">
        <f>SUM('DRE ANTIGA PARCERIA CAIXA'!D219)+SUM('DRE ANTIGA PARCERIA CAIXA'!D227)</f>
        <v>0</v>
      </c>
      <c r="E17" s="1">
        <f>SUM('DRE ANTIGA PARCERIA CAIXA'!E219)+SUM('DRE ANTIGA PARCERIA CAIXA'!E227)</f>
        <v>0</v>
      </c>
      <c r="F17" s="1">
        <f>SUM('DRE ANTIGA PARCERIA CAIXA'!F219)+SUM('DRE ANTIGA PARCERIA CAIXA'!F227)</f>
        <v>0</v>
      </c>
      <c r="G17" s="1">
        <f>SUM('DRE ANTIGA PARCERIA CAIXA'!G219)+SUM('DRE ANTIGA PARCERIA CAIXA'!G227)</f>
        <v>0</v>
      </c>
      <c r="H17" s="1">
        <f>SUM('DRE ANTIGA PARCERIA CAIXA'!H219)+SUM('DRE ANTIGA PARCERIA CAIXA'!H227)</f>
        <v>0</v>
      </c>
      <c r="I17" s="1">
        <f>SUM('DRE ANTIGA PARCERIA CAIXA'!I219)+SUM('DRE ANTIGA PARCERIA CAIXA'!I227)</f>
        <v>0</v>
      </c>
      <c r="J17" s="1">
        <f>SUM('DRE ANTIGA PARCERIA CAIXA'!J219)+SUM('DRE ANTIGA PARCERIA CAIXA'!J227)</f>
        <v>0</v>
      </c>
      <c r="K17" s="1">
        <f>SUM('DRE ANTIGA PARCERIA CAIXA'!K219)+SUM('DRE ANTIGA PARCERIA CAIXA'!K227)</f>
        <v>0</v>
      </c>
      <c r="L17" s="1">
        <f>SUM('DRE ANTIGA PARCERIA CAIXA'!L219)+SUM('DRE ANTIGA PARCERIA CAIXA'!L227)</f>
        <v>0</v>
      </c>
      <c r="M17" s="1">
        <f>SUM('DRE ANTIGA PARCERIA CAIXA'!M219)+SUM('DRE ANTIGA PARCERIA CAIXA'!M227)</f>
        <v>0</v>
      </c>
      <c r="N17" s="1">
        <f>SUM('DRE ANTIGA PARCERIA CAIXA'!N219)+SUM('DRE ANTIGA PARCERIA CAIXA'!N227)</f>
        <v>0</v>
      </c>
      <c r="O17" s="1">
        <f>SUM('DRE ANTIGA PARCERIA CAIXA'!O219)+SUM('DRE ANTIGA PARCERIA CAIXA'!O227)</f>
        <v>0</v>
      </c>
      <c r="P17" s="1">
        <f>SUM('DRE ANTIGA PARCERIA CAIXA'!P219)+SUM('DRE ANTIGA PARCERIA CAIXA'!P227)</f>
        <v>0</v>
      </c>
      <c r="Q17" s="1">
        <f>SUM('DRE ANTIGA PARCERIA CAIXA'!Q219)+SUM('DRE ANTIGA PARCERIA CAIXA'!Q227)</f>
        <v>0</v>
      </c>
      <c r="R17" s="1">
        <f>SUM('DRE ANTIGA PARCERIA CAIXA'!R219)+SUM('DRE ANTIGA PARCERIA CAIXA'!R227)</f>
        <v>0</v>
      </c>
      <c r="S17" s="1">
        <f>SUM('DRE ANTIGA PARCERIA CAIXA'!S219)+SUM('DRE ANTIGA PARCERIA CAIXA'!S227)</f>
        <v>0</v>
      </c>
      <c r="T17" s="1">
        <f>SUM('DRE ANTIGA PARCERIA CAIXA'!T219)+SUM('DRE ANTIGA PARCERIA CAIXA'!T227)</f>
        <v>-40.252350000000007</v>
      </c>
      <c r="U17" s="1">
        <f>SUM('DRE ANTIGA PARCERIA CAIXA'!U219)+SUM('DRE ANTIGA PARCERIA CAIXA'!U227)</f>
        <v>40.252350000000007</v>
      </c>
      <c r="V17" s="1">
        <f>SUM('DRE ANTIGA PARCERIA CAIXA'!V219)+SUM('DRE ANTIGA PARCERIA CAIXA'!V227)</f>
        <v>0</v>
      </c>
      <c r="W17" s="1">
        <f>SUM('DRE ANTIGA PARCERIA CAIXA'!W219)+SUM('DRE ANTIGA PARCERIA CAIXA'!W227)</f>
        <v>0</v>
      </c>
      <c r="X17" s="1">
        <f>SUM('DRE ANTIGA PARCERIA CAIXA'!X219)+SUM('DRE ANTIGA PARCERIA CAIXA'!X227)</f>
        <v>0</v>
      </c>
      <c r="Y17" s="1">
        <f>SUM('DRE ANTIGA PARCERIA CAIXA'!Y219)+SUM('DRE ANTIGA PARCERIA CAIXA'!Y227)</f>
        <v>0</v>
      </c>
      <c r="Z17" s="1">
        <f>SUM('DRE ANTIGA PARCERIA CAIXA'!Z219)+SUM('DRE ANTIGA PARCERIA CAIXA'!Z227)</f>
        <v>0</v>
      </c>
      <c r="AA17" s="1">
        <f>SUM('DRE ANTIGA PARCERIA CAIXA'!AA219)+SUM('DRE ANTIGA PARCERIA CAIXA'!AA227)</f>
        <v>0</v>
      </c>
      <c r="AB17" s="1">
        <f>SUM('DRE ANTIGA PARCERIA CAIXA'!AB219)+SUM('DRE ANTIGA PARCERIA CAIXA'!AB227)</f>
        <v>0</v>
      </c>
      <c r="AC17" s="1">
        <f>SUM('DRE ANTIGA PARCERIA CAIXA'!AC219)+SUM('DRE ANTIGA PARCERIA CAIXA'!AC227)</f>
        <v>0</v>
      </c>
      <c r="AD17" s="1">
        <f>SUM('DRE ANTIGA PARCERIA CAIXA'!AD219)+SUM('DRE ANTIGA PARCERIA CAIXA'!AD227)</f>
        <v>0</v>
      </c>
      <c r="AE17" s="1">
        <f>SUM('DRE ANTIGA PARCERIA CAIXA'!AE219)+SUM('DRE ANTIGA PARCERIA CAIXA'!AE227)</f>
        <v>0</v>
      </c>
      <c r="AF17" s="1">
        <f>SUM('DRE ANTIGA PARCERIA CAIXA'!AF219)+SUM('DRE ANTIGA PARCERIA CAIXA'!AF227)</f>
        <v>0</v>
      </c>
      <c r="AG17" s="1">
        <f>SUM('DRE ANTIGA PARCERIA CAIXA'!AG219)+SUM('DRE ANTIGA PARCERIA CAIXA'!AG227)</f>
        <v>0</v>
      </c>
      <c r="AH17" s="1">
        <f>SUM('DRE ANTIGA PARCERIA CAIXA'!AH219)+SUM('DRE ANTIGA PARCERIA CAIXA'!AH227)</f>
        <v>0</v>
      </c>
      <c r="AI17" s="1">
        <f>SUM('DRE ANTIGA PARCERIA CAIXA'!AI219)+SUM('DRE ANTIGA PARCERIA CAIXA'!AI227)</f>
        <v>0</v>
      </c>
      <c r="AJ17" s="1">
        <f>SUM('DRE ANTIGA PARCERIA CAIXA'!AJ219)+SUM('DRE ANTIGA PARCERIA CAIXA'!AJ227)</f>
        <v>0</v>
      </c>
      <c r="AK17" s="1">
        <f>SUM('DRE ANTIGA PARCERIA CAIXA'!AK219)+SUM('DRE ANTIGA PARCERIA CAIXA'!AK227)</f>
        <v>0</v>
      </c>
      <c r="AL17" s="1">
        <f>SUM('DRE ANTIGA PARCERIA CAIXA'!AL219)+SUM('DRE ANTIGA PARCERIA CAIXA'!AL227)</f>
        <v>0</v>
      </c>
      <c r="AM17" s="1">
        <f>SUM('DRE ANTIGA PARCERIA CAIXA'!AM219)+SUM('DRE ANTIGA PARCERIA CAIXA'!AM227)</f>
        <v>41</v>
      </c>
      <c r="AN17" s="1">
        <f>SUM('DRE ANTIGA PARCERIA CAIXA'!AN219)+SUM('DRE ANTIGA PARCERIA CAIXA'!AN227)</f>
        <v>-41</v>
      </c>
      <c r="AO17" s="1">
        <f>SUM('DRE ANTIGA PARCERIA CAIXA'!AO219)+SUM('DRE ANTIGA PARCERIA CAIXA'!AO227)</f>
        <v>0</v>
      </c>
      <c r="AP17" s="1">
        <f>SUM('DRE ANTIGA PARCERIA CAIXA'!AP219)+SUM('DRE ANTIGA PARCERIA CAIXA'!AP227)</f>
        <v>0</v>
      </c>
      <c r="AQ17" s="1">
        <f>SUM('DRE ANTIGA PARCERIA CAIXA'!AQ219)+SUM('DRE ANTIGA PARCERIA CAIXA'!AQ227)</f>
        <v>0</v>
      </c>
      <c r="AR17" s="1">
        <f>SUM('DRE ANTIGA PARCERIA CAIXA'!AR219)+SUM('DRE ANTIGA PARCERIA CAIXA'!AR227)</f>
        <v>0</v>
      </c>
      <c r="AS17" s="1">
        <f>SUM('DRE ANTIGA PARCERIA CAIXA'!AS219)+SUM('DRE ANTIGA PARCERIA CAIXA'!AS227)</f>
        <v>0</v>
      </c>
      <c r="AT17" s="1">
        <f>SUM('DRE ANTIGA PARCERIA CAIXA'!AT219)+SUM('DRE ANTIGA PARCERIA CAIXA'!AT227)</f>
        <v>0</v>
      </c>
      <c r="AU17" s="1">
        <f>SUM('DRE ANTIGA PARCERIA CAIXA'!AU219)+SUM('DRE ANTIGA PARCERIA CAIXA'!AU227)</f>
        <v>0</v>
      </c>
      <c r="AV17" s="1">
        <f>SUM('DRE ANTIGA PARCERIA CAIXA'!AV219)+SUM('DRE ANTIGA PARCERIA CAIXA'!AV227)</f>
        <v>0</v>
      </c>
      <c r="AW17" s="1">
        <f>SUM('DRE ANTIGA PARCERIA CAIXA'!AW219)+SUM('DRE ANTIGA PARCERIA CAIXA'!AW227)</f>
        <v>0</v>
      </c>
      <c r="AX17" s="1">
        <f>SUM('DRE ANTIGA PARCERIA CAIXA'!AX219)+SUM('DRE ANTIGA PARCERIA CAIXA'!AX227)</f>
        <v>0</v>
      </c>
      <c r="AY17" s="1">
        <f>SUM('DRE ANTIGA PARCERIA CAIXA'!AY219)+SUM('DRE ANTIGA PARCERIA CAIXA'!AY227)</f>
        <v>0</v>
      </c>
      <c r="AZ17" s="1">
        <f>SUM('DRE ANTIGA PARCERIA CAIXA'!AZ219)+SUM('DRE ANTIGA PARCERIA CAIXA'!AZ227)</f>
        <v>0</v>
      </c>
      <c r="BA17" s="1">
        <f>SUM('DRE ANTIGA PARCERIA CAIXA'!BA219)+SUM('DRE ANTIGA PARCERIA CAIXA'!BA227)</f>
        <v>0</v>
      </c>
      <c r="BB17"/>
      <c r="BC17"/>
      <c r="BD17"/>
      <c r="BE17"/>
      <c r="BF17"/>
      <c r="BG17"/>
      <c r="BH17"/>
    </row>
    <row r="18" spans="1:60">
      <c r="B18" t="s">
        <v>571</v>
      </c>
      <c r="C18" s="1">
        <f>'DRE ANTIGA PARCERIA CAIXA'!C241+'DRE ANTIGA PARCERIA CAIXA'!C249</f>
        <v>190.61915999999999</v>
      </c>
      <c r="D18" s="1">
        <f>'DRE ANTIGA PARCERIA CAIXA'!D241+'DRE ANTIGA PARCERIA CAIXA'!D249</f>
        <v>196.43532999999999</v>
      </c>
      <c r="E18" s="1">
        <f>'DRE ANTIGA PARCERIA CAIXA'!E241+'DRE ANTIGA PARCERIA CAIXA'!E249</f>
        <v>263.97754000000009</v>
      </c>
      <c r="F18" s="1">
        <f>'DRE ANTIGA PARCERIA CAIXA'!F241+'DRE ANTIGA PARCERIA CAIXA'!F249</f>
        <v>181.92628000000002</v>
      </c>
      <c r="G18" s="1">
        <f>'DRE ANTIGA PARCERIA CAIXA'!G241+'DRE ANTIGA PARCERIA CAIXA'!G249</f>
        <v>832.9583100000001</v>
      </c>
      <c r="H18" s="1">
        <f>'DRE ANTIGA PARCERIA CAIXA'!H241+'DRE ANTIGA PARCERIA CAIXA'!H249</f>
        <v>267.00390999999996</v>
      </c>
      <c r="I18" s="1">
        <f>'DRE ANTIGA PARCERIA CAIXA'!I241+'DRE ANTIGA PARCERIA CAIXA'!I249</f>
        <v>413.40347000000003</v>
      </c>
      <c r="J18" s="1">
        <f>'DRE ANTIGA PARCERIA CAIXA'!J241+'DRE ANTIGA PARCERIA CAIXA'!J249</f>
        <v>445.02257999999995</v>
      </c>
      <c r="K18" s="1">
        <f>'DRE ANTIGA PARCERIA CAIXA'!K241+'DRE ANTIGA PARCERIA CAIXA'!K249</f>
        <v>1968.6041099999998</v>
      </c>
      <c r="L18" s="1">
        <f>'DRE ANTIGA PARCERIA CAIXA'!L241+'DRE ANTIGA PARCERIA CAIXA'!L249</f>
        <v>3094.0340699999997</v>
      </c>
      <c r="M18" s="1">
        <f>'DRE ANTIGA PARCERIA CAIXA'!M241+'DRE ANTIGA PARCERIA CAIXA'!M249</f>
        <v>359.37958999999995</v>
      </c>
      <c r="N18" s="1">
        <f>'DRE ANTIGA PARCERIA CAIXA'!N241+'DRE ANTIGA PARCERIA CAIXA'!N249</f>
        <v>3325.0867999999996</v>
      </c>
      <c r="O18" s="1">
        <f>'DRE ANTIGA PARCERIA CAIXA'!O241+'DRE ANTIGA PARCERIA CAIXA'!O249</f>
        <v>2368.0950599999996</v>
      </c>
      <c r="P18" s="1">
        <f>'DRE ANTIGA PARCERIA CAIXA'!P241+'DRE ANTIGA PARCERIA CAIXA'!P249</f>
        <v>2303.2060900000015</v>
      </c>
      <c r="Q18" s="1">
        <f>'DRE ANTIGA PARCERIA CAIXA'!Q241+'DRE ANTIGA PARCERIA CAIXA'!Q249</f>
        <v>8355.7675400000007</v>
      </c>
      <c r="R18" s="1">
        <f>'DRE ANTIGA PARCERIA CAIXA'!R241+'DRE ANTIGA PARCERIA CAIXA'!R249</f>
        <v>1728.7103800000002</v>
      </c>
      <c r="S18" s="1">
        <f>'DRE ANTIGA PARCERIA CAIXA'!S241+'DRE ANTIGA PARCERIA CAIXA'!S249</f>
        <v>2292.8919900000001</v>
      </c>
      <c r="T18" s="1">
        <f>'DRE ANTIGA PARCERIA CAIXA'!T241+'DRE ANTIGA PARCERIA CAIXA'!T249</f>
        <v>2190.6849599999996</v>
      </c>
      <c r="U18" s="1">
        <f>'DRE ANTIGA PARCERIA CAIXA'!U241+'DRE ANTIGA PARCERIA CAIXA'!U249</f>
        <v>2422.1454999999996</v>
      </c>
      <c r="V18" s="1">
        <f>'DRE ANTIGA PARCERIA CAIXA'!V241+'DRE ANTIGA PARCERIA CAIXA'!V249</f>
        <v>8634.4328299999997</v>
      </c>
      <c r="W18" s="1">
        <f>'DRE ANTIGA PARCERIA CAIXA'!W241+'DRE ANTIGA PARCERIA CAIXA'!W249</f>
        <v>3071.6128400000007</v>
      </c>
      <c r="X18" s="1">
        <f>'DRE ANTIGA PARCERIA CAIXA'!X241+'DRE ANTIGA PARCERIA CAIXA'!X249</f>
        <v>3449.1925799999981</v>
      </c>
      <c r="Y18" s="1">
        <f>'DRE ANTIGA PARCERIA CAIXA'!Y241+'DRE ANTIGA PARCERIA CAIXA'!Y249</f>
        <v>3714.6636400000025</v>
      </c>
      <c r="Z18" s="1">
        <f>'DRE ANTIGA PARCERIA CAIXA'!Z241+'DRE ANTIGA PARCERIA CAIXA'!Z249</f>
        <v>3814.0051699999985</v>
      </c>
      <c r="AA18" s="1">
        <f>'DRE ANTIGA PARCERIA CAIXA'!AA241+'DRE ANTIGA PARCERIA CAIXA'!AA249</f>
        <v>14049.47423</v>
      </c>
      <c r="AB18" s="1">
        <f>'DRE ANTIGA PARCERIA CAIXA'!AB241+'DRE ANTIGA PARCERIA CAIXA'!AB249</f>
        <v>4008.41599</v>
      </c>
      <c r="AC18" s="1">
        <f>'DRE ANTIGA PARCERIA CAIXA'!AC241+'DRE ANTIGA PARCERIA CAIXA'!AC249</f>
        <v>5394.4279900000001</v>
      </c>
      <c r="AD18" s="1">
        <f>'DRE ANTIGA PARCERIA CAIXA'!AD241+'DRE ANTIGA PARCERIA CAIXA'!AD249</f>
        <v>7023.3572299999996</v>
      </c>
      <c r="AE18" s="1">
        <f>'DRE ANTIGA PARCERIA CAIXA'!AE241+'DRE ANTIGA PARCERIA CAIXA'!AE249</f>
        <v>7460.5327699999998</v>
      </c>
      <c r="AF18" s="1">
        <f>'DRE ANTIGA PARCERIA CAIXA'!AF241+'DRE ANTIGA PARCERIA CAIXA'!AF249</f>
        <v>23886.733979999997</v>
      </c>
      <c r="AG18" s="1">
        <f>'DRE ANTIGA PARCERIA CAIXA'!AG241+'DRE ANTIGA PARCERIA CAIXA'!AG249</f>
        <v>9169</v>
      </c>
      <c r="AH18" s="1">
        <f>'DRE ANTIGA PARCERIA CAIXA'!AH241+'DRE ANTIGA PARCERIA CAIXA'!AH249</f>
        <v>13143</v>
      </c>
      <c r="AI18" s="1">
        <f>'DRE ANTIGA PARCERIA CAIXA'!AI241+'DRE ANTIGA PARCERIA CAIXA'!AI249</f>
        <v>19603</v>
      </c>
      <c r="AJ18" s="1">
        <f>'DRE ANTIGA PARCERIA CAIXA'!AJ241+'DRE ANTIGA PARCERIA CAIXA'!AJ249</f>
        <v>3162</v>
      </c>
      <c r="AK18" s="1">
        <f>'DRE ANTIGA PARCERIA CAIXA'!AK241+'DRE ANTIGA PARCERIA CAIXA'!AK249</f>
        <v>45077</v>
      </c>
      <c r="AL18" s="1">
        <f>'DRE ANTIGA PARCERIA CAIXA'!AL241+'DRE ANTIGA PARCERIA CAIXA'!AL249</f>
        <v>8480</v>
      </c>
      <c r="AM18" s="1">
        <f>'DRE ANTIGA PARCERIA CAIXA'!AM241+'DRE ANTIGA PARCERIA CAIXA'!AM249</f>
        <v>9636</v>
      </c>
      <c r="AN18" s="1">
        <f>'DRE ANTIGA PARCERIA CAIXA'!AN241+'DRE ANTIGA PARCERIA CAIXA'!AN249</f>
        <v>9619</v>
      </c>
      <c r="AO18" s="1">
        <f>'DRE ANTIGA PARCERIA CAIXA'!AO241+'DRE ANTIGA PARCERIA CAIXA'!AO249</f>
        <v>9531</v>
      </c>
      <c r="AP18" s="1">
        <f>'DRE ANTIGA PARCERIA CAIXA'!AP241+'DRE ANTIGA PARCERIA CAIXA'!AP249</f>
        <v>37266</v>
      </c>
      <c r="AQ18" s="1">
        <f>'DRE ANTIGA PARCERIA CAIXA'!AQ241+'DRE ANTIGA PARCERIA CAIXA'!AQ249</f>
        <v>9929</v>
      </c>
      <c r="AR18" s="1">
        <f>'DRE ANTIGA PARCERIA CAIXA'!AR241+'DRE ANTIGA PARCERIA CAIXA'!AR249</f>
        <v>11878</v>
      </c>
      <c r="AS18" s="1">
        <f>'DRE ANTIGA PARCERIA CAIXA'!AS241+'DRE ANTIGA PARCERIA CAIXA'!AS249</f>
        <v>12123</v>
      </c>
      <c r="AT18" s="1">
        <f>'DRE ANTIGA PARCERIA CAIXA'!AT241+'DRE ANTIGA PARCERIA CAIXA'!AT249</f>
        <v>14169</v>
      </c>
      <c r="AU18" s="1">
        <f>'DRE ANTIGA PARCERIA CAIXA'!AU241+'DRE ANTIGA PARCERIA CAIXA'!AU249</f>
        <v>48099</v>
      </c>
      <c r="AV18" s="1">
        <f>'DRE ANTIGA PARCERIA CAIXA'!AV241+'DRE ANTIGA PARCERIA CAIXA'!AV249</f>
        <v>11945</v>
      </c>
      <c r="AW18" s="1">
        <f>'DRE ANTIGA PARCERIA CAIXA'!AW241+'DRE ANTIGA PARCERIA CAIXA'!AW249</f>
        <v>9132</v>
      </c>
      <c r="AX18" s="1">
        <f>'DRE ANTIGA PARCERIA CAIXA'!AX241+'DRE ANTIGA PARCERIA CAIXA'!AX249</f>
        <v>12386</v>
      </c>
      <c r="AY18" s="1">
        <f>'DRE ANTIGA PARCERIA CAIXA'!AY241+'DRE ANTIGA PARCERIA CAIXA'!AY249</f>
        <v>12293</v>
      </c>
      <c r="AZ18" s="1">
        <f>'DRE ANTIGA PARCERIA CAIXA'!AZ241+'DRE ANTIGA PARCERIA CAIXA'!AZ249</f>
        <v>45756</v>
      </c>
      <c r="BA18" s="1">
        <f>'DRE ANTIGA PARCERIA CAIXA'!BA241+'DRE ANTIGA PARCERIA CAIXA'!BA249</f>
        <v>15844</v>
      </c>
      <c r="BB18"/>
      <c r="BC18"/>
      <c r="BD18"/>
      <c r="BE18"/>
      <c r="BF18"/>
      <c r="BG18"/>
      <c r="BH18"/>
    </row>
    <row r="19" spans="1:60" s="100" customFormat="1">
      <c r="A19" s="9"/>
      <c r="B19" s="9" t="s">
        <v>572</v>
      </c>
      <c r="C19" s="76">
        <f t="shared" ref="C19:AU19" si="3">SUM(C20:C26)</f>
        <v>0</v>
      </c>
      <c r="D19" s="76">
        <f t="shared" si="3"/>
        <v>0</v>
      </c>
      <c r="E19" s="76">
        <f t="shared" si="3"/>
        <v>0</v>
      </c>
      <c r="F19" s="76">
        <f t="shared" si="3"/>
        <v>0</v>
      </c>
      <c r="G19" s="76">
        <f t="shared" si="3"/>
        <v>0</v>
      </c>
      <c r="H19" s="76">
        <f t="shared" si="3"/>
        <v>0</v>
      </c>
      <c r="I19" s="76">
        <f t="shared" si="3"/>
        <v>0</v>
      </c>
      <c r="J19" s="76">
        <f t="shared" si="3"/>
        <v>0</v>
      </c>
      <c r="K19" s="76">
        <f t="shared" si="3"/>
        <v>0</v>
      </c>
      <c r="L19" s="76">
        <f t="shared" si="3"/>
        <v>0</v>
      </c>
      <c r="M19" s="76">
        <f t="shared" si="3"/>
        <v>0</v>
      </c>
      <c r="N19" s="76">
        <f t="shared" si="3"/>
        <v>0</v>
      </c>
      <c r="O19" s="76">
        <f t="shared" si="3"/>
        <v>0</v>
      </c>
      <c r="P19" s="76">
        <f t="shared" si="3"/>
        <v>0</v>
      </c>
      <c r="Q19" s="76">
        <f t="shared" si="3"/>
        <v>0</v>
      </c>
      <c r="R19" s="76">
        <f t="shared" si="3"/>
        <v>0</v>
      </c>
      <c r="S19" s="76">
        <f t="shared" si="3"/>
        <v>0</v>
      </c>
      <c r="T19" s="76">
        <f t="shared" si="3"/>
        <v>0</v>
      </c>
      <c r="U19" s="76">
        <f t="shared" si="3"/>
        <v>0</v>
      </c>
      <c r="V19" s="76">
        <f t="shared" si="3"/>
        <v>0</v>
      </c>
      <c r="W19" s="76">
        <f t="shared" si="3"/>
        <v>0</v>
      </c>
      <c r="X19" s="76">
        <f t="shared" si="3"/>
        <v>0</v>
      </c>
      <c r="Y19" s="76">
        <f t="shared" si="3"/>
        <v>0</v>
      </c>
      <c r="Z19" s="76">
        <f t="shared" si="3"/>
        <v>0</v>
      </c>
      <c r="AA19" s="76">
        <f t="shared" si="3"/>
        <v>0</v>
      </c>
      <c r="AB19" s="76">
        <f t="shared" si="3"/>
        <v>1222194.7213999957</v>
      </c>
      <c r="AC19" s="76">
        <f t="shared" si="3"/>
        <v>1252439.2135500032</v>
      </c>
      <c r="AD19" s="76">
        <f t="shared" si="3"/>
        <v>1415153.0887400024</v>
      </c>
      <c r="AE19" s="76">
        <f t="shared" si="3"/>
        <v>1473408.44013</v>
      </c>
      <c r="AF19" s="76">
        <f t="shared" si="3"/>
        <v>5363195.4638200011</v>
      </c>
      <c r="AG19" s="76">
        <f t="shared" si="3"/>
        <v>1569915</v>
      </c>
      <c r="AH19" s="76">
        <f t="shared" si="3"/>
        <v>1698151</v>
      </c>
      <c r="AI19" s="76">
        <f t="shared" si="3"/>
        <v>1878069</v>
      </c>
      <c r="AJ19" s="76">
        <f t="shared" si="3"/>
        <v>1955043</v>
      </c>
      <c r="AK19" s="76">
        <f t="shared" si="3"/>
        <v>7101178</v>
      </c>
      <c r="AL19" s="76">
        <f t="shared" si="3"/>
        <v>2051304</v>
      </c>
      <c r="AM19" s="76">
        <f t="shared" si="3"/>
        <v>2139160</v>
      </c>
      <c r="AN19" s="76">
        <f t="shared" si="3"/>
        <v>2219646</v>
      </c>
      <c r="AO19" s="76">
        <f t="shared" si="3"/>
        <v>2276598</v>
      </c>
      <c r="AP19" s="76">
        <f t="shared" si="3"/>
        <v>8686708</v>
      </c>
      <c r="AQ19" s="76">
        <f t="shared" si="3"/>
        <v>2314657</v>
      </c>
      <c r="AR19" s="76">
        <f t="shared" si="3"/>
        <v>2399436</v>
      </c>
      <c r="AS19" s="76">
        <f t="shared" si="3"/>
        <v>2517218</v>
      </c>
      <c r="AT19" s="76">
        <f t="shared" si="3"/>
        <v>2574516</v>
      </c>
      <c r="AU19" s="76">
        <f t="shared" si="3"/>
        <v>9805827</v>
      </c>
      <c r="AV19" s="76">
        <f t="shared" ref="AV19" si="4">SUM(AV20:AV26)</f>
        <v>2615327.3515400002</v>
      </c>
      <c r="AW19" s="76">
        <f>SUM(AW20:AW26)</f>
        <v>2680427.3470000001</v>
      </c>
      <c r="AX19" s="76">
        <f>SUM(AX20:AX26)</f>
        <v>2800159.02</v>
      </c>
      <c r="AY19" s="76">
        <f>SUM(AY20:AY26)</f>
        <v>2815939</v>
      </c>
      <c r="AZ19" s="76">
        <f>SUM(AZ20:AZ26)</f>
        <v>10911852.718540002</v>
      </c>
      <c r="BA19" s="76">
        <f t="shared" ref="BA19" si="5">SUM(BA20:BA26)</f>
        <v>2827880</v>
      </c>
      <c r="BB19" s="2"/>
      <c r="BC19"/>
      <c r="BD19"/>
      <c r="BE19"/>
      <c r="BF19"/>
      <c r="BG19" s="2"/>
      <c r="BH19" s="2"/>
    </row>
    <row r="20" spans="1:60">
      <c r="B20" t="s">
        <v>553</v>
      </c>
      <c r="C20" s="1">
        <f>'DRE NOVAS PARCERIAS CAIXA'!C14</f>
        <v>0</v>
      </c>
      <c r="D20" s="1">
        <f>'DRE NOVAS PARCERIAS CAIXA'!D14</f>
        <v>0</v>
      </c>
      <c r="E20" s="1">
        <f>'DRE NOVAS PARCERIAS CAIXA'!E14</f>
        <v>0</v>
      </c>
      <c r="F20" s="1">
        <f>'DRE NOVAS PARCERIAS CAIXA'!F14</f>
        <v>0</v>
      </c>
      <c r="G20" s="1">
        <f>'DRE NOVAS PARCERIAS CAIXA'!G14</f>
        <v>0</v>
      </c>
      <c r="H20" s="1">
        <f>'DRE NOVAS PARCERIAS CAIXA'!H14</f>
        <v>0</v>
      </c>
      <c r="I20" s="1">
        <f>'DRE NOVAS PARCERIAS CAIXA'!I14</f>
        <v>0</v>
      </c>
      <c r="J20" s="1">
        <f>'DRE NOVAS PARCERIAS CAIXA'!J14</f>
        <v>0</v>
      </c>
      <c r="K20" s="1">
        <f>'DRE NOVAS PARCERIAS CAIXA'!K14</f>
        <v>0</v>
      </c>
      <c r="L20" s="1">
        <f>'DRE NOVAS PARCERIAS CAIXA'!L14</f>
        <v>0</v>
      </c>
      <c r="M20" s="1">
        <f>'DRE NOVAS PARCERIAS CAIXA'!M14</f>
        <v>0</v>
      </c>
      <c r="N20" s="1">
        <f>'DRE NOVAS PARCERIAS CAIXA'!N14</f>
        <v>0</v>
      </c>
      <c r="O20" s="1">
        <f>'DRE NOVAS PARCERIAS CAIXA'!O14</f>
        <v>0</v>
      </c>
      <c r="P20" s="1">
        <f>'DRE NOVAS PARCERIAS CAIXA'!P14</f>
        <v>0</v>
      </c>
      <c r="Q20" s="1">
        <f>'DRE NOVAS PARCERIAS CAIXA'!Q14</f>
        <v>0</v>
      </c>
      <c r="R20" s="1">
        <f>'DRE NOVAS PARCERIAS CAIXA'!R14</f>
        <v>0</v>
      </c>
      <c r="S20" s="1">
        <f>'DRE NOVAS PARCERIAS CAIXA'!S14</f>
        <v>0</v>
      </c>
      <c r="T20" s="1">
        <f>'DRE NOVAS PARCERIAS CAIXA'!T14</f>
        <v>0</v>
      </c>
      <c r="U20" s="1">
        <f>'DRE NOVAS PARCERIAS CAIXA'!U14</f>
        <v>0</v>
      </c>
      <c r="V20" s="1">
        <f>'DRE NOVAS PARCERIAS CAIXA'!V14</f>
        <v>0</v>
      </c>
      <c r="W20" s="1">
        <f>'DRE NOVAS PARCERIAS CAIXA'!W14</f>
        <v>0</v>
      </c>
      <c r="X20" s="1">
        <f>'DRE NOVAS PARCERIAS CAIXA'!X14</f>
        <v>0</v>
      </c>
      <c r="Y20" s="1">
        <f>'DRE NOVAS PARCERIAS CAIXA'!Y14</f>
        <v>0</v>
      </c>
      <c r="Z20" s="1">
        <f>'DRE NOVAS PARCERIAS CAIXA'!Z14</f>
        <v>0</v>
      </c>
      <c r="AA20" s="1">
        <f>'DRE NOVAS PARCERIAS CAIXA'!AA14</f>
        <v>0</v>
      </c>
      <c r="AB20" s="1">
        <f>'DRE NOVAS PARCERIAS CAIXA'!AB14</f>
        <v>0</v>
      </c>
      <c r="AC20" s="1">
        <f>'DRE NOVAS PARCERIAS CAIXA'!AC14</f>
        <v>-1.0999999999999999E-2</v>
      </c>
      <c r="AD20" s="1">
        <f>'DRE NOVAS PARCERIAS CAIXA'!AD14</f>
        <v>0</v>
      </c>
      <c r="AE20" s="1">
        <f>'DRE NOVAS PARCERIAS CAIXA'!AE14</f>
        <v>0</v>
      </c>
      <c r="AF20" s="1">
        <f>'DRE NOVAS PARCERIAS CAIXA'!AF14</f>
        <v>-1.0999999999999999E-2</v>
      </c>
      <c r="AG20" s="1">
        <f>'DRE NOVAS PARCERIAS CAIXA'!AG14</f>
        <v>0</v>
      </c>
      <c r="AH20" s="1">
        <f>'DRE NOVAS PARCERIAS CAIXA'!AH14</f>
        <v>0</v>
      </c>
      <c r="AI20" s="1">
        <f>'DRE NOVAS PARCERIAS CAIXA'!AI14</f>
        <v>0</v>
      </c>
      <c r="AJ20" s="1">
        <f>'DRE NOVAS PARCERIAS CAIXA'!AJ14</f>
        <v>0</v>
      </c>
      <c r="AK20" s="1">
        <f>'DRE NOVAS PARCERIAS CAIXA'!AK14</f>
        <v>0</v>
      </c>
      <c r="AL20" s="1">
        <f>'DRE NOVAS PARCERIAS CAIXA'!AL14</f>
        <v>0</v>
      </c>
      <c r="AM20" s="1">
        <f>'DRE NOVAS PARCERIAS CAIXA'!AM14</f>
        <v>0</v>
      </c>
      <c r="AN20" s="1">
        <f>'DRE NOVAS PARCERIAS CAIXA'!AN14</f>
        <v>0</v>
      </c>
      <c r="AO20" s="1">
        <f>'DRE NOVAS PARCERIAS CAIXA'!AO14</f>
        <v>0</v>
      </c>
      <c r="AP20" s="1">
        <f>'DRE NOVAS PARCERIAS CAIXA'!AP14</f>
        <v>0</v>
      </c>
      <c r="AQ20" s="1">
        <f>'DRE NOVAS PARCERIAS CAIXA'!AQ14</f>
        <v>0</v>
      </c>
      <c r="AR20" s="1">
        <f>'DRE NOVAS PARCERIAS CAIXA'!AR14</f>
        <v>0</v>
      </c>
      <c r="AS20" s="1">
        <f>'DRE NOVAS PARCERIAS CAIXA'!AS14</f>
        <v>0</v>
      </c>
      <c r="AT20" s="1">
        <f>'DRE NOVAS PARCERIAS CAIXA'!AT14</f>
        <v>0</v>
      </c>
      <c r="AU20" s="1">
        <f>'DRE NOVAS PARCERIAS CAIXA'!AU14</f>
        <v>0</v>
      </c>
      <c r="AV20" s="1">
        <f>'DRE NOVAS PARCERIAS CAIXA'!AV14</f>
        <v>0</v>
      </c>
      <c r="AW20" s="1">
        <f>'DRE NOVAS PARCERIAS CAIXA'!AW14</f>
        <v>0</v>
      </c>
      <c r="AX20" s="1">
        <f>'DRE NOVAS PARCERIAS CAIXA'!AX14</f>
        <v>0</v>
      </c>
      <c r="AY20" s="1">
        <f>'DRE NOVAS PARCERIAS CAIXA'!AY14</f>
        <v>0</v>
      </c>
      <c r="AZ20" s="1">
        <f>'DRE NOVAS PARCERIAS CAIXA'!AZ14</f>
        <v>0</v>
      </c>
      <c r="BA20" s="1">
        <f>'DRE NOVAS PARCERIAS CAIXA'!BA14</f>
        <v>0</v>
      </c>
      <c r="BB20"/>
      <c r="BC20"/>
      <c r="BD20"/>
      <c r="BE20"/>
      <c r="BF20"/>
      <c r="BG20"/>
      <c r="BH20"/>
    </row>
    <row r="21" spans="1:60">
      <c r="B21" t="s">
        <v>573</v>
      </c>
      <c r="C21" s="1">
        <f>SUM('DRE NOVAS PARCERIAS CAIXA'!C32,'DRE NOVAS PARCERIAS CAIXA'!C42,'DRE NOVAS PARCERIAS CAIXA'!C33)+'DRE NOVAS PARCERIAS CAIXA'!C54</f>
        <v>0</v>
      </c>
      <c r="D21" s="1">
        <f>SUM('DRE NOVAS PARCERIAS CAIXA'!D32,'DRE NOVAS PARCERIAS CAIXA'!D42,'DRE NOVAS PARCERIAS CAIXA'!D33)+'DRE NOVAS PARCERIAS CAIXA'!D54</f>
        <v>0</v>
      </c>
      <c r="E21" s="1">
        <f>SUM('DRE NOVAS PARCERIAS CAIXA'!E32,'DRE NOVAS PARCERIAS CAIXA'!E42,'DRE NOVAS PARCERIAS CAIXA'!E33)+'DRE NOVAS PARCERIAS CAIXA'!E54</f>
        <v>0</v>
      </c>
      <c r="F21" s="1">
        <f>SUM('DRE NOVAS PARCERIAS CAIXA'!F32,'DRE NOVAS PARCERIAS CAIXA'!F42,'DRE NOVAS PARCERIAS CAIXA'!F33)+'DRE NOVAS PARCERIAS CAIXA'!F54</f>
        <v>0</v>
      </c>
      <c r="G21" s="1">
        <f>SUM('DRE NOVAS PARCERIAS CAIXA'!G32,'DRE NOVAS PARCERIAS CAIXA'!G42,'DRE NOVAS PARCERIAS CAIXA'!G33)+'DRE NOVAS PARCERIAS CAIXA'!G54</f>
        <v>0</v>
      </c>
      <c r="H21" s="1">
        <f>SUM('DRE NOVAS PARCERIAS CAIXA'!H32,'DRE NOVAS PARCERIAS CAIXA'!H42,'DRE NOVAS PARCERIAS CAIXA'!H33)+'DRE NOVAS PARCERIAS CAIXA'!H54</f>
        <v>0</v>
      </c>
      <c r="I21" s="1">
        <f>SUM('DRE NOVAS PARCERIAS CAIXA'!I32,'DRE NOVAS PARCERIAS CAIXA'!I42,'DRE NOVAS PARCERIAS CAIXA'!I33)+'DRE NOVAS PARCERIAS CAIXA'!I54</f>
        <v>0</v>
      </c>
      <c r="J21" s="1">
        <f>SUM('DRE NOVAS PARCERIAS CAIXA'!J32,'DRE NOVAS PARCERIAS CAIXA'!J42,'DRE NOVAS PARCERIAS CAIXA'!J33)+'DRE NOVAS PARCERIAS CAIXA'!J54</f>
        <v>0</v>
      </c>
      <c r="K21" s="1">
        <f>SUM('DRE NOVAS PARCERIAS CAIXA'!K32,'DRE NOVAS PARCERIAS CAIXA'!K42,'DRE NOVAS PARCERIAS CAIXA'!K33)+'DRE NOVAS PARCERIAS CAIXA'!K54</f>
        <v>0</v>
      </c>
      <c r="L21" s="1">
        <f>SUM('DRE NOVAS PARCERIAS CAIXA'!L32,'DRE NOVAS PARCERIAS CAIXA'!L42,'DRE NOVAS PARCERIAS CAIXA'!L33)+'DRE NOVAS PARCERIAS CAIXA'!L54</f>
        <v>0</v>
      </c>
      <c r="M21" s="1">
        <f>SUM('DRE NOVAS PARCERIAS CAIXA'!M32,'DRE NOVAS PARCERIAS CAIXA'!M42,'DRE NOVAS PARCERIAS CAIXA'!M33)+'DRE NOVAS PARCERIAS CAIXA'!M54</f>
        <v>0</v>
      </c>
      <c r="N21" s="1">
        <f>SUM('DRE NOVAS PARCERIAS CAIXA'!N32,'DRE NOVAS PARCERIAS CAIXA'!N42,'DRE NOVAS PARCERIAS CAIXA'!N33)+'DRE NOVAS PARCERIAS CAIXA'!N54</f>
        <v>0</v>
      </c>
      <c r="O21" s="1">
        <f>SUM('DRE NOVAS PARCERIAS CAIXA'!O32,'DRE NOVAS PARCERIAS CAIXA'!O42,'DRE NOVAS PARCERIAS CAIXA'!O33)+'DRE NOVAS PARCERIAS CAIXA'!O54</f>
        <v>0</v>
      </c>
      <c r="P21" s="1">
        <f>SUM('DRE NOVAS PARCERIAS CAIXA'!P32,'DRE NOVAS PARCERIAS CAIXA'!P42,'DRE NOVAS PARCERIAS CAIXA'!P33)+'DRE NOVAS PARCERIAS CAIXA'!P54</f>
        <v>0</v>
      </c>
      <c r="Q21" s="1">
        <f>SUM('DRE NOVAS PARCERIAS CAIXA'!Q32,'DRE NOVAS PARCERIAS CAIXA'!Q42,'DRE NOVAS PARCERIAS CAIXA'!Q33)+'DRE NOVAS PARCERIAS CAIXA'!Q54</f>
        <v>0</v>
      </c>
      <c r="R21" s="1">
        <f>SUM('DRE NOVAS PARCERIAS CAIXA'!R32,'DRE NOVAS PARCERIAS CAIXA'!R42,'DRE NOVAS PARCERIAS CAIXA'!R33)+'DRE NOVAS PARCERIAS CAIXA'!R54</f>
        <v>0</v>
      </c>
      <c r="S21" s="1">
        <f>SUM('DRE NOVAS PARCERIAS CAIXA'!S32,'DRE NOVAS PARCERIAS CAIXA'!S42,'DRE NOVAS PARCERIAS CAIXA'!S33)+'DRE NOVAS PARCERIAS CAIXA'!S54</f>
        <v>0</v>
      </c>
      <c r="T21" s="1">
        <f>SUM('DRE NOVAS PARCERIAS CAIXA'!T32,'DRE NOVAS PARCERIAS CAIXA'!T42,'DRE NOVAS PARCERIAS CAIXA'!T33)+'DRE NOVAS PARCERIAS CAIXA'!T54</f>
        <v>0</v>
      </c>
      <c r="U21" s="1">
        <f>SUM('DRE NOVAS PARCERIAS CAIXA'!U32,'DRE NOVAS PARCERIAS CAIXA'!U42,'DRE NOVAS PARCERIAS CAIXA'!U33)+'DRE NOVAS PARCERIAS CAIXA'!U54</f>
        <v>0</v>
      </c>
      <c r="V21" s="1">
        <f>SUM('DRE NOVAS PARCERIAS CAIXA'!V32,'DRE NOVAS PARCERIAS CAIXA'!V42,'DRE NOVAS PARCERIAS CAIXA'!V33)+'DRE NOVAS PARCERIAS CAIXA'!V54</f>
        <v>0</v>
      </c>
      <c r="W21" s="1">
        <f>SUM('DRE NOVAS PARCERIAS CAIXA'!W32,'DRE NOVAS PARCERIAS CAIXA'!W42,'DRE NOVAS PARCERIAS CAIXA'!W33)+'DRE NOVAS PARCERIAS CAIXA'!W54</f>
        <v>0</v>
      </c>
      <c r="X21" s="1">
        <f>SUM('DRE NOVAS PARCERIAS CAIXA'!X32,'DRE NOVAS PARCERIAS CAIXA'!X42,'DRE NOVAS PARCERIAS CAIXA'!X33)+'DRE NOVAS PARCERIAS CAIXA'!X54</f>
        <v>0</v>
      </c>
      <c r="Y21" s="1">
        <f>SUM('DRE NOVAS PARCERIAS CAIXA'!Y32,'DRE NOVAS PARCERIAS CAIXA'!Y42,'DRE NOVAS PARCERIAS CAIXA'!Y33)+'DRE NOVAS PARCERIAS CAIXA'!Y54</f>
        <v>0</v>
      </c>
      <c r="Z21" s="1">
        <f>SUM('DRE NOVAS PARCERIAS CAIXA'!Z32,'DRE NOVAS PARCERIAS CAIXA'!Z42,'DRE NOVAS PARCERIAS CAIXA'!Z33)+'DRE NOVAS PARCERIAS CAIXA'!Z54</f>
        <v>0</v>
      </c>
      <c r="AA21" s="1">
        <f>SUM('DRE NOVAS PARCERIAS CAIXA'!AA32,'DRE NOVAS PARCERIAS CAIXA'!AA42,'DRE NOVAS PARCERIAS CAIXA'!AA33)+'DRE NOVAS PARCERIAS CAIXA'!AA54</f>
        <v>0</v>
      </c>
      <c r="AB21" s="1">
        <f>SUM('DRE NOVAS PARCERIAS CAIXA'!AB32,'DRE NOVAS PARCERIAS CAIXA'!AB42,'DRE NOVAS PARCERIAS CAIXA'!AB33)+'DRE NOVAS PARCERIAS CAIXA'!AB54</f>
        <v>1185991.1308099956</v>
      </c>
      <c r="AC21" s="1">
        <f>SUM('DRE NOVAS PARCERIAS CAIXA'!AC32,'DRE NOVAS PARCERIAS CAIXA'!AC42,'DRE NOVAS PARCERIAS CAIXA'!AC33)+'DRE NOVAS PARCERIAS CAIXA'!AC54</f>
        <v>1121856.6558000031</v>
      </c>
      <c r="AD21" s="1">
        <f>SUM('DRE NOVAS PARCERIAS CAIXA'!AD32,'DRE NOVAS PARCERIAS CAIXA'!AD42,'DRE NOVAS PARCERIAS CAIXA'!AD33)+'DRE NOVAS PARCERIAS CAIXA'!AD54</f>
        <v>1135554.1376500027</v>
      </c>
      <c r="AE21" s="1">
        <f>SUM('DRE NOVAS PARCERIAS CAIXA'!AE32,'DRE NOVAS PARCERIAS CAIXA'!AE42,'DRE NOVAS PARCERIAS CAIXA'!AE33)+'DRE NOVAS PARCERIAS CAIXA'!AE54</f>
        <v>1062357.0050399997</v>
      </c>
      <c r="AF21" s="1">
        <f>SUM('DRE NOVAS PARCERIAS CAIXA'!AF32,'DRE NOVAS PARCERIAS CAIXA'!AF42,'DRE NOVAS PARCERIAS CAIXA'!AF33)+'DRE NOVAS PARCERIAS CAIXA'!AF54</f>
        <v>4505758.9293000009</v>
      </c>
      <c r="AG21" s="1">
        <f>SUM('DRE NOVAS PARCERIAS CAIXA'!AG32,'DRE NOVAS PARCERIAS CAIXA'!AG42,'DRE NOVAS PARCERIAS CAIXA'!AG33)+'DRE NOVAS PARCERIAS CAIXA'!AG54</f>
        <v>1049950</v>
      </c>
      <c r="AH21" s="1">
        <f>SUM('DRE NOVAS PARCERIAS CAIXA'!AH32,'DRE NOVAS PARCERIAS CAIXA'!AH42,'DRE NOVAS PARCERIAS CAIXA'!AH33)+'DRE NOVAS PARCERIAS CAIXA'!AH54</f>
        <v>1044725</v>
      </c>
      <c r="AI21" s="1">
        <f>SUM('DRE NOVAS PARCERIAS CAIXA'!AI32,'DRE NOVAS PARCERIAS CAIXA'!AI42,'DRE NOVAS PARCERIAS CAIXA'!AI33)+'DRE NOVAS PARCERIAS CAIXA'!AI54</f>
        <v>1056187</v>
      </c>
      <c r="AJ21" s="1">
        <f>SUM('DRE NOVAS PARCERIAS CAIXA'!AJ32,'DRE NOVAS PARCERIAS CAIXA'!AJ42,'DRE NOVAS PARCERIAS CAIXA'!AJ33)+'DRE NOVAS PARCERIAS CAIXA'!AJ54</f>
        <v>1024546</v>
      </c>
      <c r="AK21" s="1">
        <f>SUM('DRE NOVAS PARCERIAS CAIXA'!AK32,'DRE NOVAS PARCERIAS CAIXA'!AK42,'DRE NOVAS PARCERIAS CAIXA'!AK33)+'DRE NOVAS PARCERIAS CAIXA'!AK54</f>
        <v>4175408</v>
      </c>
      <c r="AL21" s="1">
        <f>SUM('DRE NOVAS PARCERIAS CAIXA'!AL32,'DRE NOVAS PARCERIAS CAIXA'!AL42,'DRE NOVAS PARCERIAS CAIXA'!AL33)+'DRE NOVAS PARCERIAS CAIXA'!AL54</f>
        <v>1018708</v>
      </c>
      <c r="AM21" s="1">
        <f>SUM('DRE NOVAS PARCERIAS CAIXA'!AM32,'DRE NOVAS PARCERIAS CAIXA'!AM42,'DRE NOVAS PARCERIAS CAIXA'!AM33)+'DRE NOVAS PARCERIAS CAIXA'!AM54</f>
        <v>1006364</v>
      </c>
      <c r="AN21" s="1">
        <f>SUM('DRE NOVAS PARCERIAS CAIXA'!AN32,'DRE NOVAS PARCERIAS CAIXA'!AN42,'DRE NOVAS PARCERIAS CAIXA'!AN33)+'DRE NOVAS PARCERIAS CAIXA'!AN54</f>
        <v>973425</v>
      </c>
      <c r="AO21" s="1">
        <f>SUM('DRE NOVAS PARCERIAS CAIXA'!AO32,'DRE NOVAS PARCERIAS CAIXA'!AO42,'DRE NOVAS PARCERIAS CAIXA'!AO33)+'DRE NOVAS PARCERIAS CAIXA'!AO54</f>
        <v>929793</v>
      </c>
      <c r="AP21" s="1">
        <f>SUM('DRE NOVAS PARCERIAS CAIXA'!AP32,'DRE NOVAS PARCERIAS CAIXA'!AP42,'DRE NOVAS PARCERIAS CAIXA'!AP33)+'DRE NOVAS PARCERIAS CAIXA'!AP54</f>
        <v>3928290</v>
      </c>
      <c r="AQ21" s="1">
        <f>SUM('DRE NOVAS PARCERIAS CAIXA'!AQ32,'DRE NOVAS PARCERIAS CAIXA'!AQ42,'DRE NOVAS PARCERIAS CAIXA'!AQ33)+'DRE NOVAS PARCERIAS CAIXA'!AQ54</f>
        <v>908721</v>
      </c>
      <c r="AR21" s="1">
        <f>SUM('DRE NOVAS PARCERIAS CAIXA'!AR32,'DRE NOVAS PARCERIAS CAIXA'!AR42,'DRE NOVAS PARCERIAS CAIXA'!AR33)+'DRE NOVAS PARCERIAS CAIXA'!AR54</f>
        <v>911723</v>
      </c>
      <c r="AS21" s="1">
        <f>SUM('DRE NOVAS PARCERIAS CAIXA'!AS32,'DRE NOVAS PARCERIAS CAIXA'!AS42,'DRE NOVAS PARCERIAS CAIXA'!AS33)+'DRE NOVAS PARCERIAS CAIXA'!AS54</f>
        <v>1138372</v>
      </c>
      <c r="AT21" s="1">
        <f>SUM('DRE NOVAS PARCERIAS CAIXA'!AT32,'DRE NOVAS PARCERIAS CAIXA'!AT42,'DRE NOVAS PARCERIAS CAIXA'!AT33)+'DRE NOVAS PARCERIAS CAIXA'!AT54</f>
        <v>1561983</v>
      </c>
      <c r="AU21" s="1">
        <f>SUM('DRE NOVAS PARCERIAS CAIXA'!AU32,'DRE NOVAS PARCERIAS CAIXA'!AU42,'DRE NOVAS PARCERIAS CAIXA'!AU33)+'DRE NOVAS PARCERIAS CAIXA'!AU54</f>
        <v>4520799</v>
      </c>
      <c r="AV21" s="1">
        <f>SUM('DRE NOVAS PARCERIAS CAIXA'!AV32,'DRE NOVAS PARCERIAS CAIXA'!AV42,'DRE NOVAS PARCERIAS CAIXA'!AV33)+'DRE NOVAS PARCERIAS CAIXA'!AV54</f>
        <v>1543964</v>
      </c>
      <c r="AW21" s="1">
        <f>SUM('DRE NOVAS PARCERIAS CAIXA'!AW32,'DRE NOVAS PARCERIAS CAIXA'!AW42,'DRE NOVAS PARCERIAS CAIXA'!AW33)+'DRE NOVAS PARCERIAS CAIXA'!AW54</f>
        <v>1544689</v>
      </c>
      <c r="AX21" s="1">
        <f>SUM('DRE NOVAS PARCERIAS CAIXA'!AX32,'DRE NOVAS PARCERIAS CAIXA'!AX42,'DRE NOVAS PARCERIAS CAIXA'!AX33)+'DRE NOVAS PARCERIAS CAIXA'!AX54</f>
        <v>1600376</v>
      </c>
      <c r="AY21" s="1">
        <f>SUM('DRE NOVAS PARCERIAS CAIXA'!AY32,'DRE NOVAS PARCERIAS CAIXA'!AY42,'DRE NOVAS PARCERIAS CAIXA'!AY33)+'DRE NOVAS PARCERIAS CAIXA'!AY54</f>
        <v>1590099</v>
      </c>
      <c r="AZ21" s="1">
        <f>SUM('DRE NOVAS PARCERIAS CAIXA'!AZ32,'DRE NOVAS PARCERIAS CAIXA'!AZ42,'DRE NOVAS PARCERIAS CAIXA'!AZ33)+'DRE NOVAS PARCERIAS CAIXA'!AZ54</f>
        <v>6279128</v>
      </c>
      <c r="BA21" s="1">
        <f>SUM('DRE NOVAS PARCERIAS CAIXA'!BA32,'DRE NOVAS PARCERIAS CAIXA'!BA42,'DRE NOVAS PARCERIAS CAIXA'!BA33)+'DRE NOVAS PARCERIAS CAIXA'!BA54</f>
        <v>1563816</v>
      </c>
      <c r="BB21"/>
      <c r="BC21"/>
      <c r="BD21"/>
      <c r="BE21"/>
      <c r="BF21"/>
      <c r="BG21"/>
      <c r="BH21"/>
    </row>
    <row r="22" spans="1:60">
      <c r="B22" t="s">
        <v>574</v>
      </c>
      <c r="C22" s="1">
        <f>'DRE NOVAS PARCERIAS CAIXA'!C70+'DRE NOVAS PARCERIAS CAIXA'!C83</f>
        <v>0</v>
      </c>
      <c r="D22" s="1">
        <f>'DRE NOVAS PARCERIAS CAIXA'!D70+'DRE NOVAS PARCERIAS CAIXA'!D83</f>
        <v>0</v>
      </c>
      <c r="E22" s="1">
        <f>'DRE NOVAS PARCERIAS CAIXA'!E70+'DRE NOVAS PARCERIAS CAIXA'!E83</f>
        <v>0</v>
      </c>
      <c r="F22" s="1">
        <f>'DRE NOVAS PARCERIAS CAIXA'!F70+'DRE NOVAS PARCERIAS CAIXA'!F83</f>
        <v>0</v>
      </c>
      <c r="G22" s="1">
        <f>'DRE NOVAS PARCERIAS CAIXA'!G70+'DRE NOVAS PARCERIAS CAIXA'!G83</f>
        <v>0</v>
      </c>
      <c r="H22" s="1">
        <f>'DRE NOVAS PARCERIAS CAIXA'!H70+'DRE NOVAS PARCERIAS CAIXA'!H83</f>
        <v>0</v>
      </c>
      <c r="I22" s="1">
        <f>'DRE NOVAS PARCERIAS CAIXA'!I70+'DRE NOVAS PARCERIAS CAIXA'!I83</f>
        <v>0</v>
      </c>
      <c r="J22" s="1">
        <f>'DRE NOVAS PARCERIAS CAIXA'!J70+'DRE NOVAS PARCERIAS CAIXA'!J83</f>
        <v>0</v>
      </c>
      <c r="K22" s="1">
        <f>'DRE NOVAS PARCERIAS CAIXA'!K70+'DRE NOVAS PARCERIAS CAIXA'!K83</f>
        <v>0</v>
      </c>
      <c r="L22" s="1">
        <f>'DRE NOVAS PARCERIAS CAIXA'!L70+'DRE NOVAS PARCERIAS CAIXA'!L83</f>
        <v>0</v>
      </c>
      <c r="M22" s="1">
        <f>'DRE NOVAS PARCERIAS CAIXA'!M70+'DRE NOVAS PARCERIAS CAIXA'!M83</f>
        <v>0</v>
      </c>
      <c r="N22" s="1">
        <f>'DRE NOVAS PARCERIAS CAIXA'!N70+'DRE NOVAS PARCERIAS CAIXA'!N83</f>
        <v>0</v>
      </c>
      <c r="O22" s="1">
        <f>'DRE NOVAS PARCERIAS CAIXA'!O70+'DRE NOVAS PARCERIAS CAIXA'!O83</f>
        <v>0</v>
      </c>
      <c r="P22" s="1">
        <f>'DRE NOVAS PARCERIAS CAIXA'!P70+'DRE NOVAS PARCERIAS CAIXA'!P83</f>
        <v>0</v>
      </c>
      <c r="Q22" s="1">
        <f>'DRE NOVAS PARCERIAS CAIXA'!Q70+'DRE NOVAS PARCERIAS CAIXA'!Q83</f>
        <v>0</v>
      </c>
      <c r="R22" s="1">
        <f>'DRE NOVAS PARCERIAS CAIXA'!R70+'DRE NOVAS PARCERIAS CAIXA'!R83</f>
        <v>0</v>
      </c>
      <c r="S22" s="1">
        <f>'DRE NOVAS PARCERIAS CAIXA'!S70+'DRE NOVAS PARCERIAS CAIXA'!S83</f>
        <v>0</v>
      </c>
      <c r="T22" s="1">
        <f>'DRE NOVAS PARCERIAS CAIXA'!T70+'DRE NOVAS PARCERIAS CAIXA'!T83</f>
        <v>0</v>
      </c>
      <c r="U22" s="1">
        <f>'DRE NOVAS PARCERIAS CAIXA'!U70+'DRE NOVAS PARCERIAS CAIXA'!U83</f>
        <v>0</v>
      </c>
      <c r="V22" s="1">
        <f>'DRE NOVAS PARCERIAS CAIXA'!V70+'DRE NOVAS PARCERIAS CAIXA'!V83</f>
        <v>0</v>
      </c>
      <c r="W22" s="1">
        <f>'DRE NOVAS PARCERIAS CAIXA'!W70+'DRE NOVAS PARCERIAS CAIXA'!W83</f>
        <v>0</v>
      </c>
      <c r="X22" s="1">
        <f>'DRE NOVAS PARCERIAS CAIXA'!X70+'DRE NOVAS PARCERIAS CAIXA'!X83</f>
        <v>0</v>
      </c>
      <c r="Y22" s="1">
        <f>'DRE NOVAS PARCERIAS CAIXA'!Y70+'DRE NOVAS PARCERIAS CAIXA'!Y83</f>
        <v>0</v>
      </c>
      <c r="Z22" s="1">
        <f>'DRE NOVAS PARCERIAS CAIXA'!Z70+'DRE NOVAS PARCERIAS CAIXA'!Z83</f>
        <v>0</v>
      </c>
      <c r="AA22" s="1">
        <f>'DRE NOVAS PARCERIAS CAIXA'!AA70+'DRE NOVAS PARCERIAS CAIXA'!AA83</f>
        <v>0</v>
      </c>
      <c r="AB22" s="1">
        <f>'DRE NOVAS PARCERIAS CAIXA'!AB70+'DRE NOVAS PARCERIAS CAIXA'!AB83</f>
        <v>31314.533550000167</v>
      </c>
      <c r="AC22" s="1">
        <f>'DRE NOVAS PARCERIAS CAIXA'!AC70+'DRE NOVAS PARCERIAS CAIXA'!AC83</f>
        <v>89128.386880000005</v>
      </c>
      <c r="AD22" s="1">
        <f>'DRE NOVAS PARCERIAS CAIXA'!AD70+'DRE NOVAS PARCERIAS CAIXA'!AD83</f>
        <v>162749.82592999958</v>
      </c>
      <c r="AE22" s="1">
        <f>'DRE NOVAS PARCERIAS CAIXA'!AE70+'DRE NOVAS PARCERIAS CAIXA'!AE83</f>
        <v>227710.12091000023</v>
      </c>
      <c r="AF22" s="1">
        <f>'DRE NOVAS PARCERIAS CAIXA'!AF70+'DRE NOVAS PARCERIAS CAIXA'!AF83</f>
        <v>510902.86726999999</v>
      </c>
      <c r="AG22" s="1">
        <f>'DRE NOVAS PARCERIAS CAIXA'!AG70+'DRE NOVAS PARCERIAS CAIXA'!AG83</f>
        <v>277295</v>
      </c>
      <c r="AH22" s="1">
        <f>'DRE NOVAS PARCERIAS CAIXA'!AH70+'DRE NOVAS PARCERIAS CAIXA'!AH83</f>
        <v>328028</v>
      </c>
      <c r="AI22" s="1">
        <f>'DRE NOVAS PARCERIAS CAIXA'!AI70+'DRE NOVAS PARCERIAS CAIXA'!AI83</f>
        <v>388932</v>
      </c>
      <c r="AJ22" s="1">
        <f>'DRE NOVAS PARCERIAS CAIXA'!AJ70+'DRE NOVAS PARCERIAS CAIXA'!AJ83</f>
        <v>435393</v>
      </c>
      <c r="AK22" s="1">
        <f>'DRE NOVAS PARCERIAS CAIXA'!AK70+'DRE NOVAS PARCERIAS CAIXA'!AK83</f>
        <v>1429648</v>
      </c>
      <c r="AL22" s="1">
        <f>'DRE NOVAS PARCERIAS CAIXA'!AL70+'DRE NOVAS PARCERIAS CAIXA'!AL83</f>
        <v>470004</v>
      </c>
      <c r="AM22" s="1">
        <f>'DRE NOVAS PARCERIAS CAIXA'!AM70+'DRE NOVAS PARCERIAS CAIXA'!AM83</f>
        <v>519553</v>
      </c>
      <c r="AN22" s="1">
        <f>'DRE NOVAS PARCERIAS CAIXA'!AN70+'DRE NOVAS PARCERIAS CAIXA'!AN83</f>
        <v>548605</v>
      </c>
      <c r="AO22" s="1">
        <f>'DRE NOVAS PARCERIAS CAIXA'!AO70+'DRE NOVAS PARCERIAS CAIXA'!AO83</f>
        <v>588151</v>
      </c>
      <c r="AP22" s="1">
        <f>'DRE NOVAS PARCERIAS CAIXA'!AP70+'DRE NOVAS PARCERIAS CAIXA'!AP83</f>
        <v>2126313</v>
      </c>
      <c r="AQ22" s="1">
        <f>'DRE NOVAS PARCERIAS CAIXA'!AQ70+'DRE NOVAS PARCERIAS CAIXA'!AQ83</f>
        <v>607436</v>
      </c>
      <c r="AR22" s="1">
        <f>'DRE NOVAS PARCERIAS CAIXA'!AR70+'DRE NOVAS PARCERIAS CAIXA'!AR83</f>
        <v>627158</v>
      </c>
      <c r="AS22" s="1">
        <f>'DRE NOVAS PARCERIAS CAIXA'!AS70+'DRE NOVAS PARCERIAS CAIXA'!AS83</f>
        <v>435548</v>
      </c>
      <c r="AT22" s="1">
        <f>'DRE NOVAS PARCERIAS CAIXA'!AT70+'DRE NOVAS PARCERIAS CAIXA'!AT83</f>
        <v>0</v>
      </c>
      <c r="AU22" s="1">
        <f>'DRE NOVAS PARCERIAS CAIXA'!AU70+'DRE NOVAS PARCERIAS CAIXA'!AU83</f>
        <v>1670142</v>
      </c>
      <c r="AV22" s="1">
        <f>'DRE NOVAS PARCERIAS CAIXA'!AV70+'DRE NOVAS PARCERIAS CAIXA'!AV83</f>
        <v>0</v>
      </c>
      <c r="AW22" s="1">
        <f>'DRE NOVAS PARCERIAS CAIXA'!AW70+'DRE NOVAS PARCERIAS CAIXA'!AW83</f>
        <v>0</v>
      </c>
      <c r="AX22" s="1">
        <f>'DRE NOVAS PARCERIAS CAIXA'!AX70+'DRE NOVAS PARCERIAS CAIXA'!AX83</f>
        <v>0</v>
      </c>
      <c r="AY22" s="1">
        <f>'DRE NOVAS PARCERIAS CAIXA'!AY70+'DRE NOVAS PARCERIAS CAIXA'!AY83</f>
        <v>0</v>
      </c>
      <c r="AZ22" s="1">
        <f>'DRE NOVAS PARCERIAS CAIXA'!AZ70+'DRE NOVAS PARCERIAS CAIXA'!AZ83</f>
        <v>0</v>
      </c>
      <c r="BA22" s="1">
        <f>'DRE NOVAS PARCERIAS CAIXA'!BA70+'DRE NOVAS PARCERIAS CAIXA'!BA83</f>
        <v>0</v>
      </c>
      <c r="BB22"/>
      <c r="BC22"/>
      <c r="BD22"/>
      <c r="BE22"/>
      <c r="BF22"/>
      <c r="BG22"/>
      <c r="BH22"/>
    </row>
    <row r="23" spans="1:60">
      <c r="B23" t="s">
        <v>575</v>
      </c>
      <c r="C23" s="1">
        <f>'DRE NOVAS PARCERIAS CAIXA'!C123+'DRE NOVAS PARCERIAS CAIXA'!C135</f>
        <v>0</v>
      </c>
      <c r="D23" s="1">
        <f>'DRE NOVAS PARCERIAS CAIXA'!D123+'DRE NOVAS PARCERIAS CAIXA'!D135</f>
        <v>0</v>
      </c>
      <c r="E23" s="1">
        <f>'DRE NOVAS PARCERIAS CAIXA'!E123+'DRE NOVAS PARCERIAS CAIXA'!E135</f>
        <v>0</v>
      </c>
      <c r="F23" s="1">
        <f>'DRE NOVAS PARCERIAS CAIXA'!F123+'DRE NOVAS PARCERIAS CAIXA'!F135</f>
        <v>0</v>
      </c>
      <c r="G23" s="1">
        <f>'DRE NOVAS PARCERIAS CAIXA'!G123+'DRE NOVAS PARCERIAS CAIXA'!G135</f>
        <v>0</v>
      </c>
      <c r="H23" s="1">
        <f>'DRE NOVAS PARCERIAS CAIXA'!H123+'DRE NOVAS PARCERIAS CAIXA'!H135</f>
        <v>0</v>
      </c>
      <c r="I23" s="1">
        <f>'DRE NOVAS PARCERIAS CAIXA'!I123+'DRE NOVAS PARCERIAS CAIXA'!I135</f>
        <v>0</v>
      </c>
      <c r="J23" s="1">
        <f>'DRE NOVAS PARCERIAS CAIXA'!J123+'DRE NOVAS PARCERIAS CAIXA'!J135</f>
        <v>0</v>
      </c>
      <c r="K23" s="1">
        <f>'DRE NOVAS PARCERIAS CAIXA'!K123+'DRE NOVAS PARCERIAS CAIXA'!K135</f>
        <v>0</v>
      </c>
      <c r="L23" s="1">
        <f>'DRE NOVAS PARCERIAS CAIXA'!L123+'DRE NOVAS PARCERIAS CAIXA'!L135</f>
        <v>0</v>
      </c>
      <c r="M23" s="1">
        <f>'DRE NOVAS PARCERIAS CAIXA'!M123+'DRE NOVAS PARCERIAS CAIXA'!M135</f>
        <v>0</v>
      </c>
      <c r="N23" s="1">
        <f>'DRE NOVAS PARCERIAS CAIXA'!N123+'DRE NOVAS PARCERIAS CAIXA'!N135</f>
        <v>0</v>
      </c>
      <c r="O23" s="1">
        <f>'DRE NOVAS PARCERIAS CAIXA'!O123+'DRE NOVAS PARCERIAS CAIXA'!O135</f>
        <v>0</v>
      </c>
      <c r="P23" s="1">
        <f>'DRE NOVAS PARCERIAS CAIXA'!P123+'DRE NOVAS PARCERIAS CAIXA'!P135</f>
        <v>0</v>
      </c>
      <c r="Q23" s="1">
        <f>'DRE NOVAS PARCERIAS CAIXA'!Q123+'DRE NOVAS PARCERIAS CAIXA'!Q135</f>
        <v>0</v>
      </c>
      <c r="R23" s="1">
        <f>'DRE NOVAS PARCERIAS CAIXA'!R123+'DRE NOVAS PARCERIAS CAIXA'!R135</f>
        <v>0</v>
      </c>
      <c r="S23" s="1">
        <f>'DRE NOVAS PARCERIAS CAIXA'!S123+'DRE NOVAS PARCERIAS CAIXA'!S135</f>
        <v>0</v>
      </c>
      <c r="T23" s="1">
        <f>'DRE NOVAS PARCERIAS CAIXA'!T123+'DRE NOVAS PARCERIAS CAIXA'!T135</f>
        <v>0</v>
      </c>
      <c r="U23" s="1">
        <f>'DRE NOVAS PARCERIAS CAIXA'!U123+'DRE NOVAS PARCERIAS CAIXA'!U135</f>
        <v>0</v>
      </c>
      <c r="V23" s="1">
        <f>'DRE NOVAS PARCERIAS CAIXA'!V123+'DRE NOVAS PARCERIAS CAIXA'!V135</f>
        <v>0</v>
      </c>
      <c r="W23" s="1">
        <f>'DRE NOVAS PARCERIAS CAIXA'!W123+'DRE NOVAS PARCERIAS CAIXA'!W135</f>
        <v>0</v>
      </c>
      <c r="X23" s="1">
        <f>'DRE NOVAS PARCERIAS CAIXA'!X123+'DRE NOVAS PARCERIAS CAIXA'!X135</f>
        <v>0</v>
      </c>
      <c r="Y23" s="1">
        <f>'DRE NOVAS PARCERIAS CAIXA'!Y123+'DRE NOVAS PARCERIAS CAIXA'!Y135</f>
        <v>0</v>
      </c>
      <c r="Z23" s="1">
        <f>'DRE NOVAS PARCERIAS CAIXA'!Z123+'DRE NOVAS PARCERIAS CAIXA'!Z135</f>
        <v>0</v>
      </c>
      <c r="AA23" s="1">
        <f>'DRE NOVAS PARCERIAS CAIXA'!AA123+'DRE NOVAS PARCERIAS CAIXA'!AA135</f>
        <v>0</v>
      </c>
      <c r="AB23" s="1">
        <f>'DRE NOVAS PARCERIAS CAIXA'!AB123+'DRE NOVAS PARCERIAS CAIXA'!AB135</f>
        <v>4413.0570400000142</v>
      </c>
      <c r="AC23" s="1">
        <f>'DRE NOVAS PARCERIAS CAIXA'!AC123+'DRE NOVAS PARCERIAS CAIXA'!AC135</f>
        <v>37767.325870000001</v>
      </c>
      <c r="AD23" s="1">
        <f>'DRE NOVAS PARCERIAS CAIXA'!AD123+'DRE NOVAS PARCERIAS CAIXA'!AD135</f>
        <v>89062.051669999986</v>
      </c>
      <c r="AE23" s="1">
        <f>'DRE NOVAS PARCERIAS CAIXA'!AE123+'DRE NOVAS PARCERIAS CAIXA'!AE135</f>
        <v>137517.44441000003</v>
      </c>
      <c r="AF23" s="1">
        <f>'DRE NOVAS PARCERIAS CAIXA'!AF123+'DRE NOVAS PARCERIAS CAIXA'!AF135</f>
        <v>268759.87899</v>
      </c>
      <c r="AG23" s="1">
        <f>'DRE NOVAS PARCERIAS CAIXA'!AG123+'DRE NOVAS PARCERIAS CAIXA'!AG135</f>
        <v>178330</v>
      </c>
      <c r="AH23" s="1">
        <f>'DRE NOVAS PARCERIAS CAIXA'!AH123+'DRE NOVAS PARCERIAS CAIXA'!AH135</f>
        <v>210231</v>
      </c>
      <c r="AI23" s="1">
        <f>'DRE NOVAS PARCERIAS CAIXA'!AI123+'DRE NOVAS PARCERIAS CAIXA'!AI135</f>
        <v>248591</v>
      </c>
      <c r="AJ23" s="1">
        <f>'DRE NOVAS PARCERIAS CAIXA'!AJ123+'DRE NOVAS PARCERIAS CAIXA'!AJ135</f>
        <v>284301</v>
      </c>
      <c r="AK23" s="1">
        <f>'DRE NOVAS PARCERIAS CAIXA'!AK123+'DRE NOVAS PARCERIAS CAIXA'!AK135</f>
        <v>921453</v>
      </c>
      <c r="AL23" s="1">
        <f>'DRE NOVAS PARCERIAS CAIXA'!AL123+'DRE NOVAS PARCERIAS CAIXA'!AL135</f>
        <v>308213</v>
      </c>
      <c r="AM23" s="1">
        <f>'DRE NOVAS PARCERIAS CAIXA'!AM123+'DRE NOVAS PARCERIAS CAIXA'!AM135</f>
        <v>342275</v>
      </c>
      <c r="AN23" s="1">
        <f>'DRE NOVAS PARCERIAS CAIXA'!AN123+'DRE NOVAS PARCERIAS CAIXA'!AN135</f>
        <v>371719</v>
      </c>
      <c r="AO23" s="1">
        <f>'DRE NOVAS PARCERIAS CAIXA'!AO123+'DRE NOVAS PARCERIAS CAIXA'!AO135</f>
        <v>407376</v>
      </c>
      <c r="AP23" s="1">
        <f>'DRE NOVAS PARCERIAS CAIXA'!AP123+'DRE NOVAS PARCERIAS CAIXA'!AP135</f>
        <v>1429583</v>
      </c>
      <c r="AQ23" s="1">
        <f>'DRE NOVAS PARCERIAS CAIXA'!AQ123+'DRE NOVAS PARCERIAS CAIXA'!AQ135</f>
        <v>434432</v>
      </c>
      <c r="AR23" s="1">
        <f>'DRE NOVAS PARCERIAS CAIXA'!AR123+'DRE NOVAS PARCERIAS CAIXA'!AR135</f>
        <v>476763</v>
      </c>
      <c r="AS23" s="1">
        <f>'DRE NOVAS PARCERIAS CAIXA'!AS123+'DRE NOVAS PARCERIAS CAIXA'!AS135</f>
        <v>528532</v>
      </c>
      <c r="AT23" s="1">
        <f>'DRE NOVAS PARCERIAS CAIXA'!AT123+'DRE NOVAS PARCERIAS CAIXA'!AT135</f>
        <v>563586</v>
      </c>
      <c r="AU23" s="1">
        <f>'DRE NOVAS PARCERIAS CAIXA'!AU123+'DRE NOVAS PARCERIAS CAIXA'!AU135</f>
        <v>2003313</v>
      </c>
      <c r="AV23" s="1">
        <f>'DRE NOVAS PARCERIAS CAIXA'!AV123+'DRE NOVAS PARCERIAS CAIXA'!AV135</f>
        <v>593429</v>
      </c>
      <c r="AW23" s="1">
        <f>'DRE NOVAS PARCERIAS CAIXA'!AW123+'DRE NOVAS PARCERIAS CAIXA'!AW135</f>
        <v>634709</v>
      </c>
      <c r="AX23" s="1">
        <f>'DRE NOVAS PARCERIAS CAIXA'!AX123+'DRE NOVAS PARCERIAS CAIXA'!AX135</f>
        <v>682334</v>
      </c>
      <c r="AY23" s="1">
        <f>'DRE NOVAS PARCERIAS CAIXA'!AY123+'DRE NOVAS PARCERIAS CAIXA'!AY135</f>
        <v>725573</v>
      </c>
      <c r="AZ23" s="1">
        <f>'DRE NOVAS PARCERIAS CAIXA'!AZ123+'DRE NOVAS PARCERIAS CAIXA'!AZ135</f>
        <v>2636045</v>
      </c>
      <c r="BA23" s="1">
        <f>'DRE NOVAS PARCERIAS CAIXA'!BA123+'DRE NOVAS PARCERIAS CAIXA'!BA135</f>
        <v>781822</v>
      </c>
      <c r="BB23"/>
      <c r="BC23"/>
      <c r="BD23"/>
      <c r="BE23"/>
      <c r="BF23"/>
      <c r="BG23"/>
      <c r="BH23"/>
    </row>
    <row r="24" spans="1:60">
      <c r="B24" t="s">
        <v>265</v>
      </c>
      <c r="C24" s="1">
        <f>SUM('DRE NOVAS PARCERIAS CAIXA'!C151,'DRE NOVAS PARCERIAS CAIXA'!C154,)+'DRE NOVAS PARCERIAS CAIXA'!C165</f>
        <v>0</v>
      </c>
      <c r="D24" s="1">
        <f>SUM('DRE NOVAS PARCERIAS CAIXA'!D151,'DRE NOVAS PARCERIAS CAIXA'!D154,)+'DRE NOVAS PARCERIAS CAIXA'!D165</f>
        <v>0</v>
      </c>
      <c r="E24" s="1">
        <f>SUM('DRE NOVAS PARCERIAS CAIXA'!E151,'DRE NOVAS PARCERIAS CAIXA'!E154,)+'DRE NOVAS PARCERIAS CAIXA'!E165</f>
        <v>0</v>
      </c>
      <c r="F24" s="1">
        <f>SUM('DRE NOVAS PARCERIAS CAIXA'!F151,'DRE NOVAS PARCERIAS CAIXA'!F154,)+'DRE NOVAS PARCERIAS CAIXA'!F165</f>
        <v>0</v>
      </c>
      <c r="G24" s="1">
        <f>SUM('DRE NOVAS PARCERIAS CAIXA'!G151,'DRE NOVAS PARCERIAS CAIXA'!G154,)+'DRE NOVAS PARCERIAS CAIXA'!G165</f>
        <v>0</v>
      </c>
      <c r="H24" s="1">
        <f>SUM('DRE NOVAS PARCERIAS CAIXA'!H151,'DRE NOVAS PARCERIAS CAIXA'!H154,)+'DRE NOVAS PARCERIAS CAIXA'!H165</f>
        <v>0</v>
      </c>
      <c r="I24" s="1">
        <f>SUM('DRE NOVAS PARCERIAS CAIXA'!I151,'DRE NOVAS PARCERIAS CAIXA'!I154,)+'DRE NOVAS PARCERIAS CAIXA'!I165</f>
        <v>0</v>
      </c>
      <c r="J24" s="1">
        <f>SUM('DRE NOVAS PARCERIAS CAIXA'!J151,'DRE NOVAS PARCERIAS CAIXA'!J154,)+'DRE NOVAS PARCERIAS CAIXA'!J165</f>
        <v>0</v>
      </c>
      <c r="K24" s="1">
        <f>SUM('DRE NOVAS PARCERIAS CAIXA'!K151,'DRE NOVAS PARCERIAS CAIXA'!K154,)+'DRE NOVAS PARCERIAS CAIXA'!K165</f>
        <v>0</v>
      </c>
      <c r="L24" s="1">
        <f>SUM('DRE NOVAS PARCERIAS CAIXA'!L151,'DRE NOVAS PARCERIAS CAIXA'!L154,)+'DRE NOVAS PARCERIAS CAIXA'!L165</f>
        <v>0</v>
      </c>
      <c r="M24" s="1">
        <f>SUM('DRE NOVAS PARCERIAS CAIXA'!M151,'DRE NOVAS PARCERIAS CAIXA'!M154,)+'DRE NOVAS PARCERIAS CAIXA'!M165</f>
        <v>0</v>
      </c>
      <c r="N24" s="1">
        <f>SUM('DRE NOVAS PARCERIAS CAIXA'!N151,'DRE NOVAS PARCERIAS CAIXA'!N154,)+'DRE NOVAS PARCERIAS CAIXA'!N165</f>
        <v>0</v>
      </c>
      <c r="O24" s="1">
        <f>SUM('DRE NOVAS PARCERIAS CAIXA'!O151,'DRE NOVAS PARCERIAS CAIXA'!O154,)+'DRE NOVAS PARCERIAS CAIXA'!O165</f>
        <v>0</v>
      </c>
      <c r="P24" s="1">
        <f>SUM('DRE NOVAS PARCERIAS CAIXA'!P151,'DRE NOVAS PARCERIAS CAIXA'!P154,)+'DRE NOVAS PARCERIAS CAIXA'!P165</f>
        <v>0</v>
      </c>
      <c r="Q24" s="1">
        <f>SUM('DRE NOVAS PARCERIAS CAIXA'!Q151,'DRE NOVAS PARCERIAS CAIXA'!Q154,)+'DRE NOVAS PARCERIAS CAIXA'!Q165</f>
        <v>0</v>
      </c>
      <c r="R24" s="1">
        <f>SUM('DRE NOVAS PARCERIAS CAIXA'!R151,'DRE NOVAS PARCERIAS CAIXA'!R154,)+'DRE NOVAS PARCERIAS CAIXA'!R165</f>
        <v>0</v>
      </c>
      <c r="S24" s="1">
        <f>SUM('DRE NOVAS PARCERIAS CAIXA'!S151,'DRE NOVAS PARCERIAS CAIXA'!S154,)+'DRE NOVAS PARCERIAS CAIXA'!S165</f>
        <v>0</v>
      </c>
      <c r="T24" s="1">
        <f>SUM('DRE NOVAS PARCERIAS CAIXA'!T151,'DRE NOVAS PARCERIAS CAIXA'!T154,)+'DRE NOVAS PARCERIAS CAIXA'!T165</f>
        <v>0</v>
      </c>
      <c r="U24" s="1">
        <f>SUM('DRE NOVAS PARCERIAS CAIXA'!U151,'DRE NOVAS PARCERIAS CAIXA'!U154,)+'DRE NOVAS PARCERIAS CAIXA'!U165</f>
        <v>0</v>
      </c>
      <c r="V24" s="1">
        <f>SUM('DRE NOVAS PARCERIAS CAIXA'!V151,'DRE NOVAS PARCERIAS CAIXA'!V154,)+'DRE NOVAS PARCERIAS CAIXA'!V165</f>
        <v>0</v>
      </c>
      <c r="W24" s="1">
        <f>SUM('DRE NOVAS PARCERIAS CAIXA'!W151,'DRE NOVAS PARCERIAS CAIXA'!W154,)+'DRE NOVAS PARCERIAS CAIXA'!W165</f>
        <v>0</v>
      </c>
      <c r="X24" s="1">
        <f>SUM('DRE NOVAS PARCERIAS CAIXA'!X151,'DRE NOVAS PARCERIAS CAIXA'!X154,)+'DRE NOVAS PARCERIAS CAIXA'!X165</f>
        <v>0</v>
      </c>
      <c r="Y24" s="1">
        <f>SUM('DRE NOVAS PARCERIAS CAIXA'!Y151,'DRE NOVAS PARCERIAS CAIXA'!Y154,)+'DRE NOVAS PARCERIAS CAIXA'!Y165</f>
        <v>0</v>
      </c>
      <c r="Z24" s="1">
        <f>SUM('DRE NOVAS PARCERIAS CAIXA'!Z151,'DRE NOVAS PARCERIAS CAIXA'!Z154,)+'DRE NOVAS PARCERIAS CAIXA'!Z165</f>
        <v>0</v>
      </c>
      <c r="AA24" s="1">
        <f>SUM('DRE NOVAS PARCERIAS CAIXA'!AA151,'DRE NOVAS PARCERIAS CAIXA'!AA154,)+'DRE NOVAS PARCERIAS CAIXA'!AA165</f>
        <v>0</v>
      </c>
      <c r="AB24" s="1">
        <f>SUM('DRE NOVAS PARCERIAS CAIXA'!AB151,'DRE NOVAS PARCERIAS CAIXA'!AB154,)+'DRE NOVAS PARCERIAS CAIXA'!AB165</f>
        <v>0</v>
      </c>
      <c r="AC24" s="1">
        <f>SUM('DRE NOVAS PARCERIAS CAIXA'!AC151,'DRE NOVAS PARCERIAS CAIXA'!AC154,)+'DRE NOVAS PARCERIAS CAIXA'!AC165</f>
        <v>0.48755000000000004</v>
      </c>
      <c r="AD24" s="1">
        <f>SUM('DRE NOVAS PARCERIAS CAIXA'!AD151,'DRE NOVAS PARCERIAS CAIXA'!AD154,)+'DRE NOVAS PARCERIAS CAIXA'!AD165</f>
        <v>21139.705880000001</v>
      </c>
      <c r="AE24" s="1">
        <f>SUM('DRE NOVAS PARCERIAS CAIXA'!AE151,'DRE NOVAS PARCERIAS CAIXA'!AE154,)+'DRE NOVAS PARCERIAS CAIXA'!AE165</f>
        <v>35126.86976999999</v>
      </c>
      <c r="AF24" s="1">
        <f>SUM('DRE NOVAS PARCERIAS CAIXA'!AF151,'DRE NOVAS PARCERIAS CAIXA'!AF154,)+'DRE NOVAS PARCERIAS CAIXA'!AF165</f>
        <v>56267.06319999999</v>
      </c>
      <c r="AG24" s="1">
        <f>SUM('DRE NOVAS PARCERIAS CAIXA'!AG151,'DRE NOVAS PARCERIAS CAIXA'!AG154,)+'DRE NOVAS PARCERIAS CAIXA'!AG165</f>
        <v>39538</v>
      </c>
      <c r="AH24" s="1">
        <f>SUM('DRE NOVAS PARCERIAS CAIXA'!AH151,'DRE NOVAS PARCERIAS CAIXA'!AH154,)+'DRE NOVAS PARCERIAS CAIXA'!AH165</f>
        <v>65849</v>
      </c>
      <c r="AI24" s="1">
        <f>SUM('DRE NOVAS PARCERIAS CAIXA'!AI151,'DRE NOVAS PARCERIAS CAIXA'!AI154,)+'DRE NOVAS PARCERIAS CAIXA'!AI165</f>
        <v>97917</v>
      </c>
      <c r="AJ24" s="1">
        <f>SUM('DRE NOVAS PARCERIAS CAIXA'!AJ151,'DRE NOVAS PARCERIAS CAIXA'!AJ154,)+'DRE NOVAS PARCERIAS CAIXA'!AJ165</f>
        <v>86460</v>
      </c>
      <c r="AK24" s="1">
        <f>SUM('DRE NOVAS PARCERIAS CAIXA'!AK151,'DRE NOVAS PARCERIAS CAIXA'!AK154,)+'DRE NOVAS PARCERIAS CAIXA'!AK165</f>
        <v>289764</v>
      </c>
      <c r="AL24" s="1">
        <f>SUM('DRE NOVAS PARCERIAS CAIXA'!AL151,'DRE NOVAS PARCERIAS CAIXA'!AL154,)+'DRE NOVAS PARCERIAS CAIXA'!AL165</f>
        <v>110229</v>
      </c>
      <c r="AM24" s="1">
        <f>SUM('DRE NOVAS PARCERIAS CAIXA'!AM151,'DRE NOVAS PARCERIAS CAIXA'!AM154,)+'DRE NOVAS PARCERIAS CAIXA'!AM165</f>
        <v>106445</v>
      </c>
      <c r="AN24" s="1">
        <f>SUM('DRE NOVAS PARCERIAS CAIXA'!AN151,'DRE NOVAS PARCERIAS CAIXA'!AN154,)+'DRE NOVAS PARCERIAS CAIXA'!AN165</f>
        <v>133021</v>
      </c>
      <c r="AO24" s="1">
        <f>SUM('DRE NOVAS PARCERIAS CAIXA'!AO151,'DRE NOVAS PARCERIAS CAIXA'!AO154,)+'DRE NOVAS PARCERIAS CAIXA'!AO165</f>
        <v>132277</v>
      </c>
      <c r="AP24" s="1">
        <f>SUM('DRE NOVAS PARCERIAS CAIXA'!AP151,'DRE NOVAS PARCERIAS CAIXA'!AP154,)+'DRE NOVAS PARCERIAS CAIXA'!AP165</f>
        <v>481972</v>
      </c>
      <c r="AQ24" s="1">
        <f>SUM('DRE NOVAS PARCERIAS CAIXA'!AQ151,'DRE NOVAS PARCERIAS CAIXA'!AQ154,)+'DRE NOVAS PARCERIAS CAIXA'!AQ165</f>
        <v>125991</v>
      </c>
      <c r="AR24" s="1">
        <f>SUM('DRE NOVAS PARCERIAS CAIXA'!AR151,'DRE NOVAS PARCERIAS CAIXA'!AR154,)+'DRE NOVAS PARCERIAS CAIXA'!AR165</f>
        <v>124455</v>
      </c>
      <c r="AS24" s="1">
        <f>SUM('DRE NOVAS PARCERIAS CAIXA'!AS151,'DRE NOVAS PARCERIAS CAIXA'!AS154,)+'DRE NOVAS PARCERIAS CAIXA'!AS165</f>
        <v>139294</v>
      </c>
      <c r="AT24" s="1">
        <f>SUM('DRE NOVAS PARCERIAS CAIXA'!AT151,'DRE NOVAS PARCERIAS CAIXA'!AT154,)+'DRE NOVAS PARCERIAS CAIXA'!AT165</f>
        <v>143472</v>
      </c>
      <c r="AU24" s="1">
        <f>SUM('DRE NOVAS PARCERIAS CAIXA'!AU151,'DRE NOVAS PARCERIAS CAIXA'!AU154,)+'DRE NOVAS PARCERIAS CAIXA'!AU165</f>
        <v>533212</v>
      </c>
      <c r="AV24" s="1">
        <f>SUM('DRE NOVAS PARCERIAS CAIXA'!AV151,'DRE NOVAS PARCERIAS CAIXA'!AV154,)+'DRE NOVAS PARCERIAS CAIXA'!AV165</f>
        <v>150206.49000000005</v>
      </c>
      <c r="AW24" s="1">
        <f>SUM('DRE NOVAS PARCERIAS CAIXA'!AW151,'DRE NOVAS PARCERIAS CAIXA'!AW154,)+'DRE NOVAS PARCERIAS CAIXA'!AW165</f>
        <v>149999.34700000001</v>
      </c>
      <c r="AX24" s="1">
        <f>SUM('DRE NOVAS PARCERIAS CAIXA'!AX151,'DRE NOVAS PARCERIAS CAIXA'!AX154,)+'DRE NOVAS PARCERIAS CAIXA'!AX165</f>
        <v>161621.02000000002</v>
      </c>
      <c r="AY24" s="1">
        <f>SUM('DRE NOVAS PARCERIAS CAIXA'!AY151,'DRE NOVAS PARCERIAS CAIXA'!AY154,)+'DRE NOVAS PARCERIAS CAIXA'!AY165</f>
        <v>165098</v>
      </c>
      <c r="AZ24" s="1">
        <f>SUM('DRE NOVAS PARCERIAS CAIXA'!AZ151,'DRE NOVAS PARCERIAS CAIXA'!AZ154,)+'DRE NOVAS PARCERIAS CAIXA'!AZ165</f>
        <v>626924.85700000008</v>
      </c>
      <c r="BA24" s="1">
        <f>SUM('DRE NOVAS PARCERIAS CAIXA'!BA151,'DRE NOVAS PARCERIAS CAIXA'!BA154,)+'DRE NOVAS PARCERIAS CAIXA'!BA165</f>
        <v>163938</v>
      </c>
      <c r="BB24"/>
      <c r="BC24"/>
      <c r="BD24"/>
      <c r="BE24"/>
      <c r="BF24"/>
      <c r="BG24"/>
      <c r="BH24"/>
    </row>
    <row r="25" spans="1:60">
      <c r="B25" t="s">
        <v>576</v>
      </c>
      <c r="C25" s="1">
        <f>'DRE NOVAS PARCERIAS CAIXA'!C181+'DRE NOVAS PARCERIAS CAIXA'!C190</f>
        <v>0</v>
      </c>
      <c r="D25" s="1">
        <f>'DRE NOVAS PARCERIAS CAIXA'!D181+'DRE NOVAS PARCERIAS CAIXA'!D190</f>
        <v>0</v>
      </c>
      <c r="E25" s="1">
        <f>'DRE NOVAS PARCERIAS CAIXA'!E181+'DRE NOVAS PARCERIAS CAIXA'!E190</f>
        <v>0</v>
      </c>
      <c r="F25" s="1">
        <f>'DRE NOVAS PARCERIAS CAIXA'!F181+'DRE NOVAS PARCERIAS CAIXA'!F190</f>
        <v>0</v>
      </c>
      <c r="G25" s="1">
        <f>'DRE NOVAS PARCERIAS CAIXA'!G181+'DRE NOVAS PARCERIAS CAIXA'!G190</f>
        <v>0</v>
      </c>
      <c r="H25" s="1">
        <f>'DRE NOVAS PARCERIAS CAIXA'!H181+'DRE NOVAS PARCERIAS CAIXA'!H190</f>
        <v>0</v>
      </c>
      <c r="I25" s="1">
        <f>'DRE NOVAS PARCERIAS CAIXA'!I181+'DRE NOVAS PARCERIAS CAIXA'!I190</f>
        <v>0</v>
      </c>
      <c r="J25" s="1">
        <f>'DRE NOVAS PARCERIAS CAIXA'!J181+'DRE NOVAS PARCERIAS CAIXA'!J190</f>
        <v>0</v>
      </c>
      <c r="K25" s="1">
        <f>'DRE NOVAS PARCERIAS CAIXA'!K181+'DRE NOVAS PARCERIAS CAIXA'!K190</f>
        <v>0</v>
      </c>
      <c r="L25" s="1">
        <f>'DRE NOVAS PARCERIAS CAIXA'!L181+'DRE NOVAS PARCERIAS CAIXA'!L190</f>
        <v>0</v>
      </c>
      <c r="M25" s="1">
        <f>'DRE NOVAS PARCERIAS CAIXA'!M181+'DRE NOVAS PARCERIAS CAIXA'!M190</f>
        <v>0</v>
      </c>
      <c r="N25" s="1">
        <f>'DRE NOVAS PARCERIAS CAIXA'!N181+'DRE NOVAS PARCERIAS CAIXA'!N190</f>
        <v>0</v>
      </c>
      <c r="O25" s="1">
        <f>'DRE NOVAS PARCERIAS CAIXA'!O181+'DRE NOVAS PARCERIAS CAIXA'!O190</f>
        <v>0</v>
      </c>
      <c r="P25" s="1">
        <f>'DRE NOVAS PARCERIAS CAIXA'!P181+'DRE NOVAS PARCERIAS CAIXA'!P190</f>
        <v>0</v>
      </c>
      <c r="Q25" s="1">
        <f>'DRE NOVAS PARCERIAS CAIXA'!Q181+'DRE NOVAS PARCERIAS CAIXA'!Q190</f>
        <v>0</v>
      </c>
      <c r="R25" s="1">
        <f>'DRE NOVAS PARCERIAS CAIXA'!R181+'DRE NOVAS PARCERIAS CAIXA'!R190</f>
        <v>0</v>
      </c>
      <c r="S25" s="1">
        <f>'DRE NOVAS PARCERIAS CAIXA'!S181+'DRE NOVAS PARCERIAS CAIXA'!S190</f>
        <v>0</v>
      </c>
      <c r="T25" s="1">
        <f>'DRE NOVAS PARCERIAS CAIXA'!T181+'DRE NOVAS PARCERIAS CAIXA'!T190</f>
        <v>0</v>
      </c>
      <c r="U25" s="1">
        <f>'DRE NOVAS PARCERIAS CAIXA'!U181+'DRE NOVAS PARCERIAS CAIXA'!U190</f>
        <v>0</v>
      </c>
      <c r="V25" s="1">
        <f>'DRE NOVAS PARCERIAS CAIXA'!V181+'DRE NOVAS PARCERIAS CAIXA'!V190</f>
        <v>0</v>
      </c>
      <c r="W25" s="1">
        <f>'DRE NOVAS PARCERIAS CAIXA'!W181+'DRE NOVAS PARCERIAS CAIXA'!W190</f>
        <v>0</v>
      </c>
      <c r="X25" s="1">
        <f>'DRE NOVAS PARCERIAS CAIXA'!X181+'DRE NOVAS PARCERIAS CAIXA'!X190</f>
        <v>0</v>
      </c>
      <c r="Y25" s="1">
        <f>'DRE NOVAS PARCERIAS CAIXA'!Y181+'DRE NOVAS PARCERIAS CAIXA'!Y190</f>
        <v>0</v>
      </c>
      <c r="Z25" s="1">
        <f>'DRE NOVAS PARCERIAS CAIXA'!Z181+'DRE NOVAS PARCERIAS CAIXA'!Z190</f>
        <v>0</v>
      </c>
      <c r="AA25" s="1">
        <f>'DRE NOVAS PARCERIAS CAIXA'!AA181+'DRE NOVAS PARCERIAS CAIXA'!AA190</f>
        <v>0</v>
      </c>
      <c r="AB25" s="1">
        <f>'DRE NOVAS PARCERIAS CAIXA'!AB181+'DRE NOVAS PARCERIAS CAIXA'!AB190</f>
        <v>0</v>
      </c>
      <c r="AC25" s="1">
        <f>'DRE NOVAS PARCERIAS CAIXA'!AC181+'DRE NOVAS PARCERIAS CAIXA'!AC190</f>
        <v>927.36844999999994</v>
      </c>
      <c r="AD25" s="1">
        <f>'DRE NOVAS PARCERIAS CAIXA'!AD181+'DRE NOVAS PARCERIAS CAIXA'!AD190</f>
        <v>1747.36761</v>
      </c>
      <c r="AE25" s="1">
        <f>'DRE NOVAS PARCERIAS CAIXA'!AE181+'DRE NOVAS PARCERIAS CAIXA'!AE190</f>
        <v>2511</v>
      </c>
      <c r="AF25" s="1">
        <f>'DRE NOVAS PARCERIAS CAIXA'!AF181+'DRE NOVAS PARCERIAS CAIXA'!AF190</f>
        <v>5185.7360600000002</v>
      </c>
      <c r="AG25" s="1">
        <f>'DRE NOVAS PARCERIAS CAIXA'!AG181+'DRE NOVAS PARCERIAS CAIXA'!AG190</f>
        <v>16147</v>
      </c>
      <c r="AH25" s="1">
        <f>'DRE NOVAS PARCERIAS CAIXA'!AH181+'DRE NOVAS PARCERIAS CAIXA'!AH190</f>
        <v>36469</v>
      </c>
      <c r="AI25" s="1">
        <f>'DRE NOVAS PARCERIAS CAIXA'!AI181+'DRE NOVAS PARCERIAS CAIXA'!AI190</f>
        <v>67640</v>
      </c>
      <c r="AJ25" s="1">
        <f>'DRE NOVAS PARCERIAS CAIXA'!AJ181+'DRE NOVAS PARCERIAS CAIXA'!AJ190</f>
        <v>98789</v>
      </c>
      <c r="AK25" s="1">
        <f>'DRE NOVAS PARCERIAS CAIXA'!AK181+'DRE NOVAS PARCERIAS CAIXA'!AK190</f>
        <v>219045</v>
      </c>
      <c r="AL25" s="1">
        <f>'DRE NOVAS PARCERIAS CAIXA'!AL181+'DRE NOVAS PARCERIAS CAIXA'!AL190</f>
        <v>116158</v>
      </c>
      <c r="AM25" s="1">
        <f>'DRE NOVAS PARCERIAS CAIXA'!AM181+'DRE NOVAS PARCERIAS CAIXA'!AM190</f>
        <v>130238</v>
      </c>
      <c r="AN25" s="1">
        <f>'DRE NOVAS PARCERIAS CAIXA'!AN181+'DRE NOVAS PARCERIAS CAIXA'!AN190</f>
        <v>152283</v>
      </c>
      <c r="AO25" s="1">
        <f>'DRE NOVAS PARCERIAS CAIXA'!AO181+'DRE NOVAS PARCERIAS CAIXA'!AO190</f>
        <v>175146</v>
      </c>
      <c r="AP25" s="1">
        <f>'DRE NOVAS PARCERIAS CAIXA'!AP181+'DRE NOVAS PARCERIAS CAIXA'!AP190</f>
        <v>573825</v>
      </c>
      <c r="AQ25" s="1">
        <f>'DRE NOVAS PARCERIAS CAIXA'!AQ181+'DRE NOVAS PARCERIAS CAIXA'!AQ190</f>
        <v>193378</v>
      </c>
      <c r="AR25" s="1">
        <f>'DRE NOVAS PARCERIAS CAIXA'!AR181+'DRE NOVAS PARCERIAS CAIXA'!AR190</f>
        <v>212657</v>
      </c>
      <c r="AS25" s="1">
        <f>'DRE NOVAS PARCERIAS CAIXA'!AS181+'DRE NOVAS PARCERIAS CAIXA'!AS190</f>
        <v>224696</v>
      </c>
      <c r="AT25" s="1">
        <f>'DRE NOVAS PARCERIAS CAIXA'!AT181+'DRE NOVAS PARCERIAS CAIXA'!AT190</f>
        <v>239280</v>
      </c>
      <c r="AU25" s="1">
        <f>'DRE NOVAS PARCERIAS CAIXA'!AU181+'DRE NOVAS PARCERIAS CAIXA'!AU190</f>
        <v>870011</v>
      </c>
      <c r="AV25" s="1">
        <f>'DRE NOVAS PARCERIAS CAIXA'!AV181+'DRE NOVAS PARCERIAS CAIXA'!AV190</f>
        <v>259502.86154000001</v>
      </c>
      <c r="AW25" s="1">
        <f>'DRE NOVAS PARCERIAS CAIXA'!AW181+'DRE NOVAS PARCERIAS CAIXA'!AW190</f>
        <v>275566</v>
      </c>
      <c r="AX25" s="1">
        <f>'DRE NOVAS PARCERIAS CAIXA'!AX181+'DRE NOVAS PARCERIAS CAIXA'!AX190</f>
        <v>279987</v>
      </c>
      <c r="AY25" s="1">
        <f>'DRE NOVAS PARCERIAS CAIXA'!AY181+'DRE NOVAS PARCERIAS CAIXA'!AY190</f>
        <v>279171</v>
      </c>
      <c r="AZ25" s="1">
        <f>'DRE NOVAS PARCERIAS CAIXA'!AZ181+'DRE NOVAS PARCERIAS CAIXA'!AZ190</f>
        <v>1094226.86154</v>
      </c>
      <c r="BA25" s="1">
        <f>'DRE NOVAS PARCERIAS CAIXA'!BA181+'DRE NOVAS PARCERIAS CAIXA'!BA190</f>
        <v>267160</v>
      </c>
      <c r="BB25"/>
      <c r="BC25"/>
      <c r="BD25"/>
      <c r="BE25"/>
      <c r="BF25"/>
      <c r="BG25"/>
      <c r="BH25"/>
    </row>
    <row r="26" spans="1:60">
      <c r="B26" t="s">
        <v>268</v>
      </c>
      <c r="C26" s="1">
        <f>'DRE NOVAS PARCERIAS CAIXA'!C206+'DRE NOVAS PARCERIAS CAIXA'!C215</f>
        <v>0</v>
      </c>
      <c r="D26" s="1">
        <f>'DRE NOVAS PARCERIAS CAIXA'!D206+'DRE NOVAS PARCERIAS CAIXA'!D215</f>
        <v>0</v>
      </c>
      <c r="E26" s="1">
        <f>'DRE NOVAS PARCERIAS CAIXA'!E206+'DRE NOVAS PARCERIAS CAIXA'!E215</f>
        <v>0</v>
      </c>
      <c r="F26" s="1">
        <f>'DRE NOVAS PARCERIAS CAIXA'!F206+'DRE NOVAS PARCERIAS CAIXA'!F215</f>
        <v>0</v>
      </c>
      <c r="G26" s="1">
        <f>'DRE NOVAS PARCERIAS CAIXA'!G206+'DRE NOVAS PARCERIAS CAIXA'!G215</f>
        <v>0</v>
      </c>
      <c r="H26" s="1">
        <f>'DRE NOVAS PARCERIAS CAIXA'!H206+'DRE NOVAS PARCERIAS CAIXA'!H215</f>
        <v>0</v>
      </c>
      <c r="I26" s="1">
        <f>'DRE NOVAS PARCERIAS CAIXA'!I206+'DRE NOVAS PARCERIAS CAIXA'!I215</f>
        <v>0</v>
      </c>
      <c r="J26" s="1">
        <f>'DRE NOVAS PARCERIAS CAIXA'!J206+'DRE NOVAS PARCERIAS CAIXA'!J215</f>
        <v>0</v>
      </c>
      <c r="K26" s="1">
        <f>'DRE NOVAS PARCERIAS CAIXA'!K206+'DRE NOVAS PARCERIAS CAIXA'!K215</f>
        <v>0</v>
      </c>
      <c r="L26" s="1">
        <f>'DRE NOVAS PARCERIAS CAIXA'!L206+'DRE NOVAS PARCERIAS CAIXA'!L215</f>
        <v>0</v>
      </c>
      <c r="M26" s="1">
        <f>'DRE NOVAS PARCERIAS CAIXA'!M206+'DRE NOVAS PARCERIAS CAIXA'!M215</f>
        <v>0</v>
      </c>
      <c r="N26" s="1">
        <f>'DRE NOVAS PARCERIAS CAIXA'!N206+'DRE NOVAS PARCERIAS CAIXA'!N215</f>
        <v>0</v>
      </c>
      <c r="O26" s="1">
        <f>'DRE NOVAS PARCERIAS CAIXA'!O206+'DRE NOVAS PARCERIAS CAIXA'!O215</f>
        <v>0</v>
      </c>
      <c r="P26" s="1">
        <f>'DRE NOVAS PARCERIAS CAIXA'!P206+'DRE NOVAS PARCERIAS CAIXA'!P215</f>
        <v>0</v>
      </c>
      <c r="Q26" s="1">
        <f>'DRE NOVAS PARCERIAS CAIXA'!Q206+'DRE NOVAS PARCERIAS CAIXA'!Q215</f>
        <v>0</v>
      </c>
      <c r="R26" s="1">
        <f>'DRE NOVAS PARCERIAS CAIXA'!R206+'DRE NOVAS PARCERIAS CAIXA'!R215</f>
        <v>0</v>
      </c>
      <c r="S26" s="1">
        <f>'DRE NOVAS PARCERIAS CAIXA'!S206+'DRE NOVAS PARCERIAS CAIXA'!S215</f>
        <v>0</v>
      </c>
      <c r="T26" s="1">
        <f>'DRE NOVAS PARCERIAS CAIXA'!T206+'DRE NOVAS PARCERIAS CAIXA'!T215</f>
        <v>0</v>
      </c>
      <c r="U26" s="1">
        <f>'DRE NOVAS PARCERIAS CAIXA'!U206+'DRE NOVAS PARCERIAS CAIXA'!U215</f>
        <v>0</v>
      </c>
      <c r="V26" s="1">
        <f>'DRE NOVAS PARCERIAS CAIXA'!V206+'DRE NOVAS PARCERIAS CAIXA'!V215</f>
        <v>0</v>
      </c>
      <c r="W26" s="1">
        <f>'DRE NOVAS PARCERIAS CAIXA'!W206+'DRE NOVAS PARCERIAS CAIXA'!W215</f>
        <v>0</v>
      </c>
      <c r="X26" s="1">
        <f>'DRE NOVAS PARCERIAS CAIXA'!X206+'DRE NOVAS PARCERIAS CAIXA'!X215</f>
        <v>0</v>
      </c>
      <c r="Y26" s="1">
        <f>'DRE NOVAS PARCERIAS CAIXA'!Y206+'DRE NOVAS PARCERIAS CAIXA'!Y215</f>
        <v>0</v>
      </c>
      <c r="Z26" s="1">
        <f>'DRE NOVAS PARCERIAS CAIXA'!Z206+'DRE NOVAS PARCERIAS CAIXA'!Z215</f>
        <v>0</v>
      </c>
      <c r="AA26" s="1">
        <f>'DRE NOVAS PARCERIAS CAIXA'!AA206+'DRE NOVAS PARCERIAS CAIXA'!AA215</f>
        <v>0</v>
      </c>
      <c r="AB26" s="1">
        <f>'DRE NOVAS PARCERIAS CAIXA'!AB206+'DRE NOVAS PARCERIAS CAIXA'!AB215</f>
        <v>476</v>
      </c>
      <c r="AC26" s="1">
        <f>'DRE NOVAS PARCERIAS CAIXA'!AC206+'DRE NOVAS PARCERIAS CAIXA'!AC215</f>
        <v>2759</v>
      </c>
      <c r="AD26" s="1">
        <f>'DRE NOVAS PARCERIAS CAIXA'!AD206+'DRE NOVAS PARCERIAS CAIXA'!AD215</f>
        <v>4900</v>
      </c>
      <c r="AE26" s="1">
        <f>'DRE NOVAS PARCERIAS CAIXA'!AE206+'DRE NOVAS PARCERIAS CAIXA'!AE215</f>
        <v>8186</v>
      </c>
      <c r="AF26" s="1">
        <f>'DRE NOVAS PARCERIAS CAIXA'!AF206+'DRE NOVAS PARCERIAS CAIXA'!AF215</f>
        <v>16321</v>
      </c>
      <c r="AG26" s="1">
        <f>'DRE NOVAS PARCERIAS CAIXA'!AG206+'DRE NOVAS PARCERIAS CAIXA'!AG215</f>
        <v>8655</v>
      </c>
      <c r="AH26" s="1">
        <f>'DRE NOVAS PARCERIAS CAIXA'!AH206+'DRE NOVAS PARCERIAS CAIXA'!AH215</f>
        <v>12849</v>
      </c>
      <c r="AI26" s="1">
        <f>'DRE NOVAS PARCERIAS CAIXA'!AI206+'DRE NOVAS PARCERIAS CAIXA'!AI215</f>
        <v>18802</v>
      </c>
      <c r="AJ26" s="1">
        <f>'DRE NOVAS PARCERIAS CAIXA'!AJ206+'DRE NOVAS PARCERIAS CAIXA'!AJ215</f>
        <v>25554</v>
      </c>
      <c r="AK26" s="1">
        <f>'DRE NOVAS PARCERIAS CAIXA'!AK206+'DRE NOVAS PARCERIAS CAIXA'!AK215</f>
        <v>65860</v>
      </c>
      <c r="AL26" s="1">
        <f>'DRE NOVAS PARCERIAS CAIXA'!AL206+'DRE NOVAS PARCERIAS CAIXA'!AL215</f>
        <v>27992</v>
      </c>
      <c r="AM26" s="1">
        <f>'DRE NOVAS PARCERIAS CAIXA'!AM206+'DRE NOVAS PARCERIAS CAIXA'!AM215</f>
        <v>34285</v>
      </c>
      <c r="AN26" s="1">
        <f>'DRE NOVAS PARCERIAS CAIXA'!AN206+'DRE NOVAS PARCERIAS CAIXA'!AN215</f>
        <v>40593</v>
      </c>
      <c r="AO26" s="1">
        <f>'DRE NOVAS PARCERIAS CAIXA'!AO206+'DRE NOVAS PARCERIAS CAIXA'!AO215</f>
        <v>43855</v>
      </c>
      <c r="AP26" s="1">
        <f>'DRE NOVAS PARCERIAS CAIXA'!AP206+'DRE NOVAS PARCERIAS CAIXA'!AP215</f>
        <v>146725</v>
      </c>
      <c r="AQ26" s="1">
        <f>'DRE NOVAS PARCERIAS CAIXA'!AQ206+'DRE NOVAS PARCERIAS CAIXA'!AQ215</f>
        <v>44699</v>
      </c>
      <c r="AR26" s="1">
        <f>'DRE NOVAS PARCERIAS CAIXA'!AR206+'DRE NOVAS PARCERIAS CAIXA'!AR215</f>
        <v>46680</v>
      </c>
      <c r="AS26" s="1">
        <f>'DRE NOVAS PARCERIAS CAIXA'!AS206+'DRE NOVAS PARCERIAS CAIXA'!AS215</f>
        <v>50776</v>
      </c>
      <c r="AT26" s="1">
        <f>'DRE NOVAS PARCERIAS CAIXA'!AT206+'DRE NOVAS PARCERIAS CAIXA'!AT215</f>
        <v>66195</v>
      </c>
      <c r="AU26" s="1">
        <f>'DRE NOVAS PARCERIAS CAIXA'!AU206+'DRE NOVAS PARCERIAS CAIXA'!AU215</f>
        <v>208350</v>
      </c>
      <c r="AV26" s="1">
        <f>'DRE NOVAS PARCERIAS CAIXA'!AV206+'DRE NOVAS PARCERIAS CAIXA'!AV215</f>
        <v>68225</v>
      </c>
      <c r="AW26" s="1">
        <f>'DRE NOVAS PARCERIAS CAIXA'!AW206+'DRE NOVAS PARCERIAS CAIXA'!AW215</f>
        <v>75464</v>
      </c>
      <c r="AX26" s="1">
        <f>'DRE NOVAS PARCERIAS CAIXA'!AX206+'DRE NOVAS PARCERIAS CAIXA'!AX215</f>
        <v>75841</v>
      </c>
      <c r="AY26" s="1">
        <f>'DRE NOVAS PARCERIAS CAIXA'!AY206+'DRE NOVAS PARCERIAS CAIXA'!AY215</f>
        <v>55998</v>
      </c>
      <c r="AZ26" s="1">
        <f>'DRE NOVAS PARCERIAS CAIXA'!AZ206+'DRE NOVAS PARCERIAS CAIXA'!AZ215</f>
        <v>275528</v>
      </c>
      <c r="BA26" s="1">
        <f>'DRE NOVAS PARCERIAS CAIXA'!BA206+'DRE NOVAS PARCERIAS CAIXA'!BA215</f>
        <v>51144</v>
      </c>
      <c r="BB26"/>
      <c r="BC26"/>
      <c r="BD26"/>
      <c r="BE26"/>
      <c r="BF26"/>
      <c r="BG26"/>
      <c r="BH26"/>
    </row>
    <row r="27" spans="1:60" s="100" customFormat="1">
      <c r="A27" s="9"/>
      <c r="B27" s="9" t="s">
        <v>577</v>
      </c>
      <c r="C27" s="160">
        <f t="shared" ref="C27:AU27" si="6">SUM(C28:C29)</f>
        <v>129928.117</v>
      </c>
      <c r="D27" s="160">
        <f t="shared" si="6"/>
        <v>128949.51399999997</v>
      </c>
      <c r="E27" s="160">
        <f t="shared" si="6"/>
        <v>137244.79</v>
      </c>
      <c r="F27" s="160">
        <f t="shared" si="6"/>
        <v>148097.30358877545</v>
      </c>
      <c r="G27" s="160">
        <f t="shared" si="6"/>
        <v>544219.72458877543</v>
      </c>
      <c r="H27" s="160">
        <f t="shared" si="6"/>
        <v>149715.99572000001</v>
      </c>
      <c r="I27" s="160">
        <f t="shared" si="6"/>
        <v>153840.48069000003</v>
      </c>
      <c r="J27" s="160">
        <f t="shared" si="6"/>
        <v>162727.32459999999</v>
      </c>
      <c r="K27" s="160">
        <f t="shared" si="6"/>
        <v>134818.35973999999</v>
      </c>
      <c r="L27" s="160">
        <f t="shared" si="6"/>
        <v>601102.16075000004</v>
      </c>
      <c r="M27" s="160">
        <f t="shared" si="6"/>
        <v>179690.40549</v>
      </c>
      <c r="N27" s="160">
        <f t="shared" si="6"/>
        <v>149329.78413000001</v>
      </c>
      <c r="O27" s="160">
        <f t="shared" si="6"/>
        <v>173519.44416999997</v>
      </c>
      <c r="P27" s="160">
        <f t="shared" si="6"/>
        <v>174264.75368000002</v>
      </c>
      <c r="Q27" s="160">
        <f t="shared" si="6"/>
        <v>676804.38746999996</v>
      </c>
      <c r="R27" s="160">
        <f t="shared" si="6"/>
        <v>182871.13306000002</v>
      </c>
      <c r="S27" s="160">
        <f t="shared" si="6"/>
        <v>202372.86093</v>
      </c>
      <c r="T27" s="160">
        <f t="shared" si="6"/>
        <v>206646.98701000001</v>
      </c>
      <c r="U27" s="160">
        <f t="shared" si="6"/>
        <v>238671.84452999989</v>
      </c>
      <c r="V27" s="160">
        <f t="shared" si="6"/>
        <v>830562.82552999991</v>
      </c>
      <c r="W27" s="160">
        <f t="shared" si="6"/>
        <v>225410.08100000001</v>
      </c>
      <c r="X27" s="160">
        <f t="shared" si="6"/>
        <v>210112.47318999999</v>
      </c>
      <c r="Y27" s="160">
        <f t="shared" si="6"/>
        <v>219803.66800000001</v>
      </c>
      <c r="Z27" s="160">
        <f t="shared" si="6"/>
        <v>258338.04700000002</v>
      </c>
      <c r="AA27" s="160">
        <f t="shared" si="6"/>
        <v>913664.26919000002</v>
      </c>
      <c r="AB27" s="160">
        <f t="shared" si="6"/>
        <v>266571.83900000004</v>
      </c>
      <c r="AC27" s="160">
        <f t="shared" si="6"/>
        <v>241939.38799999998</v>
      </c>
      <c r="AD27" s="160">
        <f t="shared" si="6"/>
        <v>228290.52541</v>
      </c>
      <c r="AE27" s="160">
        <f t="shared" si="6"/>
        <v>245815</v>
      </c>
      <c r="AF27" s="160">
        <f t="shared" si="6"/>
        <v>982616.75240999996</v>
      </c>
      <c r="AG27" s="160">
        <f t="shared" si="6"/>
        <v>273690</v>
      </c>
      <c r="AH27" s="160">
        <f t="shared" si="6"/>
        <v>287790</v>
      </c>
      <c r="AI27" s="160">
        <f t="shared" si="6"/>
        <v>299166</v>
      </c>
      <c r="AJ27" s="160">
        <f t="shared" si="6"/>
        <v>336461</v>
      </c>
      <c r="AK27" s="160">
        <f t="shared" si="6"/>
        <v>1197107</v>
      </c>
      <c r="AL27" s="160">
        <f t="shared" si="6"/>
        <v>363095</v>
      </c>
      <c r="AM27" s="160">
        <f t="shared" si="6"/>
        <v>387567</v>
      </c>
      <c r="AN27" s="160">
        <f t="shared" si="6"/>
        <v>396790</v>
      </c>
      <c r="AO27" s="160">
        <f t="shared" si="6"/>
        <v>417995.70699999999</v>
      </c>
      <c r="AP27" s="160">
        <f t="shared" si="6"/>
        <v>1565447.7069999999</v>
      </c>
      <c r="AQ27" s="160">
        <f t="shared" si="6"/>
        <v>429314.1</v>
      </c>
      <c r="AR27" s="160">
        <f t="shared" si="6"/>
        <v>423778.886</v>
      </c>
      <c r="AS27" s="160">
        <f t="shared" si="6"/>
        <v>441193.12699999998</v>
      </c>
      <c r="AT27" s="160">
        <f t="shared" si="6"/>
        <v>473181.10700000002</v>
      </c>
      <c r="AU27" s="160">
        <f t="shared" si="6"/>
        <v>1767467.22</v>
      </c>
      <c r="AV27" s="160">
        <f t="shared" ref="AV27" si="7">SUM(AV28:AV29)</f>
        <v>478472</v>
      </c>
      <c r="AW27" s="160">
        <f>SUM(AW28:AW29)</f>
        <v>487447</v>
      </c>
      <c r="AX27" s="160">
        <f>SUM(AX28:AX29)</f>
        <v>496152</v>
      </c>
      <c r="AY27" s="160">
        <f>SUM(AY28:AY29)</f>
        <v>538176</v>
      </c>
      <c r="AZ27" s="160">
        <f>SUM(AZ28:AZ29)</f>
        <v>2000247</v>
      </c>
      <c r="BA27" s="160">
        <f t="shared" ref="BA27" si="8">SUM(BA28:BA29)</f>
        <v>554590.84699999995</v>
      </c>
      <c r="BB27" s="2"/>
      <c r="BC27"/>
      <c r="BD27"/>
      <c r="BE27"/>
      <c r="BF27"/>
      <c r="BG27" s="2"/>
      <c r="BH27" s="2"/>
    </row>
    <row r="28" spans="1:60">
      <c r="B28" t="s">
        <v>269</v>
      </c>
      <c r="C28" s="1">
        <f>'DRE PARCERIAS BANCO PAN'!C10+'DRE PARCERIAS BANCO PAN'!C23</f>
        <v>124733.117</v>
      </c>
      <c r="D28" s="1">
        <f>'DRE PARCERIAS BANCO PAN'!D10+'DRE PARCERIAS BANCO PAN'!D23</f>
        <v>122920.51399999997</v>
      </c>
      <c r="E28" s="1">
        <f>'DRE PARCERIAS BANCO PAN'!E10+'DRE PARCERIAS BANCO PAN'!E23</f>
        <v>132800.79</v>
      </c>
      <c r="F28" s="1">
        <f>'DRE PARCERIAS BANCO PAN'!F10+'DRE PARCERIAS BANCO PAN'!F23</f>
        <v>144458.67299999995</v>
      </c>
      <c r="G28" s="1">
        <f>'DRE PARCERIAS BANCO PAN'!G10+'DRE PARCERIAS BANCO PAN'!G23</f>
        <v>524913.09399999992</v>
      </c>
      <c r="H28" s="1">
        <f>'DRE PARCERIAS BANCO PAN'!H10+'DRE PARCERIAS BANCO PAN'!H23</f>
        <v>143765.19500000001</v>
      </c>
      <c r="I28" s="1">
        <f>'DRE PARCERIAS BANCO PAN'!I10+'DRE PARCERIAS BANCO PAN'!I23</f>
        <v>150339.14000000001</v>
      </c>
      <c r="J28" s="1">
        <f>'DRE PARCERIAS BANCO PAN'!J10+'DRE PARCERIAS BANCO PAN'!J23</f>
        <v>159368.79300000001</v>
      </c>
      <c r="K28" s="1">
        <f>'DRE PARCERIAS BANCO PAN'!K10+'DRE PARCERIAS BANCO PAN'!K23</f>
        <v>130793.81099999999</v>
      </c>
      <c r="L28" s="1">
        <f>'DRE PARCERIAS BANCO PAN'!L10+'DRE PARCERIAS BANCO PAN'!L23</f>
        <v>584266.93900000001</v>
      </c>
      <c r="M28" s="1">
        <f>'DRE PARCERIAS BANCO PAN'!M10+'DRE PARCERIAS BANCO PAN'!M23</f>
        <v>174631.93</v>
      </c>
      <c r="N28" s="1">
        <f>'DRE PARCERIAS BANCO PAN'!N10+'DRE PARCERIAS BANCO PAN'!N23</f>
        <v>144920.89600000001</v>
      </c>
      <c r="O28" s="1">
        <f>'DRE PARCERIAS BANCO PAN'!O10+'DRE PARCERIAS BANCO PAN'!O23</f>
        <v>168957.95399999997</v>
      </c>
      <c r="P28" s="1">
        <f>'DRE PARCERIAS BANCO PAN'!P10+'DRE PARCERIAS BANCO PAN'!P23</f>
        <v>169406.99200000003</v>
      </c>
      <c r="Q28" s="1">
        <f>'DRE PARCERIAS BANCO PAN'!Q10+'DRE PARCERIAS BANCO PAN'!Q23</f>
        <v>657917.772</v>
      </c>
      <c r="R28" s="1">
        <f>'DRE PARCERIAS BANCO PAN'!R10+'DRE PARCERIAS BANCO PAN'!R23</f>
        <v>177015.62400000001</v>
      </c>
      <c r="S28" s="1">
        <f>'DRE PARCERIAS BANCO PAN'!S10+'DRE PARCERIAS BANCO PAN'!S23</f>
        <v>184867.04300000001</v>
      </c>
      <c r="T28" s="1">
        <f>'DRE PARCERIAS BANCO PAN'!T10+'DRE PARCERIAS BANCO PAN'!T23</f>
        <v>186621.31400000001</v>
      </c>
      <c r="U28" s="1">
        <f>'DRE PARCERIAS BANCO PAN'!U10+'DRE PARCERIAS BANCO PAN'!U23</f>
        <v>213963.98999999987</v>
      </c>
      <c r="V28" s="1">
        <f>'DRE PARCERIAS BANCO PAN'!V10+'DRE PARCERIAS BANCO PAN'!V23</f>
        <v>762467.9709999999</v>
      </c>
      <c r="W28" s="1">
        <f>'DRE PARCERIAS BANCO PAN'!W10+'DRE PARCERIAS BANCO PAN'!W23</f>
        <v>212882.08100000001</v>
      </c>
      <c r="X28" s="1">
        <f>'DRE PARCERIAS BANCO PAN'!X10+'DRE PARCERIAS BANCO PAN'!X23</f>
        <v>201027.47899999999</v>
      </c>
      <c r="Y28" s="1">
        <f>'DRE PARCERIAS BANCO PAN'!Y10+'DRE PARCERIAS BANCO PAN'!Y23</f>
        <v>206031.66800000001</v>
      </c>
      <c r="Z28" s="1">
        <f>'DRE PARCERIAS BANCO PAN'!Z10+'DRE PARCERIAS BANCO PAN'!Z23</f>
        <v>241733.04700000002</v>
      </c>
      <c r="AA28" s="1">
        <f>'DRE PARCERIAS BANCO PAN'!AA10+'DRE PARCERIAS BANCO PAN'!AA23</f>
        <v>861674.27500000002</v>
      </c>
      <c r="AB28" s="1">
        <f>'DRE PARCERIAS BANCO PAN'!AB10+'DRE PARCERIAS BANCO PAN'!AB23</f>
        <v>248937.83900000001</v>
      </c>
      <c r="AC28" s="1">
        <f>'DRE PARCERIAS BANCO PAN'!AC10+'DRE PARCERIAS BANCO PAN'!AC23</f>
        <v>225540.38799999998</v>
      </c>
      <c r="AD28" s="1">
        <f>'DRE PARCERIAS BANCO PAN'!AD10+'DRE PARCERIAS BANCO PAN'!AD23</f>
        <v>215255.77299999999</v>
      </c>
      <c r="AE28" s="1">
        <f>'DRE PARCERIAS BANCO PAN'!AE10+'DRE PARCERIAS BANCO PAN'!AE23</f>
        <v>232707</v>
      </c>
      <c r="AF28" s="1">
        <f>'DRE PARCERIAS BANCO PAN'!AF10+'DRE PARCERIAS BANCO PAN'!AF23</f>
        <v>922441</v>
      </c>
      <c r="AG28" s="1">
        <f>'DRE PARCERIAS BANCO PAN'!AG10+'DRE PARCERIAS BANCO PAN'!AG23</f>
        <v>261694</v>
      </c>
      <c r="AH28" s="1">
        <f>'DRE PARCERIAS BANCO PAN'!AH10+'DRE PARCERIAS BANCO PAN'!AH23</f>
        <v>274568</v>
      </c>
      <c r="AI28" s="1">
        <f>'DRE PARCERIAS BANCO PAN'!AI10+'DRE PARCERIAS BANCO PAN'!AI23</f>
        <v>284814</v>
      </c>
      <c r="AJ28" s="1">
        <f>'DRE PARCERIAS BANCO PAN'!AJ10+'DRE PARCERIAS BANCO PAN'!AJ23</f>
        <v>320963</v>
      </c>
      <c r="AK28" s="1">
        <f>'DRE PARCERIAS BANCO PAN'!AK10+'DRE PARCERIAS BANCO PAN'!AK23</f>
        <v>1142039</v>
      </c>
      <c r="AL28" s="1">
        <f>'DRE PARCERIAS BANCO PAN'!AL10+'DRE PARCERIAS BANCO PAN'!AL23</f>
        <v>346789</v>
      </c>
      <c r="AM28" s="1">
        <f>'DRE PARCERIAS BANCO PAN'!AM10+'DRE PARCERIAS BANCO PAN'!AM23</f>
        <v>372169</v>
      </c>
      <c r="AN28" s="1">
        <f>'DRE PARCERIAS BANCO PAN'!AN10+'DRE PARCERIAS BANCO PAN'!AN23</f>
        <v>380921</v>
      </c>
      <c r="AO28" s="1">
        <f>'DRE PARCERIAS BANCO PAN'!AO10+'DRE PARCERIAS BANCO PAN'!AO23</f>
        <v>397514</v>
      </c>
      <c r="AP28" s="1">
        <f>'DRE PARCERIAS BANCO PAN'!AP10+'DRE PARCERIAS BANCO PAN'!AP23</f>
        <v>1497393</v>
      </c>
      <c r="AQ28" s="1">
        <f>'DRE PARCERIAS BANCO PAN'!AQ10+'DRE PARCERIAS BANCO PAN'!AQ23</f>
        <v>409228</v>
      </c>
      <c r="AR28" s="1">
        <f>'DRE PARCERIAS BANCO PAN'!AR10+'DRE PARCERIAS BANCO PAN'!AR23</f>
        <v>414362</v>
      </c>
      <c r="AS28" s="1">
        <f>'DRE PARCERIAS BANCO PAN'!AS10+'DRE PARCERIAS BANCO PAN'!AS23</f>
        <v>431929</v>
      </c>
      <c r="AT28" s="1">
        <f>'DRE PARCERIAS BANCO PAN'!AT10+'DRE PARCERIAS BANCO PAN'!AT23</f>
        <v>463610</v>
      </c>
      <c r="AU28" s="1">
        <f>'DRE PARCERIAS BANCO PAN'!AU10+'DRE PARCERIAS BANCO PAN'!AU23</f>
        <v>1719129</v>
      </c>
      <c r="AV28" s="1">
        <f>'DRE PARCERIAS BANCO PAN'!AV10+'DRE PARCERIAS BANCO PAN'!AV23</f>
        <v>464929</v>
      </c>
      <c r="AW28" s="1">
        <f>'DRE PARCERIAS BANCO PAN'!AW10+'DRE PARCERIAS BANCO PAN'!AW23</f>
        <v>472824</v>
      </c>
      <c r="AX28" s="1">
        <f>'DRE PARCERIAS BANCO PAN'!AX10+'DRE PARCERIAS BANCO PAN'!AX23</f>
        <v>481211</v>
      </c>
      <c r="AY28" s="1">
        <f>'DRE PARCERIAS BANCO PAN'!AY10+'DRE PARCERIAS BANCO PAN'!AY23</f>
        <v>521307</v>
      </c>
      <c r="AZ28" s="1">
        <f>'DRE PARCERIAS BANCO PAN'!AZ10+'DRE PARCERIAS BANCO PAN'!AZ23</f>
        <v>1940271</v>
      </c>
      <c r="BA28" s="1">
        <f>'DRE PARCERIAS BANCO PAN'!BA10+'DRE PARCERIAS BANCO PAN'!BA23</f>
        <v>539158</v>
      </c>
      <c r="BB28"/>
      <c r="BC28"/>
      <c r="BD28"/>
      <c r="BE28"/>
      <c r="BF28"/>
      <c r="BG28"/>
      <c r="BH28"/>
    </row>
    <row r="29" spans="1:60">
      <c r="B29" t="s">
        <v>270</v>
      </c>
      <c r="C29" s="1">
        <f>'DRE PARCERIAS BANCO PAN'!C33+'DRE PARCERIAS BANCO PAN'!C40</f>
        <v>5195</v>
      </c>
      <c r="D29" s="1">
        <f>'DRE PARCERIAS BANCO PAN'!D33+'DRE PARCERIAS BANCO PAN'!D40</f>
        <v>6029</v>
      </c>
      <c r="E29" s="1">
        <f>'DRE PARCERIAS BANCO PAN'!E33+'DRE PARCERIAS BANCO PAN'!E40</f>
        <v>4444</v>
      </c>
      <c r="F29" s="1">
        <f>'DRE PARCERIAS BANCO PAN'!F33+'DRE PARCERIAS BANCO PAN'!F40</f>
        <v>3638.6305887755102</v>
      </c>
      <c r="G29" s="1">
        <f>'DRE PARCERIAS BANCO PAN'!G33+'DRE PARCERIAS BANCO PAN'!G40</f>
        <v>19306.630588775512</v>
      </c>
      <c r="H29" s="1">
        <f>'DRE PARCERIAS BANCO PAN'!H33+'DRE PARCERIAS BANCO PAN'!H40</f>
        <v>5950.8007200000002</v>
      </c>
      <c r="I29" s="1">
        <f>'DRE PARCERIAS BANCO PAN'!I33+'DRE PARCERIAS BANCO PAN'!I40</f>
        <v>3501.34069</v>
      </c>
      <c r="J29" s="1">
        <f>'DRE PARCERIAS BANCO PAN'!J33+'DRE PARCERIAS BANCO PAN'!J40</f>
        <v>3358.5316000000003</v>
      </c>
      <c r="K29" s="1">
        <f>'DRE PARCERIAS BANCO PAN'!K33+'DRE PARCERIAS BANCO PAN'!K40</f>
        <v>4024.5487400000002</v>
      </c>
      <c r="L29" s="1">
        <f>'DRE PARCERIAS BANCO PAN'!L33+'DRE PARCERIAS BANCO PAN'!L40</f>
        <v>16835.221750000001</v>
      </c>
      <c r="M29" s="1">
        <f>'DRE PARCERIAS BANCO PAN'!M33+'DRE PARCERIAS BANCO PAN'!M40</f>
        <v>5058.4754899999998</v>
      </c>
      <c r="N29" s="1">
        <f>'DRE PARCERIAS BANCO PAN'!N33+'DRE PARCERIAS BANCO PAN'!N40</f>
        <v>4408.8881300000003</v>
      </c>
      <c r="O29" s="1">
        <f>'DRE PARCERIAS BANCO PAN'!O33+'DRE PARCERIAS BANCO PAN'!O40</f>
        <v>4561.4901700000009</v>
      </c>
      <c r="P29" s="1">
        <f>'DRE PARCERIAS BANCO PAN'!P33+'DRE PARCERIAS BANCO PAN'!P40</f>
        <v>4857.7616799999996</v>
      </c>
      <c r="Q29" s="1">
        <f>'DRE PARCERIAS BANCO PAN'!Q33+'DRE PARCERIAS BANCO PAN'!Q40</f>
        <v>18886.615470000001</v>
      </c>
      <c r="R29" s="1">
        <f>'DRE PARCERIAS BANCO PAN'!R33+'DRE PARCERIAS BANCO PAN'!R40</f>
        <v>5855.5090599999994</v>
      </c>
      <c r="S29" s="1">
        <f>'DRE PARCERIAS BANCO PAN'!S33+'DRE PARCERIAS BANCO PAN'!S40</f>
        <v>17505.817929999997</v>
      </c>
      <c r="T29" s="1">
        <f>'DRE PARCERIAS BANCO PAN'!T33+'DRE PARCERIAS BANCO PAN'!T40</f>
        <v>20025.673010000002</v>
      </c>
      <c r="U29" s="1">
        <f>'DRE PARCERIAS BANCO PAN'!U33+'DRE PARCERIAS BANCO PAN'!U40</f>
        <v>24707.854530000011</v>
      </c>
      <c r="V29" s="1">
        <f>'DRE PARCERIAS BANCO PAN'!V33+'DRE PARCERIAS BANCO PAN'!V40</f>
        <v>68094.854530000011</v>
      </c>
      <c r="W29" s="1">
        <f>'DRE PARCERIAS BANCO PAN'!W33+'DRE PARCERIAS BANCO PAN'!W40</f>
        <v>12528</v>
      </c>
      <c r="X29" s="1">
        <f>'DRE PARCERIAS BANCO PAN'!X33+'DRE PARCERIAS BANCO PAN'!X40</f>
        <v>9084.9941900000049</v>
      </c>
      <c r="Y29" s="1">
        <f>'DRE PARCERIAS BANCO PAN'!Y33+'DRE PARCERIAS BANCO PAN'!Y40</f>
        <v>13772</v>
      </c>
      <c r="Z29" s="1">
        <f>'DRE PARCERIAS BANCO PAN'!Z33+'DRE PARCERIAS BANCO PAN'!Z40</f>
        <v>16605</v>
      </c>
      <c r="AA29" s="1">
        <f>'DRE PARCERIAS BANCO PAN'!AA33+'DRE PARCERIAS BANCO PAN'!AA40</f>
        <v>51989.994190000005</v>
      </c>
      <c r="AB29" s="1">
        <f>'DRE PARCERIAS BANCO PAN'!AB33+'DRE PARCERIAS BANCO PAN'!AB40</f>
        <v>17634</v>
      </c>
      <c r="AC29" s="1">
        <f>'DRE PARCERIAS BANCO PAN'!AC33+'DRE PARCERIAS BANCO PAN'!AC40</f>
        <v>16399</v>
      </c>
      <c r="AD29" s="1">
        <f>'DRE PARCERIAS BANCO PAN'!AD33+'DRE PARCERIAS BANCO PAN'!AD40</f>
        <v>13034.752410000001</v>
      </c>
      <c r="AE29" s="1">
        <f>'DRE PARCERIAS BANCO PAN'!AE33+'DRE PARCERIAS BANCO PAN'!AE40</f>
        <v>13108</v>
      </c>
      <c r="AF29" s="1">
        <f>'DRE PARCERIAS BANCO PAN'!AF33+'DRE PARCERIAS BANCO PAN'!AF40</f>
        <v>60175.752410000001</v>
      </c>
      <c r="AG29" s="1">
        <f>'DRE PARCERIAS BANCO PAN'!AG33+'DRE PARCERIAS BANCO PAN'!AG40</f>
        <v>11996</v>
      </c>
      <c r="AH29" s="1">
        <f>'DRE PARCERIAS BANCO PAN'!AH33+'DRE PARCERIAS BANCO PAN'!AH40</f>
        <v>13222</v>
      </c>
      <c r="AI29" s="1">
        <f>'DRE PARCERIAS BANCO PAN'!AI33+'DRE PARCERIAS BANCO PAN'!AI40</f>
        <v>14352</v>
      </c>
      <c r="AJ29" s="1">
        <f>'DRE PARCERIAS BANCO PAN'!AJ33+'DRE PARCERIAS BANCO PAN'!AJ40</f>
        <v>15498</v>
      </c>
      <c r="AK29" s="1">
        <f>'DRE PARCERIAS BANCO PAN'!AK33+'DRE PARCERIAS BANCO PAN'!AK40</f>
        <v>55068</v>
      </c>
      <c r="AL29" s="1">
        <f>'DRE PARCERIAS BANCO PAN'!AL33+'DRE PARCERIAS BANCO PAN'!AL40</f>
        <v>16306</v>
      </c>
      <c r="AM29" s="1">
        <f>'DRE PARCERIAS BANCO PAN'!AM33+'DRE PARCERIAS BANCO PAN'!AM40</f>
        <v>15398</v>
      </c>
      <c r="AN29" s="1">
        <f>'DRE PARCERIAS BANCO PAN'!AN33+'DRE PARCERIAS BANCO PAN'!AN40</f>
        <v>15869</v>
      </c>
      <c r="AO29" s="1">
        <f>'DRE PARCERIAS BANCO PAN'!AO33+'DRE PARCERIAS BANCO PAN'!AO40</f>
        <v>20481.706999999995</v>
      </c>
      <c r="AP29" s="1">
        <f>'DRE PARCERIAS BANCO PAN'!AP33+'DRE PARCERIAS BANCO PAN'!AP40</f>
        <v>68054.706999999995</v>
      </c>
      <c r="AQ29" s="1">
        <f>'DRE PARCERIAS BANCO PAN'!AQ33+'DRE PARCERIAS BANCO PAN'!AQ40</f>
        <v>20086.099999999999</v>
      </c>
      <c r="AR29" s="1">
        <f>'DRE PARCERIAS BANCO PAN'!AR33+'DRE PARCERIAS BANCO PAN'!AR40</f>
        <v>9416.8860000000022</v>
      </c>
      <c r="AS29" s="1">
        <f>'DRE PARCERIAS BANCO PAN'!AS33+'DRE PARCERIAS BANCO PAN'!AS40</f>
        <v>9264.1269999999968</v>
      </c>
      <c r="AT29" s="1">
        <f>'DRE PARCERIAS BANCO PAN'!AT33+'DRE PARCERIAS BANCO PAN'!AT40</f>
        <v>9571.1070000000036</v>
      </c>
      <c r="AU29" s="1">
        <f>'DRE PARCERIAS BANCO PAN'!AU33+'DRE PARCERIAS BANCO PAN'!AU40</f>
        <v>48338.22</v>
      </c>
      <c r="AV29" s="1">
        <f>'DRE PARCERIAS BANCO PAN'!AV33+'DRE PARCERIAS BANCO PAN'!AV40</f>
        <v>13543</v>
      </c>
      <c r="AW29" s="1">
        <f>'DRE PARCERIAS BANCO PAN'!AW33+'DRE PARCERIAS BANCO PAN'!AW40</f>
        <v>14623</v>
      </c>
      <c r="AX29" s="1">
        <f>'DRE PARCERIAS BANCO PAN'!AX33+'DRE PARCERIAS BANCO PAN'!AX40</f>
        <v>14941</v>
      </c>
      <c r="AY29" s="1">
        <f>'DRE PARCERIAS BANCO PAN'!AY33+'DRE PARCERIAS BANCO PAN'!AY40</f>
        <v>16869</v>
      </c>
      <c r="AZ29" s="1">
        <f>'DRE PARCERIAS BANCO PAN'!AZ33+'DRE PARCERIAS BANCO PAN'!AZ40</f>
        <v>59976</v>
      </c>
      <c r="BA29" s="1">
        <f>'DRE PARCERIAS BANCO PAN'!BA33+'DRE PARCERIAS BANCO PAN'!BA40</f>
        <v>15432.847</v>
      </c>
      <c r="BB29"/>
      <c r="BC29"/>
      <c r="BD29"/>
      <c r="BE29"/>
      <c r="BF29"/>
      <c r="BG29"/>
      <c r="BH29"/>
    </row>
    <row r="30" spans="1:60" s="100" customFormat="1">
      <c r="A30" s="9"/>
      <c r="B30" s="9" t="s">
        <v>578</v>
      </c>
      <c r="C30" s="76">
        <f t="shared" ref="C30:AU30" si="9">SUM(C31:C33)</f>
        <v>88568.368490000008</v>
      </c>
      <c r="D30" s="76">
        <f t="shared" si="9"/>
        <v>69381.565180000034</v>
      </c>
      <c r="E30" s="76">
        <f t="shared" si="9"/>
        <v>80497.868669999923</v>
      </c>
      <c r="F30" s="76">
        <f t="shared" si="9"/>
        <v>89637.386329999979</v>
      </c>
      <c r="G30" s="76">
        <f t="shared" si="9"/>
        <v>328085.18866999994</v>
      </c>
      <c r="H30" s="76">
        <f t="shared" si="9"/>
        <v>137613.35517000002</v>
      </c>
      <c r="I30" s="76">
        <f t="shared" si="9"/>
        <v>126909.01842000002</v>
      </c>
      <c r="J30" s="76">
        <f t="shared" si="9"/>
        <v>132954.16104999997</v>
      </c>
      <c r="K30" s="76">
        <f t="shared" si="9"/>
        <v>109007.80657999999</v>
      </c>
      <c r="L30" s="76">
        <f t="shared" si="9"/>
        <v>506484.34121999994</v>
      </c>
      <c r="M30" s="76">
        <f t="shared" si="9"/>
        <v>202770.36212999999</v>
      </c>
      <c r="N30" s="76">
        <f t="shared" si="9"/>
        <v>155934.55770999996</v>
      </c>
      <c r="O30" s="76">
        <f t="shared" si="9"/>
        <v>152860.31464999999</v>
      </c>
      <c r="P30" s="76">
        <f t="shared" si="9"/>
        <v>154846.99670000011</v>
      </c>
      <c r="Q30" s="76">
        <f t="shared" si="9"/>
        <v>666412.23119000008</v>
      </c>
      <c r="R30" s="76">
        <f t="shared" si="9"/>
        <v>181908.14043</v>
      </c>
      <c r="S30" s="76">
        <f t="shared" si="9"/>
        <v>184415.36861</v>
      </c>
      <c r="T30" s="76">
        <f t="shared" si="9"/>
        <v>192286.61207999988</v>
      </c>
      <c r="U30" s="76">
        <f t="shared" si="9"/>
        <v>87722.07242000007</v>
      </c>
      <c r="V30" s="76">
        <f t="shared" si="9"/>
        <v>646332.19354000001</v>
      </c>
      <c r="W30" s="76">
        <f t="shared" si="9"/>
        <v>173066.69044000001</v>
      </c>
      <c r="X30" s="76">
        <f t="shared" si="9"/>
        <v>157080.37400000001</v>
      </c>
      <c r="Y30" s="76">
        <f t="shared" si="9"/>
        <v>326701.03800000006</v>
      </c>
      <c r="Z30" s="76">
        <f t="shared" si="9"/>
        <v>237841.76972999991</v>
      </c>
      <c r="AA30" s="76">
        <f t="shared" si="9"/>
        <v>894689.87216999999</v>
      </c>
      <c r="AB30" s="76">
        <f t="shared" si="9"/>
        <v>194941</v>
      </c>
      <c r="AC30" s="76">
        <f t="shared" si="9"/>
        <v>214263.00899</v>
      </c>
      <c r="AD30" s="76">
        <f t="shared" si="9"/>
        <v>353890.07782000001</v>
      </c>
      <c r="AE30" s="76">
        <f t="shared" si="9"/>
        <v>360767.02899999998</v>
      </c>
      <c r="AF30" s="76">
        <f t="shared" si="9"/>
        <v>1123861.1158099999</v>
      </c>
      <c r="AG30" s="76">
        <f t="shared" si="9"/>
        <v>326991</v>
      </c>
      <c r="AH30" s="76">
        <f t="shared" si="9"/>
        <v>410802</v>
      </c>
      <c r="AI30" s="76">
        <f t="shared" si="9"/>
        <v>533129</v>
      </c>
      <c r="AJ30" s="76">
        <f t="shared" si="9"/>
        <v>416520</v>
      </c>
      <c r="AK30" s="76">
        <f t="shared" si="9"/>
        <v>1687442</v>
      </c>
      <c r="AL30" s="76">
        <f t="shared" si="9"/>
        <v>473501</v>
      </c>
      <c r="AM30" s="76">
        <f t="shared" si="9"/>
        <v>480956</v>
      </c>
      <c r="AN30" s="76">
        <f t="shared" si="9"/>
        <v>510855</v>
      </c>
      <c r="AO30" s="76">
        <f t="shared" si="9"/>
        <v>529259</v>
      </c>
      <c r="AP30" s="76">
        <f t="shared" si="9"/>
        <v>1994571</v>
      </c>
      <c r="AQ30" s="76">
        <f t="shared" si="9"/>
        <v>543175.56874000002</v>
      </c>
      <c r="AR30" s="76">
        <f t="shared" si="9"/>
        <v>545308</v>
      </c>
      <c r="AS30" s="76">
        <f t="shared" si="9"/>
        <v>573141</v>
      </c>
      <c r="AT30" s="76">
        <f t="shared" si="9"/>
        <v>668391</v>
      </c>
      <c r="AU30" s="76">
        <f t="shared" si="9"/>
        <v>2330015.56874</v>
      </c>
      <c r="AV30" s="76">
        <f t="shared" ref="AV30" si="10">SUM(AV31:AV33)</f>
        <v>614577.10161000001</v>
      </c>
      <c r="AW30" s="76">
        <f>SUM(AW31:AW33)</f>
        <v>585134.52168000001</v>
      </c>
      <c r="AX30" s="76">
        <f>SUM(AX31:AX33)</f>
        <v>635088.96622000006</v>
      </c>
      <c r="AY30" s="76">
        <f>SUM(AY31:AY33)</f>
        <v>622554.50529</v>
      </c>
      <c r="AZ30" s="76">
        <f>SUM(AZ31:AZ33)</f>
        <v>2457355.0948000001</v>
      </c>
      <c r="BA30" s="76">
        <f t="shared" ref="BA30" si="11">SUM(BA31:BA33)</f>
        <v>620687.46025</v>
      </c>
      <c r="BB30" s="2"/>
      <c r="BC30"/>
      <c r="BD30"/>
      <c r="BE30"/>
      <c r="BF30"/>
      <c r="BG30" s="2"/>
      <c r="BH30" s="2"/>
    </row>
    <row r="31" spans="1:60">
      <c r="B31" t="s">
        <v>458</v>
      </c>
      <c r="C31" s="1">
        <f>'DRE NEGÓCIOS DE DISTRIBUIÇÃO'!C6</f>
        <v>88568.368490000008</v>
      </c>
      <c r="D31" s="1">
        <f>'DRE NEGÓCIOS DE DISTRIBUIÇÃO'!D6</f>
        <v>69381.565180000034</v>
      </c>
      <c r="E31" s="1">
        <f>'DRE NEGÓCIOS DE DISTRIBUIÇÃO'!E6</f>
        <v>80497.868669999923</v>
      </c>
      <c r="F31" s="1">
        <f>'DRE NEGÓCIOS DE DISTRIBUIÇÃO'!F6</f>
        <v>89637.386329999979</v>
      </c>
      <c r="G31" s="1">
        <f>'DRE NEGÓCIOS DE DISTRIBUIÇÃO'!G6</f>
        <v>328085.18866999994</v>
      </c>
      <c r="H31" s="1">
        <f>'DRE NEGÓCIOS DE DISTRIBUIÇÃO'!H6</f>
        <v>137613.35517000002</v>
      </c>
      <c r="I31" s="1">
        <f>'DRE NEGÓCIOS DE DISTRIBUIÇÃO'!I6</f>
        <v>126909.01842000002</v>
      </c>
      <c r="J31" s="1">
        <f>'DRE NEGÓCIOS DE DISTRIBUIÇÃO'!J6</f>
        <v>132954.16104999997</v>
      </c>
      <c r="K31" s="1">
        <f>'DRE NEGÓCIOS DE DISTRIBUIÇÃO'!K6</f>
        <v>109007.80657999999</v>
      </c>
      <c r="L31" s="1">
        <f>'DRE NEGÓCIOS DE DISTRIBUIÇÃO'!L6</f>
        <v>506484.34121999994</v>
      </c>
      <c r="M31" s="1">
        <f>'DRE NEGÓCIOS DE DISTRIBUIÇÃO'!M6</f>
        <v>202770.36212999999</v>
      </c>
      <c r="N31" s="1">
        <f>'DRE NEGÓCIOS DE DISTRIBUIÇÃO'!N6</f>
        <v>155934.55770999996</v>
      </c>
      <c r="O31" s="1">
        <f>'DRE NEGÓCIOS DE DISTRIBUIÇÃO'!O6</f>
        <v>152860.31464999999</v>
      </c>
      <c r="P31" s="1">
        <f>'DRE NEGÓCIOS DE DISTRIBUIÇÃO'!P6</f>
        <v>154846.99670000011</v>
      </c>
      <c r="Q31" s="1">
        <f>'DRE NEGÓCIOS DE DISTRIBUIÇÃO'!Q6</f>
        <v>666412.23119000008</v>
      </c>
      <c r="R31" s="1">
        <f>'DRE NEGÓCIOS DE DISTRIBUIÇÃO'!R6</f>
        <v>181908.14043</v>
      </c>
      <c r="S31" s="1">
        <f>'DRE NEGÓCIOS DE DISTRIBUIÇÃO'!S6</f>
        <v>184415.36861</v>
      </c>
      <c r="T31" s="1">
        <f>'DRE NEGÓCIOS DE DISTRIBUIÇÃO'!T6</f>
        <v>192286.61207999988</v>
      </c>
      <c r="U31" s="1">
        <f>'DRE NEGÓCIOS DE DISTRIBUIÇÃO'!U6</f>
        <v>87722.07242000007</v>
      </c>
      <c r="V31" s="1">
        <f>'DRE NEGÓCIOS DE DISTRIBUIÇÃO'!V6</f>
        <v>646332.19354000001</v>
      </c>
      <c r="W31" s="1">
        <f>'DRE NEGÓCIOS DE DISTRIBUIÇÃO'!W6</f>
        <v>173066.69044000001</v>
      </c>
      <c r="X31" s="1">
        <f>'DRE NEGÓCIOS DE DISTRIBUIÇÃO'!X6</f>
        <v>157080.37400000001</v>
      </c>
      <c r="Y31" s="1">
        <f>'DRE NEGÓCIOS DE DISTRIBUIÇÃO'!Y6</f>
        <v>326701.03800000006</v>
      </c>
      <c r="Z31" s="1">
        <f>'DRE NEGÓCIOS DE DISTRIBUIÇÃO'!Z6</f>
        <v>237841.76972999991</v>
      </c>
      <c r="AA31" s="1">
        <f>'DRE NEGÓCIOS DE DISTRIBUIÇÃO'!AA6</f>
        <v>894689.87216999999</v>
      </c>
      <c r="AB31" s="1">
        <f>'DRE NEGÓCIOS DE DISTRIBUIÇÃO'!AB6</f>
        <v>78898</v>
      </c>
      <c r="AC31" s="1">
        <f>'DRE NEGÓCIOS DE DISTRIBUIÇÃO'!AC6</f>
        <v>46477.008990000017</v>
      </c>
      <c r="AD31" s="1">
        <f>'DRE NEGÓCIOS DE DISTRIBUIÇÃO'!AD6</f>
        <v>38120.106819999972</v>
      </c>
      <c r="AE31" s="1">
        <f>'DRE NEGÓCIOS DE DISTRIBUIÇÃO'!AE6</f>
        <v>17383</v>
      </c>
      <c r="AF31" s="1">
        <f>'DRE NEGÓCIOS DE DISTRIBUIÇÃO'!AF6</f>
        <v>180878.11580999999</v>
      </c>
      <c r="AG31" s="1">
        <f>'DRE NEGÓCIOS DE DISTRIBUIÇÃO'!AG6</f>
        <v>41505</v>
      </c>
      <c r="AH31" s="1">
        <f>'DRE NEGÓCIOS DE DISTRIBUIÇÃO'!AH6</f>
        <v>32137</v>
      </c>
      <c r="AI31" s="1">
        <f>'DRE NEGÓCIOS DE DISTRIBUIÇÃO'!AI6</f>
        <v>33560</v>
      </c>
      <c r="AJ31" s="1">
        <f>'DRE NEGÓCIOS DE DISTRIBUIÇÃO'!AJ6</f>
        <v>34446</v>
      </c>
      <c r="AK31" s="1">
        <f>'DRE NEGÓCIOS DE DISTRIBUIÇÃO'!AK6</f>
        <v>141648</v>
      </c>
      <c r="AL31" s="1">
        <f>'DRE NEGÓCIOS DE DISTRIBUIÇÃO'!AL6</f>
        <v>40329</v>
      </c>
      <c r="AM31" s="1">
        <f>'DRE NEGÓCIOS DE DISTRIBUIÇÃO'!AM6</f>
        <v>38282</v>
      </c>
      <c r="AN31" s="1">
        <f>'DRE NEGÓCIOS DE DISTRIBUIÇÃO'!AN6</f>
        <v>38471</v>
      </c>
      <c r="AO31" s="1">
        <f>'DRE NEGÓCIOS DE DISTRIBUIÇÃO'!AO6</f>
        <v>40168</v>
      </c>
      <c r="AP31" s="1">
        <f>'DRE NEGÓCIOS DE DISTRIBUIÇÃO'!AP6</f>
        <v>157250</v>
      </c>
      <c r="AQ31" s="1">
        <f>'DRE NEGÓCIOS DE DISTRIBUIÇÃO'!AQ6</f>
        <v>51791.429109999997</v>
      </c>
      <c r="AR31" s="1">
        <f>'DRE NEGÓCIOS DE DISTRIBUIÇÃO'!AR6</f>
        <v>40830</v>
      </c>
      <c r="AS31" s="1">
        <f>'DRE NEGÓCIOS DE DISTRIBUIÇÃO'!AS6</f>
        <v>41233</v>
      </c>
      <c r="AT31" s="1">
        <f>'DRE NEGÓCIOS DE DISTRIBUIÇÃO'!AT6</f>
        <v>74959</v>
      </c>
      <c r="AU31" s="1">
        <f>'DRE NEGÓCIOS DE DISTRIBUIÇÃO'!AU6</f>
        <v>208813.42911</v>
      </c>
      <c r="AV31" s="1">
        <f>'DRE NEGÓCIOS DE DISTRIBUIÇÃO'!AV6</f>
        <v>55910.635999999999</v>
      </c>
      <c r="AW31" s="1">
        <f>'DRE NEGÓCIOS DE DISTRIBUIÇÃO'!AW6</f>
        <v>43266.521679999998</v>
      </c>
      <c r="AX31" s="1">
        <f>'DRE NEGÓCIOS DE DISTRIBUIÇÃO'!AX6</f>
        <v>42754.196630000006</v>
      </c>
      <c r="AY31" s="1">
        <f>'DRE NEGÓCIOS DE DISTRIBUIÇÃO'!AY6</f>
        <v>60846.292809999999</v>
      </c>
      <c r="AZ31" s="1">
        <f>'DRE NEGÓCIOS DE DISTRIBUIÇÃO'!AZ6</f>
        <v>202777.64712000004</v>
      </c>
      <c r="BA31" s="1">
        <f>'DRE NEGÓCIOS DE DISTRIBUIÇÃO'!BA6</f>
        <v>41891.672850000003</v>
      </c>
      <c r="BB31"/>
      <c r="BC31"/>
      <c r="BD31"/>
      <c r="BE31"/>
      <c r="BF31"/>
      <c r="BG31"/>
      <c r="BH31"/>
    </row>
    <row r="32" spans="1:60">
      <c r="B32" t="s">
        <v>579</v>
      </c>
      <c r="C32" s="1">
        <f>'DRE NEGÓCIOS DE DISTRIBUIÇÃO'!C23</f>
        <v>0</v>
      </c>
      <c r="D32" s="1">
        <f>'DRE NEGÓCIOS DE DISTRIBUIÇÃO'!D23</f>
        <v>0</v>
      </c>
      <c r="E32" s="1">
        <f>'DRE NEGÓCIOS DE DISTRIBUIÇÃO'!E23</f>
        <v>0</v>
      </c>
      <c r="F32" s="1">
        <f>'DRE NEGÓCIOS DE DISTRIBUIÇÃO'!F23</f>
        <v>0</v>
      </c>
      <c r="G32" s="1">
        <f>'DRE NEGÓCIOS DE DISTRIBUIÇÃO'!G23</f>
        <v>0</v>
      </c>
      <c r="H32" s="1">
        <f>'DRE NEGÓCIOS DE DISTRIBUIÇÃO'!H23</f>
        <v>0</v>
      </c>
      <c r="I32" s="1">
        <f>'DRE NEGÓCIOS DE DISTRIBUIÇÃO'!I23</f>
        <v>0</v>
      </c>
      <c r="J32" s="1">
        <f>'DRE NEGÓCIOS DE DISTRIBUIÇÃO'!J23</f>
        <v>0</v>
      </c>
      <c r="K32" s="1">
        <f>'DRE NEGÓCIOS DE DISTRIBUIÇÃO'!K23</f>
        <v>0</v>
      </c>
      <c r="L32" s="1">
        <f>'DRE NEGÓCIOS DE DISTRIBUIÇÃO'!L23</f>
        <v>0</v>
      </c>
      <c r="M32" s="1">
        <f>'DRE NEGÓCIOS DE DISTRIBUIÇÃO'!M23</f>
        <v>0</v>
      </c>
      <c r="N32" s="1">
        <f>'DRE NEGÓCIOS DE DISTRIBUIÇÃO'!N23</f>
        <v>0</v>
      </c>
      <c r="O32" s="1">
        <f>'DRE NEGÓCIOS DE DISTRIBUIÇÃO'!O23</f>
        <v>0</v>
      </c>
      <c r="P32" s="1">
        <f>'DRE NEGÓCIOS DE DISTRIBUIÇÃO'!P23</f>
        <v>0</v>
      </c>
      <c r="Q32" s="1">
        <f>'DRE NEGÓCIOS DE DISTRIBUIÇÃO'!Q23</f>
        <v>0</v>
      </c>
      <c r="R32" s="1">
        <f>'DRE NEGÓCIOS DE DISTRIBUIÇÃO'!R23</f>
        <v>0</v>
      </c>
      <c r="S32" s="1">
        <f>'DRE NEGÓCIOS DE DISTRIBUIÇÃO'!S23</f>
        <v>0</v>
      </c>
      <c r="T32" s="1">
        <f>'DRE NEGÓCIOS DE DISTRIBUIÇÃO'!T23</f>
        <v>0</v>
      </c>
      <c r="U32" s="1">
        <f>'DRE NEGÓCIOS DE DISTRIBUIÇÃO'!U23</f>
        <v>0</v>
      </c>
      <c r="V32" s="1">
        <f>'DRE NEGÓCIOS DE DISTRIBUIÇÃO'!V23</f>
        <v>0</v>
      </c>
      <c r="W32" s="1">
        <f>'DRE NEGÓCIOS DE DISTRIBUIÇÃO'!W23</f>
        <v>0</v>
      </c>
      <c r="X32" s="1">
        <f>'DRE NEGÓCIOS DE DISTRIBUIÇÃO'!X23</f>
        <v>0</v>
      </c>
      <c r="Y32" s="1">
        <f>'DRE NEGÓCIOS DE DISTRIBUIÇÃO'!Y23</f>
        <v>0</v>
      </c>
      <c r="Z32" s="1">
        <f>'DRE NEGÓCIOS DE DISTRIBUIÇÃO'!Z23</f>
        <v>0</v>
      </c>
      <c r="AA32" s="1">
        <f>'DRE NEGÓCIOS DE DISTRIBUIÇÃO'!AA23</f>
        <v>0</v>
      </c>
      <c r="AB32" s="1">
        <f>'DRE NEGÓCIOS DE DISTRIBUIÇÃO'!AB23</f>
        <v>116043</v>
      </c>
      <c r="AC32" s="1">
        <f>'DRE NEGÓCIOS DE DISTRIBUIÇÃO'!AC23</f>
        <v>167786</v>
      </c>
      <c r="AD32" s="1">
        <f>'DRE NEGÓCIOS DE DISTRIBUIÇÃO'!AD23</f>
        <v>315769.97100000002</v>
      </c>
      <c r="AE32" s="1">
        <f>'DRE NEGÓCIOS DE DISTRIBUIÇÃO'!AE23</f>
        <v>343384.02899999998</v>
      </c>
      <c r="AF32" s="1">
        <f>'DRE NEGÓCIOS DE DISTRIBUIÇÃO'!AF23</f>
        <v>942983</v>
      </c>
      <c r="AG32" s="1">
        <f>'DRE NEGÓCIOS DE DISTRIBUIÇÃO'!AG23</f>
        <v>285486</v>
      </c>
      <c r="AH32" s="1">
        <f>'DRE NEGÓCIOS DE DISTRIBUIÇÃO'!AH23</f>
        <v>378665</v>
      </c>
      <c r="AI32" s="1">
        <f>'DRE NEGÓCIOS DE DISTRIBUIÇÃO'!AI23</f>
        <v>499569</v>
      </c>
      <c r="AJ32" s="1">
        <f>'DRE NEGÓCIOS DE DISTRIBUIÇÃO'!AJ23</f>
        <v>382074</v>
      </c>
      <c r="AK32" s="1">
        <f>'DRE NEGÓCIOS DE DISTRIBUIÇÃO'!AK23</f>
        <v>1545794</v>
      </c>
      <c r="AL32" s="1">
        <f>'DRE NEGÓCIOS DE DISTRIBUIÇÃO'!AL23</f>
        <v>433172</v>
      </c>
      <c r="AM32" s="1">
        <f>'DRE NEGÓCIOS DE DISTRIBUIÇÃO'!AM23</f>
        <v>442674</v>
      </c>
      <c r="AN32" s="1">
        <f>'DRE NEGÓCIOS DE DISTRIBUIÇÃO'!AN23</f>
        <v>472384</v>
      </c>
      <c r="AO32" s="1">
        <f>'DRE NEGÓCIOS DE DISTRIBUIÇÃO'!AO23</f>
        <v>489091</v>
      </c>
      <c r="AP32" s="1">
        <f>'DRE NEGÓCIOS DE DISTRIBUIÇÃO'!AP23</f>
        <v>1837321</v>
      </c>
      <c r="AQ32" s="1">
        <f>'DRE NEGÓCIOS DE DISTRIBUIÇÃO'!AQ23</f>
        <v>491384.13962999999</v>
      </c>
      <c r="AR32" s="1">
        <f>'DRE NEGÓCIOS DE DISTRIBUIÇÃO'!AR23</f>
        <v>504478</v>
      </c>
      <c r="AS32" s="1">
        <f>'DRE NEGÓCIOS DE DISTRIBUIÇÃO'!AS23</f>
        <v>531908</v>
      </c>
      <c r="AT32" s="1">
        <f>'DRE NEGÓCIOS DE DISTRIBUIÇÃO'!AT23</f>
        <v>593432</v>
      </c>
      <c r="AU32" s="1">
        <f>'DRE NEGÓCIOS DE DISTRIBUIÇÃO'!AU23</f>
        <v>2121202.1396300001</v>
      </c>
      <c r="AV32" s="1">
        <f>'DRE NEGÓCIOS DE DISTRIBUIÇÃO'!AV23</f>
        <v>558666.46561000007</v>
      </c>
      <c r="AW32" s="1">
        <f>'DRE NEGÓCIOS DE DISTRIBUIÇÃO'!AW23</f>
        <v>541868</v>
      </c>
      <c r="AX32" s="1">
        <f>'DRE NEGÓCIOS DE DISTRIBUIÇÃO'!AX23</f>
        <v>592334.76959000004</v>
      </c>
      <c r="AY32" s="1">
        <f>'DRE NEGÓCIOS DE DISTRIBUIÇÃO'!AY23</f>
        <v>561708.21247999999</v>
      </c>
      <c r="AZ32" s="1">
        <f>'DRE NEGÓCIOS DE DISTRIBUIÇÃO'!AZ23</f>
        <v>2254577.4476800002</v>
      </c>
      <c r="BA32" s="1">
        <f>'DRE NEGÓCIOS DE DISTRIBUIÇÃO'!BA23</f>
        <v>578795.78740000003</v>
      </c>
      <c r="BB32"/>
      <c r="BC32"/>
      <c r="BD32"/>
      <c r="BE32"/>
      <c r="BF32"/>
      <c r="BG32"/>
      <c r="BH32"/>
    </row>
    <row r="33" spans="1:60">
      <c r="B33" t="s">
        <v>580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/>
      <c r="BC33"/>
      <c r="BD33"/>
      <c r="BE33"/>
      <c r="BF33"/>
      <c r="BG33"/>
      <c r="BH33"/>
    </row>
    <row r="34" spans="1:60">
      <c r="BB34"/>
      <c r="BC34"/>
      <c r="BD34"/>
      <c r="BE34"/>
      <c r="BF34"/>
      <c r="BG34"/>
      <c r="BH34"/>
    </row>
    <row r="35" spans="1:60">
      <c r="A35" s="9"/>
      <c r="B35" s="9" t="s">
        <v>547</v>
      </c>
      <c r="C35" s="76">
        <f t="shared" ref="C35:AV35" si="12">C36+C42</f>
        <v>1756321.9488199998</v>
      </c>
      <c r="D35" s="76">
        <f t="shared" si="12"/>
        <v>1812837.4783499991</v>
      </c>
      <c r="E35" s="76">
        <f t="shared" si="12"/>
        <v>1867894.2491400004</v>
      </c>
      <c r="F35" s="76">
        <f t="shared" si="12"/>
        <v>1921785.3163687747</v>
      </c>
      <c r="G35" s="76">
        <f t="shared" si="12"/>
        <v>7358838.9926787755</v>
      </c>
      <c r="H35" s="76">
        <f t="shared" si="12"/>
        <v>2040388.2352499992</v>
      </c>
      <c r="I35" s="76">
        <f t="shared" si="12"/>
        <v>2067849.9051200007</v>
      </c>
      <c r="J35" s="76">
        <f t="shared" si="12"/>
        <v>2094370.3660799996</v>
      </c>
      <c r="K35" s="76">
        <f t="shared" si="12"/>
        <v>1984861.6399500009</v>
      </c>
      <c r="L35" s="76">
        <f t="shared" si="12"/>
        <v>8187470.1464000009</v>
      </c>
      <c r="M35" s="76">
        <f t="shared" si="12"/>
        <v>2370565.4507799996</v>
      </c>
      <c r="N35" s="76">
        <f t="shared" si="12"/>
        <v>2282099.418589999</v>
      </c>
      <c r="O35" s="76">
        <f t="shared" si="12"/>
        <v>3142375.4392900006</v>
      </c>
      <c r="P35" s="76">
        <f t="shared" si="12"/>
        <v>2094805.9005100031</v>
      </c>
      <c r="Q35" s="76">
        <f t="shared" si="12"/>
        <v>9889846.2091700025</v>
      </c>
      <c r="R35" s="76">
        <f t="shared" si="12"/>
        <v>2411034.4047499998</v>
      </c>
      <c r="S35" s="76">
        <f t="shared" si="12"/>
        <v>2240449.6747900019</v>
      </c>
      <c r="T35" s="76">
        <f t="shared" si="12"/>
        <v>2538448.0629999992</v>
      </c>
      <c r="U35" s="76">
        <f t="shared" si="12"/>
        <v>2460293.4180400013</v>
      </c>
      <c r="V35" s="76">
        <f t="shared" si="12"/>
        <v>9650225.560580004</v>
      </c>
      <c r="W35" s="76">
        <f t="shared" si="12"/>
        <v>2567247.7597400025</v>
      </c>
      <c r="X35" s="76">
        <f t="shared" si="12"/>
        <v>2512953.5928199999</v>
      </c>
      <c r="Y35" s="76">
        <f t="shared" si="12"/>
        <v>2796208.9439699985</v>
      </c>
      <c r="Z35" s="76">
        <f t="shared" si="12"/>
        <v>2737622.4799599973</v>
      </c>
      <c r="AA35" s="76">
        <f t="shared" si="12"/>
        <v>10614032.776489999</v>
      </c>
      <c r="AB35" s="76">
        <f t="shared" si="12"/>
        <v>2855387.6438099961</v>
      </c>
      <c r="AC35" s="76">
        <f t="shared" si="12"/>
        <v>2851117.157070003</v>
      </c>
      <c r="AD35" s="76">
        <f t="shared" si="12"/>
        <v>3120310.351660003</v>
      </c>
      <c r="AE35" s="76">
        <f t="shared" si="12"/>
        <v>3091353.5689700004</v>
      </c>
      <c r="AF35" s="76">
        <f t="shared" si="12"/>
        <v>11918168.721510001</v>
      </c>
      <c r="AG35" s="76">
        <f t="shared" si="12"/>
        <v>3217756</v>
      </c>
      <c r="AH35" s="76">
        <f t="shared" si="12"/>
        <v>3361300.41811</v>
      </c>
      <c r="AI35" s="76">
        <f t="shared" si="12"/>
        <v>3720547</v>
      </c>
      <c r="AJ35" s="76">
        <f t="shared" si="12"/>
        <v>3728830.90331</v>
      </c>
      <c r="AK35" s="76">
        <f t="shared" si="12"/>
        <v>14028434.321419999</v>
      </c>
      <c r="AL35" s="76">
        <f t="shared" si="12"/>
        <v>3672954</v>
      </c>
      <c r="AM35" s="76">
        <f t="shared" si="12"/>
        <v>3743042</v>
      </c>
      <c r="AN35" s="76">
        <f t="shared" si="12"/>
        <v>3889118</v>
      </c>
      <c r="AO35" s="76">
        <f t="shared" si="12"/>
        <v>3939529.7069999999</v>
      </c>
      <c r="AP35" s="76">
        <f t="shared" si="12"/>
        <v>15244643.707</v>
      </c>
      <c r="AQ35" s="76">
        <f t="shared" si="12"/>
        <v>4026068.6687400001</v>
      </c>
      <c r="AR35" s="76">
        <f t="shared" si="12"/>
        <v>4093960.8859999999</v>
      </c>
      <c r="AS35" s="76">
        <f t="shared" si="12"/>
        <v>4263584.1270000003</v>
      </c>
      <c r="AT35" s="76">
        <f t="shared" si="12"/>
        <v>4394303.1069999998</v>
      </c>
      <c r="AU35" s="76">
        <f t="shared" si="12"/>
        <v>16777916.788739998</v>
      </c>
      <c r="AV35" s="76">
        <f t="shared" si="12"/>
        <v>4444255.4531500004</v>
      </c>
      <c r="AW35" s="76">
        <f>AW36+AW42</f>
        <v>4446361.8686800003</v>
      </c>
      <c r="AX35" s="76">
        <f>AX36+AX42</f>
        <v>4640462.9862200003</v>
      </c>
      <c r="AY35" s="76">
        <f>AY36+AY42</f>
        <v>4723983.5052899998</v>
      </c>
      <c r="AZ35" s="76">
        <f>AZ36+AZ42</f>
        <v>18255063.813340001</v>
      </c>
      <c r="BA35" s="76">
        <f t="shared" ref="BA35" si="13">BA36+BA42</f>
        <v>4711109.3072499996</v>
      </c>
      <c r="BB35"/>
      <c r="BC35"/>
      <c r="BD35"/>
      <c r="BE35"/>
      <c r="BF35"/>
      <c r="BG35"/>
      <c r="BH35"/>
    </row>
    <row r="36" spans="1:60" s="100" customFormat="1">
      <c r="A36" s="2"/>
      <c r="B36" s="2" t="s">
        <v>549</v>
      </c>
      <c r="C36" s="3">
        <f t="shared" ref="C36:AV36" si="14">SUM(C38:C41)</f>
        <v>1626393.8318199997</v>
      </c>
      <c r="D36" s="3">
        <f t="shared" si="14"/>
        <v>1683887.9643499991</v>
      </c>
      <c r="E36" s="3">
        <f t="shared" si="14"/>
        <v>1730649.4591400004</v>
      </c>
      <c r="F36" s="3">
        <f t="shared" si="14"/>
        <v>1773688.0127799993</v>
      </c>
      <c r="G36" s="3">
        <f t="shared" si="14"/>
        <v>6814619.2680900004</v>
      </c>
      <c r="H36" s="3">
        <f t="shared" si="14"/>
        <v>1890672.2395299992</v>
      </c>
      <c r="I36" s="3">
        <f t="shared" si="14"/>
        <v>1914009.4244300006</v>
      </c>
      <c r="J36" s="3">
        <f t="shared" si="14"/>
        <v>1931643.0414799997</v>
      </c>
      <c r="K36" s="3">
        <f t="shared" si="14"/>
        <v>1850043.2802100009</v>
      </c>
      <c r="L36" s="3">
        <f t="shared" si="14"/>
        <v>7586367.9856500011</v>
      </c>
      <c r="M36" s="3">
        <f t="shared" si="14"/>
        <v>2190875.0452899998</v>
      </c>
      <c r="N36" s="3">
        <f t="shared" si="14"/>
        <v>2132769.6344599989</v>
      </c>
      <c r="O36" s="3">
        <f t="shared" si="14"/>
        <v>2968855.9951200006</v>
      </c>
      <c r="P36" s="3">
        <f t="shared" si="14"/>
        <v>1920541.146830003</v>
      </c>
      <c r="Q36" s="3">
        <f t="shared" si="14"/>
        <v>9213041.821700003</v>
      </c>
      <c r="R36" s="3">
        <f t="shared" si="14"/>
        <v>2228163.2716899998</v>
      </c>
      <c r="S36" s="3">
        <f t="shared" si="14"/>
        <v>2038076.813860002</v>
      </c>
      <c r="T36" s="3">
        <f t="shared" si="14"/>
        <v>2331801.0759899993</v>
      </c>
      <c r="U36" s="3">
        <f t="shared" si="14"/>
        <v>2221621.5735100014</v>
      </c>
      <c r="V36" s="3">
        <f t="shared" si="14"/>
        <v>8819662.735050004</v>
      </c>
      <c r="W36" s="3">
        <f t="shared" si="14"/>
        <v>2341837.6787400027</v>
      </c>
      <c r="X36" s="3">
        <f t="shared" si="14"/>
        <v>2302841.1196300001</v>
      </c>
      <c r="Y36" s="3">
        <f t="shared" si="14"/>
        <v>2576405.2759699984</v>
      </c>
      <c r="Z36" s="3">
        <f t="shared" si="14"/>
        <v>2479284.4329599971</v>
      </c>
      <c r="AA36" s="3">
        <f t="shared" si="14"/>
        <v>9700368.5072999988</v>
      </c>
      <c r="AB36" s="3">
        <f t="shared" si="14"/>
        <v>2588815.8048099959</v>
      </c>
      <c r="AC36" s="3">
        <f t="shared" si="14"/>
        <v>2609177.7690700032</v>
      </c>
      <c r="AD36" s="3">
        <f t="shared" si="14"/>
        <v>2892019.8262500027</v>
      </c>
      <c r="AE36" s="3">
        <f t="shared" si="14"/>
        <v>2845538.5689700004</v>
      </c>
      <c r="AF36" s="3">
        <f t="shared" si="14"/>
        <v>10935551.9691</v>
      </c>
      <c r="AG36" s="3">
        <f t="shared" si="14"/>
        <v>2944066</v>
      </c>
      <c r="AH36" s="3">
        <f t="shared" si="14"/>
        <v>3073510.41811</v>
      </c>
      <c r="AI36" s="3">
        <f t="shared" si="14"/>
        <v>3421381</v>
      </c>
      <c r="AJ36" s="3">
        <f t="shared" si="14"/>
        <v>3392369.90331</v>
      </c>
      <c r="AK36" s="3">
        <f t="shared" si="14"/>
        <v>12831327.321419999</v>
      </c>
      <c r="AL36" s="3">
        <f t="shared" si="14"/>
        <v>3309859</v>
      </c>
      <c r="AM36" s="3">
        <f t="shared" si="14"/>
        <v>3355475</v>
      </c>
      <c r="AN36" s="3">
        <f t="shared" si="14"/>
        <v>3492328</v>
      </c>
      <c r="AO36" s="3">
        <f t="shared" si="14"/>
        <v>3521534</v>
      </c>
      <c r="AP36" s="3">
        <f t="shared" si="14"/>
        <v>13679196</v>
      </c>
      <c r="AQ36" s="3">
        <f t="shared" si="14"/>
        <v>3596754.56874</v>
      </c>
      <c r="AR36" s="3">
        <f t="shared" si="14"/>
        <v>3670182</v>
      </c>
      <c r="AS36" s="3">
        <f t="shared" si="14"/>
        <v>3822391</v>
      </c>
      <c r="AT36" s="3">
        <f t="shared" si="14"/>
        <v>3921122</v>
      </c>
      <c r="AU36" s="3">
        <f t="shared" si="14"/>
        <v>15010449.568739999</v>
      </c>
      <c r="AV36" s="3">
        <f t="shared" si="14"/>
        <v>3965783.4531500004</v>
      </c>
      <c r="AW36" s="3">
        <f>SUM(AW38:AW41)</f>
        <v>3958914.8686800003</v>
      </c>
      <c r="AX36" s="3">
        <f>SUM(AX38:AX41)</f>
        <v>4144310.9862200003</v>
      </c>
      <c r="AY36" s="3">
        <f>SUM(AY38:AY41)</f>
        <v>4185807.5052899998</v>
      </c>
      <c r="AZ36" s="3">
        <f>SUM(AZ38:AZ41)</f>
        <v>16254816.813340001</v>
      </c>
      <c r="BA36" s="3">
        <f t="shared" ref="BA36" si="15">SUM(BA38:BA41)</f>
        <v>4156518.46025</v>
      </c>
      <c r="BB36" s="2"/>
      <c r="BC36" s="2"/>
      <c r="BD36" s="2"/>
      <c r="BE36" s="2"/>
      <c r="BF36" s="2"/>
      <c r="BG36" s="2"/>
      <c r="BH36" s="2"/>
    </row>
    <row r="37" spans="1:60">
      <c r="B37" s="11" t="s">
        <v>462</v>
      </c>
      <c r="C37" s="8">
        <f t="shared" ref="C37:AV37" si="16">C38+C39</f>
        <v>1537825.4633299997</v>
      </c>
      <c r="D37" s="8">
        <f t="shared" si="16"/>
        <v>1614506.3991699989</v>
      </c>
      <c r="E37" s="8">
        <f t="shared" si="16"/>
        <v>1650151.5904700004</v>
      </c>
      <c r="F37" s="8">
        <f t="shared" si="16"/>
        <v>1684050.6264499994</v>
      </c>
      <c r="G37" s="8">
        <f t="shared" si="16"/>
        <v>6486534.0794200003</v>
      </c>
      <c r="H37" s="8">
        <f t="shared" si="16"/>
        <v>1753058.8843599991</v>
      </c>
      <c r="I37" s="8">
        <f t="shared" si="16"/>
        <v>1787100.4060100005</v>
      </c>
      <c r="J37" s="8">
        <f t="shared" si="16"/>
        <v>1798688.8804299997</v>
      </c>
      <c r="K37" s="8">
        <f t="shared" si="16"/>
        <v>1741035.4736300008</v>
      </c>
      <c r="L37" s="8">
        <f t="shared" si="16"/>
        <v>7079883.6444300013</v>
      </c>
      <c r="M37" s="8">
        <f t="shared" si="16"/>
        <v>1988104.6831599998</v>
      </c>
      <c r="N37" s="8">
        <f t="shared" si="16"/>
        <v>1976835.0767499988</v>
      </c>
      <c r="O37" s="8">
        <f t="shared" si="16"/>
        <v>2815995.6804700005</v>
      </c>
      <c r="P37" s="8">
        <f t="shared" si="16"/>
        <v>1765694.150130003</v>
      </c>
      <c r="Q37" s="8">
        <f t="shared" si="16"/>
        <v>8546629.5905100033</v>
      </c>
      <c r="R37" s="8">
        <f t="shared" si="16"/>
        <v>2046255.1312599999</v>
      </c>
      <c r="S37" s="8">
        <f t="shared" si="16"/>
        <v>1853661.445250002</v>
      </c>
      <c r="T37" s="8">
        <f t="shared" si="16"/>
        <v>2139514.4639099995</v>
      </c>
      <c r="U37" s="8">
        <f t="shared" si="16"/>
        <v>2133899.5010900013</v>
      </c>
      <c r="V37" s="8">
        <f t="shared" si="16"/>
        <v>8173330.5415100036</v>
      </c>
      <c r="W37" s="8">
        <f t="shared" si="16"/>
        <v>2168770.9883000026</v>
      </c>
      <c r="X37" s="8">
        <f t="shared" si="16"/>
        <v>2145760.7456300003</v>
      </c>
      <c r="Y37" s="8">
        <f t="shared" si="16"/>
        <v>2249704.2379699983</v>
      </c>
      <c r="Z37" s="8">
        <f t="shared" si="16"/>
        <v>2241442.6632299973</v>
      </c>
      <c r="AA37" s="8">
        <f t="shared" si="16"/>
        <v>8805678.6351299994</v>
      </c>
      <c r="AB37" s="8">
        <f t="shared" si="16"/>
        <v>1171680.0834100004</v>
      </c>
      <c r="AC37" s="8">
        <f t="shared" si="16"/>
        <v>1142475.5465299997</v>
      </c>
      <c r="AD37" s="8">
        <f t="shared" si="16"/>
        <v>1122976.6596899999</v>
      </c>
      <c r="AE37" s="8">
        <f t="shared" si="16"/>
        <v>1011363.09984</v>
      </c>
      <c r="AF37" s="8">
        <f t="shared" si="16"/>
        <v>4448495.3894699998</v>
      </c>
      <c r="AG37" s="8">
        <f t="shared" si="16"/>
        <v>1047160</v>
      </c>
      <c r="AH37" s="8">
        <f t="shared" si="16"/>
        <v>964557.41811000009</v>
      </c>
      <c r="AI37" s="8">
        <f t="shared" si="16"/>
        <v>1010183</v>
      </c>
      <c r="AJ37" s="8">
        <f t="shared" si="16"/>
        <v>1020806.9033099997</v>
      </c>
      <c r="AK37" s="8">
        <f t="shared" si="16"/>
        <v>4042707.3214199999</v>
      </c>
      <c r="AL37" s="8">
        <f t="shared" si="16"/>
        <v>785054</v>
      </c>
      <c r="AM37" s="8">
        <f t="shared" si="16"/>
        <v>735359</v>
      </c>
      <c r="AN37" s="8">
        <f t="shared" si="16"/>
        <v>761827</v>
      </c>
      <c r="AO37" s="8">
        <f t="shared" si="16"/>
        <v>715677</v>
      </c>
      <c r="AP37" s="8">
        <f t="shared" si="16"/>
        <v>2997917</v>
      </c>
      <c r="AQ37" s="8">
        <f t="shared" si="16"/>
        <v>738922</v>
      </c>
      <c r="AR37" s="8">
        <f t="shared" si="16"/>
        <v>725438</v>
      </c>
      <c r="AS37" s="8">
        <f t="shared" si="16"/>
        <v>732032</v>
      </c>
      <c r="AT37" s="8">
        <f t="shared" si="16"/>
        <v>678215</v>
      </c>
      <c r="AU37" s="8">
        <f t="shared" si="16"/>
        <v>2874607</v>
      </c>
      <c r="AV37" s="8">
        <f t="shared" si="16"/>
        <v>735879</v>
      </c>
      <c r="AW37" s="8">
        <f>AW38+AW39</f>
        <v>693353</v>
      </c>
      <c r="AX37" s="8">
        <f>AX38+AX39</f>
        <v>709063</v>
      </c>
      <c r="AY37" s="8">
        <f>AY38+AY39</f>
        <v>747314</v>
      </c>
      <c r="AZ37" s="8">
        <f>AZ38+AZ39</f>
        <v>2885609</v>
      </c>
      <c r="BA37" s="8">
        <f t="shared" ref="BA37" si="17">BA38+BA39</f>
        <v>707951</v>
      </c>
      <c r="BB37" s="114"/>
      <c r="BC37"/>
      <c r="BD37"/>
      <c r="BE37"/>
      <c r="BF37"/>
      <c r="BG37"/>
      <c r="BH37"/>
    </row>
    <row r="38" spans="1:60">
      <c r="B38" s="231" t="s">
        <v>581</v>
      </c>
      <c r="C38" s="1">
        <f t="shared" ref="C38:AV38" si="18">SUM(C10:C13)</f>
        <v>1416824.4771199997</v>
      </c>
      <c r="D38" s="1">
        <f t="shared" si="18"/>
        <v>1443567.0401299989</v>
      </c>
      <c r="E38" s="1">
        <f t="shared" si="18"/>
        <v>1466751.3152200005</v>
      </c>
      <c r="F38" s="1">
        <f t="shared" si="18"/>
        <v>1528294.1801500001</v>
      </c>
      <c r="G38" s="1">
        <f t="shared" si="18"/>
        <v>5855437.0126200011</v>
      </c>
      <c r="H38" s="1">
        <f t="shared" si="18"/>
        <v>1580037.6110699992</v>
      </c>
      <c r="I38" s="1">
        <f t="shared" si="18"/>
        <v>1632124.7845099999</v>
      </c>
      <c r="J38" s="1">
        <f t="shared" si="18"/>
        <v>1666624.75055</v>
      </c>
      <c r="K38" s="1">
        <f t="shared" si="18"/>
        <v>1627521.8848000008</v>
      </c>
      <c r="L38" s="1">
        <f t="shared" si="18"/>
        <v>6506309.0309300013</v>
      </c>
      <c r="M38" s="1">
        <f t="shared" si="18"/>
        <v>1768869.5081399998</v>
      </c>
      <c r="N38" s="1">
        <f t="shared" si="18"/>
        <v>1789234.6399699987</v>
      </c>
      <c r="O38" s="1">
        <f t="shared" si="18"/>
        <v>2659741.1563600004</v>
      </c>
      <c r="P38" s="1">
        <f t="shared" si="18"/>
        <v>1602221.5701800028</v>
      </c>
      <c r="Q38" s="1">
        <f t="shared" si="18"/>
        <v>7820066.8746500025</v>
      </c>
      <c r="R38" s="1">
        <f t="shared" si="18"/>
        <v>1889216.6692299999</v>
      </c>
      <c r="S38" s="1">
        <f t="shared" si="18"/>
        <v>1728370.545390002</v>
      </c>
      <c r="T38" s="1">
        <f t="shared" si="18"/>
        <v>2034328.8152199995</v>
      </c>
      <c r="U38" s="1">
        <f t="shared" si="18"/>
        <v>2029073.5865300014</v>
      </c>
      <c r="V38" s="1">
        <f t="shared" si="18"/>
        <v>7680989.6163700037</v>
      </c>
      <c r="W38" s="1">
        <f t="shared" si="18"/>
        <v>2068609.2705900026</v>
      </c>
      <c r="X38" s="1">
        <f t="shared" si="18"/>
        <v>2060825.6449200001</v>
      </c>
      <c r="Y38" s="1">
        <f t="shared" si="18"/>
        <v>2167712.0414499985</v>
      </c>
      <c r="Z38" s="1">
        <f t="shared" si="18"/>
        <v>2191718.8831399973</v>
      </c>
      <c r="AA38" s="1">
        <f t="shared" si="18"/>
        <v>8488865.8400999997</v>
      </c>
      <c r="AB38" s="1">
        <f t="shared" si="18"/>
        <v>1095378.6048500005</v>
      </c>
      <c r="AC38" s="1">
        <f t="shared" si="18"/>
        <v>1070563.7642999997</v>
      </c>
      <c r="AD38" s="1">
        <f t="shared" si="18"/>
        <v>1033287.1167599999</v>
      </c>
      <c r="AE38" s="1">
        <f t="shared" si="18"/>
        <v>921094.08975000004</v>
      </c>
      <c r="AF38" s="1">
        <f t="shared" si="18"/>
        <v>4120323.5756600001</v>
      </c>
      <c r="AG38" s="1">
        <f t="shared" si="18"/>
        <v>954053</v>
      </c>
      <c r="AH38" s="1">
        <f t="shared" si="18"/>
        <v>884847.41811000009</v>
      </c>
      <c r="AI38" s="1">
        <f t="shared" si="18"/>
        <v>913182</v>
      </c>
      <c r="AJ38" s="1">
        <f t="shared" si="18"/>
        <v>943628.90330999973</v>
      </c>
      <c r="AK38" s="1">
        <f t="shared" si="18"/>
        <v>3695711.3214199999</v>
      </c>
      <c r="AL38" s="1">
        <f t="shared" si="18"/>
        <v>776357</v>
      </c>
      <c r="AM38" s="1">
        <f t="shared" si="18"/>
        <v>725547</v>
      </c>
      <c r="AN38" s="1">
        <f t="shared" si="18"/>
        <v>751823</v>
      </c>
      <c r="AO38" s="1">
        <f t="shared" si="18"/>
        <v>706000</v>
      </c>
      <c r="AP38" s="1">
        <f t="shared" si="18"/>
        <v>2959727</v>
      </c>
      <c r="AQ38" s="1">
        <f t="shared" si="18"/>
        <v>728799</v>
      </c>
      <c r="AR38" s="1">
        <f t="shared" si="18"/>
        <v>713533</v>
      </c>
      <c r="AS38" s="1">
        <f t="shared" si="18"/>
        <v>719719</v>
      </c>
      <c r="AT38" s="1">
        <f t="shared" si="18"/>
        <v>663892</v>
      </c>
      <c r="AU38" s="1">
        <f t="shared" si="18"/>
        <v>2825943</v>
      </c>
      <c r="AV38" s="1">
        <f t="shared" si="18"/>
        <v>703327</v>
      </c>
      <c r="AW38" s="1">
        <f>SUM(AW10:AW13)</f>
        <v>684060</v>
      </c>
      <c r="AX38" s="1">
        <f>SUM(AX10:AX13)</f>
        <v>696490</v>
      </c>
      <c r="AY38" s="1">
        <f>SUM(AY10:AY13)</f>
        <v>734856</v>
      </c>
      <c r="AZ38" s="1">
        <f>SUM(AZ10:AZ13)</f>
        <v>2818733</v>
      </c>
      <c r="BA38" s="1">
        <f t="shared" ref="BA38" si="19">SUM(BA10:BA13)</f>
        <v>691935</v>
      </c>
      <c r="BB38"/>
      <c r="BC38"/>
      <c r="BD38"/>
      <c r="BE38"/>
      <c r="BF38"/>
      <c r="BG38"/>
      <c r="BH38"/>
    </row>
    <row r="39" spans="1:60">
      <c r="B39" s="231" t="s">
        <v>582</v>
      </c>
      <c r="C39" s="1">
        <f t="shared" ref="C39:AV39" si="20">SUM(C9,C14:C18)</f>
        <v>121000.98621000003</v>
      </c>
      <c r="D39" s="1">
        <f t="shared" si="20"/>
        <v>170939.3590400001</v>
      </c>
      <c r="E39" s="1">
        <f t="shared" si="20"/>
        <v>183400.27524999989</v>
      </c>
      <c r="F39" s="1">
        <f t="shared" si="20"/>
        <v>155756.44629999934</v>
      </c>
      <c r="G39" s="1">
        <f t="shared" si="20"/>
        <v>631097.06679999945</v>
      </c>
      <c r="H39" s="1">
        <f t="shared" si="20"/>
        <v>173021.2732899999</v>
      </c>
      <c r="I39" s="1">
        <f t="shared" si="20"/>
        <v>154975.62150000053</v>
      </c>
      <c r="J39" s="1">
        <f t="shared" si="20"/>
        <v>132064.12987999967</v>
      </c>
      <c r="K39" s="1">
        <f t="shared" si="20"/>
        <v>113513.58882999995</v>
      </c>
      <c r="L39" s="1">
        <f t="shared" si="20"/>
        <v>573574.61350000009</v>
      </c>
      <c r="M39" s="1">
        <f t="shared" si="20"/>
        <v>219235.17502</v>
      </c>
      <c r="N39" s="1">
        <f t="shared" si="20"/>
        <v>187600.43678000008</v>
      </c>
      <c r="O39" s="1">
        <f t="shared" si="20"/>
        <v>156254.52410999994</v>
      </c>
      <c r="P39" s="1">
        <f t="shared" si="20"/>
        <v>163472.57995000022</v>
      </c>
      <c r="Q39" s="1">
        <f t="shared" si="20"/>
        <v>726562.71586000023</v>
      </c>
      <c r="R39" s="1">
        <f t="shared" si="20"/>
        <v>157038.46203</v>
      </c>
      <c r="S39" s="1">
        <f t="shared" si="20"/>
        <v>125290.89986000003</v>
      </c>
      <c r="T39" s="1">
        <f t="shared" si="20"/>
        <v>105185.64869000003</v>
      </c>
      <c r="U39" s="1">
        <f t="shared" si="20"/>
        <v>104825.91455999993</v>
      </c>
      <c r="V39" s="1">
        <f t="shared" si="20"/>
        <v>492340.92514000001</v>
      </c>
      <c r="W39" s="1">
        <f t="shared" si="20"/>
        <v>100161.71771</v>
      </c>
      <c r="X39" s="1">
        <f t="shared" si="20"/>
        <v>84935.100710000028</v>
      </c>
      <c r="Y39" s="1">
        <f t="shared" si="20"/>
        <v>81992.196519999969</v>
      </c>
      <c r="Z39" s="1">
        <f t="shared" si="20"/>
        <v>49723.780090000015</v>
      </c>
      <c r="AA39" s="1">
        <f t="shared" si="20"/>
        <v>316812.79502999998</v>
      </c>
      <c r="AB39" s="1">
        <f t="shared" si="20"/>
        <v>76301.478560000003</v>
      </c>
      <c r="AC39" s="1">
        <f t="shared" si="20"/>
        <v>71911.782229999997</v>
      </c>
      <c r="AD39" s="1">
        <f t="shared" si="20"/>
        <v>89689.542930000011</v>
      </c>
      <c r="AE39" s="1">
        <f t="shared" si="20"/>
        <v>90269.010090000011</v>
      </c>
      <c r="AF39" s="1">
        <f t="shared" si="20"/>
        <v>328171.81381000008</v>
      </c>
      <c r="AG39" s="1">
        <f t="shared" si="20"/>
        <v>93107</v>
      </c>
      <c r="AH39" s="1">
        <f t="shared" si="20"/>
        <v>79710</v>
      </c>
      <c r="AI39" s="1">
        <f t="shared" si="20"/>
        <v>97001</v>
      </c>
      <c r="AJ39" s="1">
        <f t="shared" si="20"/>
        <v>77178</v>
      </c>
      <c r="AK39" s="1">
        <f t="shared" si="20"/>
        <v>346996</v>
      </c>
      <c r="AL39" s="1">
        <f t="shared" si="20"/>
        <v>8697</v>
      </c>
      <c r="AM39" s="1">
        <f t="shared" si="20"/>
        <v>9812</v>
      </c>
      <c r="AN39" s="1">
        <f t="shared" si="20"/>
        <v>10004</v>
      </c>
      <c r="AO39" s="1">
        <f t="shared" si="20"/>
        <v>9677</v>
      </c>
      <c r="AP39" s="1">
        <f t="shared" si="20"/>
        <v>38190</v>
      </c>
      <c r="AQ39" s="1">
        <f t="shared" si="20"/>
        <v>10123</v>
      </c>
      <c r="AR39" s="1">
        <f t="shared" si="20"/>
        <v>11905</v>
      </c>
      <c r="AS39" s="1">
        <f t="shared" si="20"/>
        <v>12313</v>
      </c>
      <c r="AT39" s="1">
        <f t="shared" si="20"/>
        <v>14323</v>
      </c>
      <c r="AU39" s="1">
        <f t="shared" si="20"/>
        <v>48664</v>
      </c>
      <c r="AV39" s="1">
        <f t="shared" si="20"/>
        <v>32552</v>
      </c>
      <c r="AW39" s="1">
        <f>SUM(AW9,AW14:AW18)</f>
        <v>9293</v>
      </c>
      <c r="AX39" s="1">
        <f>SUM(AX9,AX14:AX18)</f>
        <v>12573</v>
      </c>
      <c r="AY39" s="1">
        <f>SUM(AY9,AY14:AY18)</f>
        <v>12458</v>
      </c>
      <c r="AZ39" s="1">
        <f>SUM(AZ9,AZ14:AZ18)</f>
        <v>66876</v>
      </c>
      <c r="BA39" s="1">
        <f t="shared" ref="BA39" si="21">SUM(BA9,BA14:BA18)</f>
        <v>16016</v>
      </c>
      <c r="BB39"/>
      <c r="BC39"/>
      <c r="BD39"/>
      <c r="BE39"/>
      <c r="BF39"/>
      <c r="BG39"/>
      <c r="BH39"/>
    </row>
    <row r="40" spans="1:60">
      <c r="B40" s="11" t="s">
        <v>446</v>
      </c>
      <c r="C40" s="1">
        <f t="shared" ref="C40:AV40" si="22">C19</f>
        <v>0</v>
      </c>
      <c r="D40" s="1">
        <f t="shared" si="22"/>
        <v>0</v>
      </c>
      <c r="E40" s="1">
        <f t="shared" si="22"/>
        <v>0</v>
      </c>
      <c r="F40" s="1">
        <f t="shared" si="22"/>
        <v>0</v>
      </c>
      <c r="G40" s="1">
        <f t="shared" si="22"/>
        <v>0</v>
      </c>
      <c r="H40" s="1">
        <f t="shared" si="22"/>
        <v>0</v>
      </c>
      <c r="I40" s="1">
        <f t="shared" si="22"/>
        <v>0</v>
      </c>
      <c r="J40" s="1">
        <f t="shared" si="22"/>
        <v>0</v>
      </c>
      <c r="K40" s="1">
        <f t="shared" si="22"/>
        <v>0</v>
      </c>
      <c r="L40" s="1">
        <f t="shared" si="22"/>
        <v>0</v>
      </c>
      <c r="M40" s="1">
        <f t="shared" si="22"/>
        <v>0</v>
      </c>
      <c r="N40" s="1">
        <f t="shared" si="22"/>
        <v>0</v>
      </c>
      <c r="O40" s="1">
        <f t="shared" si="22"/>
        <v>0</v>
      </c>
      <c r="P40" s="1">
        <f t="shared" si="22"/>
        <v>0</v>
      </c>
      <c r="Q40" s="1">
        <f t="shared" si="22"/>
        <v>0</v>
      </c>
      <c r="R40" s="1">
        <f t="shared" si="22"/>
        <v>0</v>
      </c>
      <c r="S40" s="1">
        <f t="shared" si="22"/>
        <v>0</v>
      </c>
      <c r="T40" s="1">
        <f t="shared" si="22"/>
        <v>0</v>
      </c>
      <c r="U40" s="1">
        <f t="shared" si="22"/>
        <v>0</v>
      </c>
      <c r="V40" s="1">
        <f t="shared" si="22"/>
        <v>0</v>
      </c>
      <c r="W40" s="1">
        <f t="shared" si="22"/>
        <v>0</v>
      </c>
      <c r="X40" s="1">
        <f t="shared" si="22"/>
        <v>0</v>
      </c>
      <c r="Y40" s="1">
        <f t="shared" si="22"/>
        <v>0</v>
      </c>
      <c r="Z40" s="1">
        <f t="shared" si="22"/>
        <v>0</v>
      </c>
      <c r="AA40" s="1">
        <f t="shared" si="22"/>
        <v>0</v>
      </c>
      <c r="AB40" s="1">
        <f t="shared" si="22"/>
        <v>1222194.7213999957</v>
      </c>
      <c r="AC40" s="1">
        <f t="shared" si="22"/>
        <v>1252439.2135500032</v>
      </c>
      <c r="AD40" s="1">
        <f t="shared" si="22"/>
        <v>1415153.0887400024</v>
      </c>
      <c r="AE40" s="1">
        <f t="shared" si="22"/>
        <v>1473408.44013</v>
      </c>
      <c r="AF40" s="1">
        <f t="shared" si="22"/>
        <v>5363195.4638200011</v>
      </c>
      <c r="AG40" s="1">
        <f t="shared" si="22"/>
        <v>1569915</v>
      </c>
      <c r="AH40" s="1">
        <f t="shared" si="22"/>
        <v>1698151</v>
      </c>
      <c r="AI40" s="1">
        <f t="shared" si="22"/>
        <v>1878069</v>
      </c>
      <c r="AJ40" s="1">
        <f t="shared" si="22"/>
        <v>1955043</v>
      </c>
      <c r="AK40" s="1">
        <f t="shared" si="22"/>
        <v>7101178</v>
      </c>
      <c r="AL40" s="1">
        <f t="shared" si="22"/>
        <v>2051304</v>
      </c>
      <c r="AM40" s="1">
        <f t="shared" si="22"/>
        <v>2139160</v>
      </c>
      <c r="AN40" s="1">
        <f t="shared" si="22"/>
        <v>2219646</v>
      </c>
      <c r="AO40" s="1">
        <f t="shared" si="22"/>
        <v>2276598</v>
      </c>
      <c r="AP40" s="1">
        <f t="shared" si="22"/>
        <v>8686708</v>
      </c>
      <c r="AQ40" s="1">
        <f t="shared" si="22"/>
        <v>2314657</v>
      </c>
      <c r="AR40" s="1">
        <f t="shared" si="22"/>
        <v>2399436</v>
      </c>
      <c r="AS40" s="1">
        <f t="shared" si="22"/>
        <v>2517218</v>
      </c>
      <c r="AT40" s="1">
        <f t="shared" si="22"/>
        <v>2574516</v>
      </c>
      <c r="AU40" s="1">
        <f t="shared" si="22"/>
        <v>9805827</v>
      </c>
      <c r="AV40" s="1">
        <f t="shared" si="22"/>
        <v>2615327.3515400002</v>
      </c>
      <c r="AW40" s="1">
        <f>AW19</f>
        <v>2680427.3470000001</v>
      </c>
      <c r="AX40" s="1">
        <f>AX19</f>
        <v>2800159.02</v>
      </c>
      <c r="AY40" s="1">
        <f>AY19</f>
        <v>2815939</v>
      </c>
      <c r="AZ40" s="1">
        <f>AZ19</f>
        <v>10911852.718540002</v>
      </c>
      <c r="BA40" s="1">
        <f t="shared" ref="BA40" si="23">BA19</f>
        <v>2827880</v>
      </c>
      <c r="BB40"/>
      <c r="BC40"/>
      <c r="BD40"/>
      <c r="BE40"/>
      <c r="BF40"/>
      <c r="BG40"/>
      <c r="BH40"/>
    </row>
    <row r="41" spans="1:60">
      <c r="B41" s="11" t="s">
        <v>554</v>
      </c>
      <c r="C41" s="1">
        <f t="shared" ref="C41:AV41" si="24">C30</f>
        <v>88568.368490000008</v>
      </c>
      <c r="D41" s="1">
        <f t="shared" si="24"/>
        <v>69381.565180000034</v>
      </c>
      <c r="E41" s="1">
        <f t="shared" si="24"/>
        <v>80497.868669999923</v>
      </c>
      <c r="F41" s="1">
        <f t="shared" si="24"/>
        <v>89637.386329999979</v>
      </c>
      <c r="G41" s="1">
        <f t="shared" si="24"/>
        <v>328085.18866999994</v>
      </c>
      <c r="H41" s="1">
        <f t="shared" si="24"/>
        <v>137613.35517000002</v>
      </c>
      <c r="I41" s="1">
        <f t="shared" si="24"/>
        <v>126909.01842000002</v>
      </c>
      <c r="J41" s="1">
        <f t="shared" si="24"/>
        <v>132954.16104999997</v>
      </c>
      <c r="K41" s="1">
        <f t="shared" si="24"/>
        <v>109007.80657999999</v>
      </c>
      <c r="L41" s="1">
        <f t="shared" si="24"/>
        <v>506484.34121999994</v>
      </c>
      <c r="M41" s="1">
        <f t="shared" si="24"/>
        <v>202770.36212999999</v>
      </c>
      <c r="N41" s="1">
        <f t="shared" si="24"/>
        <v>155934.55770999996</v>
      </c>
      <c r="O41" s="1">
        <f t="shared" si="24"/>
        <v>152860.31464999999</v>
      </c>
      <c r="P41" s="1">
        <f t="shared" si="24"/>
        <v>154846.99670000011</v>
      </c>
      <c r="Q41" s="1">
        <f t="shared" si="24"/>
        <v>666412.23119000008</v>
      </c>
      <c r="R41" s="1">
        <f t="shared" si="24"/>
        <v>181908.14043</v>
      </c>
      <c r="S41" s="1">
        <f t="shared" si="24"/>
        <v>184415.36861</v>
      </c>
      <c r="T41" s="1">
        <f t="shared" si="24"/>
        <v>192286.61207999988</v>
      </c>
      <c r="U41" s="1">
        <f t="shared" si="24"/>
        <v>87722.07242000007</v>
      </c>
      <c r="V41" s="1">
        <f t="shared" si="24"/>
        <v>646332.19354000001</v>
      </c>
      <c r="W41" s="1">
        <f t="shared" si="24"/>
        <v>173066.69044000001</v>
      </c>
      <c r="X41" s="1">
        <f t="shared" si="24"/>
        <v>157080.37400000001</v>
      </c>
      <c r="Y41" s="1">
        <f t="shared" si="24"/>
        <v>326701.03800000006</v>
      </c>
      <c r="Z41" s="1">
        <f t="shared" si="24"/>
        <v>237841.76972999991</v>
      </c>
      <c r="AA41" s="1">
        <f t="shared" si="24"/>
        <v>894689.87216999999</v>
      </c>
      <c r="AB41" s="1">
        <f t="shared" si="24"/>
        <v>194941</v>
      </c>
      <c r="AC41" s="1">
        <f t="shared" si="24"/>
        <v>214263.00899</v>
      </c>
      <c r="AD41" s="1">
        <f t="shared" si="24"/>
        <v>353890.07782000001</v>
      </c>
      <c r="AE41" s="1">
        <f t="shared" si="24"/>
        <v>360767.02899999998</v>
      </c>
      <c r="AF41" s="1">
        <f t="shared" si="24"/>
        <v>1123861.1158099999</v>
      </c>
      <c r="AG41" s="1">
        <f t="shared" si="24"/>
        <v>326991</v>
      </c>
      <c r="AH41" s="1">
        <f t="shared" si="24"/>
        <v>410802</v>
      </c>
      <c r="AI41" s="1">
        <f t="shared" si="24"/>
        <v>533129</v>
      </c>
      <c r="AJ41" s="1">
        <f t="shared" si="24"/>
        <v>416520</v>
      </c>
      <c r="AK41" s="1">
        <f t="shared" si="24"/>
        <v>1687442</v>
      </c>
      <c r="AL41" s="1">
        <f t="shared" si="24"/>
        <v>473501</v>
      </c>
      <c r="AM41" s="1">
        <f t="shared" si="24"/>
        <v>480956</v>
      </c>
      <c r="AN41" s="1">
        <f t="shared" si="24"/>
        <v>510855</v>
      </c>
      <c r="AO41" s="1">
        <f t="shared" si="24"/>
        <v>529259</v>
      </c>
      <c r="AP41" s="1">
        <f t="shared" si="24"/>
        <v>1994571</v>
      </c>
      <c r="AQ41" s="1">
        <f t="shared" si="24"/>
        <v>543175.56874000002</v>
      </c>
      <c r="AR41" s="1">
        <f t="shared" si="24"/>
        <v>545308</v>
      </c>
      <c r="AS41" s="1">
        <f t="shared" si="24"/>
        <v>573141</v>
      </c>
      <c r="AT41" s="1">
        <f t="shared" si="24"/>
        <v>668391</v>
      </c>
      <c r="AU41" s="1">
        <f t="shared" si="24"/>
        <v>2330015.56874</v>
      </c>
      <c r="AV41" s="1">
        <f t="shared" si="24"/>
        <v>614577.10161000001</v>
      </c>
      <c r="AW41" s="1">
        <f>AW30</f>
        <v>585134.52168000001</v>
      </c>
      <c r="AX41" s="1">
        <f>AX30</f>
        <v>635088.96622000006</v>
      </c>
      <c r="AY41" s="1">
        <f>AY30</f>
        <v>622554.50529</v>
      </c>
      <c r="AZ41" s="1">
        <f>AZ30</f>
        <v>2457355.0948000001</v>
      </c>
      <c r="BA41" s="1">
        <f t="shared" ref="BA41" si="25">BA30</f>
        <v>620687.46025</v>
      </c>
      <c r="BB41"/>
      <c r="BC41"/>
      <c r="BD41"/>
      <c r="BE41"/>
      <c r="BF41"/>
      <c r="BG41"/>
      <c r="BH41"/>
    </row>
    <row r="42" spans="1:60" s="100" customFormat="1">
      <c r="A42" s="2"/>
      <c r="B42" s="2" t="s">
        <v>555</v>
      </c>
      <c r="C42" s="3">
        <f t="shared" ref="C42:AV42" si="26">C27</f>
        <v>129928.117</v>
      </c>
      <c r="D42" s="3">
        <f t="shared" si="26"/>
        <v>128949.51399999997</v>
      </c>
      <c r="E42" s="3">
        <f t="shared" si="26"/>
        <v>137244.79</v>
      </c>
      <c r="F42" s="3">
        <f t="shared" si="26"/>
        <v>148097.30358877545</v>
      </c>
      <c r="G42" s="3">
        <f t="shared" si="26"/>
        <v>544219.72458877543</v>
      </c>
      <c r="H42" s="3">
        <f t="shared" si="26"/>
        <v>149715.99572000001</v>
      </c>
      <c r="I42" s="3">
        <f t="shared" si="26"/>
        <v>153840.48069000003</v>
      </c>
      <c r="J42" s="3">
        <f t="shared" si="26"/>
        <v>162727.32459999999</v>
      </c>
      <c r="K42" s="3">
        <f t="shared" si="26"/>
        <v>134818.35973999999</v>
      </c>
      <c r="L42" s="3">
        <f t="shared" si="26"/>
        <v>601102.16075000004</v>
      </c>
      <c r="M42" s="3">
        <f t="shared" si="26"/>
        <v>179690.40549</v>
      </c>
      <c r="N42" s="3">
        <f t="shared" si="26"/>
        <v>149329.78413000001</v>
      </c>
      <c r="O42" s="3">
        <f t="shared" si="26"/>
        <v>173519.44416999997</v>
      </c>
      <c r="P42" s="3">
        <f t="shared" si="26"/>
        <v>174264.75368000002</v>
      </c>
      <c r="Q42" s="3">
        <f t="shared" si="26"/>
        <v>676804.38746999996</v>
      </c>
      <c r="R42" s="3">
        <f t="shared" si="26"/>
        <v>182871.13306000002</v>
      </c>
      <c r="S42" s="3">
        <f t="shared" si="26"/>
        <v>202372.86093</v>
      </c>
      <c r="T42" s="3">
        <f t="shared" si="26"/>
        <v>206646.98701000001</v>
      </c>
      <c r="U42" s="3">
        <f t="shared" si="26"/>
        <v>238671.84452999989</v>
      </c>
      <c r="V42" s="3">
        <f t="shared" si="26"/>
        <v>830562.82552999991</v>
      </c>
      <c r="W42" s="3">
        <f t="shared" si="26"/>
        <v>225410.08100000001</v>
      </c>
      <c r="X42" s="3">
        <f t="shared" si="26"/>
        <v>210112.47318999999</v>
      </c>
      <c r="Y42" s="3">
        <f t="shared" si="26"/>
        <v>219803.66800000001</v>
      </c>
      <c r="Z42" s="3">
        <f t="shared" si="26"/>
        <v>258338.04700000002</v>
      </c>
      <c r="AA42" s="3">
        <f t="shared" si="26"/>
        <v>913664.26919000002</v>
      </c>
      <c r="AB42" s="3">
        <f t="shared" si="26"/>
        <v>266571.83900000004</v>
      </c>
      <c r="AC42" s="3">
        <f t="shared" si="26"/>
        <v>241939.38799999998</v>
      </c>
      <c r="AD42" s="3">
        <f t="shared" si="26"/>
        <v>228290.52541</v>
      </c>
      <c r="AE42" s="3">
        <f t="shared" si="26"/>
        <v>245815</v>
      </c>
      <c r="AF42" s="3">
        <f t="shared" si="26"/>
        <v>982616.75240999996</v>
      </c>
      <c r="AG42" s="3">
        <f t="shared" si="26"/>
        <v>273690</v>
      </c>
      <c r="AH42" s="3">
        <f t="shared" si="26"/>
        <v>287790</v>
      </c>
      <c r="AI42" s="3">
        <f t="shared" si="26"/>
        <v>299166</v>
      </c>
      <c r="AJ42" s="3">
        <f t="shared" si="26"/>
        <v>336461</v>
      </c>
      <c r="AK42" s="3">
        <f t="shared" si="26"/>
        <v>1197107</v>
      </c>
      <c r="AL42" s="3">
        <f t="shared" si="26"/>
        <v>363095</v>
      </c>
      <c r="AM42" s="3">
        <f t="shared" si="26"/>
        <v>387567</v>
      </c>
      <c r="AN42" s="3">
        <f t="shared" si="26"/>
        <v>396790</v>
      </c>
      <c r="AO42" s="3">
        <f t="shared" si="26"/>
        <v>417995.70699999999</v>
      </c>
      <c r="AP42" s="3">
        <f t="shared" si="26"/>
        <v>1565447.7069999999</v>
      </c>
      <c r="AQ42" s="3">
        <f t="shared" si="26"/>
        <v>429314.1</v>
      </c>
      <c r="AR42" s="3">
        <f t="shared" si="26"/>
        <v>423778.886</v>
      </c>
      <c r="AS42" s="3">
        <f t="shared" si="26"/>
        <v>441193.12699999998</v>
      </c>
      <c r="AT42" s="3">
        <f t="shared" si="26"/>
        <v>473181.10700000002</v>
      </c>
      <c r="AU42" s="3">
        <f t="shared" si="26"/>
        <v>1767467.22</v>
      </c>
      <c r="AV42" s="3">
        <f t="shared" si="26"/>
        <v>478472</v>
      </c>
      <c r="AW42" s="3">
        <f>AW27</f>
        <v>487447</v>
      </c>
      <c r="AX42" s="3">
        <f>AX27</f>
        <v>496152</v>
      </c>
      <c r="AY42" s="3">
        <f>AY27</f>
        <v>538176</v>
      </c>
      <c r="AZ42" s="3">
        <f>AZ27</f>
        <v>2000247</v>
      </c>
      <c r="BA42" s="3">
        <f t="shared" ref="BA42" si="27">BA27</f>
        <v>554590.84699999995</v>
      </c>
      <c r="BB42" s="2"/>
      <c r="BC42" s="2"/>
      <c r="BD42" s="2"/>
      <c r="BE42" s="2"/>
      <c r="BF42" s="2"/>
      <c r="BG42" s="2"/>
      <c r="BH42" s="2"/>
    </row>
    <row r="43" spans="1:60">
      <c r="BB43"/>
      <c r="BC43"/>
      <c r="BD43"/>
      <c r="BE43"/>
      <c r="BF43"/>
      <c r="BG43"/>
      <c r="BH43"/>
    </row>
    <row r="44" spans="1:60">
      <c r="BB44"/>
      <c r="BC44"/>
      <c r="BD44"/>
      <c r="BE44"/>
      <c r="BF44"/>
      <c r="BG44"/>
      <c r="BH44"/>
    </row>
    <row r="45" spans="1:60" s="100" customFormat="1">
      <c r="A45" s="164"/>
      <c r="B45" s="164" t="s">
        <v>583</v>
      </c>
      <c r="C45" s="165" t="s">
        <v>224</v>
      </c>
      <c r="D45" s="165" t="s">
        <v>225</v>
      </c>
      <c r="E45" s="165" t="s">
        <v>226</v>
      </c>
      <c r="F45" s="165" t="s">
        <v>227</v>
      </c>
      <c r="G45" s="166">
        <v>2016</v>
      </c>
      <c r="H45" s="165" t="s">
        <v>228</v>
      </c>
      <c r="I45" s="165" t="s">
        <v>229</v>
      </c>
      <c r="J45" s="165" t="s">
        <v>230</v>
      </c>
      <c r="K45" s="165" t="s">
        <v>231</v>
      </c>
      <c r="L45" s="166">
        <v>2017</v>
      </c>
      <c r="M45" s="165" t="s">
        <v>232</v>
      </c>
      <c r="N45" s="165" t="s">
        <v>233</v>
      </c>
      <c r="O45" s="165" t="s">
        <v>234</v>
      </c>
      <c r="P45" s="165" t="s">
        <v>235</v>
      </c>
      <c r="Q45" s="166">
        <v>2018</v>
      </c>
      <c r="R45" s="165" t="s">
        <v>236</v>
      </c>
      <c r="S45" s="165" t="s">
        <v>237</v>
      </c>
      <c r="T45" s="165" t="s">
        <v>238</v>
      </c>
      <c r="U45" s="165" t="s">
        <v>239</v>
      </c>
      <c r="V45" s="166">
        <v>2019</v>
      </c>
      <c r="W45" s="165" t="s">
        <v>240</v>
      </c>
      <c r="X45" s="165" t="s">
        <v>241</v>
      </c>
      <c r="Y45" s="165" t="s">
        <v>242</v>
      </c>
      <c r="Z45" s="165" t="s">
        <v>243</v>
      </c>
      <c r="AA45" s="166">
        <v>2020</v>
      </c>
      <c r="AB45" s="165" t="s">
        <v>244</v>
      </c>
      <c r="AC45" s="165" t="s">
        <v>245</v>
      </c>
      <c r="AD45" s="165" t="s">
        <v>246</v>
      </c>
      <c r="AE45" s="165" t="s">
        <v>247</v>
      </c>
      <c r="AF45" s="166">
        <v>2021</v>
      </c>
      <c r="AG45" s="165" t="s">
        <v>248</v>
      </c>
      <c r="AH45" s="165" t="s">
        <v>249</v>
      </c>
      <c r="AI45" s="165" t="s">
        <v>250</v>
      </c>
      <c r="AJ45" s="165" t="s">
        <v>215</v>
      </c>
      <c r="AK45" s="166">
        <v>2022</v>
      </c>
      <c r="AL45" s="165" t="s">
        <v>252</v>
      </c>
      <c r="AM45" s="165" t="s">
        <v>253</v>
      </c>
      <c r="AN45" s="165" t="s">
        <v>254</v>
      </c>
      <c r="AO45" s="165" t="s">
        <v>219</v>
      </c>
      <c r="AP45" s="166">
        <v>2023</v>
      </c>
      <c r="AQ45" s="166" t="s">
        <v>223</v>
      </c>
      <c r="AR45" s="166" t="s">
        <v>256</v>
      </c>
      <c r="AS45" s="166" t="s">
        <v>357</v>
      </c>
      <c r="AT45" s="166" t="s">
        <v>358</v>
      </c>
      <c r="AU45" s="166">
        <v>2024</v>
      </c>
      <c r="AV45" s="166" t="s">
        <v>359</v>
      </c>
      <c r="AW45" s="166" t="s">
        <v>1115</v>
      </c>
      <c r="AX45" s="166" t="s">
        <v>1116</v>
      </c>
      <c r="AY45" s="166" t="s">
        <v>1117</v>
      </c>
      <c r="AZ45" s="166" t="s">
        <v>1118</v>
      </c>
      <c r="BA45" s="166" t="s">
        <v>1124</v>
      </c>
    </row>
    <row r="46" spans="1:60" s="100" customFormat="1">
      <c r="A46" s="9"/>
      <c r="B46" s="9" t="str">
        <f>B8</f>
        <v>Antiga Parceria CAIXA</v>
      </c>
      <c r="C46" s="76">
        <f t="shared" ref="C46:AU46" si="28">SUM(C47:C56)</f>
        <v>288304.57091000071</v>
      </c>
      <c r="D46" s="76">
        <f t="shared" si="28"/>
        <v>305336.72273999755</v>
      </c>
      <c r="E46" s="76">
        <f t="shared" si="28"/>
        <v>280864.75578999985</v>
      </c>
      <c r="F46" s="76">
        <f t="shared" si="28"/>
        <v>275621.47378000099</v>
      </c>
      <c r="G46" s="76">
        <f t="shared" si="28"/>
        <v>1150127.5232199992</v>
      </c>
      <c r="H46" s="76">
        <f t="shared" si="28"/>
        <v>348129.21308000083</v>
      </c>
      <c r="I46" s="76">
        <f t="shared" si="28"/>
        <v>221553.4786599981</v>
      </c>
      <c r="J46" s="76">
        <f t="shared" si="28"/>
        <v>301044.81408000091</v>
      </c>
      <c r="K46" s="76">
        <f t="shared" si="28"/>
        <v>357438.47090999875</v>
      </c>
      <c r="L46" s="76">
        <f t="shared" si="28"/>
        <v>1228165.9767299984</v>
      </c>
      <c r="M46" s="76">
        <f t="shared" si="28"/>
        <v>260387.11184000049</v>
      </c>
      <c r="N46" s="76">
        <f t="shared" si="28"/>
        <v>179619.81029999888</v>
      </c>
      <c r="O46" s="76">
        <f t="shared" si="28"/>
        <v>182338.3346800007</v>
      </c>
      <c r="P46" s="76">
        <f t="shared" si="28"/>
        <v>204925.4330499995</v>
      </c>
      <c r="Q46" s="76">
        <f t="shared" si="28"/>
        <v>827270.68986999954</v>
      </c>
      <c r="R46" s="76">
        <f t="shared" si="28"/>
        <v>244576.57696000038</v>
      </c>
      <c r="S46" s="76">
        <f t="shared" si="28"/>
        <v>226369.64326999945</v>
      </c>
      <c r="T46" s="76">
        <f t="shared" si="28"/>
        <v>222947.11839999876</v>
      </c>
      <c r="U46" s="76">
        <f t="shared" si="28"/>
        <v>268766.07338000322</v>
      </c>
      <c r="V46" s="76">
        <f t="shared" si="28"/>
        <v>962659.41201000195</v>
      </c>
      <c r="W46" s="76">
        <f t="shared" si="28"/>
        <v>246077.43547999943</v>
      </c>
      <c r="X46" s="76">
        <f t="shared" si="28"/>
        <v>271985.51414000132</v>
      </c>
      <c r="Y46" s="76">
        <f t="shared" si="28"/>
        <v>250664.52082999959</v>
      </c>
      <c r="Z46" s="76">
        <f t="shared" si="28"/>
        <v>209613.33205000835</v>
      </c>
      <c r="AA46" s="76">
        <f t="shared" si="28"/>
        <v>978340.80250000861</v>
      </c>
      <c r="AB46" s="76">
        <f t="shared" si="28"/>
        <v>125389.89321000004</v>
      </c>
      <c r="AC46" s="76">
        <f t="shared" si="28"/>
        <v>101710.99299000001</v>
      </c>
      <c r="AD46" s="76">
        <f t="shared" si="28"/>
        <v>67086.940109999952</v>
      </c>
      <c r="AE46" s="76">
        <f t="shared" si="28"/>
        <v>74146.685930000007</v>
      </c>
      <c r="AF46" s="76">
        <f t="shared" si="28"/>
        <v>368334.51224000001</v>
      </c>
      <c r="AG46" s="76">
        <f t="shared" si="28"/>
        <v>80924</v>
      </c>
      <c r="AH46" s="76">
        <f t="shared" si="28"/>
        <v>51338.086360000001</v>
      </c>
      <c r="AI46" s="76">
        <f t="shared" si="28"/>
        <v>116508</v>
      </c>
      <c r="AJ46" s="76">
        <f t="shared" si="28"/>
        <v>65197.022799999999</v>
      </c>
      <c r="AK46" s="76">
        <f t="shared" si="28"/>
        <v>313967.10915999999</v>
      </c>
      <c r="AL46" s="76">
        <f t="shared" si="28"/>
        <v>92896</v>
      </c>
      <c r="AM46" s="76">
        <f t="shared" si="28"/>
        <v>85123</v>
      </c>
      <c r="AN46" s="76">
        <f t="shared" si="28"/>
        <v>128604</v>
      </c>
      <c r="AO46" s="76">
        <f t="shared" si="28"/>
        <v>119988</v>
      </c>
      <c r="AP46" s="76">
        <f t="shared" si="28"/>
        <v>426611</v>
      </c>
      <c r="AQ46" s="76">
        <f t="shared" si="28"/>
        <v>75289</v>
      </c>
      <c r="AR46" s="76">
        <f t="shared" si="28"/>
        <v>71270</v>
      </c>
      <c r="AS46" s="76">
        <f t="shared" si="28"/>
        <v>110663</v>
      </c>
      <c r="AT46" s="76">
        <f t="shared" si="28"/>
        <v>86857</v>
      </c>
      <c r="AU46" s="76">
        <f t="shared" si="28"/>
        <v>344079</v>
      </c>
      <c r="AV46" s="76">
        <f t="shared" ref="AV46" si="29">SUM(AV47:AV56)</f>
        <v>98996</v>
      </c>
      <c r="AW46" s="76">
        <f>SUM(AW47:AW56)</f>
        <v>117732</v>
      </c>
      <c r="AX46" s="76">
        <f>SUM(AX47:AX56)</f>
        <v>148530</v>
      </c>
      <c r="AY46" s="76">
        <f>SUM(AY47:AY56)</f>
        <v>133967</v>
      </c>
      <c r="AZ46" s="76">
        <f>SUM(AZ47:AZ56)</f>
        <v>499225</v>
      </c>
      <c r="BA46" s="76">
        <f t="shared" ref="BA46" si="30">SUM(BA47:BA56)</f>
        <v>133717</v>
      </c>
      <c r="BB46" s="771"/>
    </row>
    <row r="47" spans="1:60">
      <c r="B47" t="str">
        <f>B$9</f>
        <v>CNP SEGUROS HOLDING</v>
      </c>
      <c r="C47" s="1">
        <f>'DRE ANTIGA PARCERIA CAIXA'!C268</f>
        <v>47158.157839999993</v>
      </c>
      <c r="D47" s="1">
        <f>'DRE ANTIGA PARCERIA CAIXA'!D268</f>
        <v>67332.668479999993</v>
      </c>
      <c r="E47" s="1">
        <f>'DRE ANTIGA PARCERIA CAIXA'!E268</f>
        <v>81599.369930000044</v>
      </c>
      <c r="F47" s="1">
        <f>'DRE ANTIGA PARCERIA CAIXA'!F268</f>
        <v>53127.214989999979</v>
      </c>
      <c r="G47" s="1">
        <f>'DRE ANTIGA PARCERIA CAIXA'!G268</f>
        <v>249217.41124000002</v>
      </c>
      <c r="H47" s="1">
        <f>'DRE ANTIGA PARCERIA CAIXA'!H268</f>
        <v>30608.807130000001</v>
      </c>
      <c r="I47" s="1">
        <f>'DRE ANTIGA PARCERIA CAIXA'!I268</f>
        <v>29356.708679999982</v>
      </c>
      <c r="J47" s="1">
        <f>'DRE ANTIGA PARCERIA CAIXA'!J268</f>
        <v>32010.025080000036</v>
      </c>
      <c r="K47" s="1">
        <f>'DRE ANTIGA PARCERIA CAIXA'!K268</f>
        <v>27561.475129999977</v>
      </c>
      <c r="L47" s="1">
        <f>'DRE ANTIGA PARCERIA CAIXA'!L268</f>
        <v>119537.01602</v>
      </c>
      <c r="M47" s="1">
        <f>'DRE ANTIGA PARCERIA CAIXA'!M268</f>
        <v>22568.427429999996</v>
      </c>
      <c r="N47" s="1">
        <f>'DRE ANTIGA PARCERIA CAIXA'!N268</f>
        <v>16893.977060000012</v>
      </c>
      <c r="O47" s="1">
        <f>'DRE ANTIGA PARCERIA CAIXA'!O268</f>
        <v>9720.3963799999983</v>
      </c>
      <c r="P47" s="1">
        <f>'DRE ANTIGA PARCERIA CAIXA'!P268</f>
        <v>18895.304949999991</v>
      </c>
      <c r="Q47" s="1">
        <f>'DRE ANTIGA PARCERIA CAIXA'!Q268</f>
        <v>68078.105819999997</v>
      </c>
      <c r="R47" s="1">
        <f>'DRE ANTIGA PARCERIA CAIXA'!R268</f>
        <v>16128.794699999997</v>
      </c>
      <c r="S47" s="1">
        <f>'DRE ANTIGA PARCERIA CAIXA'!S268</f>
        <v>18896.012299999995</v>
      </c>
      <c r="T47" s="1">
        <f>'DRE ANTIGA PARCERIA CAIXA'!T268</f>
        <v>18840.121320000006</v>
      </c>
      <c r="U47" s="1">
        <f>'DRE ANTIGA PARCERIA CAIXA'!U268</f>
        <v>20493.954780000007</v>
      </c>
      <c r="V47" s="1">
        <f>'DRE ANTIGA PARCERIA CAIXA'!V268</f>
        <v>74358.883100000006</v>
      </c>
      <c r="W47" s="1">
        <f>'DRE ANTIGA PARCERIA CAIXA'!W268</f>
        <v>-3227.7890099999959</v>
      </c>
      <c r="X47" s="1">
        <f>'DRE ANTIGA PARCERIA CAIXA'!X268</f>
        <v>32019.795339999997</v>
      </c>
      <c r="Y47" s="1">
        <f>'DRE ANTIGA PARCERIA CAIXA'!Y268</f>
        <v>21368.426959999993</v>
      </c>
      <c r="Z47" s="1">
        <f>'DRE ANTIGA PARCERIA CAIXA'!Z268</f>
        <v>17606.682800000002</v>
      </c>
      <c r="AA47" s="1">
        <f>'DRE ANTIGA PARCERIA CAIXA'!AA268</f>
        <v>67767.116089999996</v>
      </c>
      <c r="AB47" s="1">
        <f>'DRE ANTIGA PARCERIA CAIXA'!AB268</f>
        <v>7179.4618800000007</v>
      </c>
      <c r="AC47" s="1">
        <f>'DRE ANTIGA PARCERIA CAIXA'!AC268</f>
        <v>15204.016500000003</v>
      </c>
      <c r="AD47" s="1">
        <f>'DRE ANTIGA PARCERIA CAIXA'!AD268</f>
        <v>-625.80040000000372</v>
      </c>
      <c r="AE47" s="1">
        <f>'DRE ANTIGA PARCERIA CAIXA'!AE268</f>
        <v>6643.3918100000028</v>
      </c>
      <c r="AF47" s="1">
        <f>'DRE ANTIGA PARCERIA CAIXA'!AF268</f>
        <v>28401.069790000001</v>
      </c>
      <c r="AG47" s="1">
        <f>'DRE ANTIGA PARCERIA CAIXA'!AG268</f>
        <v>11320</v>
      </c>
      <c r="AH47" s="1">
        <f>'DRE ANTIGA PARCERIA CAIXA'!AH268</f>
        <v>22903</v>
      </c>
      <c r="AI47" s="1">
        <f>'DRE ANTIGA PARCERIA CAIXA'!AI268</f>
        <v>27963</v>
      </c>
      <c r="AJ47" s="1">
        <f>'DRE ANTIGA PARCERIA CAIXA'!AJ268</f>
        <v>-7649</v>
      </c>
      <c r="AK47" s="1">
        <f>'DRE ANTIGA PARCERIA CAIXA'!AK268</f>
        <v>54537</v>
      </c>
      <c r="AL47" s="1">
        <f>'DRE ANTIGA PARCERIA CAIXA'!AL268</f>
        <v>9077</v>
      </c>
      <c r="AM47" s="1">
        <f>'DRE ANTIGA PARCERIA CAIXA'!AM268</f>
        <v>11260</v>
      </c>
      <c r="AN47" s="1">
        <f>'DRE ANTIGA PARCERIA CAIXA'!AN268</f>
        <v>18543</v>
      </c>
      <c r="AO47" s="1">
        <f>'DRE ANTIGA PARCERIA CAIXA'!AO268</f>
        <v>20746</v>
      </c>
      <c r="AP47" s="1">
        <f>'DRE ANTIGA PARCERIA CAIXA'!AP268</f>
        <v>59626</v>
      </c>
      <c r="AQ47" s="1">
        <f>'DRE ANTIGA PARCERIA CAIXA'!AQ268</f>
        <v>10566</v>
      </c>
      <c r="AR47" s="1">
        <f>'DRE ANTIGA PARCERIA CAIXA'!AR268</f>
        <v>12587</v>
      </c>
      <c r="AS47" s="1">
        <f>'DRE ANTIGA PARCERIA CAIXA'!AS268</f>
        <v>14251</v>
      </c>
      <c r="AT47" s="1">
        <f>'DRE ANTIGA PARCERIA CAIXA'!AT268</f>
        <v>12966</v>
      </c>
      <c r="AU47" s="1">
        <f>'DRE ANTIGA PARCERIA CAIXA'!AU268</f>
        <v>50370</v>
      </c>
      <c r="AV47" s="1">
        <f>'DRE ANTIGA PARCERIA CAIXA'!AV268</f>
        <v>13711</v>
      </c>
      <c r="AW47" s="1">
        <f>'DRE ANTIGA PARCERIA CAIXA'!AW268</f>
        <v>16814</v>
      </c>
      <c r="AX47" s="1">
        <f>'DRE ANTIGA PARCERIA CAIXA'!AX268</f>
        <v>35011</v>
      </c>
      <c r="AY47" s="1">
        <f>'DRE ANTIGA PARCERIA CAIXA'!AY268</f>
        <v>13546</v>
      </c>
      <c r="AZ47" s="1">
        <f>'DRE ANTIGA PARCERIA CAIXA'!AZ268</f>
        <v>79082</v>
      </c>
      <c r="BA47" s="1">
        <f>'DRE ANTIGA PARCERIA CAIXA'!BA268</f>
        <v>13677</v>
      </c>
      <c r="BB47" s="771"/>
    </row>
    <row r="48" spans="1:60">
      <c r="B48" t="str">
        <f t="shared" ref="B48:B57" si="31">B10</f>
        <v>CNP Seguradora</v>
      </c>
      <c r="C48" s="1">
        <f>'DRE ANTIGA PARCERIA CAIXA'!C41</f>
        <v>141825.46849000012</v>
      </c>
      <c r="D48" s="1">
        <f>'DRE ANTIGA PARCERIA CAIXA'!D41</f>
        <v>148039.36643999873</v>
      </c>
      <c r="E48" s="1">
        <f>'DRE ANTIGA PARCERIA CAIXA'!E41</f>
        <v>125144.02595000033</v>
      </c>
      <c r="F48" s="1">
        <f>'DRE ANTIGA PARCERIA CAIXA'!F41</f>
        <v>149452.56563000096</v>
      </c>
      <c r="G48" s="1">
        <f>'DRE ANTIGA PARCERIA CAIXA'!G41</f>
        <v>564461.42651000014</v>
      </c>
      <c r="H48" s="1">
        <f>'DRE ANTIGA PARCERIA CAIXA'!H41</f>
        <v>189983.43288000044</v>
      </c>
      <c r="I48" s="1">
        <f>'DRE ANTIGA PARCERIA CAIXA'!I41</f>
        <v>124897.80102999922</v>
      </c>
      <c r="J48" s="1">
        <f>'DRE ANTIGA PARCERIA CAIXA'!J41</f>
        <v>123192.27524000051</v>
      </c>
      <c r="K48" s="1">
        <f>'DRE ANTIGA PARCERIA CAIXA'!K41</f>
        <v>239998.8610500003</v>
      </c>
      <c r="L48" s="1">
        <f>'DRE ANTIGA PARCERIA CAIXA'!L41</f>
        <v>678072.37020000047</v>
      </c>
      <c r="M48" s="1">
        <f>'DRE ANTIGA PARCERIA CAIXA'!M41</f>
        <v>109735.06057000023</v>
      </c>
      <c r="N48" s="1">
        <f>'DRE ANTIGA PARCERIA CAIXA'!N41</f>
        <v>90393.142439999705</v>
      </c>
      <c r="O48" s="1">
        <f>'DRE ANTIGA PARCERIA CAIXA'!O41</f>
        <v>100104.68792000058</v>
      </c>
      <c r="P48" s="1">
        <f>'DRE ANTIGA PARCERIA CAIXA'!P41</f>
        <v>124223.12906000001</v>
      </c>
      <c r="Q48" s="1">
        <f>'DRE ANTIGA PARCERIA CAIXA'!Q41</f>
        <v>424456.01999000052</v>
      </c>
      <c r="R48" s="1">
        <f>'DRE ANTIGA PARCERIA CAIXA'!R41</f>
        <v>121393.51603000052</v>
      </c>
      <c r="S48" s="1">
        <f>'DRE ANTIGA PARCERIA CAIXA'!S41</f>
        <v>115200.7730599991</v>
      </c>
      <c r="T48" s="1">
        <f>'DRE ANTIGA PARCERIA CAIXA'!T41</f>
        <v>120224.54141999985</v>
      </c>
      <c r="U48" s="1">
        <f>'DRE ANTIGA PARCERIA CAIXA'!U41</f>
        <v>144876.72571000061</v>
      </c>
      <c r="V48" s="1">
        <f>'DRE ANTIGA PARCERIA CAIXA'!V41</f>
        <v>501695.55622000009</v>
      </c>
      <c r="W48" s="1">
        <f>'DRE ANTIGA PARCERIA CAIXA'!W41</f>
        <v>199143.03271999978</v>
      </c>
      <c r="X48" s="1">
        <f>'DRE ANTIGA PARCERIA CAIXA'!X41</f>
        <v>111952.2668800003</v>
      </c>
      <c r="Y48" s="1">
        <f>'DRE ANTIGA PARCERIA CAIXA'!Y41</f>
        <v>53244.390609999828</v>
      </c>
      <c r="Z48" s="1">
        <f>'DRE ANTIGA PARCERIA CAIXA'!Z41</f>
        <v>66875.566280000552</v>
      </c>
      <c r="AA48" s="1">
        <f>'DRE ANTIGA PARCERIA CAIXA'!AA41</f>
        <v>431215.25649000047</v>
      </c>
      <c r="AB48" s="1">
        <f>'DRE ANTIGA PARCERIA CAIXA'!AB41</f>
        <v>60120.629050000047</v>
      </c>
      <c r="AC48" s="1">
        <f>'DRE ANTIGA PARCERIA CAIXA'!AC41</f>
        <v>34418.722359999971</v>
      </c>
      <c r="AD48" s="1">
        <f>'DRE ANTIGA PARCERIA CAIXA'!AD41</f>
        <v>17836.069149999981</v>
      </c>
      <c r="AE48" s="1">
        <f>'DRE ANTIGA PARCERIA CAIXA'!AE41</f>
        <v>20740</v>
      </c>
      <c r="AF48" s="1">
        <f>'DRE ANTIGA PARCERIA CAIXA'!AF41</f>
        <v>133115.42056</v>
      </c>
      <c r="AG48" s="1">
        <f>'DRE ANTIGA PARCERIA CAIXA'!AG41</f>
        <v>22349</v>
      </c>
      <c r="AH48" s="1">
        <f>'DRE ANTIGA PARCERIA CAIXA'!AH41</f>
        <v>-10810</v>
      </c>
      <c r="AI48" s="1">
        <f>'DRE ANTIGA PARCERIA CAIXA'!AI41</f>
        <v>43839</v>
      </c>
      <c r="AJ48" s="1">
        <f>'DRE ANTIGA PARCERIA CAIXA'!AJ41</f>
        <v>52256</v>
      </c>
      <c r="AK48" s="1">
        <f>'DRE ANTIGA PARCERIA CAIXA'!AK41</f>
        <v>107634</v>
      </c>
      <c r="AL48" s="1">
        <f>'DRE ANTIGA PARCERIA CAIXA'!AL41</f>
        <v>75669</v>
      </c>
      <c r="AM48" s="1">
        <f>'DRE ANTIGA PARCERIA CAIXA'!AM41</f>
        <v>66380</v>
      </c>
      <c r="AN48" s="1">
        <f>'DRE ANTIGA PARCERIA CAIXA'!AN41</f>
        <v>101880</v>
      </c>
      <c r="AO48" s="1">
        <f>'DRE ANTIGA PARCERIA CAIXA'!AO41</f>
        <v>91929</v>
      </c>
      <c r="AP48" s="1">
        <f>'DRE ANTIGA PARCERIA CAIXA'!AP41</f>
        <v>335858</v>
      </c>
      <c r="AQ48" s="1">
        <f>'DRE ANTIGA PARCERIA CAIXA'!AQ41</f>
        <v>58159</v>
      </c>
      <c r="AR48" s="1">
        <f>'DRE ANTIGA PARCERIA CAIXA'!AR41</f>
        <v>51505</v>
      </c>
      <c r="AS48" s="1">
        <f>'DRE ANTIGA PARCERIA CAIXA'!AS41</f>
        <v>89218</v>
      </c>
      <c r="AT48" s="1">
        <f>'DRE ANTIGA PARCERIA CAIXA'!AT41</f>
        <v>66490</v>
      </c>
      <c r="AU48" s="1">
        <f>'DRE ANTIGA PARCERIA CAIXA'!AU41</f>
        <v>265372</v>
      </c>
      <c r="AV48" s="1">
        <f>'DRE ANTIGA PARCERIA CAIXA'!AV41</f>
        <v>77375</v>
      </c>
      <c r="AW48" s="1">
        <f>'DRE ANTIGA PARCERIA CAIXA'!AW41</f>
        <v>92997</v>
      </c>
      <c r="AX48" s="1">
        <f>'DRE ANTIGA PARCERIA CAIXA'!AX41</f>
        <v>104627</v>
      </c>
      <c r="AY48" s="1">
        <f>'DRE ANTIGA PARCERIA CAIXA'!AY41</f>
        <v>111352</v>
      </c>
      <c r="AZ48" s="1">
        <f>'DRE ANTIGA PARCERIA CAIXA'!AZ41</f>
        <v>386351</v>
      </c>
      <c r="BA48" s="1">
        <f>'DRE ANTIGA PARCERIA CAIXA'!BA41</f>
        <v>111696</v>
      </c>
      <c r="BB48" s="771"/>
    </row>
    <row r="49" spans="1:54">
      <c r="B49" t="str">
        <f t="shared" si="31"/>
        <v>CNP Vida &amp; Previdência</v>
      </c>
      <c r="C49" s="1">
        <f>'DRE ANTIGA PARCERIA CAIXA'!C79</f>
        <v>39584.406700000589</v>
      </c>
      <c r="D49" s="1">
        <f>'DRE ANTIGA PARCERIA CAIXA'!D79</f>
        <v>32586.38536999881</v>
      </c>
      <c r="E49" s="1">
        <f>'DRE ANTIGA PARCERIA CAIXA'!E79</f>
        <v>15283.847199999422</v>
      </c>
      <c r="F49" s="1">
        <f>'DRE ANTIGA PARCERIA CAIXA'!F79</f>
        <v>15886.707979999803</v>
      </c>
      <c r="G49" s="1">
        <f>'DRE ANTIGA PARCERIA CAIXA'!G79</f>
        <v>103341.34724999862</v>
      </c>
      <c r="H49" s="1">
        <f>'DRE ANTIGA PARCERIA CAIXA'!H79</f>
        <v>33500.353020000395</v>
      </c>
      <c r="I49" s="1">
        <f>'DRE ANTIGA PARCERIA CAIXA'!I79</f>
        <v>-8046.7375700010707</v>
      </c>
      <c r="J49" s="1">
        <f>'DRE ANTIGA PARCERIA CAIXA'!J79</f>
        <v>56936.356200000562</v>
      </c>
      <c r="K49" s="1">
        <f>'DRE ANTIGA PARCERIA CAIXA'!K79</f>
        <v>18888.69500999857</v>
      </c>
      <c r="L49" s="1">
        <f>'DRE ANTIGA PARCERIA CAIXA'!L79</f>
        <v>101278.66665999846</v>
      </c>
      <c r="M49" s="1">
        <f>'DRE ANTIGA PARCERIA CAIXA'!M79</f>
        <v>29071.657110000167</v>
      </c>
      <c r="N49" s="1">
        <f>'DRE ANTIGA PARCERIA CAIXA'!N79</f>
        <v>22211.092249999208</v>
      </c>
      <c r="O49" s="1">
        <f>'DRE ANTIGA PARCERIA CAIXA'!O79</f>
        <v>15269.859170000185</v>
      </c>
      <c r="P49" s="1">
        <f>'DRE ANTIGA PARCERIA CAIXA'!P79</f>
        <v>5398.4044999994803</v>
      </c>
      <c r="Q49" s="1">
        <f>'DRE ANTIGA PARCERIA CAIXA'!Q79</f>
        <v>71951.013029999041</v>
      </c>
      <c r="R49" s="1">
        <f>'DRE ANTIGA PARCERIA CAIXA'!R79</f>
        <v>42488.205819999894</v>
      </c>
      <c r="S49" s="1">
        <f>'DRE ANTIGA PARCERIA CAIXA'!S79</f>
        <v>27355.173670000229</v>
      </c>
      <c r="T49" s="1">
        <f>'DRE ANTIGA PARCERIA CAIXA'!T79</f>
        <v>17160.799409999032</v>
      </c>
      <c r="U49" s="1">
        <f>'DRE ANTIGA PARCERIA CAIXA'!U79</f>
        <v>39844.921540002615</v>
      </c>
      <c r="V49" s="1">
        <f>'DRE ANTIGA PARCERIA CAIXA'!V79</f>
        <v>126849.10044000177</v>
      </c>
      <c r="W49" s="1">
        <f>'DRE ANTIGA PARCERIA CAIXA'!W79</f>
        <v>-17225.128570000332</v>
      </c>
      <c r="X49" s="1">
        <f>'DRE ANTIGA PARCERIA CAIXA'!X79</f>
        <v>41823.272610000953</v>
      </c>
      <c r="Y49" s="1">
        <f>'DRE ANTIGA PARCERIA CAIXA'!Y79</f>
        <v>116663.18623999984</v>
      </c>
      <c r="Z49" s="1">
        <f>'DRE ANTIGA PARCERIA CAIXA'!Z79</f>
        <v>81733.675010007748</v>
      </c>
      <c r="AA49" s="1">
        <f>'DRE ANTIGA PARCERIA CAIXA'!AA79</f>
        <v>222995.00529000821</v>
      </c>
      <c r="AB49" s="1">
        <f>'DRE ANTIGA PARCERIA CAIXA'!AB79</f>
        <v>0</v>
      </c>
      <c r="AC49" s="1">
        <f>'DRE ANTIGA PARCERIA CAIXA'!AC79</f>
        <v>0</v>
      </c>
      <c r="AD49" s="1">
        <f>'DRE ANTIGA PARCERIA CAIXA'!AD79</f>
        <v>0</v>
      </c>
      <c r="AE49" s="1">
        <f>'DRE ANTIGA PARCERIA CAIXA'!AE79</f>
        <v>0</v>
      </c>
      <c r="AF49" s="1">
        <f>'DRE ANTIGA PARCERIA CAIXA'!AF79</f>
        <v>0</v>
      </c>
      <c r="AG49" s="1">
        <f>'DRE ANTIGA PARCERIA CAIXA'!AG79</f>
        <v>0</v>
      </c>
      <c r="AH49" s="1">
        <f>'DRE ANTIGA PARCERIA CAIXA'!AH79</f>
        <v>0</v>
      </c>
      <c r="AI49" s="1">
        <f>'DRE ANTIGA PARCERIA CAIXA'!AI79</f>
        <v>0</v>
      </c>
      <c r="AJ49" s="1">
        <f>'DRE ANTIGA PARCERIA CAIXA'!AJ79</f>
        <v>0</v>
      </c>
      <c r="AK49" s="1">
        <f>'DRE ANTIGA PARCERIA CAIXA'!AK79</f>
        <v>0</v>
      </c>
      <c r="AL49" s="1">
        <f>'DRE ANTIGA PARCERIA CAIXA'!AL79</f>
        <v>0</v>
      </c>
      <c r="AM49" s="1">
        <f>'DRE ANTIGA PARCERIA CAIXA'!AM79</f>
        <v>0</v>
      </c>
      <c r="AN49" s="1">
        <f>'DRE ANTIGA PARCERIA CAIXA'!AN79</f>
        <v>0</v>
      </c>
      <c r="AO49" s="1">
        <f>'DRE ANTIGA PARCERIA CAIXA'!AO79</f>
        <v>0</v>
      </c>
      <c r="AP49" s="1">
        <f>'DRE ANTIGA PARCERIA CAIXA'!AP79</f>
        <v>0</v>
      </c>
      <c r="AQ49" s="1">
        <f>'DRE ANTIGA PARCERIA CAIXA'!AQ79</f>
        <v>0</v>
      </c>
      <c r="AR49" s="1">
        <f>'DRE ANTIGA PARCERIA CAIXA'!AR79</f>
        <v>0</v>
      </c>
      <c r="AS49" s="1">
        <f>'DRE ANTIGA PARCERIA CAIXA'!AS79</f>
        <v>0</v>
      </c>
      <c r="AT49" s="1">
        <f>'DRE ANTIGA PARCERIA CAIXA'!AT79</f>
        <v>0</v>
      </c>
      <c r="AU49" s="1">
        <f>'DRE ANTIGA PARCERIA CAIXA'!AU79</f>
        <v>0</v>
      </c>
      <c r="AV49" s="1">
        <f>'DRE ANTIGA PARCERIA CAIXA'!AV79</f>
        <v>0</v>
      </c>
      <c r="AW49" s="1">
        <f>'DRE ANTIGA PARCERIA CAIXA'!AW79</f>
        <v>0</v>
      </c>
      <c r="AX49" s="1">
        <f>'DRE ANTIGA PARCERIA CAIXA'!AX79</f>
        <v>0</v>
      </c>
      <c r="AY49" s="1">
        <f>'DRE ANTIGA PARCERIA CAIXA'!AY79</f>
        <v>0</v>
      </c>
      <c r="AZ49" s="1">
        <f>'DRE ANTIGA PARCERIA CAIXA'!AZ79</f>
        <v>0</v>
      </c>
      <c r="BA49" s="1">
        <f>'DRE ANTIGA PARCERIA CAIXA'!BA79</f>
        <v>0</v>
      </c>
      <c r="BB49" s="771"/>
    </row>
    <row r="50" spans="1:54">
      <c r="B50" t="str">
        <f t="shared" si="31"/>
        <v>CNP Capitalização</v>
      </c>
      <c r="C50" s="1">
        <f>+'DRE ANTIGA PARCERIA CAIXA'!C107</f>
        <v>46612.904080000008</v>
      </c>
      <c r="D50" s="1">
        <f>+'DRE ANTIGA PARCERIA CAIXA'!D107</f>
        <v>44740.626460000014</v>
      </c>
      <c r="E50" s="1">
        <f>+'DRE ANTIGA PARCERIA CAIXA'!E107</f>
        <v>41254.071429999996</v>
      </c>
      <c r="F50" s="1">
        <f>+'DRE ANTIGA PARCERIA CAIXA'!F107</f>
        <v>37480.993850000261</v>
      </c>
      <c r="G50" s="1">
        <f>+'DRE ANTIGA PARCERIA CAIXA'!G107</f>
        <v>170088.59582000028</v>
      </c>
      <c r="H50" s="1">
        <f>+'DRE ANTIGA PARCERIA CAIXA'!H107</f>
        <v>58031.84629000003</v>
      </c>
      <c r="I50" s="1">
        <f>+'DRE ANTIGA PARCERIA CAIXA'!I107</f>
        <v>44087.948039999945</v>
      </c>
      <c r="J50" s="1">
        <f>+'DRE ANTIGA PARCERIA CAIXA'!J107</f>
        <v>54716.287449999771</v>
      </c>
      <c r="K50" s="1">
        <f>+'DRE ANTIGA PARCERIA CAIXA'!K107</f>
        <v>44854.260509999935</v>
      </c>
      <c r="L50" s="1">
        <f>+'DRE ANTIGA PARCERIA CAIXA'!L107</f>
        <v>201690.34228999968</v>
      </c>
      <c r="M50" s="1">
        <f>+'DRE ANTIGA PARCERIA CAIXA'!M107</f>
        <v>68334.56309000004</v>
      </c>
      <c r="N50" s="1">
        <f>+'DRE ANTIGA PARCERIA CAIXA'!N107</f>
        <v>27488.024119999973</v>
      </c>
      <c r="O50" s="1">
        <f>+'DRE ANTIGA PARCERIA CAIXA'!O107</f>
        <v>34631.066319999998</v>
      </c>
      <c r="P50" s="1">
        <f>+'DRE ANTIGA PARCERIA CAIXA'!P107</f>
        <v>31871.192530000029</v>
      </c>
      <c r="Q50" s="1">
        <f>+'DRE ANTIGA PARCERIA CAIXA'!Q107</f>
        <v>162324.84606000004</v>
      </c>
      <c r="R50" s="1">
        <f>+'DRE ANTIGA PARCERIA CAIXA'!R107</f>
        <v>39490.850349999993</v>
      </c>
      <c r="S50" s="1">
        <f>+'DRE ANTIGA PARCERIA CAIXA'!S107</f>
        <v>38196.039470000105</v>
      </c>
      <c r="T50" s="1">
        <f>+'DRE ANTIGA PARCERIA CAIXA'!T107</f>
        <v>38894.968389999893</v>
      </c>
      <c r="U50" s="1">
        <f>+'DRE ANTIGA PARCERIA CAIXA'!U107</f>
        <v>36504.952909999978</v>
      </c>
      <c r="V50" s="1">
        <f>+'DRE ANTIGA PARCERIA CAIXA'!V107</f>
        <v>153086.81111999997</v>
      </c>
      <c r="W50" s="1">
        <f>+'DRE ANTIGA PARCERIA CAIXA'!W107</f>
        <v>38295.505619999974</v>
      </c>
      <c r="X50" s="1">
        <f>+'DRE ANTIGA PARCERIA CAIXA'!X107</f>
        <v>31704.283060000096</v>
      </c>
      <c r="Y50" s="1">
        <f>+'DRE ANTIGA PARCERIA CAIXA'!Y107</f>
        <v>33521.166569999928</v>
      </c>
      <c r="Z50" s="1">
        <f>+'DRE ANTIGA PARCERIA CAIXA'!Z107</f>
        <v>32024.003240000049</v>
      </c>
      <c r="AA50" s="1">
        <f>+'DRE ANTIGA PARCERIA CAIXA'!AA107</f>
        <v>135544.95849000005</v>
      </c>
      <c r="AB50" s="1">
        <f>+'DRE ANTIGA PARCERIA CAIXA'!AB107</f>
        <v>48856.995719999977</v>
      </c>
      <c r="AC50" s="1">
        <f>+'DRE ANTIGA PARCERIA CAIXA'!AC107</f>
        <v>38892.805470000036</v>
      </c>
      <c r="AD50" s="1">
        <f>+'DRE ANTIGA PARCERIA CAIXA'!AD107</f>
        <v>35747.928769999984</v>
      </c>
      <c r="AE50" s="1">
        <f>+'DRE ANTIGA PARCERIA CAIXA'!AE107</f>
        <v>33329.119809999997</v>
      </c>
      <c r="AF50" s="1">
        <f>+'DRE ANTIGA PARCERIA CAIXA'!AF107</f>
        <v>156826.84977</v>
      </c>
      <c r="AG50" s="1">
        <f>+'DRE ANTIGA PARCERIA CAIXA'!AG107</f>
        <v>31148</v>
      </c>
      <c r="AH50" s="1">
        <f>+'DRE ANTIGA PARCERIA CAIXA'!AH107</f>
        <v>24196</v>
      </c>
      <c r="AI50" s="1">
        <f>+'DRE ANTIGA PARCERIA CAIXA'!AI107</f>
        <v>22281</v>
      </c>
      <c r="AJ50" s="1">
        <f>+'DRE ANTIGA PARCERIA CAIXA'!AJ107</f>
        <v>7175</v>
      </c>
      <c r="AK50" s="1">
        <f>+'DRE ANTIGA PARCERIA CAIXA'!AK107</f>
        <v>84800</v>
      </c>
      <c r="AL50" s="1">
        <f>+'DRE ANTIGA PARCERIA CAIXA'!AL107</f>
        <v>0</v>
      </c>
      <c r="AM50" s="1">
        <f>+'DRE ANTIGA PARCERIA CAIXA'!AM107</f>
        <v>0</v>
      </c>
      <c r="AN50" s="1">
        <f>+'DRE ANTIGA PARCERIA CAIXA'!AN107</f>
        <v>0</v>
      </c>
      <c r="AO50" s="1">
        <f>+'DRE ANTIGA PARCERIA CAIXA'!AO107</f>
        <v>0</v>
      </c>
      <c r="AP50" s="1">
        <f>+'DRE ANTIGA PARCERIA CAIXA'!AP107</f>
        <v>0</v>
      </c>
      <c r="AQ50" s="1">
        <f>+'DRE ANTIGA PARCERIA CAIXA'!AQ107</f>
        <v>0</v>
      </c>
      <c r="AR50" s="1">
        <f>+'DRE ANTIGA PARCERIA CAIXA'!AR107</f>
        <v>0</v>
      </c>
      <c r="AS50" s="1">
        <f>+'DRE ANTIGA PARCERIA CAIXA'!AS107</f>
        <v>0</v>
      </c>
      <c r="AT50" s="1">
        <f>+'DRE ANTIGA PARCERIA CAIXA'!AT107</f>
        <v>0</v>
      </c>
      <c r="AU50" s="1">
        <f>+'DRE ANTIGA PARCERIA CAIXA'!AU107</f>
        <v>0</v>
      </c>
      <c r="AV50" s="1">
        <f>+'DRE ANTIGA PARCERIA CAIXA'!AV107</f>
        <v>0</v>
      </c>
      <c r="AW50" s="1">
        <f>+'DRE ANTIGA PARCERIA CAIXA'!AW107</f>
        <v>0</v>
      </c>
      <c r="AX50" s="1">
        <f>+'DRE ANTIGA PARCERIA CAIXA'!AX107</f>
        <v>0</v>
      </c>
      <c r="AY50" s="1">
        <f>+'DRE ANTIGA PARCERIA CAIXA'!AY107</f>
        <v>0</v>
      </c>
      <c r="AZ50" s="1">
        <f>+'DRE ANTIGA PARCERIA CAIXA'!AZ107</f>
        <v>0</v>
      </c>
      <c r="BA50" s="1">
        <f>+'DRE ANTIGA PARCERIA CAIXA'!BA107</f>
        <v>0</v>
      </c>
      <c r="BB50" s="771"/>
    </row>
    <row r="51" spans="1:54">
      <c r="B51" t="str">
        <f t="shared" si="31"/>
        <v>CNP Consórcio</v>
      </c>
      <c r="C51" s="1">
        <f>'DRE ANTIGA PARCERIA CAIXA'!C129</f>
        <v>8002.5771400000003</v>
      </c>
      <c r="D51" s="1">
        <f>'DRE ANTIGA PARCERIA CAIXA'!D129</f>
        <v>7294.6495600000026</v>
      </c>
      <c r="E51" s="1">
        <f>'DRE ANTIGA PARCERIA CAIXA'!E129</f>
        <v>9479.4056799999998</v>
      </c>
      <c r="F51" s="1">
        <f>'DRE ANTIGA PARCERIA CAIXA'!F129</f>
        <v>7959.2655499999855</v>
      </c>
      <c r="G51" s="1">
        <f>'DRE ANTIGA PARCERIA CAIXA'!G129</f>
        <v>32735.897929999988</v>
      </c>
      <c r="H51" s="1">
        <f>'DRE ANTIGA PARCERIA CAIXA'!H129</f>
        <v>7207.099409999998</v>
      </c>
      <c r="I51" s="1">
        <f>'DRE ANTIGA PARCERIA CAIXA'!I129</f>
        <v>5458.3750399999981</v>
      </c>
      <c r="J51" s="1">
        <f>'DRE ANTIGA PARCERIA CAIXA'!J129</f>
        <v>5126.8719799999944</v>
      </c>
      <c r="K51" s="1">
        <f>'DRE ANTIGA PARCERIA CAIXA'!K129</f>
        <v>4526.3222300000125</v>
      </c>
      <c r="L51" s="1">
        <f>'DRE ANTIGA PARCERIA CAIXA'!L129</f>
        <v>22318.668660000003</v>
      </c>
      <c r="M51" s="1">
        <f>'DRE ANTIGA PARCERIA CAIXA'!M129</f>
        <v>8277.6524600000012</v>
      </c>
      <c r="N51" s="1">
        <f>'DRE ANTIGA PARCERIA CAIXA'!N129</f>
        <v>3497.493279999997</v>
      </c>
      <c r="O51" s="1">
        <f>'DRE ANTIGA PARCERIA CAIXA'!O129</f>
        <v>1546.859779999997</v>
      </c>
      <c r="P51" s="1">
        <f>'DRE ANTIGA PARCERIA CAIXA'!P129</f>
        <v>4361.0712899999999</v>
      </c>
      <c r="Q51" s="1">
        <f>'DRE ANTIGA PARCERIA CAIXA'!Q129</f>
        <v>17683.076809999995</v>
      </c>
      <c r="R51" s="1">
        <f>'DRE ANTIGA PARCERIA CAIXA'!R129</f>
        <v>3769.2713099999996</v>
      </c>
      <c r="S51" s="1">
        <f>'DRE ANTIGA PARCERIA CAIXA'!S129</f>
        <v>4241.5420999999969</v>
      </c>
      <c r="T51" s="1">
        <f>'DRE ANTIGA PARCERIA CAIXA'!T129</f>
        <v>4020.2174400000004</v>
      </c>
      <c r="U51" s="1">
        <f>'DRE ANTIGA PARCERIA CAIXA'!U129</f>
        <v>3810.430260000001</v>
      </c>
      <c r="V51" s="1">
        <f>'DRE ANTIGA PARCERIA CAIXA'!V129</f>
        <v>15841.461109999998</v>
      </c>
      <c r="W51" s="1">
        <f>'DRE ANTIGA PARCERIA CAIXA'!W129</f>
        <v>3662.3104999999996</v>
      </c>
      <c r="X51" s="1">
        <f>'DRE ANTIGA PARCERIA CAIXA'!X129</f>
        <v>3497.6268599999994</v>
      </c>
      <c r="Y51" s="1">
        <f>'DRE ANTIGA PARCERIA CAIXA'!Y129</f>
        <v>3015.049320000001</v>
      </c>
      <c r="Z51" s="1">
        <f>'DRE ANTIGA PARCERIA CAIXA'!Z129</f>
        <v>3813.6902100000043</v>
      </c>
      <c r="AA51" s="1">
        <f>'DRE ANTIGA PARCERIA CAIXA'!AA129</f>
        <v>13988.676890000004</v>
      </c>
      <c r="AB51" s="1">
        <f>'DRE ANTIGA PARCERIA CAIXA'!AB129</f>
        <v>4072.3048900000003</v>
      </c>
      <c r="AC51" s="1">
        <f>'DRE ANTIGA PARCERIA CAIXA'!AC129</f>
        <v>4612.9757500000005</v>
      </c>
      <c r="AD51" s="1">
        <f>'DRE ANTIGA PARCERIA CAIXA'!AD129</f>
        <v>6876.4893200000006</v>
      </c>
      <c r="AE51" s="1">
        <f>'DRE ANTIGA PARCERIA CAIXA'!AE129</f>
        <v>6457</v>
      </c>
      <c r="AF51" s="1">
        <f>'DRE ANTIGA PARCERIA CAIXA'!AF129</f>
        <v>22018.769960000001</v>
      </c>
      <c r="AG51" s="1">
        <f>'DRE ANTIGA PARCERIA CAIXA'!AG129</f>
        <v>8511</v>
      </c>
      <c r="AH51" s="1">
        <f>'DRE ANTIGA PARCERIA CAIXA'!AH129</f>
        <v>6941.0863600000012</v>
      </c>
      <c r="AI51" s="1">
        <f>'DRE ANTIGA PARCERIA CAIXA'!AI129</f>
        <v>8494</v>
      </c>
      <c r="AJ51" s="1">
        <f>'DRE ANTIGA PARCERIA CAIXA'!AJ129</f>
        <v>3041.0227999999988</v>
      </c>
      <c r="AK51" s="1">
        <f>'DRE ANTIGA PARCERIA CAIXA'!AK129</f>
        <v>26987.10916</v>
      </c>
      <c r="AL51" s="1">
        <f>'DRE ANTIGA PARCERIA CAIXA'!AL129</f>
        <v>0</v>
      </c>
      <c r="AM51" s="1">
        <f>'DRE ANTIGA PARCERIA CAIXA'!AM129</f>
        <v>0</v>
      </c>
      <c r="AN51" s="1">
        <f>'DRE ANTIGA PARCERIA CAIXA'!AN129</f>
        <v>0</v>
      </c>
      <c r="AO51" s="1">
        <f>'DRE ANTIGA PARCERIA CAIXA'!AO129</f>
        <v>0</v>
      </c>
      <c r="AP51" s="1">
        <f>'DRE ANTIGA PARCERIA CAIXA'!AP129</f>
        <v>0</v>
      </c>
      <c r="AQ51" s="1">
        <f>'DRE ANTIGA PARCERIA CAIXA'!AQ129</f>
        <v>0</v>
      </c>
      <c r="AR51" s="1">
        <f>'DRE ANTIGA PARCERIA CAIXA'!AR129</f>
        <v>0</v>
      </c>
      <c r="AS51" s="1">
        <f>'DRE ANTIGA PARCERIA CAIXA'!AS129</f>
        <v>0</v>
      </c>
      <c r="AT51" s="1">
        <f>'DRE ANTIGA PARCERIA CAIXA'!AT129</f>
        <v>0</v>
      </c>
      <c r="AU51" s="1">
        <f>'DRE ANTIGA PARCERIA CAIXA'!AU129</f>
        <v>0</v>
      </c>
      <c r="AV51" s="1">
        <f>'DRE ANTIGA PARCERIA CAIXA'!AV129</f>
        <v>0</v>
      </c>
      <c r="AW51" s="1">
        <f>'DRE ANTIGA PARCERIA CAIXA'!AW129</f>
        <v>0</v>
      </c>
      <c r="AX51" s="1">
        <f>'DRE ANTIGA PARCERIA CAIXA'!AX129</f>
        <v>0</v>
      </c>
      <c r="AY51" s="1">
        <f>'DRE ANTIGA PARCERIA CAIXA'!AY129</f>
        <v>0</v>
      </c>
      <c r="AZ51" s="1">
        <f>'DRE ANTIGA PARCERIA CAIXA'!AZ129</f>
        <v>0</v>
      </c>
      <c r="BA51" s="1">
        <f>'DRE ANTIGA PARCERIA CAIXA'!BA129</f>
        <v>0</v>
      </c>
      <c r="BB51" s="771"/>
    </row>
    <row r="52" spans="1:54">
      <c r="B52" t="str">
        <f t="shared" si="31"/>
        <v>CNP Seguros Saúde</v>
      </c>
      <c r="C52" s="1">
        <f>'DRE ANTIGA PARCERIA CAIXA'!C151</f>
        <v>4262.0871500000012</v>
      </c>
      <c r="D52" s="1">
        <f>'DRE ANTIGA PARCERIA CAIXA'!D151</f>
        <v>4175.1103499999972</v>
      </c>
      <c r="E52" s="1">
        <f>'DRE ANTIGA PARCERIA CAIXA'!E151</f>
        <v>6091.4438100000007</v>
      </c>
      <c r="F52" s="1">
        <f>'DRE ANTIGA PARCERIA CAIXA'!F151</f>
        <v>9554.0906000000068</v>
      </c>
      <c r="G52" s="1">
        <f>'DRE ANTIGA PARCERIA CAIXA'!G151</f>
        <v>24082.731910000006</v>
      </c>
      <c r="H52" s="1">
        <f>'DRE ANTIGA PARCERIA CAIXA'!H151</f>
        <v>26603.66057</v>
      </c>
      <c r="I52" s="1">
        <f>'DRE ANTIGA PARCERIA CAIXA'!I151</f>
        <v>23870.461839999996</v>
      </c>
      <c r="J52" s="1">
        <f>'DRE ANTIGA PARCERIA CAIXA'!J151</f>
        <v>27144.829350000015</v>
      </c>
      <c r="K52" s="1">
        <f>'DRE ANTIGA PARCERIA CAIXA'!K151</f>
        <v>20121.598679999966</v>
      </c>
      <c r="L52" s="1">
        <f>'DRE ANTIGA PARCERIA CAIXA'!L151</f>
        <v>97740.550439999977</v>
      </c>
      <c r="M52" s="1">
        <f>'DRE ANTIGA PARCERIA CAIXA'!M151</f>
        <v>16381.384269999997</v>
      </c>
      <c r="N52" s="1">
        <f>'DRE ANTIGA PARCERIA CAIXA'!N151</f>
        <v>15200.953800000005</v>
      </c>
      <c r="O52" s="1">
        <f>'DRE ANTIGA PARCERIA CAIXA'!O151</f>
        <v>15770.943329999991</v>
      </c>
      <c r="P52" s="1">
        <f>'DRE ANTIGA PARCERIA CAIXA'!P151</f>
        <v>15569.707060000008</v>
      </c>
      <c r="Q52" s="1">
        <f>'DRE ANTIGA PARCERIA CAIXA'!Q151</f>
        <v>62922.98846</v>
      </c>
      <c r="R52" s="1">
        <f>'DRE ANTIGA PARCERIA CAIXA'!R151</f>
        <v>15527.600690000001</v>
      </c>
      <c r="S52" s="1">
        <f>'DRE ANTIGA PARCERIA CAIXA'!S151</f>
        <v>17133.621219999994</v>
      </c>
      <c r="T52" s="1">
        <f>'DRE ANTIGA PARCERIA CAIXA'!T151</f>
        <v>18959.769730000007</v>
      </c>
      <c r="U52" s="1">
        <f>'DRE ANTIGA PARCERIA CAIXA'!U151</f>
        <v>18206.735430000008</v>
      </c>
      <c r="V52" s="1">
        <f>'DRE ANTIGA PARCERIA CAIXA'!V151</f>
        <v>69827.727070000008</v>
      </c>
      <c r="W52" s="1">
        <f>'DRE ANTIGA PARCERIA CAIXA'!W151</f>
        <v>19886.712869999996</v>
      </c>
      <c r="X52" s="1">
        <f>'DRE ANTIGA PARCERIA CAIXA'!X151</f>
        <v>48317.053659999998</v>
      </c>
      <c r="Y52" s="1">
        <f>'DRE ANTIGA PARCERIA CAIXA'!Y151</f>
        <v>20663.031310000006</v>
      </c>
      <c r="Z52" s="1">
        <f>'DRE ANTIGA PARCERIA CAIXA'!Z151</f>
        <v>3200.380879999997</v>
      </c>
      <c r="AA52" s="1">
        <f>'DRE ANTIGA PARCERIA CAIXA'!AA151</f>
        <v>92067.178719999996</v>
      </c>
      <c r="AB52" s="1">
        <f>'DRE ANTIGA PARCERIA CAIXA'!AB151</f>
        <v>2546.9959800000001</v>
      </c>
      <c r="AC52" s="1">
        <f>'DRE ANTIGA PARCERIA CAIXA'!AC151</f>
        <v>2753.8512299999998</v>
      </c>
      <c r="AD52" s="1">
        <f>'DRE ANTIGA PARCERIA CAIXA'!AD151</f>
        <v>2860.7862300000006</v>
      </c>
      <c r="AE52" s="1">
        <f>'DRE ANTIGA PARCERIA CAIXA'!AE151</f>
        <v>2913.4575400000017</v>
      </c>
      <c r="AF52" s="1">
        <f>'DRE ANTIGA PARCERIA CAIXA'!AF151</f>
        <v>11075.090980000003</v>
      </c>
      <c r="AG52" s="1">
        <f>'DRE ANTIGA PARCERIA CAIXA'!AG151</f>
        <v>3273</v>
      </c>
      <c r="AH52" s="1">
        <f>'DRE ANTIGA PARCERIA CAIXA'!AH151</f>
        <v>3422</v>
      </c>
      <c r="AI52" s="1">
        <f>'DRE ANTIGA PARCERIA CAIXA'!AI151</f>
        <v>5109</v>
      </c>
      <c r="AJ52" s="1">
        <f>'DRE ANTIGA PARCERIA CAIXA'!AJ151</f>
        <v>5021</v>
      </c>
      <c r="AK52" s="1">
        <f>'DRE ANTIGA PARCERIA CAIXA'!AK151</f>
        <v>16825</v>
      </c>
      <c r="AL52" s="1">
        <f>'DRE ANTIGA PARCERIA CAIXA'!AL151</f>
        <v>4909</v>
      </c>
      <c r="AM52" s="1">
        <f>'DRE ANTIGA PARCERIA CAIXA'!AM151</f>
        <v>4905</v>
      </c>
      <c r="AN52" s="1">
        <f>'DRE ANTIGA PARCERIA CAIXA'!AN151</f>
        <v>5419</v>
      </c>
      <c r="AO52" s="1">
        <f>'DRE ANTIGA PARCERIA CAIXA'!AO151</f>
        <v>4695</v>
      </c>
      <c r="AP52" s="1">
        <f>'DRE ANTIGA PARCERIA CAIXA'!AP151</f>
        <v>19928</v>
      </c>
      <c r="AQ52" s="1">
        <f>'DRE ANTIGA PARCERIA CAIXA'!AQ151</f>
        <v>4172</v>
      </c>
      <c r="AR52" s="1">
        <f>'DRE ANTIGA PARCERIA CAIXA'!AR151</f>
        <v>4876</v>
      </c>
      <c r="AS52" s="1">
        <f>'DRE ANTIGA PARCERIA CAIXA'!AS151</f>
        <v>4683</v>
      </c>
      <c r="AT52" s="1">
        <f>'DRE ANTIGA PARCERIA CAIXA'!AT151</f>
        <v>4603</v>
      </c>
      <c r="AU52" s="1">
        <f>'DRE ANTIGA PARCERIA CAIXA'!AU151</f>
        <v>18334</v>
      </c>
      <c r="AV52" s="1">
        <f>'DRE ANTIGA PARCERIA CAIXA'!AV151</f>
        <v>4782</v>
      </c>
      <c r="AW52" s="1">
        <f>'DRE ANTIGA PARCERIA CAIXA'!AW151</f>
        <v>5006</v>
      </c>
      <c r="AX52" s="1">
        <f>'DRE ANTIGA PARCERIA CAIXA'!AX151</f>
        <v>5613</v>
      </c>
      <c r="AY52" s="1">
        <f>'DRE ANTIGA PARCERIA CAIXA'!AY151</f>
        <v>5506</v>
      </c>
      <c r="AZ52" s="1">
        <f>'DRE ANTIGA PARCERIA CAIXA'!AZ151</f>
        <v>20907</v>
      </c>
      <c r="BA52" s="1">
        <f>'DRE ANTIGA PARCERIA CAIXA'!BA151</f>
        <v>5309</v>
      </c>
      <c r="BB52" s="771"/>
    </row>
    <row r="53" spans="1:54">
      <c r="B53" t="str">
        <f t="shared" si="31"/>
        <v>Companhia de Seguros Previdência do Sul</v>
      </c>
      <c r="C53" s="1">
        <f>'DRE ANTIGA PARCERIA CAIXA'!C181</f>
        <v>0</v>
      </c>
      <c r="D53" s="1">
        <f>'DRE ANTIGA PARCERIA CAIXA'!D181</f>
        <v>0</v>
      </c>
      <c r="E53" s="1">
        <f>'DRE ANTIGA PARCERIA CAIXA'!E181</f>
        <v>0</v>
      </c>
      <c r="F53" s="1">
        <f>'DRE ANTIGA PARCERIA CAIXA'!F181</f>
        <v>0</v>
      </c>
      <c r="G53" s="1">
        <f>'DRE ANTIGA PARCERIA CAIXA'!G181</f>
        <v>0</v>
      </c>
      <c r="H53" s="1">
        <f>'DRE ANTIGA PARCERIA CAIXA'!H181</f>
        <v>0</v>
      </c>
      <c r="I53" s="1">
        <f>'DRE ANTIGA PARCERIA CAIXA'!I181</f>
        <v>0</v>
      </c>
      <c r="J53" s="1">
        <f>'DRE ANTIGA PARCERIA CAIXA'!J181</f>
        <v>0</v>
      </c>
      <c r="K53" s="1">
        <f>'DRE ANTIGA PARCERIA CAIXA'!K181</f>
        <v>0</v>
      </c>
      <c r="L53" s="1">
        <f>'DRE ANTIGA PARCERIA CAIXA'!L181</f>
        <v>0</v>
      </c>
      <c r="M53" s="1">
        <f>'DRE ANTIGA PARCERIA CAIXA'!M181</f>
        <v>4628.2504900000004</v>
      </c>
      <c r="N53" s="1">
        <f>'DRE ANTIGA PARCERIA CAIXA'!N181</f>
        <v>2507.8239399999998</v>
      </c>
      <c r="O53" s="1">
        <f>'DRE ANTIGA PARCERIA CAIXA'!O181</f>
        <v>3928.2312100000008</v>
      </c>
      <c r="P53" s="1">
        <f>'DRE ANTIGA PARCERIA CAIXA'!P181</f>
        <v>3084.2063300000004</v>
      </c>
      <c r="Q53" s="1">
        <f>'DRE ANTIGA PARCERIA CAIXA'!Q181</f>
        <v>14148.511970000003</v>
      </c>
      <c r="R53" s="1">
        <f>'DRE ANTIGA PARCERIA CAIXA'!R181</f>
        <v>4412.0595000000003</v>
      </c>
      <c r="S53" s="1">
        <f>'DRE ANTIGA PARCERIA CAIXA'!S181</f>
        <v>3894.1421900000023</v>
      </c>
      <c r="T53" s="1">
        <f>'DRE ANTIGA PARCERIA CAIXA'!T181</f>
        <v>3285.3233099999998</v>
      </c>
      <c r="U53" s="1">
        <f>'DRE ANTIGA PARCERIA CAIXA'!U181</f>
        <v>3755.5911500000002</v>
      </c>
      <c r="V53" s="1">
        <f>'DRE ANTIGA PARCERIA CAIXA'!V181</f>
        <v>15347.116150000002</v>
      </c>
      <c r="W53" s="1">
        <f>'DRE ANTIGA PARCERIA CAIXA'!W181</f>
        <v>4511.271389999999</v>
      </c>
      <c r="X53" s="1">
        <f>'DRE ANTIGA PARCERIA CAIXA'!X181</f>
        <v>1642.98109</v>
      </c>
      <c r="Y53" s="1">
        <f>'DRE ANTIGA PARCERIA CAIXA'!Y181</f>
        <v>2153.0842699999994</v>
      </c>
      <c r="Z53" s="1">
        <f>'DRE ANTIGA PARCERIA CAIXA'!Z181</f>
        <v>3513.5129299999999</v>
      </c>
      <c r="AA53" s="1">
        <f>'DRE ANTIGA PARCERIA CAIXA'!AA181</f>
        <v>11820.849679999999</v>
      </c>
      <c r="AB53" s="1">
        <f>'DRE ANTIGA PARCERIA CAIXA'!AB181</f>
        <v>1765.5275600000004</v>
      </c>
      <c r="AC53" s="1">
        <f>'DRE ANTIGA PARCERIA CAIXA'!AC181</f>
        <v>4954.7438000000002</v>
      </c>
      <c r="AD53" s="1">
        <f>'DRE ANTIGA PARCERIA CAIXA'!AD181</f>
        <v>2932.7318699999983</v>
      </c>
      <c r="AE53" s="1">
        <f>'DRE ANTIGA PARCERIA CAIXA'!AE181</f>
        <v>1978.32817</v>
      </c>
      <c r="AF53" s="1">
        <f>'DRE ANTIGA PARCERIA CAIXA'!AF181</f>
        <v>11631.331399999999</v>
      </c>
      <c r="AG53" s="1">
        <f>'DRE ANTIGA PARCERIA CAIXA'!AG181</f>
        <v>1689</v>
      </c>
      <c r="AH53" s="1">
        <f>'DRE ANTIGA PARCERIA CAIXA'!AH181</f>
        <v>1797</v>
      </c>
      <c r="AI53" s="1">
        <f>'DRE ANTIGA PARCERIA CAIXA'!AI181</f>
        <v>3197</v>
      </c>
      <c r="AJ53" s="1">
        <f>'DRE ANTIGA PARCERIA CAIXA'!AJ181</f>
        <v>3960</v>
      </c>
      <c r="AK53" s="1">
        <f>'DRE ANTIGA PARCERIA CAIXA'!AK181</f>
        <v>10643</v>
      </c>
      <c r="AL53" s="1">
        <f>'DRE ANTIGA PARCERIA CAIXA'!AL181</f>
        <v>0</v>
      </c>
      <c r="AM53" s="1">
        <f>'DRE ANTIGA PARCERIA CAIXA'!AM181</f>
        <v>0</v>
      </c>
      <c r="AN53" s="1">
        <f>'DRE ANTIGA PARCERIA CAIXA'!AN181</f>
        <v>0</v>
      </c>
      <c r="AO53" s="1">
        <f>'DRE ANTIGA PARCERIA CAIXA'!AO181</f>
        <v>0</v>
      </c>
      <c r="AP53" s="1">
        <f>'DRE ANTIGA PARCERIA CAIXA'!AP181</f>
        <v>0</v>
      </c>
      <c r="AQ53" s="1">
        <f>'DRE ANTIGA PARCERIA CAIXA'!AQ181</f>
        <v>0</v>
      </c>
      <c r="AR53" s="1">
        <f>'DRE ANTIGA PARCERIA CAIXA'!AR181</f>
        <v>0</v>
      </c>
      <c r="AS53" s="1">
        <f>'DRE ANTIGA PARCERIA CAIXA'!AS181</f>
        <v>0</v>
      </c>
      <c r="AT53" s="1">
        <f>'DRE ANTIGA PARCERIA CAIXA'!AT181</f>
        <v>0</v>
      </c>
      <c r="AU53" s="1">
        <f>'DRE ANTIGA PARCERIA CAIXA'!AU181</f>
        <v>0</v>
      </c>
      <c r="AV53" s="1">
        <f>'DRE ANTIGA PARCERIA CAIXA'!AV181</f>
        <v>0</v>
      </c>
      <c r="AW53" s="1">
        <f>'DRE ANTIGA PARCERIA CAIXA'!AW181</f>
        <v>0</v>
      </c>
      <c r="AX53" s="1">
        <f>'DRE ANTIGA PARCERIA CAIXA'!AX181</f>
        <v>0</v>
      </c>
      <c r="AY53" s="1">
        <f>'DRE ANTIGA PARCERIA CAIXA'!AY181</f>
        <v>0</v>
      </c>
      <c r="AZ53" s="1">
        <f>'DRE ANTIGA PARCERIA CAIXA'!AZ181</f>
        <v>0</v>
      </c>
      <c r="BA53" s="1">
        <f>'DRE ANTIGA PARCERIA CAIXA'!BA181</f>
        <v>0</v>
      </c>
      <c r="BB53" s="771"/>
    </row>
    <row r="54" spans="1:54">
      <c r="B54" t="str">
        <f t="shared" si="31"/>
        <v>Odonto Empresas</v>
      </c>
      <c r="C54" s="1">
        <f>'DRE ANTIGA PARCERIA CAIXA'!C202</f>
        <v>856.80244999999979</v>
      </c>
      <c r="D54" s="1">
        <f>'DRE ANTIGA PARCERIA CAIXA'!D202</f>
        <v>694.99446000000046</v>
      </c>
      <c r="E54" s="1">
        <f>'DRE ANTIGA PARCERIA CAIXA'!E202</f>
        <v>652.31563999999912</v>
      </c>
      <c r="F54" s="1">
        <f>'DRE ANTIGA PARCERIA CAIXA'!F202</f>
        <v>859.12374000000091</v>
      </c>
      <c r="G54" s="1">
        <f>'DRE ANTIGA PARCERIA CAIXA'!G202</f>
        <v>3063.2362900000003</v>
      </c>
      <c r="H54" s="1">
        <f>'DRE ANTIGA PARCERIA CAIXA'!H202</f>
        <v>959.73573999999985</v>
      </c>
      <c r="I54" s="1">
        <f>'DRE ANTIGA PARCERIA CAIXA'!I202</f>
        <v>848.07328000000007</v>
      </c>
      <c r="J54" s="1">
        <f>'DRE ANTIGA PARCERIA CAIXA'!J202</f>
        <v>790.70307000000071</v>
      </c>
      <c r="K54" s="1">
        <f>'DRE ANTIGA PARCERIA CAIXA'!K202</f>
        <v>540.63235999999961</v>
      </c>
      <c r="L54" s="1">
        <f>'DRE ANTIGA PARCERIA CAIXA'!L202</f>
        <v>3139.1444500000002</v>
      </c>
      <c r="M54" s="1">
        <f>'DRE ANTIGA PARCERIA CAIXA'!M202</f>
        <v>521.4093499999999</v>
      </c>
      <c r="N54" s="1">
        <f>'DRE ANTIGA PARCERIA CAIXA'!N202</f>
        <v>497.12423999999987</v>
      </c>
      <c r="O54" s="1">
        <f>'DRE ANTIGA PARCERIA CAIXA'!O202</f>
        <v>410.11826000000019</v>
      </c>
      <c r="P54" s="1">
        <f>'DRE ANTIGA PARCERIA CAIXA'!P202</f>
        <v>534.42372</v>
      </c>
      <c r="Q54" s="1">
        <f>'DRE ANTIGA PARCERIA CAIXA'!Q202</f>
        <v>1963.07557</v>
      </c>
      <c r="R54" s="1">
        <f>'DRE ANTIGA PARCERIA CAIXA'!R202</f>
        <v>417.50639000000001</v>
      </c>
      <c r="S54" s="1">
        <f>'DRE ANTIGA PARCERIA CAIXA'!S202</f>
        <v>405.53406000000018</v>
      </c>
      <c r="T54" s="1">
        <f>'DRE ANTIGA PARCERIA CAIXA'!T202</f>
        <v>423.15403999999944</v>
      </c>
      <c r="U54" s="1">
        <f>'DRE ANTIGA PARCERIA CAIXA'!U202</f>
        <v>292.41201000000046</v>
      </c>
      <c r="V54" s="1">
        <f>'DRE ANTIGA PARCERIA CAIXA'!V202</f>
        <v>1538.6065000000001</v>
      </c>
      <c r="W54" s="1">
        <f>'DRE ANTIGA PARCERIA CAIXA'!W202</f>
        <v>94.033770000000047</v>
      </c>
      <c r="X54" s="1">
        <f>'DRE ANTIGA PARCERIA CAIXA'!X202</f>
        <v>169.39692999999988</v>
      </c>
      <c r="Y54" s="1">
        <f>'DRE ANTIGA PARCERIA CAIXA'!Y202</f>
        <v>-901.96732999999995</v>
      </c>
      <c r="Z54" s="1">
        <f>'DRE ANTIGA PARCERIA CAIXA'!Z202</f>
        <v>8.3391300000000683</v>
      </c>
      <c r="AA54" s="1">
        <f>'DRE ANTIGA PARCERIA CAIXA'!AA202</f>
        <v>-630.19749999999999</v>
      </c>
      <c r="AB54" s="1">
        <f>'DRE ANTIGA PARCERIA CAIXA'!AB202</f>
        <v>54.776710000000008</v>
      </c>
      <c r="AC54" s="1">
        <f>'DRE ANTIGA PARCERIA CAIXA'!AC202</f>
        <v>152.28307000000004</v>
      </c>
      <c r="AD54" s="1">
        <f>'DRE ANTIGA PARCERIA CAIXA'!AD202</f>
        <v>350.75756999999999</v>
      </c>
      <c r="AE54" s="1">
        <f>'DRE ANTIGA PARCERIA CAIXA'!AE202</f>
        <v>510.30389000000048</v>
      </c>
      <c r="AF54" s="1">
        <f>'DRE ANTIGA PARCERIA CAIXA'!AF202</f>
        <v>1068.1212400000004</v>
      </c>
      <c r="AG54" s="1">
        <f>'DRE ANTIGA PARCERIA CAIXA'!AG202</f>
        <v>527</v>
      </c>
      <c r="AH54" s="1">
        <f>'DRE ANTIGA PARCERIA CAIXA'!AH202</f>
        <v>771</v>
      </c>
      <c r="AI54" s="1">
        <f>'DRE ANTIGA PARCERIA CAIXA'!AI202</f>
        <v>955</v>
      </c>
      <c r="AJ54" s="1">
        <f>'DRE ANTIGA PARCERIA CAIXA'!AJ202</f>
        <v>646</v>
      </c>
      <c r="AK54" s="1">
        <f>'DRE ANTIGA PARCERIA CAIXA'!AK202</f>
        <v>2899</v>
      </c>
      <c r="AL54" s="1">
        <f>'DRE ANTIGA PARCERIA CAIXA'!AL202</f>
        <v>0</v>
      </c>
      <c r="AM54" s="1">
        <f>'DRE ANTIGA PARCERIA CAIXA'!AM202</f>
        <v>0</v>
      </c>
      <c r="AN54" s="1">
        <f>'DRE ANTIGA PARCERIA CAIXA'!AN202</f>
        <v>0</v>
      </c>
      <c r="AO54" s="1">
        <f>'DRE ANTIGA PARCERIA CAIXA'!AO202</f>
        <v>0</v>
      </c>
      <c r="AP54" s="1">
        <f>'DRE ANTIGA PARCERIA CAIXA'!AP202</f>
        <v>0</v>
      </c>
      <c r="AQ54" s="1">
        <f>'DRE ANTIGA PARCERIA CAIXA'!AQ202</f>
        <v>0</v>
      </c>
      <c r="AR54" s="1">
        <f>'DRE ANTIGA PARCERIA CAIXA'!AR202</f>
        <v>0</v>
      </c>
      <c r="AS54" s="1">
        <f>'DRE ANTIGA PARCERIA CAIXA'!AS202</f>
        <v>0</v>
      </c>
      <c r="AT54" s="1">
        <f>'DRE ANTIGA PARCERIA CAIXA'!AT202</f>
        <v>0</v>
      </c>
      <c r="AU54" s="1">
        <f>'DRE ANTIGA PARCERIA CAIXA'!AU202</f>
        <v>0</v>
      </c>
      <c r="AV54" s="1">
        <f>'DRE ANTIGA PARCERIA CAIXA'!AV202</f>
        <v>0</v>
      </c>
      <c r="AW54" s="1">
        <f>'DRE ANTIGA PARCERIA CAIXA'!AW202</f>
        <v>0</v>
      </c>
      <c r="AX54" s="1">
        <f>'DRE ANTIGA PARCERIA CAIXA'!AX202</f>
        <v>0</v>
      </c>
      <c r="AY54" s="1">
        <f>'DRE ANTIGA PARCERIA CAIXA'!AY202</f>
        <v>0</v>
      </c>
      <c r="AZ54" s="1">
        <f>'DRE ANTIGA PARCERIA CAIXA'!AZ202</f>
        <v>0</v>
      </c>
      <c r="BA54" s="1">
        <f>'DRE ANTIGA PARCERIA CAIXA'!BA202</f>
        <v>0</v>
      </c>
      <c r="BB54" s="771"/>
    </row>
    <row r="55" spans="1:54">
      <c r="B55" t="str">
        <f t="shared" si="31"/>
        <v>Youse Seguradora</v>
      </c>
      <c r="C55" s="1">
        <f>'DRE ANTIGA PARCERIA CAIXA'!C224</f>
        <v>0</v>
      </c>
      <c r="D55" s="1">
        <f>'DRE ANTIGA PARCERIA CAIXA'!D224</f>
        <v>470.68053000000003</v>
      </c>
      <c r="E55" s="1">
        <f>'DRE ANTIGA PARCERIA CAIXA'!E224</f>
        <v>1354.6886099999997</v>
      </c>
      <c r="F55" s="1">
        <f>'DRE ANTIGA PARCERIA CAIXA'!F224</f>
        <v>1298.1827899999998</v>
      </c>
      <c r="G55" s="1">
        <f>'DRE ANTIGA PARCERIA CAIXA'!G224</f>
        <v>3123.5519299999996</v>
      </c>
      <c r="H55" s="1">
        <f>'DRE ANTIGA PARCERIA CAIXA'!H224</f>
        <v>1231.0742</v>
      </c>
      <c r="I55" s="1">
        <f>'DRE ANTIGA PARCERIA CAIXA'!I224</f>
        <v>1071.6711500000001</v>
      </c>
      <c r="J55" s="1">
        <f>'DRE ANTIGA PARCERIA CAIXA'!J224</f>
        <v>947.31572000000006</v>
      </c>
      <c r="K55" s="1">
        <f>'DRE ANTIGA PARCERIA CAIXA'!K224</f>
        <v>760.33273000000008</v>
      </c>
      <c r="L55" s="1">
        <f>'DRE ANTIGA PARCERIA CAIXA'!L224</f>
        <v>4010.3938000000003</v>
      </c>
      <c r="M55" s="1">
        <f>'DRE ANTIGA PARCERIA CAIXA'!M224</f>
        <v>686.37589000000003</v>
      </c>
      <c r="N55" s="1">
        <f>'DRE ANTIGA PARCERIA CAIXA'!N224</f>
        <v>716.19808999999987</v>
      </c>
      <c r="O55" s="1">
        <f>'DRE ANTIGA PARCERIA CAIXA'!O224</f>
        <v>738.70677000000001</v>
      </c>
      <c r="P55" s="1">
        <f>'DRE ANTIGA PARCERIA CAIXA'!P224</f>
        <v>746.33329999999933</v>
      </c>
      <c r="Q55" s="1">
        <f>'DRE ANTIGA PARCERIA CAIXA'!Q224</f>
        <v>2887.6140499999992</v>
      </c>
      <c r="R55" s="1">
        <f>'DRE ANTIGA PARCERIA CAIXA'!R224</f>
        <v>701.07817</v>
      </c>
      <c r="S55" s="1">
        <f>'DRE ANTIGA PARCERIA CAIXA'!S224</f>
        <v>774.16431999999986</v>
      </c>
      <c r="T55" s="1">
        <f>'DRE ANTIGA PARCERIA CAIXA'!T224</f>
        <v>843.94744999999944</v>
      </c>
      <c r="U55" s="1">
        <f>'DRE ANTIGA PARCERIA CAIXA'!U224</f>
        <v>719.96448000000055</v>
      </c>
      <c r="V55" s="1">
        <f>'DRE ANTIGA PARCERIA CAIXA'!V224</f>
        <v>3039.1544199999998</v>
      </c>
      <c r="W55" s="1">
        <f>'DRE ANTIGA PARCERIA CAIXA'!W224</f>
        <v>709.71789999999999</v>
      </c>
      <c r="X55" s="1">
        <f>'DRE ANTIGA PARCERIA CAIXA'!X224</f>
        <v>679.88851000000011</v>
      </c>
      <c r="Y55" s="1">
        <f>'DRE ANTIGA PARCERIA CAIXA'!Y224</f>
        <v>825.45407999999975</v>
      </c>
      <c r="Z55" s="1">
        <f>'DRE ANTIGA PARCERIA CAIXA'!Z224</f>
        <v>702.56003999999939</v>
      </c>
      <c r="AA55" s="1">
        <f>'DRE ANTIGA PARCERIA CAIXA'!AA224</f>
        <v>2917.6205299999992</v>
      </c>
      <c r="AB55" s="1">
        <f>'DRE ANTIGA PARCERIA CAIXA'!AB224</f>
        <v>661.12504999999987</v>
      </c>
      <c r="AC55" s="1">
        <f>'DRE ANTIGA PARCERIA CAIXA'!AC224</f>
        <v>517.76914000000011</v>
      </c>
      <c r="AD55" s="1">
        <f>'DRE ANTIGA PARCERIA CAIXA'!AD224</f>
        <v>713.88387000000012</v>
      </c>
      <c r="AE55" s="1">
        <f>'DRE ANTIGA PARCERIA CAIXA'!AE224</f>
        <v>905.94624000000022</v>
      </c>
      <c r="AF55" s="1">
        <f>'DRE ANTIGA PARCERIA CAIXA'!AF224</f>
        <v>2798.7243000000003</v>
      </c>
      <c r="AG55" s="1">
        <f>'DRE ANTIGA PARCERIA CAIXA'!AG224</f>
        <v>1123</v>
      </c>
      <c r="AH55" s="1">
        <f>'DRE ANTIGA PARCERIA CAIXA'!AH224</f>
        <v>1275</v>
      </c>
      <c r="AI55" s="1">
        <f>'DRE ANTIGA PARCERIA CAIXA'!AI224</f>
        <v>2408</v>
      </c>
      <c r="AJ55" s="1">
        <f>'DRE ANTIGA PARCERIA CAIXA'!AJ224</f>
        <v>456</v>
      </c>
      <c r="AK55" s="1">
        <f>'DRE ANTIGA PARCERIA CAIXA'!AK224</f>
        <v>5262</v>
      </c>
      <c r="AL55" s="1">
        <f>'DRE ANTIGA PARCERIA CAIXA'!AL224</f>
        <v>1842</v>
      </c>
      <c r="AM55" s="1">
        <f>'DRE ANTIGA PARCERIA CAIXA'!AM224</f>
        <v>1754</v>
      </c>
      <c r="AN55" s="1">
        <f>'DRE ANTIGA PARCERIA CAIXA'!AN224</f>
        <v>1824</v>
      </c>
      <c r="AO55" s="1">
        <f>'DRE ANTIGA PARCERIA CAIXA'!AO224</f>
        <v>1642</v>
      </c>
      <c r="AP55" s="1">
        <f>'DRE ANTIGA PARCERIA CAIXA'!AP224</f>
        <v>7062</v>
      </c>
      <c r="AQ55" s="1">
        <f>'DRE ANTIGA PARCERIA CAIXA'!AQ224</f>
        <v>1390</v>
      </c>
      <c r="AR55" s="1">
        <f>'DRE ANTIGA PARCERIA CAIXA'!AR224</f>
        <v>1435</v>
      </c>
      <c r="AS55" s="1">
        <f>'DRE ANTIGA PARCERIA CAIXA'!AS224</f>
        <v>1593</v>
      </c>
      <c r="AT55" s="1">
        <f>'DRE ANTIGA PARCERIA CAIXA'!AT224</f>
        <v>1611</v>
      </c>
      <c r="AU55" s="1">
        <f>'DRE ANTIGA PARCERIA CAIXA'!AU224</f>
        <v>6029</v>
      </c>
      <c r="AV55" s="1">
        <f>'DRE ANTIGA PARCERIA CAIXA'!AV224</f>
        <v>1720</v>
      </c>
      <c r="AW55" s="1">
        <f>'DRE ANTIGA PARCERIA CAIXA'!AW224</f>
        <v>1748</v>
      </c>
      <c r="AX55" s="1">
        <f>'DRE ANTIGA PARCERIA CAIXA'!AX224</f>
        <v>1958</v>
      </c>
      <c r="AY55" s="1">
        <f>'DRE ANTIGA PARCERIA CAIXA'!AY224</f>
        <v>1937</v>
      </c>
      <c r="AZ55" s="1">
        <f>'DRE ANTIGA PARCERIA CAIXA'!AZ224</f>
        <v>7363</v>
      </c>
      <c r="BA55" s="1">
        <f>'DRE ANTIGA PARCERIA CAIXA'!BA224</f>
        <v>1742</v>
      </c>
      <c r="BB55" s="771"/>
    </row>
    <row r="56" spans="1:54">
      <c r="B56" t="str">
        <f t="shared" si="31"/>
        <v>CAIXA Assessoria</v>
      </c>
      <c r="C56" s="1">
        <f>'DRE ANTIGA PARCERIA CAIXA'!C246</f>
        <v>2.1670599999999998</v>
      </c>
      <c r="D56" s="1">
        <f>'DRE ANTIGA PARCERIA CAIXA'!D246</f>
        <v>2.2410900000000002</v>
      </c>
      <c r="E56" s="1">
        <f>'DRE ANTIGA PARCERIA CAIXA'!E246</f>
        <v>5.5875399999999997</v>
      </c>
      <c r="F56" s="1">
        <f>'DRE ANTIGA PARCERIA CAIXA'!F246</f>
        <v>3.3286499999999979</v>
      </c>
      <c r="G56" s="1">
        <f>'DRE ANTIGA PARCERIA CAIXA'!G246</f>
        <v>13.324339999999998</v>
      </c>
      <c r="H56" s="1">
        <f>'DRE ANTIGA PARCERIA CAIXA'!H246</f>
        <v>3.20384</v>
      </c>
      <c r="I56" s="1">
        <f>'DRE ANTIGA PARCERIA CAIXA'!I246</f>
        <v>9.1771700000000003</v>
      </c>
      <c r="J56" s="1">
        <f>'DRE ANTIGA PARCERIA CAIXA'!J246</f>
        <v>180.14998999999997</v>
      </c>
      <c r="K56" s="1">
        <f>'DRE ANTIGA PARCERIA CAIXA'!K246</f>
        <v>186.29321000000002</v>
      </c>
      <c r="L56" s="1">
        <f>'DRE ANTIGA PARCERIA CAIXA'!L246</f>
        <v>378.82420999999999</v>
      </c>
      <c r="M56" s="1">
        <f>'DRE ANTIGA PARCERIA CAIXA'!M246</f>
        <v>182.33118000000002</v>
      </c>
      <c r="N56" s="1">
        <f>'DRE ANTIGA PARCERIA CAIXA'!N246</f>
        <v>213.98107999999991</v>
      </c>
      <c r="O56" s="1">
        <f>'DRE ANTIGA PARCERIA CAIXA'!O246</f>
        <v>217.46554000000003</v>
      </c>
      <c r="P56" s="1">
        <f>'DRE ANTIGA PARCERIA CAIXA'!P246</f>
        <v>241.66031000000021</v>
      </c>
      <c r="Q56" s="1">
        <f>'DRE ANTIGA PARCERIA CAIXA'!Q246</f>
        <v>855.43811000000017</v>
      </c>
      <c r="R56" s="1">
        <f>'DRE ANTIGA PARCERIA CAIXA'!R246</f>
        <v>247.69399999999999</v>
      </c>
      <c r="S56" s="1">
        <f>'DRE ANTIGA PARCERIA CAIXA'!S246</f>
        <v>272.64087999999992</v>
      </c>
      <c r="T56" s="1">
        <f>'DRE ANTIGA PARCERIA CAIXA'!T246</f>
        <v>294.27589000000012</v>
      </c>
      <c r="U56" s="1">
        <f>'DRE ANTIGA PARCERIA CAIXA'!U246</f>
        <v>260.38510999999994</v>
      </c>
      <c r="V56" s="1">
        <f>'DRE ANTIGA PARCERIA CAIXA'!V246</f>
        <v>1074.9958799999999</v>
      </c>
      <c r="W56" s="1">
        <f>'DRE ANTIGA PARCERIA CAIXA'!W246</f>
        <v>227.76829000000001</v>
      </c>
      <c r="X56" s="1">
        <f>'DRE ANTIGA PARCERIA CAIXA'!X246</f>
        <v>178.94919999999999</v>
      </c>
      <c r="Y56" s="1">
        <f>'DRE ANTIGA PARCERIA CAIXA'!Y246</f>
        <v>112.69880000000001</v>
      </c>
      <c r="Z56" s="1">
        <f>'DRE ANTIGA PARCERIA CAIXA'!Z246</f>
        <v>134.92153000000008</v>
      </c>
      <c r="AA56" s="1">
        <f>'DRE ANTIGA PARCERIA CAIXA'!AA246</f>
        <v>654.33782000000008</v>
      </c>
      <c r="AB56" s="1">
        <f>'DRE ANTIGA PARCERIA CAIXA'!AB246</f>
        <v>132.07637</v>
      </c>
      <c r="AC56" s="1">
        <f>'DRE ANTIGA PARCERIA CAIXA'!AC246</f>
        <v>203.82567</v>
      </c>
      <c r="AD56" s="1">
        <f>'DRE ANTIGA PARCERIA CAIXA'!AD246</f>
        <v>394.09372999999999</v>
      </c>
      <c r="AE56" s="1">
        <f>'DRE ANTIGA PARCERIA CAIXA'!AE246</f>
        <v>669.13846999999998</v>
      </c>
      <c r="AF56" s="1">
        <f>'DRE ANTIGA PARCERIA CAIXA'!AF246</f>
        <v>1399.1342399999999</v>
      </c>
      <c r="AG56" s="1">
        <f>'DRE ANTIGA PARCERIA CAIXA'!AG246</f>
        <v>984</v>
      </c>
      <c r="AH56" s="1">
        <f>'DRE ANTIGA PARCERIA CAIXA'!AH246</f>
        <v>843</v>
      </c>
      <c r="AI56" s="1">
        <f>'DRE ANTIGA PARCERIA CAIXA'!AI246</f>
        <v>2262</v>
      </c>
      <c r="AJ56" s="1">
        <f>'DRE ANTIGA PARCERIA CAIXA'!AJ246</f>
        <v>291</v>
      </c>
      <c r="AK56" s="1">
        <f>'DRE ANTIGA PARCERIA CAIXA'!AK246</f>
        <v>4380</v>
      </c>
      <c r="AL56" s="1">
        <f>'DRE ANTIGA PARCERIA CAIXA'!AL246</f>
        <v>1399</v>
      </c>
      <c r="AM56" s="1">
        <f>'DRE ANTIGA PARCERIA CAIXA'!AM246</f>
        <v>824</v>
      </c>
      <c r="AN56" s="1">
        <f>'DRE ANTIGA PARCERIA CAIXA'!AN246</f>
        <v>938</v>
      </c>
      <c r="AO56" s="1">
        <f>'DRE ANTIGA PARCERIA CAIXA'!AO246</f>
        <v>976</v>
      </c>
      <c r="AP56" s="1">
        <f>'DRE ANTIGA PARCERIA CAIXA'!AP246</f>
        <v>4137</v>
      </c>
      <c r="AQ56" s="1">
        <f>'DRE ANTIGA PARCERIA CAIXA'!AQ246</f>
        <v>1002</v>
      </c>
      <c r="AR56" s="1">
        <f>'DRE ANTIGA PARCERIA CAIXA'!AR246</f>
        <v>867</v>
      </c>
      <c r="AS56" s="1">
        <f>'DRE ANTIGA PARCERIA CAIXA'!AS246</f>
        <v>918</v>
      </c>
      <c r="AT56" s="1">
        <f>'DRE ANTIGA PARCERIA CAIXA'!AT246</f>
        <v>1187</v>
      </c>
      <c r="AU56" s="1">
        <f>'DRE ANTIGA PARCERIA CAIXA'!AU246</f>
        <v>3974</v>
      </c>
      <c r="AV56" s="1">
        <f>'DRE ANTIGA PARCERIA CAIXA'!AV246</f>
        <v>1408</v>
      </c>
      <c r="AW56" s="1">
        <f>'DRE ANTIGA PARCERIA CAIXA'!AW246</f>
        <v>1167</v>
      </c>
      <c r="AX56" s="1">
        <f>'DRE ANTIGA PARCERIA CAIXA'!AX246</f>
        <v>1321</v>
      </c>
      <c r="AY56" s="1">
        <f>'DRE ANTIGA PARCERIA CAIXA'!AY246</f>
        <v>1626</v>
      </c>
      <c r="AZ56" s="1">
        <f>'DRE ANTIGA PARCERIA CAIXA'!AZ246</f>
        <v>5522</v>
      </c>
      <c r="BA56" s="1">
        <f>'DRE ANTIGA PARCERIA CAIXA'!BA246</f>
        <v>1293</v>
      </c>
      <c r="BB56" s="771"/>
    </row>
    <row r="57" spans="1:54" s="100" customFormat="1">
      <c r="A57" s="9"/>
      <c r="B57" s="9" t="str">
        <f t="shared" si="31"/>
        <v>Novas Parcerias CAIXA</v>
      </c>
      <c r="C57" s="76">
        <f t="shared" ref="C57:AV57" si="32">SUM(C58:C64)</f>
        <v>0</v>
      </c>
      <c r="D57" s="76">
        <f t="shared" si="32"/>
        <v>0</v>
      </c>
      <c r="E57" s="76">
        <f t="shared" si="32"/>
        <v>0</v>
      </c>
      <c r="F57" s="76">
        <f t="shared" si="32"/>
        <v>0</v>
      </c>
      <c r="G57" s="76">
        <f t="shared" si="32"/>
        <v>0</v>
      </c>
      <c r="H57" s="76">
        <f t="shared" si="32"/>
        <v>0</v>
      </c>
      <c r="I57" s="76">
        <f t="shared" si="32"/>
        <v>0</v>
      </c>
      <c r="J57" s="76">
        <f t="shared" si="32"/>
        <v>0</v>
      </c>
      <c r="K57" s="76">
        <f t="shared" si="32"/>
        <v>0</v>
      </c>
      <c r="L57" s="76">
        <f t="shared" si="32"/>
        <v>0</v>
      </c>
      <c r="M57" s="76">
        <f t="shared" si="32"/>
        <v>0</v>
      </c>
      <c r="N57" s="76">
        <f t="shared" si="32"/>
        <v>0</v>
      </c>
      <c r="O57" s="76">
        <f t="shared" si="32"/>
        <v>0</v>
      </c>
      <c r="P57" s="76">
        <f t="shared" si="32"/>
        <v>0</v>
      </c>
      <c r="Q57" s="76">
        <f t="shared" si="32"/>
        <v>0</v>
      </c>
      <c r="R57" s="76">
        <f t="shared" si="32"/>
        <v>0</v>
      </c>
      <c r="S57" s="76">
        <f t="shared" si="32"/>
        <v>0</v>
      </c>
      <c r="T57" s="76">
        <f t="shared" si="32"/>
        <v>0</v>
      </c>
      <c r="U57" s="76">
        <f t="shared" si="32"/>
        <v>0</v>
      </c>
      <c r="V57" s="76">
        <f t="shared" si="32"/>
        <v>0</v>
      </c>
      <c r="W57" s="76">
        <f t="shared" si="32"/>
        <v>0</v>
      </c>
      <c r="X57" s="76">
        <f t="shared" si="32"/>
        <v>0</v>
      </c>
      <c r="Y57" s="76">
        <f t="shared" si="32"/>
        <v>0</v>
      </c>
      <c r="Z57" s="76">
        <f t="shared" si="32"/>
        <v>1043.6027300000001</v>
      </c>
      <c r="AA57" s="76">
        <f t="shared" si="32"/>
        <v>1043.6027300000001</v>
      </c>
      <c r="AB57" s="76">
        <f t="shared" si="32"/>
        <v>111551.7820399995</v>
      </c>
      <c r="AC57" s="76">
        <f t="shared" si="32"/>
        <v>113354.43247000076</v>
      </c>
      <c r="AD57" s="76">
        <f t="shared" si="32"/>
        <v>90744.998459997965</v>
      </c>
      <c r="AE57" s="76">
        <f t="shared" si="32"/>
        <v>154881.37151999999</v>
      </c>
      <c r="AF57" s="76">
        <f t="shared" si="32"/>
        <v>470532.58448999823</v>
      </c>
      <c r="AG57" s="76">
        <f t="shared" si="32"/>
        <v>175051</v>
      </c>
      <c r="AH57" s="76">
        <f t="shared" si="32"/>
        <v>136766</v>
      </c>
      <c r="AI57" s="76">
        <f t="shared" si="32"/>
        <v>195148</v>
      </c>
      <c r="AJ57" s="76">
        <f t="shared" si="32"/>
        <v>242991</v>
      </c>
      <c r="AK57" s="76">
        <f t="shared" si="32"/>
        <v>749956</v>
      </c>
      <c r="AL57" s="76">
        <f t="shared" si="32"/>
        <v>306636</v>
      </c>
      <c r="AM57" s="76">
        <f t="shared" si="32"/>
        <v>281494</v>
      </c>
      <c r="AN57" s="76">
        <f t="shared" si="32"/>
        <v>352435</v>
      </c>
      <c r="AO57" s="76">
        <f t="shared" si="32"/>
        <v>340186</v>
      </c>
      <c r="AP57" s="76">
        <f t="shared" si="32"/>
        <v>1280751</v>
      </c>
      <c r="AQ57" s="76">
        <f t="shared" si="32"/>
        <v>319481</v>
      </c>
      <c r="AR57" s="76">
        <f t="shared" si="32"/>
        <v>333090</v>
      </c>
      <c r="AS57" s="76">
        <f t="shared" si="32"/>
        <v>340806</v>
      </c>
      <c r="AT57" s="76">
        <f t="shared" si="32"/>
        <v>366715</v>
      </c>
      <c r="AU57" s="76">
        <f t="shared" si="32"/>
        <v>1360092</v>
      </c>
      <c r="AV57" s="76">
        <f t="shared" si="32"/>
        <v>388581</v>
      </c>
      <c r="AW57" s="76">
        <f>SUM(AW58:AW64)</f>
        <v>401426</v>
      </c>
      <c r="AX57" s="76">
        <f>SUM(AX58:AX64)</f>
        <v>495901</v>
      </c>
      <c r="AY57" s="76">
        <f>SUM(AY58:AY64)</f>
        <v>476519</v>
      </c>
      <c r="AZ57" s="76">
        <f>SUM(AZ58:AZ64)</f>
        <v>1762427</v>
      </c>
      <c r="BA57" s="76">
        <f t="shared" ref="BA57" si="33">SUM(BA58:BA64)</f>
        <v>454720</v>
      </c>
      <c r="BB57" s="771"/>
    </row>
    <row r="58" spans="1:54">
      <c r="B58" t="s">
        <v>553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771"/>
    </row>
    <row r="59" spans="1:54">
      <c r="B59" t="str">
        <f t="shared" ref="B59:B70" si="34">B21</f>
        <v>Caixa Vida &amp; Previdência</v>
      </c>
      <c r="C59" s="1">
        <f>'DRE NOVAS PARCERIAS CAIXA'!C51</f>
        <v>0</v>
      </c>
      <c r="D59" s="1">
        <f>'DRE NOVAS PARCERIAS CAIXA'!D51</f>
        <v>0</v>
      </c>
      <c r="E59" s="1">
        <f>'DRE NOVAS PARCERIAS CAIXA'!E51</f>
        <v>0</v>
      </c>
      <c r="F59" s="1">
        <f>'DRE NOVAS PARCERIAS CAIXA'!F51</f>
        <v>0</v>
      </c>
      <c r="G59" s="1">
        <f>'DRE NOVAS PARCERIAS CAIXA'!G51</f>
        <v>0</v>
      </c>
      <c r="H59" s="1">
        <f>'DRE NOVAS PARCERIAS CAIXA'!H51</f>
        <v>0</v>
      </c>
      <c r="I59" s="1">
        <f>'DRE NOVAS PARCERIAS CAIXA'!I51</f>
        <v>0</v>
      </c>
      <c r="J59" s="1">
        <f>'DRE NOVAS PARCERIAS CAIXA'!J51</f>
        <v>0</v>
      </c>
      <c r="K59" s="1">
        <f>'DRE NOVAS PARCERIAS CAIXA'!K51</f>
        <v>0</v>
      </c>
      <c r="L59" s="1">
        <f>'DRE NOVAS PARCERIAS CAIXA'!L51</f>
        <v>0</v>
      </c>
      <c r="M59" s="1">
        <f>'DRE NOVAS PARCERIAS CAIXA'!M51</f>
        <v>0</v>
      </c>
      <c r="N59" s="1">
        <f>'DRE NOVAS PARCERIAS CAIXA'!N51</f>
        <v>0</v>
      </c>
      <c r="O59" s="1">
        <f>'DRE NOVAS PARCERIAS CAIXA'!O51</f>
        <v>0</v>
      </c>
      <c r="P59" s="1">
        <f>'DRE NOVAS PARCERIAS CAIXA'!P51</f>
        <v>0</v>
      </c>
      <c r="Q59" s="1">
        <f>'DRE NOVAS PARCERIAS CAIXA'!Q51</f>
        <v>0</v>
      </c>
      <c r="R59" s="1">
        <f>'DRE NOVAS PARCERIAS CAIXA'!R51</f>
        <v>0</v>
      </c>
      <c r="S59" s="1">
        <f>'DRE NOVAS PARCERIAS CAIXA'!S51</f>
        <v>0</v>
      </c>
      <c r="T59" s="1">
        <f>'DRE NOVAS PARCERIAS CAIXA'!T51</f>
        <v>0</v>
      </c>
      <c r="U59" s="1">
        <f>'DRE NOVAS PARCERIAS CAIXA'!U51</f>
        <v>0</v>
      </c>
      <c r="V59" s="1">
        <f>'DRE NOVAS PARCERIAS CAIXA'!V51</f>
        <v>0</v>
      </c>
      <c r="W59" s="1">
        <f>'DRE NOVAS PARCERIAS CAIXA'!W51</f>
        <v>0</v>
      </c>
      <c r="X59" s="1">
        <f>'DRE NOVAS PARCERIAS CAIXA'!X51</f>
        <v>0</v>
      </c>
      <c r="Y59" s="1">
        <f>'DRE NOVAS PARCERIAS CAIXA'!Y51</f>
        <v>0</v>
      </c>
      <c r="Z59" s="1">
        <f>'DRE NOVAS PARCERIAS CAIXA'!Z51</f>
        <v>0</v>
      </c>
      <c r="AA59" s="1">
        <f>'DRE NOVAS PARCERIAS CAIXA'!AA51</f>
        <v>0</v>
      </c>
      <c r="AB59" s="1">
        <f>'DRE NOVAS PARCERIAS CAIXA'!AB51</f>
        <v>104385.49487999949</v>
      </c>
      <c r="AC59" s="1">
        <f>'DRE NOVAS PARCERIAS CAIXA'!AC51</f>
        <v>95494.159360000747</v>
      </c>
      <c r="AD59" s="1">
        <f>'DRE NOVAS PARCERIAS CAIXA'!AD51</f>
        <v>53207.904359997978</v>
      </c>
      <c r="AE59" s="1">
        <f>'DRE NOVAS PARCERIAS CAIXA'!AE51</f>
        <v>102355</v>
      </c>
      <c r="AF59" s="1">
        <f>'DRE NOVAS PARCERIAS CAIXA'!AF51</f>
        <v>355442.55859999824</v>
      </c>
      <c r="AG59" s="1">
        <f>'DRE NOVAS PARCERIAS CAIXA'!AG51</f>
        <v>98928</v>
      </c>
      <c r="AH59" s="1">
        <f>'DRE NOVAS PARCERIAS CAIXA'!AH51</f>
        <v>49950</v>
      </c>
      <c r="AI59" s="1">
        <f>'DRE NOVAS PARCERIAS CAIXA'!AI51</f>
        <v>70375</v>
      </c>
      <c r="AJ59" s="1">
        <f>'DRE NOVAS PARCERIAS CAIXA'!AJ51</f>
        <v>90867</v>
      </c>
      <c r="AK59" s="1">
        <f>'DRE NOVAS PARCERIAS CAIXA'!AK51</f>
        <v>310120</v>
      </c>
      <c r="AL59" s="1">
        <f>'DRE NOVAS PARCERIAS CAIXA'!AL51</f>
        <v>118344</v>
      </c>
      <c r="AM59" s="1">
        <f>'DRE NOVAS PARCERIAS CAIXA'!AM51</f>
        <v>84251</v>
      </c>
      <c r="AN59" s="1">
        <f>'DRE NOVAS PARCERIAS CAIXA'!AN51</f>
        <v>132511</v>
      </c>
      <c r="AO59" s="1">
        <f>'DRE NOVAS PARCERIAS CAIXA'!AO51</f>
        <v>135452</v>
      </c>
      <c r="AP59" s="1">
        <f>'DRE NOVAS PARCERIAS CAIXA'!AP51</f>
        <v>470558</v>
      </c>
      <c r="AQ59" s="1">
        <f>'DRE NOVAS PARCERIAS CAIXA'!AQ51</f>
        <v>99246</v>
      </c>
      <c r="AR59" s="1">
        <f>'DRE NOVAS PARCERIAS CAIXA'!AR51</f>
        <v>112904</v>
      </c>
      <c r="AS59" s="1">
        <f>'DRE NOVAS PARCERIAS CAIXA'!AS51</f>
        <v>161543</v>
      </c>
      <c r="AT59" s="1">
        <f>'DRE NOVAS PARCERIAS CAIXA'!AT51</f>
        <v>289078</v>
      </c>
      <c r="AU59" s="1">
        <f>'DRE NOVAS PARCERIAS CAIXA'!AU51</f>
        <v>662771</v>
      </c>
      <c r="AV59" s="1">
        <f>'DRE NOVAS PARCERIAS CAIXA'!AV51</f>
        <v>294989</v>
      </c>
      <c r="AW59" s="1">
        <f>'DRE NOVAS PARCERIAS CAIXA'!AW51</f>
        <v>306521</v>
      </c>
      <c r="AX59" s="1">
        <f>'DRE NOVAS PARCERIAS CAIXA'!AX51</f>
        <v>383437</v>
      </c>
      <c r="AY59" s="1">
        <f>'DRE NOVAS PARCERIAS CAIXA'!AY51</f>
        <v>351949</v>
      </c>
      <c r="AZ59" s="1">
        <f>'DRE NOVAS PARCERIAS CAIXA'!AZ51</f>
        <v>1336896</v>
      </c>
      <c r="BA59" s="1">
        <f>'DRE NOVAS PARCERIAS CAIXA'!BA51</f>
        <v>327977</v>
      </c>
      <c r="BB59" s="771"/>
    </row>
    <row r="60" spans="1:54">
      <c r="B60" t="str">
        <f t="shared" si="34"/>
        <v>XS2 Vida e Previdência</v>
      </c>
      <c r="C60" s="1">
        <f>'DRE NOVAS PARCERIAS CAIXA'!C80</f>
        <v>0</v>
      </c>
      <c r="D60" s="1">
        <f>'DRE NOVAS PARCERIAS CAIXA'!D80</f>
        <v>0</v>
      </c>
      <c r="E60" s="1">
        <f>'DRE NOVAS PARCERIAS CAIXA'!E80</f>
        <v>0</v>
      </c>
      <c r="F60" s="1">
        <f>'DRE NOVAS PARCERIAS CAIXA'!F80</f>
        <v>0</v>
      </c>
      <c r="G60" s="1">
        <f>'DRE NOVAS PARCERIAS CAIXA'!G80</f>
        <v>0</v>
      </c>
      <c r="H60" s="1">
        <f>'DRE NOVAS PARCERIAS CAIXA'!H80</f>
        <v>0</v>
      </c>
      <c r="I60" s="1">
        <f>'DRE NOVAS PARCERIAS CAIXA'!I80</f>
        <v>0</v>
      </c>
      <c r="J60" s="1">
        <f>'DRE NOVAS PARCERIAS CAIXA'!J80</f>
        <v>0</v>
      </c>
      <c r="K60" s="1">
        <f>'DRE NOVAS PARCERIAS CAIXA'!K80</f>
        <v>0</v>
      </c>
      <c r="L60" s="1">
        <f>'DRE NOVAS PARCERIAS CAIXA'!L80</f>
        <v>0</v>
      </c>
      <c r="M60" s="1">
        <f>'DRE NOVAS PARCERIAS CAIXA'!M80</f>
        <v>0</v>
      </c>
      <c r="N60" s="1">
        <f>'DRE NOVAS PARCERIAS CAIXA'!N80</f>
        <v>0</v>
      </c>
      <c r="O60" s="1">
        <f>'DRE NOVAS PARCERIAS CAIXA'!O80</f>
        <v>0</v>
      </c>
      <c r="P60" s="1">
        <f>'DRE NOVAS PARCERIAS CAIXA'!P80</f>
        <v>0</v>
      </c>
      <c r="Q60" s="1">
        <f>'DRE NOVAS PARCERIAS CAIXA'!Q80</f>
        <v>0</v>
      </c>
      <c r="R60" s="1">
        <f>'DRE NOVAS PARCERIAS CAIXA'!R80</f>
        <v>0</v>
      </c>
      <c r="S60" s="1">
        <f>'DRE NOVAS PARCERIAS CAIXA'!S80</f>
        <v>0</v>
      </c>
      <c r="T60" s="1">
        <f>'DRE NOVAS PARCERIAS CAIXA'!T80</f>
        <v>0</v>
      </c>
      <c r="U60" s="1">
        <f>'DRE NOVAS PARCERIAS CAIXA'!U80</f>
        <v>0</v>
      </c>
      <c r="V60" s="1">
        <f>'DRE NOVAS PARCERIAS CAIXA'!V80</f>
        <v>0</v>
      </c>
      <c r="W60" s="1">
        <f>'DRE NOVAS PARCERIAS CAIXA'!W80</f>
        <v>0</v>
      </c>
      <c r="X60" s="1">
        <f>'DRE NOVAS PARCERIAS CAIXA'!X80</f>
        <v>0</v>
      </c>
      <c r="Y60" s="1">
        <f>'DRE NOVAS PARCERIAS CAIXA'!Y80</f>
        <v>0</v>
      </c>
      <c r="Z60" s="1">
        <f>'DRE NOVAS PARCERIAS CAIXA'!Z80</f>
        <v>249.60272999999998</v>
      </c>
      <c r="AA60" s="1">
        <f>'DRE NOVAS PARCERIAS CAIXA'!AA80</f>
        <v>249.60272999999998</v>
      </c>
      <c r="AB60" s="1">
        <f>'DRE NOVAS PARCERIAS CAIXA'!AB80</f>
        <v>6926.1727299999984</v>
      </c>
      <c r="AC60" s="1">
        <f>'DRE NOVAS PARCERIAS CAIXA'!AC80</f>
        <v>15734.644509999995</v>
      </c>
      <c r="AD60" s="1">
        <f>'DRE NOVAS PARCERIAS CAIXA'!AD80</f>
        <v>31517.599849999988</v>
      </c>
      <c r="AE60" s="1">
        <f>'DRE NOVAS PARCERIAS CAIXA'!AE80</f>
        <v>44611.355019999995</v>
      </c>
      <c r="AF60" s="1">
        <f>'DRE NOVAS PARCERIAS CAIXA'!AF80</f>
        <v>98789.772109999976</v>
      </c>
      <c r="AG60" s="1">
        <f>'DRE NOVAS PARCERIAS CAIXA'!AG80</f>
        <v>57573</v>
      </c>
      <c r="AH60" s="1">
        <f>'DRE NOVAS PARCERIAS CAIXA'!AH80</f>
        <v>64169</v>
      </c>
      <c r="AI60" s="1">
        <f>'DRE NOVAS PARCERIAS CAIXA'!AI80</f>
        <v>92344</v>
      </c>
      <c r="AJ60" s="1">
        <f>'DRE NOVAS PARCERIAS CAIXA'!AJ80</f>
        <v>111098</v>
      </c>
      <c r="AK60" s="1">
        <f>'DRE NOVAS PARCERIAS CAIXA'!AK80</f>
        <v>325184</v>
      </c>
      <c r="AL60" s="1">
        <f>'DRE NOVAS PARCERIAS CAIXA'!AL80</f>
        <v>141011</v>
      </c>
      <c r="AM60" s="1">
        <f>'DRE NOVAS PARCERIAS CAIXA'!AM80</f>
        <v>153326</v>
      </c>
      <c r="AN60" s="1">
        <f>'DRE NOVAS PARCERIAS CAIXA'!AN80</f>
        <v>165885</v>
      </c>
      <c r="AO60" s="1">
        <f>'DRE NOVAS PARCERIAS CAIXA'!AO80</f>
        <v>150438</v>
      </c>
      <c r="AP60" s="1">
        <f>'DRE NOVAS PARCERIAS CAIXA'!AP80</f>
        <v>610660</v>
      </c>
      <c r="AQ60" s="1">
        <f>'DRE NOVAS PARCERIAS CAIXA'!AQ80</f>
        <v>157222</v>
      </c>
      <c r="AR60" s="1">
        <f>'DRE NOVAS PARCERIAS CAIXA'!AR80</f>
        <v>162416</v>
      </c>
      <c r="AS60" s="1">
        <f>'DRE NOVAS PARCERIAS CAIXA'!AS80</f>
        <v>118764</v>
      </c>
      <c r="AT60" s="1">
        <f>'DRE NOVAS PARCERIAS CAIXA'!AT80</f>
        <v>0</v>
      </c>
      <c r="AU60" s="1">
        <f>'DRE NOVAS PARCERIAS CAIXA'!AU80</f>
        <v>438402</v>
      </c>
      <c r="AV60" s="1">
        <f>'DRE NOVAS PARCERIAS CAIXA'!AV80</f>
        <v>0</v>
      </c>
      <c r="AW60" s="1">
        <f>'DRE NOVAS PARCERIAS CAIXA'!AW80</f>
        <v>0</v>
      </c>
      <c r="AX60" s="1">
        <f>'DRE NOVAS PARCERIAS CAIXA'!AX80</f>
        <v>0</v>
      </c>
      <c r="AY60" s="1">
        <f>'DRE NOVAS PARCERIAS CAIXA'!AY80</f>
        <v>0</v>
      </c>
      <c r="AZ60" s="1">
        <f>'DRE NOVAS PARCERIAS CAIXA'!AZ80</f>
        <v>0</v>
      </c>
      <c r="BA60" s="1">
        <f>'DRE NOVAS PARCERIAS CAIXA'!BA80</f>
        <v>0</v>
      </c>
      <c r="BB60" s="771"/>
    </row>
    <row r="61" spans="1:54">
      <c r="B61" t="str">
        <f t="shared" si="34"/>
        <v>XS3 SEGUROS</v>
      </c>
      <c r="C61" s="1">
        <f>'DRE NOVAS PARCERIAS CAIXA'!C132</f>
        <v>0</v>
      </c>
      <c r="D61" s="1">
        <f>'DRE NOVAS PARCERIAS CAIXA'!D132</f>
        <v>0</v>
      </c>
      <c r="E61" s="1">
        <f>'DRE NOVAS PARCERIAS CAIXA'!E132</f>
        <v>0</v>
      </c>
      <c r="F61" s="1">
        <f>'DRE NOVAS PARCERIAS CAIXA'!F132</f>
        <v>0</v>
      </c>
      <c r="G61" s="1">
        <f>'DRE NOVAS PARCERIAS CAIXA'!G132</f>
        <v>0</v>
      </c>
      <c r="H61" s="1">
        <f>'DRE NOVAS PARCERIAS CAIXA'!H132</f>
        <v>0</v>
      </c>
      <c r="I61" s="1">
        <f>'DRE NOVAS PARCERIAS CAIXA'!I132</f>
        <v>0</v>
      </c>
      <c r="J61" s="1">
        <f>'DRE NOVAS PARCERIAS CAIXA'!J132</f>
        <v>0</v>
      </c>
      <c r="K61" s="1">
        <f>'DRE NOVAS PARCERIAS CAIXA'!K132</f>
        <v>0</v>
      </c>
      <c r="L61" s="1">
        <f>'DRE NOVAS PARCERIAS CAIXA'!L132</f>
        <v>0</v>
      </c>
      <c r="M61" s="1">
        <f>'DRE NOVAS PARCERIAS CAIXA'!M132</f>
        <v>0</v>
      </c>
      <c r="N61" s="1">
        <f>'DRE NOVAS PARCERIAS CAIXA'!N132</f>
        <v>0</v>
      </c>
      <c r="O61" s="1">
        <f>'DRE NOVAS PARCERIAS CAIXA'!O132</f>
        <v>0</v>
      </c>
      <c r="P61" s="1">
        <f>'DRE NOVAS PARCERIAS CAIXA'!P132</f>
        <v>0</v>
      </c>
      <c r="Q61" s="1">
        <f>'DRE NOVAS PARCERIAS CAIXA'!Q132</f>
        <v>0</v>
      </c>
      <c r="R61" s="1">
        <f>'DRE NOVAS PARCERIAS CAIXA'!R132</f>
        <v>0</v>
      </c>
      <c r="S61" s="1">
        <f>'DRE NOVAS PARCERIAS CAIXA'!S132</f>
        <v>0</v>
      </c>
      <c r="T61" s="1">
        <f>'DRE NOVAS PARCERIAS CAIXA'!T132</f>
        <v>0</v>
      </c>
      <c r="U61" s="1">
        <f>'DRE NOVAS PARCERIAS CAIXA'!U132</f>
        <v>0</v>
      </c>
      <c r="V61" s="1">
        <f>'DRE NOVAS PARCERIAS CAIXA'!V132</f>
        <v>0</v>
      </c>
      <c r="W61" s="1">
        <f>'DRE NOVAS PARCERIAS CAIXA'!W132</f>
        <v>0</v>
      </c>
      <c r="X61" s="1">
        <f>'DRE NOVAS PARCERIAS CAIXA'!X132</f>
        <v>0</v>
      </c>
      <c r="Y61" s="1">
        <f>'DRE NOVAS PARCERIAS CAIXA'!Y132</f>
        <v>0</v>
      </c>
      <c r="Z61" s="1">
        <f>'DRE NOVAS PARCERIAS CAIXA'!Z132</f>
        <v>348</v>
      </c>
      <c r="AA61" s="1">
        <f>'DRE NOVAS PARCERIAS CAIXA'!AA132</f>
        <v>348</v>
      </c>
      <c r="AB61" s="1">
        <f>'DRE NOVAS PARCERIAS CAIXA'!AB132</f>
        <v>123.51067999999999</v>
      </c>
      <c r="AC61" s="1">
        <f>'DRE NOVAS PARCERIAS CAIXA'!AC132</f>
        <v>1465.19571</v>
      </c>
      <c r="AD61" s="1">
        <f>'DRE NOVAS PARCERIAS CAIXA'!AD132</f>
        <v>3644.0989500000001</v>
      </c>
      <c r="AE61" s="1">
        <f>'DRE NOVAS PARCERIAS CAIXA'!AE132</f>
        <v>7454</v>
      </c>
      <c r="AF61" s="1">
        <f>'DRE NOVAS PARCERIAS CAIXA'!AF132</f>
        <v>12686.805339999999</v>
      </c>
      <c r="AG61" s="1">
        <f>'DRE NOVAS PARCERIAS CAIXA'!AG132</f>
        <v>12008</v>
      </c>
      <c r="AH61" s="1">
        <f>'DRE NOVAS PARCERIAS CAIXA'!AH132</f>
        <v>14955</v>
      </c>
      <c r="AI61" s="1">
        <f>'DRE NOVAS PARCERIAS CAIXA'!AI132</f>
        <v>20743</v>
      </c>
      <c r="AJ61" s="1">
        <f>'DRE NOVAS PARCERIAS CAIXA'!AJ132</f>
        <v>24510</v>
      </c>
      <c r="AK61" s="1">
        <f>'DRE NOVAS PARCERIAS CAIXA'!AK132</f>
        <v>72216</v>
      </c>
      <c r="AL61" s="1">
        <f>'DRE NOVAS PARCERIAS CAIXA'!AL132</f>
        <v>28166</v>
      </c>
      <c r="AM61" s="1">
        <f>'DRE NOVAS PARCERIAS CAIXA'!AM132</f>
        <v>26753</v>
      </c>
      <c r="AN61" s="1">
        <f>'DRE NOVAS PARCERIAS CAIXA'!AN132</f>
        <v>31533</v>
      </c>
      <c r="AO61" s="1">
        <f>'DRE NOVAS PARCERIAS CAIXA'!AO132</f>
        <v>29168</v>
      </c>
      <c r="AP61" s="1">
        <f>'DRE NOVAS PARCERIAS CAIXA'!AP132</f>
        <v>115620</v>
      </c>
      <c r="AQ61" s="1">
        <f>'DRE NOVAS PARCERIAS CAIXA'!AQ132</f>
        <v>31202</v>
      </c>
      <c r="AR61" s="1">
        <f>'DRE NOVAS PARCERIAS CAIXA'!AR132</f>
        <v>26765</v>
      </c>
      <c r="AS61" s="1">
        <f>'DRE NOVAS PARCERIAS CAIXA'!AS132</f>
        <v>32357</v>
      </c>
      <c r="AT61" s="1">
        <f>'DRE NOVAS PARCERIAS CAIXA'!AT132</f>
        <v>38751</v>
      </c>
      <c r="AU61" s="1">
        <f>'DRE NOVAS PARCERIAS CAIXA'!AU132</f>
        <v>129075</v>
      </c>
      <c r="AV61" s="1">
        <f>'DRE NOVAS PARCERIAS CAIXA'!AV132</f>
        <v>41833</v>
      </c>
      <c r="AW61" s="1">
        <f>'DRE NOVAS PARCERIAS CAIXA'!AW132</f>
        <v>43878</v>
      </c>
      <c r="AX61" s="1">
        <f>'DRE NOVAS PARCERIAS CAIXA'!AX132</f>
        <v>51044</v>
      </c>
      <c r="AY61" s="1">
        <f>'DRE NOVAS PARCERIAS CAIXA'!AY132</f>
        <v>60922</v>
      </c>
      <c r="AZ61" s="1">
        <f>'DRE NOVAS PARCERIAS CAIXA'!AZ132</f>
        <v>197677</v>
      </c>
      <c r="BA61" s="1">
        <f>'DRE NOVAS PARCERIAS CAIXA'!BA132</f>
        <v>49572</v>
      </c>
      <c r="BB61" s="771"/>
    </row>
    <row r="62" spans="1:54">
      <c r="B62" t="str">
        <f t="shared" si="34"/>
        <v>XS4 Capitalização</v>
      </c>
      <c r="C62" s="1">
        <f>+'DRE NOVAS PARCERIAS CAIXA'!C162</f>
        <v>0</v>
      </c>
      <c r="D62" s="1">
        <f>+'DRE NOVAS PARCERIAS CAIXA'!D162</f>
        <v>0</v>
      </c>
      <c r="E62" s="1">
        <f>+'DRE NOVAS PARCERIAS CAIXA'!E162</f>
        <v>0</v>
      </c>
      <c r="F62" s="1">
        <f>+'DRE NOVAS PARCERIAS CAIXA'!F162</f>
        <v>0</v>
      </c>
      <c r="G62" s="1">
        <f>+'DRE NOVAS PARCERIAS CAIXA'!G162</f>
        <v>0</v>
      </c>
      <c r="H62" s="1">
        <f>+'DRE NOVAS PARCERIAS CAIXA'!H162</f>
        <v>0</v>
      </c>
      <c r="I62" s="1">
        <f>+'DRE NOVAS PARCERIAS CAIXA'!I162</f>
        <v>0</v>
      </c>
      <c r="J62" s="1">
        <f>+'DRE NOVAS PARCERIAS CAIXA'!J162</f>
        <v>0</v>
      </c>
      <c r="K62" s="1">
        <f>+'DRE NOVAS PARCERIAS CAIXA'!K162</f>
        <v>0</v>
      </c>
      <c r="L62" s="1">
        <f>+'DRE NOVAS PARCERIAS CAIXA'!L162</f>
        <v>0</v>
      </c>
      <c r="M62" s="1">
        <f>+'DRE NOVAS PARCERIAS CAIXA'!M162</f>
        <v>0</v>
      </c>
      <c r="N62" s="1">
        <f>+'DRE NOVAS PARCERIAS CAIXA'!N162</f>
        <v>0</v>
      </c>
      <c r="O62" s="1">
        <f>+'DRE NOVAS PARCERIAS CAIXA'!O162</f>
        <v>0</v>
      </c>
      <c r="P62" s="1">
        <f>+'DRE NOVAS PARCERIAS CAIXA'!P162</f>
        <v>0</v>
      </c>
      <c r="Q62" s="1">
        <f>+'DRE NOVAS PARCERIAS CAIXA'!Q162</f>
        <v>0</v>
      </c>
      <c r="R62" s="1">
        <f>+'DRE NOVAS PARCERIAS CAIXA'!R162</f>
        <v>0</v>
      </c>
      <c r="S62" s="1">
        <f>+'DRE NOVAS PARCERIAS CAIXA'!S162</f>
        <v>0</v>
      </c>
      <c r="T62" s="1">
        <f>+'DRE NOVAS PARCERIAS CAIXA'!T162</f>
        <v>0</v>
      </c>
      <c r="U62" s="1">
        <f>+'DRE NOVAS PARCERIAS CAIXA'!U162</f>
        <v>0</v>
      </c>
      <c r="V62" s="1">
        <f>+'DRE NOVAS PARCERIAS CAIXA'!V162</f>
        <v>0</v>
      </c>
      <c r="W62" s="1">
        <f>+'DRE NOVAS PARCERIAS CAIXA'!W162</f>
        <v>0</v>
      </c>
      <c r="X62" s="1">
        <f>+'DRE NOVAS PARCERIAS CAIXA'!X162</f>
        <v>0</v>
      </c>
      <c r="Y62" s="1">
        <f>+'DRE NOVAS PARCERIAS CAIXA'!Y162</f>
        <v>0</v>
      </c>
      <c r="Z62" s="1">
        <f>+'DRE NOVAS PARCERIAS CAIXA'!Z162</f>
        <v>390</v>
      </c>
      <c r="AA62" s="1">
        <f>+'DRE NOVAS PARCERIAS CAIXA'!AA162</f>
        <v>390</v>
      </c>
      <c r="AB62" s="1">
        <f>+'DRE NOVAS PARCERIAS CAIXA'!AB162</f>
        <v>65.016469999999998</v>
      </c>
      <c r="AC62" s="1">
        <f>+'DRE NOVAS PARCERIAS CAIXA'!AC162</f>
        <v>484.68316999999996</v>
      </c>
      <c r="AD62" s="1">
        <f>+'DRE NOVAS PARCERIAS CAIXA'!AD162</f>
        <v>2340.7322999999997</v>
      </c>
      <c r="AE62" s="1">
        <f>+'DRE NOVAS PARCERIAS CAIXA'!AE162</f>
        <v>465.01650000000046</v>
      </c>
      <c r="AF62" s="1">
        <f>+'DRE NOVAS PARCERIAS CAIXA'!AF162</f>
        <v>3355.4484400000001</v>
      </c>
      <c r="AG62" s="1">
        <f>+'DRE NOVAS PARCERIAS CAIXA'!AG162</f>
        <v>3826</v>
      </c>
      <c r="AH62" s="1">
        <f>+'DRE NOVAS PARCERIAS CAIXA'!AH162</f>
        <v>5370</v>
      </c>
      <c r="AI62" s="1">
        <f>+'DRE NOVAS PARCERIAS CAIXA'!AI162</f>
        <v>9595</v>
      </c>
      <c r="AJ62" s="1">
        <f>+'DRE NOVAS PARCERIAS CAIXA'!AJ162</f>
        <v>12255</v>
      </c>
      <c r="AK62" s="1">
        <f>+'DRE NOVAS PARCERIAS CAIXA'!AK162</f>
        <v>31046</v>
      </c>
      <c r="AL62" s="1">
        <f>+'DRE NOVAS PARCERIAS CAIXA'!AL162</f>
        <v>15250</v>
      </c>
      <c r="AM62" s="1">
        <f>+'DRE NOVAS PARCERIAS CAIXA'!AM162</f>
        <v>12881</v>
      </c>
      <c r="AN62" s="1">
        <f>+'DRE NOVAS PARCERIAS CAIXA'!AN162</f>
        <v>16670</v>
      </c>
      <c r="AO62" s="1">
        <f>+'DRE NOVAS PARCERIAS CAIXA'!AO162</f>
        <v>19022</v>
      </c>
      <c r="AP62" s="1">
        <f>+'DRE NOVAS PARCERIAS CAIXA'!AP162</f>
        <v>63823</v>
      </c>
      <c r="AQ62" s="1">
        <f>+'DRE NOVAS PARCERIAS CAIXA'!AQ162</f>
        <v>25290</v>
      </c>
      <c r="AR62" s="1">
        <f>+'DRE NOVAS PARCERIAS CAIXA'!AR162</f>
        <v>23685</v>
      </c>
      <c r="AS62" s="1">
        <f>+'DRE NOVAS PARCERIAS CAIXA'!AS162</f>
        <v>19329</v>
      </c>
      <c r="AT62" s="1">
        <f>+'DRE NOVAS PARCERIAS CAIXA'!AT162</f>
        <v>29562</v>
      </c>
      <c r="AU62" s="1">
        <f>+'DRE NOVAS PARCERIAS CAIXA'!AU162</f>
        <v>97866</v>
      </c>
      <c r="AV62" s="1">
        <f>+'DRE NOVAS PARCERIAS CAIXA'!AV162</f>
        <v>41116</v>
      </c>
      <c r="AW62" s="1">
        <f>+'DRE NOVAS PARCERIAS CAIXA'!AW162</f>
        <v>36832</v>
      </c>
      <c r="AX62" s="1">
        <f>+'DRE NOVAS PARCERIAS CAIXA'!AX162</f>
        <v>45312</v>
      </c>
      <c r="AY62" s="1">
        <f>+'DRE NOVAS PARCERIAS CAIXA'!AY162</f>
        <v>44983</v>
      </c>
      <c r="AZ62" s="1">
        <f>+'DRE NOVAS PARCERIAS CAIXA'!AZ162</f>
        <v>168243</v>
      </c>
      <c r="BA62" s="1">
        <f>+'DRE NOVAS PARCERIAS CAIXA'!BA162</f>
        <v>61385</v>
      </c>
      <c r="BB62" s="771"/>
    </row>
    <row r="63" spans="1:54">
      <c r="B63" t="str">
        <f t="shared" si="34"/>
        <v>XS5 Consórcio</v>
      </c>
      <c r="C63" s="1">
        <f>'DRE NOVAS PARCERIAS CAIXA'!C186</f>
        <v>0</v>
      </c>
      <c r="D63" s="1">
        <f>'DRE NOVAS PARCERIAS CAIXA'!D186</f>
        <v>0</v>
      </c>
      <c r="E63" s="1">
        <f>'DRE NOVAS PARCERIAS CAIXA'!E186</f>
        <v>0</v>
      </c>
      <c r="F63" s="1">
        <f>'DRE NOVAS PARCERIAS CAIXA'!F186</f>
        <v>0</v>
      </c>
      <c r="G63" s="1">
        <f>'DRE NOVAS PARCERIAS CAIXA'!G186</f>
        <v>0</v>
      </c>
      <c r="H63" s="1">
        <f>'DRE NOVAS PARCERIAS CAIXA'!H186</f>
        <v>0</v>
      </c>
      <c r="I63" s="1">
        <f>'DRE NOVAS PARCERIAS CAIXA'!I186</f>
        <v>0</v>
      </c>
      <c r="J63" s="1">
        <f>'DRE NOVAS PARCERIAS CAIXA'!J186</f>
        <v>0</v>
      </c>
      <c r="K63" s="1">
        <f>'DRE NOVAS PARCERIAS CAIXA'!K186</f>
        <v>0</v>
      </c>
      <c r="L63" s="1">
        <f>'DRE NOVAS PARCERIAS CAIXA'!L186</f>
        <v>0</v>
      </c>
      <c r="M63" s="1">
        <f>'DRE NOVAS PARCERIAS CAIXA'!M186</f>
        <v>0</v>
      </c>
      <c r="N63" s="1">
        <f>'DRE NOVAS PARCERIAS CAIXA'!N186</f>
        <v>0</v>
      </c>
      <c r="O63" s="1">
        <f>'DRE NOVAS PARCERIAS CAIXA'!O186</f>
        <v>0</v>
      </c>
      <c r="P63" s="1">
        <f>'DRE NOVAS PARCERIAS CAIXA'!P186</f>
        <v>0</v>
      </c>
      <c r="Q63" s="1">
        <f>'DRE NOVAS PARCERIAS CAIXA'!Q186</f>
        <v>0</v>
      </c>
      <c r="R63" s="1">
        <f>'DRE NOVAS PARCERIAS CAIXA'!R186</f>
        <v>0</v>
      </c>
      <c r="S63" s="1">
        <f>'DRE NOVAS PARCERIAS CAIXA'!S186</f>
        <v>0</v>
      </c>
      <c r="T63" s="1">
        <f>'DRE NOVAS PARCERIAS CAIXA'!T186</f>
        <v>0</v>
      </c>
      <c r="U63" s="1">
        <f>'DRE NOVAS PARCERIAS CAIXA'!U186</f>
        <v>0</v>
      </c>
      <c r="V63" s="1">
        <f>'DRE NOVAS PARCERIAS CAIXA'!V186</f>
        <v>0</v>
      </c>
      <c r="W63" s="1">
        <f>'DRE NOVAS PARCERIAS CAIXA'!W186</f>
        <v>0</v>
      </c>
      <c r="X63" s="1">
        <f>'DRE NOVAS PARCERIAS CAIXA'!X186</f>
        <v>0</v>
      </c>
      <c r="Y63" s="1">
        <f>'DRE NOVAS PARCERIAS CAIXA'!Y186</f>
        <v>0</v>
      </c>
      <c r="Z63" s="1">
        <f>'DRE NOVAS PARCERIAS CAIXA'!Z186</f>
        <v>0</v>
      </c>
      <c r="AA63" s="1">
        <f>'DRE NOVAS PARCERIAS CAIXA'!AA186</f>
        <v>0</v>
      </c>
      <c r="AB63" s="1">
        <f>'DRE NOVAS PARCERIAS CAIXA'!AB186</f>
        <v>0</v>
      </c>
      <c r="AC63" s="1">
        <f>'DRE NOVAS PARCERIAS CAIXA'!AC186</f>
        <v>0</v>
      </c>
      <c r="AD63" s="1">
        <f>'DRE NOVAS PARCERIAS CAIXA'!AD186</f>
        <v>0</v>
      </c>
      <c r="AE63" s="1">
        <f>'DRE NOVAS PARCERIAS CAIXA'!AE186</f>
        <v>0</v>
      </c>
      <c r="AF63" s="1">
        <f>'DRE NOVAS PARCERIAS CAIXA'!AF186</f>
        <v>0</v>
      </c>
      <c r="AG63" s="1">
        <f>'DRE NOVAS PARCERIAS CAIXA'!AG186</f>
        <v>2818</v>
      </c>
      <c r="AH63" s="1">
        <f>'DRE NOVAS PARCERIAS CAIXA'!AH186</f>
        <v>2382</v>
      </c>
      <c r="AI63" s="1">
        <f>'DRE NOVAS PARCERIAS CAIXA'!AI186</f>
        <v>1716</v>
      </c>
      <c r="AJ63" s="1">
        <f>'DRE NOVAS PARCERIAS CAIXA'!AJ186</f>
        <v>2399</v>
      </c>
      <c r="AK63" s="1">
        <f>'DRE NOVAS PARCERIAS CAIXA'!AK186</f>
        <v>9315</v>
      </c>
      <c r="AL63" s="1">
        <f>'DRE NOVAS PARCERIAS CAIXA'!AL186</f>
        <v>2756</v>
      </c>
      <c r="AM63" s="1">
        <f>'DRE NOVAS PARCERIAS CAIXA'!AM186</f>
        <v>2920</v>
      </c>
      <c r="AN63" s="1">
        <f>'DRE NOVAS PARCERIAS CAIXA'!AN186</f>
        <v>4247</v>
      </c>
      <c r="AO63" s="1">
        <f>'DRE NOVAS PARCERIAS CAIXA'!AO186</f>
        <v>4562</v>
      </c>
      <c r="AP63" s="1">
        <f>'DRE NOVAS PARCERIAS CAIXA'!AP186</f>
        <v>14485</v>
      </c>
      <c r="AQ63" s="1">
        <f>'DRE NOVAS PARCERIAS CAIXA'!AQ186</f>
        <v>5138</v>
      </c>
      <c r="AR63" s="1">
        <f>'DRE NOVAS PARCERIAS CAIXA'!AR186</f>
        <v>5664</v>
      </c>
      <c r="AS63" s="1">
        <f>'DRE NOVAS PARCERIAS CAIXA'!AS186</f>
        <v>6750</v>
      </c>
      <c r="AT63" s="1">
        <f>'DRE NOVAS PARCERIAS CAIXA'!AT186</f>
        <v>6863</v>
      </c>
      <c r="AU63" s="1">
        <f>'DRE NOVAS PARCERIAS CAIXA'!AU186</f>
        <v>24415</v>
      </c>
      <c r="AV63" s="1">
        <f>'DRE NOVAS PARCERIAS CAIXA'!AV186</f>
        <v>7514</v>
      </c>
      <c r="AW63" s="1">
        <f>'DRE NOVAS PARCERIAS CAIXA'!AW186</f>
        <v>10213</v>
      </c>
      <c r="AX63" s="1">
        <f>'DRE NOVAS PARCERIAS CAIXA'!AX186</f>
        <v>11098</v>
      </c>
      <c r="AY63" s="1">
        <f>'DRE NOVAS PARCERIAS CAIXA'!AY186</f>
        <v>13628</v>
      </c>
      <c r="AZ63" s="1">
        <f>'DRE NOVAS PARCERIAS CAIXA'!AZ186</f>
        <v>42453</v>
      </c>
      <c r="BA63" s="1">
        <f>'DRE NOVAS PARCERIAS CAIXA'!BA186</f>
        <v>10171</v>
      </c>
      <c r="BB63" s="771"/>
    </row>
    <row r="64" spans="1:54">
      <c r="B64" t="str">
        <f t="shared" si="34"/>
        <v>XS6 Assistência</v>
      </c>
      <c r="C64" s="1">
        <f>'DRE NOVAS PARCERIAS CAIXA'!C211</f>
        <v>0</v>
      </c>
      <c r="D64" s="1">
        <f>'DRE NOVAS PARCERIAS CAIXA'!D211</f>
        <v>0</v>
      </c>
      <c r="E64" s="1">
        <f>'DRE NOVAS PARCERIAS CAIXA'!E211</f>
        <v>0</v>
      </c>
      <c r="F64" s="1">
        <f>'DRE NOVAS PARCERIAS CAIXA'!F211</f>
        <v>0</v>
      </c>
      <c r="G64" s="1">
        <f>'DRE NOVAS PARCERIAS CAIXA'!G211</f>
        <v>0</v>
      </c>
      <c r="H64" s="1">
        <f>'DRE NOVAS PARCERIAS CAIXA'!H211</f>
        <v>0</v>
      </c>
      <c r="I64" s="1">
        <f>'DRE NOVAS PARCERIAS CAIXA'!I211</f>
        <v>0</v>
      </c>
      <c r="J64" s="1">
        <f>'DRE NOVAS PARCERIAS CAIXA'!J211</f>
        <v>0</v>
      </c>
      <c r="K64" s="1">
        <f>'DRE NOVAS PARCERIAS CAIXA'!K211</f>
        <v>0</v>
      </c>
      <c r="L64" s="1">
        <f>'DRE NOVAS PARCERIAS CAIXA'!L211</f>
        <v>0</v>
      </c>
      <c r="M64" s="1">
        <f>'DRE NOVAS PARCERIAS CAIXA'!M211</f>
        <v>0</v>
      </c>
      <c r="N64" s="1">
        <f>'DRE NOVAS PARCERIAS CAIXA'!N211</f>
        <v>0</v>
      </c>
      <c r="O64" s="1">
        <f>'DRE NOVAS PARCERIAS CAIXA'!O211</f>
        <v>0</v>
      </c>
      <c r="P64" s="1">
        <f>'DRE NOVAS PARCERIAS CAIXA'!P211</f>
        <v>0</v>
      </c>
      <c r="Q64" s="1">
        <f>'DRE NOVAS PARCERIAS CAIXA'!Q211</f>
        <v>0</v>
      </c>
      <c r="R64" s="1">
        <f>'DRE NOVAS PARCERIAS CAIXA'!R211</f>
        <v>0</v>
      </c>
      <c r="S64" s="1">
        <f>'DRE NOVAS PARCERIAS CAIXA'!S211</f>
        <v>0</v>
      </c>
      <c r="T64" s="1">
        <f>'DRE NOVAS PARCERIAS CAIXA'!T211</f>
        <v>0</v>
      </c>
      <c r="U64" s="1">
        <f>'DRE NOVAS PARCERIAS CAIXA'!U211</f>
        <v>0</v>
      </c>
      <c r="V64" s="1">
        <f>'DRE NOVAS PARCERIAS CAIXA'!V211</f>
        <v>0</v>
      </c>
      <c r="W64" s="1">
        <f>'DRE NOVAS PARCERIAS CAIXA'!W211</f>
        <v>0</v>
      </c>
      <c r="X64" s="1">
        <f>'DRE NOVAS PARCERIAS CAIXA'!X211</f>
        <v>0</v>
      </c>
      <c r="Y64" s="1">
        <f>'DRE NOVAS PARCERIAS CAIXA'!Y211</f>
        <v>0</v>
      </c>
      <c r="Z64" s="1">
        <f>'DRE NOVAS PARCERIAS CAIXA'!Z211</f>
        <v>56</v>
      </c>
      <c r="AA64" s="1">
        <f>'DRE NOVAS PARCERIAS CAIXA'!AA211</f>
        <v>56</v>
      </c>
      <c r="AB64" s="1">
        <f>'DRE NOVAS PARCERIAS CAIXA'!AB211</f>
        <v>51.58728</v>
      </c>
      <c r="AC64" s="1">
        <f>'DRE NOVAS PARCERIAS CAIXA'!AC211</f>
        <v>175.74972</v>
      </c>
      <c r="AD64" s="1">
        <f>'DRE NOVAS PARCERIAS CAIXA'!AD211</f>
        <v>34.663000000000011</v>
      </c>
      <c r="AE64" s="1">
        <f>'DRE NOVAS PARCERIAS CAIXA'!AE211</f>
        <v>-4</v>
      </c>
      <c r="AF64" s="1">
        <f>'DRE NOVAS PARCERIAS CAIXA'!AF211</f>
        <v>258</v>
      </c>
      <c r="AG64" s="1">
        <f>'DRE NOVAS PARCERIAS CAIXA'!AG211</f>
        <v>-102</v>
      </c>
      <c r="AH64" s="1">
        <f>'DRE NOVAS PARCERIAS CAIXA'!AH211</f>
        <v>-60</v>
      </c>
      <c r="AI64" s="1">
        <f>'DRE NOVAS PARCERIAS CAIXA'!AI211</f>
        <v>375</v>
      </c>
      <c r="AJ64" s="1">
        <f>'DRE NOVAS PARCERIAS CAIXA'!AJ211</f>
        <v>1862</v>
      </c>
      <c r="AK64" s="1">
        <f>'DRE NOVAS PARCERIAS CAIXA'!AK211</f>
        <v>2075</v>
      </c>
      <c r="AL64" s="1">
        <f>'DRE NOVAS PARCERIAS CAIXA'!AL211</f>
        <v>1109</v>
      </c>
      <c r="AM64" s="1">
        <f>'DRE NOVAS PARCERIAS CAIXA'!AM211</f>
        <v>1363</v>
      </c>
      <c r="AN64" s="1">
        <f>'DRE NOVAS PARCERIAS CAIXA'!AN211</f>
        <v>1589</v>
      </c>
      <c r="AO64" s="1">
        <f>'DRE NOVAS PARCERIAS CAIXA'!AO211</f>
        <v>1544</v>
      </c>
      <c r="AP64" s="1">
        <f>'DRE NOVAS PARCERIAS CAIXA'!AP211</f>
        <v>5605</v>
      </c>
      <c r="AQ64" s="1">
        <f>'DRE NOVAS PARCERIAS CAIXA'!AQ211</f>
        <v>1383</v>
      </c>
      <c r="AR64" s="1">
        <f>'DRE NOVAS PARCERIAS CAIXA'!AR211</f>
        <v>1656</v>
      </c>
      <c r="AS64" s="1">
        <f>'DRE NOVAS PARCERIAS CAIXA'!AS211</f>
        <v>2063</v>
      </c>
      <c r="AT64" s="1">
        <f>'DRE NOVAS PARCERIAS CAIXA'!AT211</f>
        <v>2461</v>
      </c>
      <c r="AU64" s="1">
        <f>'DRE NOVAS PARCERIAS CAIXA'!AU211</f>
        <v>7563</v>
      </c>
      <c r="AV64" s="1">
        <f>'DRE NOVAS PARCERIAS CAIXA'!AV211</f>
        <v>3129</v>
      </c>
      <c r="AW64" s="1">
        <f>'DRE NOVAS PARCERIAS CAIXA'!AW211</f>
        <v>3982</v>
      </c>
      <c r="AX64" s="1">
        <f>'DRE NOVAS PARCERIAS CAIXA'!AX211</f>
        <v>5010</v>
      </c>
      <c r="AY64" s="1">
        <f>'DRE NOVAS PARCERIAS CAIXA'!AY211</f>
        <v>5037</v>
      </c>
      <c r="AZ64" s="1">
        <f>'DRE NOVAS PARCERIAS CAIXA'!AZ211</f>
        <v>17158</v>
      </c>
      <c r="BA64" s="1">
        <f>'DRE NOVAS PARCERIAS CAIXA'!BA211</f>
        <v>5615</v>
      </c>
      <c r="BB64" s="771"/>
    </row>
    <row r="65" spans="1:59" s="100" customFormat="1">
      <c r="A65" s="9"/>
      <c r="B65" s="9" t="str">
        <f t="shared" si="34"/>
        <v>Parcerias Banco PAN</v>
      </c>
      <c r="C65" s="160">
        <f t="shared" ref="C65:AV65" si="35">SUM(C66:C67)</f>
        <v>17999</v>
      </c>
      <c r="D65" s="160">
        <f t="shared" si="35"/>
        <v>15542</v>
      </c>
      <c r="E65" s="160">
        <f t="shared" si="35"/>
        <v>16723</v>
      </c>
      <c r="F65" s="160">
        <f t="shared" si="35"/>
        <v>8097</v>
      </c>
      <c r="G65" s="160">
        <f t="shared" si="35"/>
        <v>58361</v>
      </c>
      <c r="H65" s="160">
        <f t="shared" si="35"/>
        <v>17954.89662</v>
      </c>
      <c r="I65" s="160">
        <f t="shared" si="35"/>
        <v>18013.635249999999</v>
      </c>
      <c r="J65" s="160">
        <f t="shared" si="35"/>
        <v>17602.49626</v>
      </c>
      <c r="K65" s="160">
        <f t="shared" si="35"/>
        <v>14119.95861</v>
      </c>
      <c r="L65" s="160">
        <f t="shared" si="35"/>
        <v>67690.986739999993</v>
      </c>
      <c r="M65" s="160">
        <f t="shared" si="35"/>
        <v>16062.434219999999</v>
      </c>
      <c r="N65" s="160">
        <f t="shared" si="35"/>
        <v>7431.5638099999996</v>
      </c>
      <c r="O65" s="160">
        <f t="shared" si="35"/>
        <v>9942.4466499999999</v>
      </c>
      <c r="P65" s="160">
        <f t="shared" si="35"/>
        <v>14178.31364</v>
      </c>
      <c r="Q65" s="160">
        <f t="shared" si="35"/>
        <v>47614.758320000001</v>
      </c>
      <c r="R65" s="160">
        <f t="shared" si="35"/>
        <v>12958.774520000001</v>
      </c>
      <c r="S65" s="160">
        <f t="shared" si="35"/>
        <v>12782.454229999999</v>
      </c>
      <c r="T65" s="160">
        <f t="shared" si="35"/>
        <v>12328.77125</v>
      </c>
      <c r="U65" s="160">
        <f t="shared" si="35"/>
        <v>10052.326849999999</v>
      </c>
      <c r="V65" s="160">
        <f t="shared" si="35"/>
        <v>48122.326849999998</v>
      </c>
      <c r="W65" s="160">
        <f t="shared" si="35"/>
        <v>-9616</v>
      </c>
      <c r="X65" s="160">
        <f t="shared" si="35"/>
        <v>8615.5306600000004</v>
      </c>
      <c r="Y65" s="160">
        <f t="shared" si="35"/>
        <v>6707</v>
      </c>
      <c r="Z65" s="160">
        <f t="shared" si="35"/>
        <v>14420</v>
      </c>
      <c r="AA65" s="160">
        <f t="shared" si="35"/>
        <v>20126.53066</v>
      </c>
      <c r="AB65" s="160">
        <f t="shared" si="35"/>
        <v>6276</v>
      </c>
      <c r="AC65" s="160">
        <f t="shared" si="35"/>
        <v>11081</v>
      </c>
      <c r="AD65" s="160">
        <f t="shared" si="35"/>
        <v>4780.2516299999997</v>
      </c>
      <c r="AE65" s="160">
        <f t="shared" si="35"/>
        <v>13053</v>
      </c>
      <c r="AF65" s="160">
        <f t="shared" si="35"/>
        <v>35190.251629999999</v>
      </c>
      <c r="AG65" s="160">
        <f t="shared" si="35"/>
        <v>26171</v>
      </c>
      <c r="AH65" s="160">
        <f t="shared" si="35"/>
        <v>26748</v>
      </c>
      <c r="AI65" s="160">
        <f t="shared" si="35"/>
        <v>36169</v>
      </c>
      <c r="AJ65" s="160">
        <f t="shared" si="35"/>
        <v>41628</v>
      </c>
      <c r="AK65" s="160">
        <f t="shared" si="35"/>
        <v>130716</v>
      </c>
      <c r="AL65" s="160">
        <f t="shared" si="35"/>
        <v>40068</v>
      </c>
      <c r="AM65" s="160">
        <f t="shared" si="35"/>
        <v>43750</v>
      </c>
      <c r="AN65" s="160">
        <f t="shared" si="35"/>
        <v>53773</v>
      </c>
      <c r="AO65" s="160">
        <f t="shared" si="35"/>
        <v>48848.008999999998</v>
      </c>
      <c r="AP65" s="160">
        <f t="shared" si="35"/>
        <v>186439.00899999999</v>
      </c>
      <c r="AQ65" s="160">
        <f t="shared" si="35"/>
        <v>45873.45</v>
      </c>
      <c r="AR65" s="160">
        <f t="shared" si="35"/>
        <v>49173</v>
      </c>
      <c r="AS65" s="160">
        <f t="shared" si="35"/>
        <v>51420.553</v>
      </c>
      <c r="AT65" s="160">
        <f t="shared" si="35"/>
        <v>54793.239000000001</v>
      </c>
      <c r="AU65" s="160">
        <f t="shared" si="35"/>
        <v>201260.242</v>
      </c>
      <c r="AV65" s="160">
        <f t="shared" si="35"/>
        <v>54074</v>
      </c>
      <c r="AW65" s="160">
        <f>SUM(AW66:AW67)</f>
        <v>60442</v>
      </c>
      <c r="AX65" s="160">
        <f>SUM(AX66:AX67)</f>
        <v>72458</v>
      </c>
      <c r="AY65" s="160">
        <f>SUM(AY66:AY67)</f>
        <v>64281</v>
      </c>
      <c r="AZ65" s="160">
        <f>SUM(AZ66:AZ67)</f>
        <v>251255</v>
      </c>
      <c r="BA65" s="160">
        <f t="shared" ref="BA65" si="36">SUM(BA66:BA67)</f>
        <v>65450.764000000003</v>
      </c>
      <c r="BB65" s="771"/>
    </row>
    <row r="66" spans="1:59">
      <c r="B66" t="str">
        <f t="shared" si="34"/>
        <v>Too Seguros</v>
      </c>
      <c r="C66" s="1">
        <f>'DRE PARCERIAS BANCO PAN'!C19</f>
        <v>17282</v>
      </c>
      <c r="D66" s="1">
        <f>'DRE PARCERIAS BANCO PAN'!D19</f>
        <v>14870</v>
      </c>
      <c r="E66" s="1">
        <f>'DRE PARCERIAS BANCO PAN'!E19</f>
        <v>15863</v>
      </c>
      <c r="F66" s="1">
        <f>'DRE PARCERIAS BANCO PAN'!F19</f>
        <v>7135</v>
      </c>
      <c r="G66" s="1">
        <f>'DRE PARCERIAS BANCO PAN'!G19</f>
        <v>55150</v>
      </c>
      <c r="H66" s="1">
        <f>'DRE PARCERIAS BANCO PAN'!H19</f>
        <v>16948</v>
      </c>
      <c r="I66" s="1">
        <f>'DRE PARCERIAS BANCO PAN'!I19</f>
        <v>16970</v>
      </c>
      <c r="J66" s="1">
        <f>'DRE PARCERIAS BANCO PAN'!J19</f>
        <v>16449</v>
      </c>
      <c r="K66" s="1">
        <f>'DRE PARCERIAS BANCO PAN'!K19</f>
        <v>13605</v>
      </c>
      <c r="L66" s="1">
        <f>'DRE PARCERIAS BANCO PAN'!L19</f>
        <v>63972</v>
      </c>
      <c r="M66" s="1">
        <f>'DRE PARCERIAS BANCO PAN'!M19</f>
        <v>15686</v>
      </c>
      <c r="N66" s="1">
        <f>'DRE PARCERIAS BANCO PAN'!N19</f>
        <v>7167</v>
      </c>
      <c r="O66" s="1">
        <f>'DRE PARCERIAS BANCO PAN'!O19</f>
        <v>9685</v>
      </c>
      <c r="P66" s="1">
        <f>'DRE PARCERIAS BANCO PAN'!P19</f>
        <v>13940</v>
      </c>
      <c r="Q66" s="1">
        <f>'DRE PARCERIAS BANCO PAN'!Q19</f>
        <v>46478</v>
      </c>
      <c r="R66" s="1">
        <f>'DRE PARCERIAS BANCO PAN'!R19</f>
        <v>12711</v>
      </c>
      <c r="S66" s="1">
        <f>'DRE PARCERIAS BANCO PAN'!S19</f>
        <v>12591</v>
      </c>
      <c r="T66" s="1">
        <f>'DRE PARCERIAS BANCO PAN'!T19</f>
        <v>11904</v>
      </c>
      <c r="U66" s="1">
        <f>'DRE PARCERIAS BANCO PAN'!U19</f>
        <v>9794</v>
      </c>
      <c r="V66" s="1">
        <f>'DRE PARCERIAS BANCO PAN'!V19</f>
        <v>47000</v>
      </c>
      <c r="W66" s="1">
        <f>'DRE PARCERIAS BANCO PAN'!W19</f>
        <v>-9729</v>
      </c>
      <c r="X66" s="1">
        <f>'DRE PARCERIAS BANCO PAN'!X19</f>
        <v>8519</v>
      </c>
      <c r="Y66" s="1">
        <f>'DRE PARCERIAS BANCO PAN'!Y19</f>
        <v>6525</v>
      </c>
      <c r="Z66" s="1">
        <f>'DRE PARCERIAS BANCO PAN'!Z19</f>
        <v>8143</v>
      </c>
      <c r="AA66" s="1">
        <f>'DRE PARCERIAS BANCO PAN'!AA19</f>
        <v>13458</v>
      </c>
      <c r="AB66" s="1">
        <f>'DRE PARCERIAS BANCO PAN'!AB19</f>
        <v>6002</v>
      </c>
      <c r="AC66" s="1">
        <f>'DRE PARCERIAS BANCO PAN'!AC19</f>
        <v>10599</v>
      </c>
      <c r="AD66" s="1">
        <f>'DRE PARCERIAS BANCO PAN'!AD19</f>
        <v>4019</v>
      </c>
      <c r="AE66" s="1">
        <f>'DRE PARCERIAS BANCO PAN'!AE19</f>
        <v>11778</v>
      </c>
      <c r="AF66" s="1">
        <f>'DRE PARCERIAS BANCO PAN'!AF19</f>
        <v>32398</v>
      </c>
      <c r="AG66" s="1">
        <f>'DRE PARCERIAS BANCO PAN'!AG19</f>
        <v>24800</v>
      </c>
      <c r="AH66" s="1">
        <f>'DRE PARCERIAS BANCO PAN'!AH19</f>
        <v>25438</v>
      </c>
      <c r="AI66" s="1">
        <f>'DRE PARCERIAS BANCO PAN'!AI19</f>
        <v>34234</v>
      </c>
      <c r="AJ66" s="1">
        <f>'DRE PARCERIAS BANCO PAN'!AJ19</f>
        <v>39398</v>
      </c>
      <c r="AK66" s="1">
        <f>'DRE PARCERIAS BANCO PAN'!AK19</f>
        <v>123870</v>
      </c>
      <c r="AL66" s="1">
        <f>'DRE PARCERIAS BANCO PAN'!AL19</f>
        <v>37992</v>
      </c>
      <c r="AM66" s="1">
        <f>'DRE PARCERIAS BANCO PAN'!AM19</f>
        <v>42196</v>
      </c>
      <c r="AN66" s="1">
        <f>'DRE PARCERIAS BANCO PAN'!AN19</f>
        <v>51802</v>
      </c>
      <c r="AO66" s="1">
        <f>'DRE PARCERIAS BANCO PAN'!AO19</f>
        <v>46225</v>
      </c>
      <c r="AP66" s="1">
        <f>'DRE PARCERIAS BANCO PAN'!AP19</f>
        <v>178215</v>
      </c>
      <c r="AQ66" s="1">
        <f>'DRE PARCERIAS BANCO PAN'!AQ19</f>
        <v>43817</v>
      </c>
      <c r="AR66" s="1">
        <f>'DRE PARCERIAS BANCO PAN'!AR19</f>
        <v>47208</v>
      </c>
      <c r="AS66" s="1">
        <f>'DRE PARCERIAS BANCO PAN'!AS19</f>
        <v>49217</v>
      </c>
      <c r="AT66" s="1">
        <f>'DRE PARCERIAS BANCO PAN'!AT19</f>
        <v>52398</v>
      </c>
      <c r="AU66" s="1">
        <f>'DRE PARCERIAS BANCO PAN'!AU19</f>
        <v>192640</v>
      </c>
      <c r="AV66" s="1">
        <f>'DRE PARCERIAS BANCO PAN'!AV19</f>
        <v>52532</v>
      </c>
      <c r="AW66" s="1">
        <f>'DRE PARCERIAS BANCO PAN'!AW19</f>
        <v>59669</v>
      </c>
      <c r="AX66" s="1">
        <f>'DRE PARCERIAS BANCO PAN'!AX19</f>
        <v>71267</v>
      </c>
      <c r="AY66" s="1">
        <f>'DRE PARCERIAS BANCO PAN'!AY19</f>
        <v>62627</v>
      </c>
      <c r="AZ66" s="1">
        <f>'DRE PARCERIAS BANCO PAN'!AZ19</f>
        <v>246095</v>
      </c>
      <c r="BA66" s="1">
        <f>'DRE PARCERIAS BANCO PAN'!BA19</f>
        <v>63354</v>
      </c>
      <c r="BB66" s="771"/>
    </row>
    <row r="67" spans="1:59">
      <c r="B67" t="str">
        <f t="shared" si="34"/>
        <v>PAN Corretora</v>
      </c>
      <c r="C67" s="1">
        <f>'DRE PARCERIAS BANCO PAN'!C36</f>
        <v>717</v>
      </c>
      <c r="D67" s="1">
        <f>'DRE PARCERIAS BANCO PAN'!D36</f>
        <v>672</v>
      </c>
      <c r="E67" s="1">
        <f>'DRE PARCERIAS BANCO PAN'!E36</f>
        <v>860</v>
      </c>
      <c r="F67" s="1">
        <f>'DRE PARCERIAS BANCO PAN'!F36</f>
        <v>962</v>
      </c>
      <c r="G67" s="1">
        <f>'DRE PARCERIAS BANCO PAN'!G36</f>
        <v>3211</v>
      </c>
      <c r="H67" s="1">
        <f>'DRE PARCERIAS BANCO PAN'!H36</f>
        <v>1006.8966199999999</v>
      </c>
      <c r="I67" s="1">
        <f>'DRE PARCERIAS BANCO PAN'!I36</f>
        <v>1043.6352499999998</v>
      </c>
      <c r="J67" s="1">
        <f>'DRE PARCERIAS BANCO PAN'!J36</f>
        <v>1153.4962600000003</v>
      </c>
      <c r="K67" s="1">
        <f>'DRE PARCERIAS BANCO PAN'!K36</f>
        <v>514.95861000000014</v>
      </c>
      <c r="L67" s="1">
        <f>'DRE PARCERIAS BANCO PAN'!L36</f>
        <v>3718.9867400000003</v>
      </c>
      <c r="M67" s="1">
        <f>'DRE PARCERIAS BANCO PAN'!M36</f>
        <v>376.43422000000004</v>
      </c>
      <c r="N67" s="1">
        <f>'DRE PARCERIAS BANCO PAN'!N36</f>
        <v>264.56380999999993</v>
      </c>
      <c r="O67" s="1">
        <f>'DRE PARCERIAS BANCO PAN'!O36</f>
        <v>257.44665000000009</v>
      </c>
      <c r="P67" s="1">
        <f>'DRE PARCERIAS BANCO PAN'!P36</f>
        <v>238.31364000000031</v>
      </c>
      <c r="Q67" s="1">
        <f>'DRE PARCERIAS BANCO PAN'!Q36</f>
        <v>1136.7583200000004</v>
      </c>
      <c r="R67" s="1">
        <f>'DRE PARCERIAS BANCO PAN'!R36</f>
        <v>247.77452</v>
      </c>
      <c r="S67" s="1">
        <f>'DRE PARCERIAS BANCO PAN'!S36</f>
        <v>191.45423</v>
      </c>
      <c r="T67" s="1">
        <f>'DRE PARCERIAS BANCO PAN'!T36</f>
        <v>424.77125000000001</v>
      </c>
      <c r="U67" s="1">
        <f>'DRE PARCERIAS BANCO PAN'!U36</f>
        <v>258.32684999999969</v>
      </c>
      <c r="V67" s="1">
        <f>'DRE PARCERIAS BANCO PAN'!V36</f>
        <v>1122.3268499999997</v>
      </c>
      <c r="W67" s="1">
        <f>'DRE PARCERIAS BANCO PAN'!W36</f>
        <v>113</v>
      </c>
      <c r="X67" s="1">
        <f>'DRE PARCERIAS BANCO PAN'!X36</f>
        <v>96.530659999999983</v>
      </c>
      <c r="Y67" s="1">
        <f>'DRE PARCERIAS BANCO PAN'!Y36</f>
        <v>182</v>
      </c>
      <c r="Z67" s="1">
        <f>'DRE PARCERIAS BANCO PAN'!Z36</f>
        <v>6277</v>
      </c>
      <c r="AA67" s="1">
        <f>'DRE PARCERIAS BANCO PAN'!AA36</f>
        <v>6668.5306600000004</v>
      </c>
      <c r="AB67" s="1">
        <f>'DRE PARCERIAS BANCO PAN'!AB36</f>
        <v>274</v>
      </c>
      <c r="AC67" s="1">
        <f>'DRE PARCERIAS BANCO PAN'!AC36</f>
        <v>482</v>
      </c>
      <c r="AD67" s="1">
        <f>'DRE PARCERIAS BANCO PAN'!AD36</f>
        <v>761.25163000000009</v>
      </c>
      <c r="AE67" s="1">
        <f>'DRE PARCERIAS BANCO PAN'!AE36</f>
        <v>1275</v>
      </c>
      <c r="AF67" s="1">
        <f>'DRE PARCERIAS BANCO PAN'!AF36</f>
        <v>2792.2516300000002</v>
      </c>
      <c r="AG67" s="1">
        <f>'DRE PARCERIAS BANCO PAN'!AG36</f>
        <v>1371</v>
      </c>
      <c r="AH67" s="1">
        <f>'DRE PARCERIAS BANCO PAN'!AH36</f>
        <v>1310</v>
      </c>
      <c r="AI67" s="1">
        <f>'DRE PARCERIAS BANCO PAN'!AI36</f>
        <v>1935</v>
      </c>
      <c r="AJ67" s="1">
        <f>'DRE PARCERIAS BANCO PAN'!AJ36</f>
        <v>2230</v>
      </c>
      <c r="AK67" s="1">
        <f>'DRE PARCERIAS BANCO PAN'!AK36</f>
        <v>6846</v>
      </c>
      <c r="AL67" s="1">
        <f>'DRE PARCERIAS BANCO PAN'!AL36</f>
        <v>2076</v>
      </c>
      <c r="AM67" s="1">
        <f>'DRE PARCERIAS BANCO PAN'!AM36</f>
        <v>1554</v>
      </c>
      <c r="AN67" s="1">
        <f>'DRE PARCERIAS BANCO PAN'!AN36</f>
        <v>1971</v>
      </c>
      <c r="AO67" s="1">
        <f>'DRE PARCERIAS BANCO PAN'!AO36</f>
        <v>2623.009</v>
      </c>
      <c r="AP67" s="1">
        <f>'DRE PARCERIAS BANCO PAN'!AP36</f>
        <v>8224.009</v>
      </c>
      <c r="AQ67" s="1">
        <f>'DRE PARCERIAS BANCO PAN'!AQ36</f>
        <v>2056.4499999999998</v>
      </c>
      <c r="AR67" s="1">
        <f>'DRE PARCERIAS BANCO PAN'!AR36</f>
        <v>1965</v>
      </c>
      <c r="AS67" s="1">
        <f>'DRE PARCERIAS BANCO PAN'!AS36</f>
        <v>2203.5529999999999</v>
      </c>
      <c r="AT67" s="1">
        <f>'DRE PARCERIAS BANCO PAN'!AT36</f>
        <v>2395.2390000000005</v>
      </c>
      <c r="AU67" s="1">
        <f>'DRE PARCERIAS BANCO PAN'!AU36</f>
        <v>8620.2420000000002</v>
      </c>
      <c r="AV67" s="1">
        <f>'DRE PARCERIAS BANCO PAN'!AV36</f>
        <v>1542</v>
      </c>
      <c r="AW67" s="1">
        <f>'DRE PARCERIAS BANCO PAN'!AW36</f>
        <v>773</v>
      </c>
      <c r="AX67" s="1">
        <f>'DRE PARCERIAS BANCO PAN'!AX36</f>
        <v>1191</v>
      </c>
      <c r="AY67" s="1">
        <f>'DRE PARCERIAS BANCO PAN'!AY36</f>
        <v>1654</v>
      </c>
      <c r="AZ67" s="1">
        <f>'DRE PARCERIAS BANCO PAN'!AZ36</f>
        <v>5160</v>
      </c>
      <c r="BA67" s="1">
        <f>'DRE PARCERIAS BANCO PAN'!BA36</f>
        <v>2096.7640000000001</v>
      </c>
      <c r="BB67" s="771"/>
    </row>
    <row r="68" spans="1:59" s="100" customFormat="1">
      <c r="A68" s="9"/>
      <c r="B68" s="9" t="str">
        <f t="shared" si="34"/>
        <v>Holding + Corretora</v>
      </c>
      <c r="C68" s="76">
        <f t="shared" ref="C68:AV68" si="37">SUM(C69:C71)</f>
        <v>-1418</v>
      </c>
      <c r="D68" s="76">
        <f t="shared" si="37"/>
        <v>2676</v>
      </c>
      <c r="E68" s="76">
        <f t="shared" si="37"/>
        <v>5838.2842000000046</v>
      </c>
      <c r="F68" s="76">
        <f t="shared" si="37"/>
        <v>7007.7157999999954</v>
      </c>
      <c r="G68" s="76">
        <f t="shared" si="37"/>
        <v>14104</v>
      </c>
      <c r="H68" s="76">
        <f t="shared" si="37"/>
        <v>4216.8194699999985</v>
      </c>
      <c r="I68" s="76">
        <f t="shared" si="37"/>
        <v>7007.4345200000016</v>
      </c>
      <c r="J68" s="76">
        <f t="shared" si="37"/>
        <v>6577.1029199999975</v>
      </c>
      <c r="K68" s="76">
        <f t="shared" si="37"/>
        <v>6446.7443500000008</v>
      </c>
      <c r="L68" s="76">
        <f t="shared" si="37"/>
        <v>24248.101259999999</v>
      </c>
      <c r="M68" s="76">
        <f t="shared" si="37"/>
        <v>2734.3223500000004</v>
      </c>
      <c r="N68" s="76">
        <f t="shared" si="37"/>
        <v>6629.0339199999999</v>
      </c>
      <c r="O68" s="76">
        <f t="shared" si="37"/>
        <v>6871.9531700000007</v>
      </c>
      <c r="P68" s="76">
        <f t="shared" si="37"/>
        <v>7660.0473200000015</v>
      </c>
      <c r="Q68" s="76">
        <f t="shared" si="37"/>
        <v>23895.356760000002</v>
      </c>
      <c r="R68" s="76">
        <f t="shared" si="37"/>
        <v>4140</v>
      </c>
      <c r="S68" s="76">
        <f t="shared" si="37"/>
        <v>13238</v>
      </c>
      <c r="T68" s="76">
        <f t="shared" si="37"/>
        <v>12216</v>
      </c>
      <c r="U68" s="76">
        <f t="shared" si="37"/>
        <v>5349.4627</v>
      </c>
      <c r="V68" s="76">
        <f t="shared" si="37"/>
        <v>34943.462700000004</v>
      </c>
      <c r="W68" s="76">
        <f t="shared" si="37"/>
        <v>4647</v>
      </c>
      <c r="X68" s="76">
        <f t="shared" si="37"/>
        <v>5912</v>
      </c>
      <c r="Y68" s="76">
        <f t="shared" si="37"/>
        <v>3792</v>
      </c>
      <c r="Z68" s="76">
        <f t="shared" si="37"/>
        <v>5991</v>
      </c>
      <c r="AA68" s="76">
        <f t="shared" si="37"/>
        <v>20342</v>
      </c>
      <c r="AB68" s="76">
        <f t="shared" si="37"/>
        <v>-180</v>
      </c>
      <c r="AC68" s="76">
        <f t="shared" si="37"/>
        <v>2445.7324400000002</v>
      </c>
      <c r="AD68" s="76">
        <f t="shared" si="37"/>
        <v>5010.3281799999995</v>
      </c>
      <c r="AE68" s="76">
        <f t="shared" si="37"/>
        <v>3296.5590000000002</v>
      </c>
      <c r="AF68" s="76">
        <f t="shared" si="37"/>
        <v>10572.619619999999</v>
      </c>
      <c r="AG68" s="76">
        <f t="shared" si="37"/>
        <v>14033</v>
      </c>
      <c r="AH68" s="76">
        <f t="shared" si="37"/>
        <v>21274</v>
      </c>
      <c r="AI68" s="76">
        <f t="shared" si="37"/>
        <v>28936</v>
      </c>
      <c r="AJ68" s="76">
        <f t="shared" si="37"/>
        <v>34172</v>
      </c>
      <c r="AK68" s="76">
        <f t="shared" si="37"/>
        <v>98415</v>
      </c>
      <c r="AL68" s="76">
        <f t="shared" si="37"/>
        <v>15190</v>
      </c>
      <c r="AM68" s="76">
        <f t="shared" si="37"/>
        <v>31847</v>
      </c>
      <c r="AN68" s="76">
        <f t="shared" si="37"/>
        <v>31428</v>
      </c>
      <c r="AO68" s="76">
        <f t="shared" si="37"/>
        <v>34934</v>
      </c>
      <c r="AP68" s="76">
        <f t="shared" si="37"/>
        <v>113399</v>
      </c>
      <c r="AQ68" s="76">
        <f t="shared" si="37"/>
        <v>-7470</v>
      </c>
      <c r="AR68" s="76">
        <f t="shared" si="37"/>
        <v>17507</v>
      </c>
      <c r="AS68" s="76">
        <f t="shared" si="37"/>
        <v>28914.450649999999</v>
      </c>
      <c r="AT68" s="76">
        <f t="shared" si="37"/>
        <v>34867.748619999998</v>
      </c>
      <c r="AU68" s="76">
        <f t="shared" si="37"/>
        <v>73819.199269999997</v>
      </c>
      <c r="AV68" s="76">
        <f t="shared" si="37"/>
        <v>28460.373460000003</v>
      </c>
      <c r="AW68" s="76">
        <f>SUM(AW69:AW71)</f>
        <v>45253.123450000006</v>
      </c>
      <c r="AX68" s="76">
        <f>SUM(AX69:AX71)</f>
        <v>50808.528150000013</v>
      </c>
      <c r="AY68" s="76">
        <f>SUM(AY69:AY71)</f>
        <v>56630.061600000001</v>
      </c>
      <c r="AZ68" s="76">
        <f>SUM(AZ69:AZ71)</f>
        <v>181152.08666000003</v>
      </c>
      <c r="BA68" s="76">
        <f t="shared" ref="BA68" si="38">SUM(BA69:BA71)</f>
        <v>28455.010460000005</v>
      </c>
      <c r="BB68" s="771"/>
    </row>
    <row r="69" spans="1:59">
      <c r="B69" t="str">
        <f t="shared" si="34"/>
        <v>BDF</v>
      </c>
      <c r="C69" s="1">
        <f>'DRE NEGÓCIOS DE DISTRIBUIÇÃO'!C9</f>
        <v>0</v>
      </c>
      <c r="D69" s="1">
        <f>'DRE NEGÓCIOS DE DISTRIBUIÇÃO'!D9</f>
        <v>0</v>
      </c>
      <c r="E69" s="1">
        <f>'DRE NEGÓCIOS DE DISTRIBUIÇÃO'!E9</f>
        <v>0</v>
      </c>
      <c r="F69" s="1">
        <f>'DRE NEGÓCIOS DE DISTRIBUIÇÃO'!F9</f>
        <v>0</v>
      </c>
      <c r="G69" s="1">
        <f>'DRE NEGÓCIOS DE DISTRIBUIÇÃO'!G9</f>
        <v>0</v>
      </c>
      <c r="H69" s="1">
        <f>'DRE NEGÓCIOS DE DISTRIBUIÇÃO'!H9</f>
        <v>0</v>
      </c>
      <c r="I69" s="1">
        <f>'DRE NEGÓCIOS DE DISTRIBUIÇÃO'!I9</f>
        <v>0</v>
      </c>
      <c r="J69" s="1">
        <f>'DRE NEGÓCIOS DE DISTRIBUIÇÃO'!J9</f>
        <v>0</v>
      </c>
      <c r="K69" s="1">
        <f>'DRE NEGÓCIOS DE DISTRIBUIÇÃO'!K9</f>
        <v>0</v>
      </c>
      <c r="L69" s="1">
        <f>'DRE NEGÓCIOS DE DISTRIBUIÇÃO'!L9</f>
        <v>0</v>
      </c>
      <c r="M69" s="1">
        <f>'DRE NEGÓCIOS DE DISTRIBUIÇÃO'!M9</f>
        <v>0</v>
      </c>
      <c r="N69" s="1">
        <f>'DRE NEGÓCIOS DE DISTRIBUIÇÃO'!N9</f>
        <v>0</v>
      </c>
      <c r="O69" s="1">
        <f>'DRE NEGÓCIOS DE DISTRIBUIÇÃO'!O9</f>
        <v>0</v>
      </c>
      <c r="P69" s="1">
        <f>'DRE NEGÓCIOS DE DISTRIBUIÇÃO'!P9</f>
        <v>0</v>
      </c>
      <c r="Q69" s="1">
        <f>'DRE NEGÓCIOS DE DISTRIBUIÇÃO'!Q9</f>
        <v>0</v>
      </c>
      <c r="R69" s="1">
        <f>'DRE NEGÓCIOS DE DISTRIBUIÇÃO'!R9</f>
        <v>0</v>
      </c>
      <c r="S69" s="1">
        <f>'DRE NEGÓCIOS DE DISTRIBUIÇÃO'!S9</f>
        <v>0</v>
      </c>
      <c r="T69" s="1">
        <f>'DRE NEGÓCIOS DE DISTRIBUIÇÃO'!T9</f>
        <v>0</v>
      </c>
      <c r="U69" s="1">
        <f>'DRE NEGÓCIOS DE DISTRIBUIÇÃO'!U9</f>
        <v>0</v>
      </c>
      <c r="V69" s="1">
        <f>'DRE NEGÓCIOS DE DISTRIBUIÇÃO'!V9</f>
        <v>0</v>
      </c>
      <c r="W69" s="1">
        <f>'DRE NEGÓCIOS DE DISTRIBUIÇÃO'!W9</f>
        <v>0</v>
      </c>
      <c r="X69" s="1">
        <f>'DRE NEGÓCIOS DE DISTRIBUIÇÃO'!X9</f>
        <v>0</v>
      </c>
      <c r="Y69" s="1">
        <f>'DRE NEGÓCIOS DE DISTRIBUIÇÃO'!Y9</f>
        <v>0</v>
      </c>
      <c r="Z69" s="1">
        <f>'DRE NEGÓCIOS DE DISTRIBUIÇÃO'!Z9</f>
        <v>0</v>
      </c>
      <c r="AA69" s="1">
        <f>'DRE NEGÓCIOS DE DISTRIBUIÇÃO'!AA9</f>
        <v>0</v>
      </c>
      <c r="AB69" s="1">
        <f>'DRE NEGÓCIOS DE DISTRIBUIÇÃO'!AB9</f>
        <v>0</v>
      </c>
      <c r="AC69" s="1">
        <f>'DRE NEGÓCIOS DE DISTRIBUIÇÃO'!AC9</f>
        <v>0</v>
      </c>
      <c r="AD69" s="1">
        <f>'DRE NEGÓCIOS DE DISTRIBUIÇÃO'!AD9</f>
        <v>0</v>
      </c>
      <c r="AE69" s="1">
        <f>'DRE NEGÓCIOS DE DISTRIBUIÇÃO'!AE9</f>
        <v>0</v>
      </c>
      <c r="AF69" s="1">
        <f>'DRE NEGÓCIOS DE DISTRIBUIÇÃO'!AF9</f>
        <v>0</v>
      </c>
      <c r="AG69" s="1">
        <f>'DRE NEGÓCIOS DE DISTRIBUIÇÃO'!AG9</f>
        <v>0</v>
      </c>
      <c r="AH69" s="1">
        <f>'DRE NEGÓCIOS DE DISTRIBUIÇÃO'!AH9</f>
        <v>0</v>
      </c>
      <c r="AI69" s="1">
        <f>'DRE NEGÓCIOS DE DISTRIBUIÇÃO'!AI9</f>
        <v>0</v>
      </c>
      <c r="AJ69" s="1">
        <f>'DRE NEGÓCIOS DE DISTRIBUIÇÃO'!AJ9</f>
        <v>0</v>
      </c>
      <c r="AK69" s="1">
        <f>'DRE NEGÓCIOS DE DISTRIBUIÇÃO'!AK9</f>
        <v>0</v>
      </c>
      <c r="AL69" s="1">
        <f>'DRE NEGÓCIOS DE DISTRIBUIÇÃO'!AL9</f>
        <v>0</v>
      </c>
      <c r="AM69" s="1">
        <f>'DRE NEGÓCIOS DE DISTRIBUIÇÃO'!AM9</f>
        <v>0</v>
      </c>
      <c r="AN69" s="1">
        <f>'DRE NEGÓCIOS DE DISTRIBUIÇÃO'!AN9</f>
        <v>0</v>
      </c>
      <c r="AO69" s="1">
        <f>'DRE NEGÓCIOS DE DISTRIBUIÇÃO'!AO9</f>
        <v>0</v>
      </c>
      <c r="AP69" s="1">
        <f>'DRE NEGÓCIOS DE DISTRIBUIÇÃO'!AP9</f>
        <v>0</v>
      </c>
      <c r="AQ69" s="1">
        <f>'DRE NEGÓCIOS DE DISTRIBUIÇÃO'!AQ9</f>
        <v>0</v>
      </c>
      <c r="AR69" s="1">
        <f>'DRE NEGÓCIOS DE DISTRIBUIÇÃO'!AR9</f>
        <v>0</v>
      </c>
      <c r="AS69" s="1">
        <f>'DRE NEGÓCIOS DE DISTRIBUIÇÃO'!AS9</f>
        <v>0</v>
      </c>
      <c r="AT69" s="1">
        <f>'DRE NEGÓCIOS DE DISTRIBUIÇÃO'!AT9</f>
        <v>0</v>
      </c>
      <c r="AU69" s="1">
        <f>'DRE NEGÓCIOS DE DISTRIBUIÇÃO'!AU9</f>
        <v>0</v>
      </c>
      <c r="AV69" s="1">
        <f>'DRE NEGÓCIOS DE DISTRIBUIÇÃO'!AV9</f>
        <v>0</v>
      </c>
      <c r="AW69" s="1">
        <f>'DRE NEGÓCIOS DE DISTRIBUIÇÃO'!AW9</f>
        <v>0</v>
      </c>
      <c r="AX69" s="1">
        <f>'DRE NEGÓCIOS DE DISTRIBUIÇÃO'!AX9</f>
        <v>0</v>
      </c>
      <c r="AY69" s="1">
        <f>'DRE NEGÓCIOS DE DISTRIBUIÇÃO'!AY9</f>
        <v>0</v>
      </c>
      <c r="AZ69" s="1">
        <f>'DRE NEGÓCIOS DE DISTRIBUIÇÃO'!AZ9</f>
        <v>0</v>
      </c>
      <c r="BA69" s="1">
        <f>'DRE NEGÓCIOS DE DISTRIBUIÇÃO'!BA9</f>
        <v>0</v>
      </c>
      <c r="BB69" s="771"/>
    </row>
    <row r="70" spans="1:59">
      <c r="B70" t="str">
        <f t="shared" si="34"/>
        <v>Caixa Seguridade Corretagem de Seguros</v>
      </c>
      <c r="C70" s="1">
        <f>'DRE NEGÓCIOS DE DISTRIBUIÇÃO'!C28</f>
        <v>0</v>
      </c>
      <c r="D70" s="1">
        <f>'DRE NEGÓCIOS DE DISTRIBUIÇÃO'!D28</f>
        <v>0</v>
      </c>
      <c r="E70" s="1">
        <f>'DRE NEGÓCIOS DE DISTRIBUIÇÃO'!E28</f>
        <v>0</v>
      </c>
      <c r="F70" s="1">
        <f>'DRE NEGÓCIOS DE DISTRIBUIÇÃO'!F28</f>
        <v>0</v>
      </c>
      <c r="G70" s="1">
        <f>'DRE NEGÓCIOS DE DISTRIBUIÇÃO'!G28</f>
        <v>0</v>
      </c>
      <c r="H70" s="1">
        <f>'DRE NEGÓCIOS DE DISTRIBUIÇÃO'!H28</f>
        <v>0</v>
      </c>
      <c r="I70" s="1">
        <f>'DRE NEGÓCIOS DE DISTRIBUIÇÃO'!I28</f>
        <v>0</v>
      </c>
      <c r="J70" s="1">
        <f>'DRE NEGÓCIOS DE DISTRIBUIÇÃO'!J28</f>
        <v>0</v>
      </c>
      <c r="K70" s="1">
        <f>'DRE NEGÓCIOS DE DISTRIBUIÇÃO'!K28</f>
        <v>0</v>
      </c>
      <c r="L70" s="1">
        <f>'DRE NEGÓCIOS DE DISTRIBUIÇÃO'!L28</f>
        <v>0</v>
      </c>
      <c r="M70" s="1">
        <f>'DRE NEGÓCIOS DE DISTRIBUIÇÃO'!M28</f>
        <v>0</v>
      </c>
      <c r="N70" s="1">
        <f>'DRE NEGÓCIOS DE DISTRIBUIÇÃO'!N28</f>
        <v>0</v>
      </c>
      <c r="O70" s="1">
        <f>'DRE NEGÓCIOS DE DISTRIBUIÇÃO'!O28</f>
        <v>0</v>
      </c>
      <c r="P70" s="1">
        <f>'DRE NEGÓCIOS DE DISTRIBUIÇÃO'!P28</f>
        <v>0</v>
      </c>
      <c r="Q70" s="1">
        <f>'DRE NEGÓCIOS DE DISTRIBUIÇÃO'!Q28</f>
        <v>0</v>
      </c>
      <c r="R70" s="1">
        <f>'DRE NEGÓCIOS DE DISTRIBUIÇÃO'!R28</f>
        <v>0</v>
      </c>
      <c r="S70" s="1">
        <f>'DRE NEGÓCIOS DE DISTRIBUIÇÃO'!S28</f>
        <v>0</v>
      </c>
      <c r="T70" s="1">
        <f>'DRE NEGÓCIOS DE DISTRIBUIÇÃO'!T28</f>
        <v>0</v>
      </c>
      <c r="U70" s="1">
        <f>'DRE NEGÓCIOS DE DISTRIBUIÇÃO'!U28</f>
        <v>0</v>
      </c>
      <c r="V70" s="1">
        <f>'DRE NEGÓCIOS DE DISTRIBUIÇÃO'!V28</f>
        <v>0</v>
      </c>
      <c r="W70" s="1">
        <f>'DRE NEGÓCIOS DE DISTRIBUIÇÃO'!W28</f>
        <v>0</v>
      </c>
      <c r="X70" s="1">
        <f>'DRE NEGÓCIOS DE DISTRIBUIÇÃO'!X28</f>
        <v>0</v>
      </c>
      <c r="Y70" s="1">
        <f>'DRE NEGÓCIOS DE DISTRIBUIÇÃO'!Y28</f>
        <v>0</v>
      </c>
      <c r="Z70" s="1">
        <f>'DRE NEGÓCIOS DE DISTRIBUIÇÃO'!Z28</f>
        <v>58</v>
      </c>
      <c r="AA70" s="1">
        <f>'DRE NEGÓCIOS DE DISTRIBUIÇÃO'!AA28</f>
        <v>58</v>
      </c>
      <c r="AB70" s="1">
        <f>'DRE NEGÓCIOS DE DISTRIBUIÇÃO'!AB28</f>
        <v>60</v>
      </c>
      <c r="AC70" s="1">
        <f>'DRE NEGÓCIOS DE DISTRIBUIÇÃO'!AC28</f>
        <v>580</v>
      </c>
      <c r="AD70" s="1">
        <f>'DRE NEGÓCIOS DE DISTRIBUIÇÃO'!AD28</f>
        <v>2217.4409999999998</v>
      </c>
      <c r="AE70" s="1">
        <f>'DRE NEGÓCIOS DE DISTRIBUIÇÃO'!AE28</f>
        <v>1946.5590000000002</v>
      </c>
      <c r="AF70" s="1">
        <f>'DRE NEGÓCIOS DE DISTRIBUIÇÃO'!AF28</f>
        <v>4804</v>
      </c>
      <c r="AG70" s="1">
        <f>'DRE NEGÓCIOS DE DISTRIBUIÇÃO'!AG28</f>
        <v>7502</v>
      </c>
      <c r="AH70" s="1">
        <f>'DRE NEGÓCIOS DE DISTRIBUIÇÃO'!AH28</f>
        <v>9081</v>
      </c>
      <c r="AI70" s="1">
        <f>'DRE NEGÓCIOS DE DISTRIBUIÇÃO'!AI28</f>
        <v>17603</v>
      </c>
      <c r="AJ70" s="1">
        <f>'DRE NEGÓCIOS DE DISTRIBUIÇÃO'!AJ28</f>
        <v>12691</v>
      </c>
      <c r="AK70" s="1">
        <f>'DRE NEGÓCIOS DE DISTRIBUIÇÃO'!AK28</f>
        <v>46877</v>
      </c>
      <c r="AL70" s="1">
        <f>'DRE NEGÓCIOS DE DISTRIBUIÇÃO'!AL28</f>
        <v>11947</v>
      </c>
      <c r="AM70" s="1">
        <f>'DRE NEGÓCIOS DE DISTRIBUIÇÃO'!AM28</f>
        <v>14264</v>
      </c>
      <c r="AN70" s="1">
        <f>'DRE NEGÓCIOS DE DISTRIBUIÇÃO'!AN28</f>
        <v>18653</v>
      </c>
      <c r="AO70" s="1">
        <f>'DRE NEGÓCIOS DE DISTRIBUIÇÃO'!AO28</f>
        <v>15055</v>
      </c>
      <c r="AP70" s="1">
        <f>'DRE NEGÓCIOS DE DISTRIBUIÇÃO'!AP28</f>
        <v>59919</v>
      </c>
      <c r="AQ70" s="1">
        <f>'DRE NEGÓCIOS DE DISTRIBUIÇÃO'!AQ28</f>
        <v>15695</v>
      </c>
      <c r="AR70" s="1">
        <f>'DRE NEGÓCIOS DE DISTRIBUIÇÃO'!AR28</f>
        <v>14709</v>
      </c>
      <c r="AS70" s="1">
        <f>'DRE NEGÓCIOS DE DISTRIBUIÇÃO'!AS28</f>
        <v>10848</v>
      </c>
      <c r="AT70" s="1">
        <f>'DRE NEGÓCIOS DE DISTRIBUIÇÃO'!AT28</f>
        <v>11551</v>
      </c>
      <c r="AU70" s="1">
        <f>'DRE NEGÓCIOS DE DISTRIBUIÇÃO'!AU28</f>
        <v>52803</v>
      </c>
      <c r="AV70" s="1">
        <f>'DRE NEGÓCIOS DE DISTRIBUIÇÃO'!AV28</f>
        <v>14363.373460000001</v>
      </c>
      <c r="AW70" s="1">
        <f>'DRE NEGÓCIOS DE DISTRIBUIÇÃO'!AW28</f>
        <v>18635</v>
      </c>
      <c r="AX70" s="1">
        <f>'DRE NEGÓCIOS DE DISTRIBUIÇÃO'!AX28</f>
        <v>20565.275220000003</v>
      </c>
      <c r="AY70" s="1">
        <f>'DRE NEGÓCIOS DE DISTRIBUIÇÃO'!AY28</f>
        <v>19445.034600000003</v>
      </c>
      <c r="AZ70" s="1">
        <f>'DRE NEGÓCIOS DE DISTRIBUIÇÃO'!AZ28</f>
        <v>73008.683280000012</v>
      </c>
      <c r="BA70" s="1">
        <f>'DRE NEGÓCIOS DE DISTRIBUIÇÃO'!BA28</f>
        <v>15562.010460000005</v>
      </c>
      <c r="BB70" s="771"/>
    </row>
    <row r="71" spans="1:59">
      <c r="B71" t="s">
        <v>554</v>
      </c>
      <c r="C71" s="1">
        <f>SUM('DRE HOLDING SEGURIDADE'!C$9,'DRE HOLDING SEGURIDADE'!C$26)</f>
        <v>-1418</v>
      </c>
      <c r="D71" s="1">
        <f>SUM('DRE HOLDING SEGURIDADE'!D$9,'DRE HOLDING SEGURIDADE'!D$26)</f>
        <v>2676</v>
      </c>
      <c r="E71" s="1">
        <f>SUM('DRE HOLDING SEGURIDADE'!E$9,'DRE HOLDING SEGURIDADE'!E$26)</f>
        <v>5838.2842000000046</v>
      </c>
      <c r="F71" s="1">
        <f>SUM('DRE HOLDING SEGURIDADE'!F$9,'DRE HOLDING SEGURIDADE'!F$26)</f>
        <v>7007.7157999999954</v>
      </c>
      <c r="G71" s="1">
        <f>SUM('DRE HOLDING SEGURIDADE'!G$9,'DRE HOLDING SEGURIDADE'!G$26)</f>
        <v>14104</v>
      </c>
      <c r="H71" s="1">
        <f>SUM('DRE HOLDING SEGURIDADE'!H$9,'DRE HOLDING SEGURIDADE'!H$26)</f>
        <v>4216.8194699999985</v>
      </c>
      <c r="I71" s="1">
        <f>SUM('DRE HOLDING SEGURIDADE'!I$9,'DRE HOLDING SEGURIDADE'!I$26)</f>
        <v>7007.4345200000016</v>
      </c>
      <c r="J71" s="1">
        <f>SUM('DRE HOLDING SEGURIDADE'!J$9,'DRE HOLDING SEGURIDADE'!J$26)</f>
        <v>6577.1029199999975</v>
      </c>
      <c r="K71" s="1">
        <f>SUM('DRE HOLDING SEGURIDADE'!K$9,'DRE HOLDING SEGURIDADE'!K$26)</f>
        <v>6446.7443500000008</v>
      </c>
      <c r="L71" s="1">
        <f>SUM('DRE HOLDING SEGURIDADE'!L$9,'DRE HOLDING SEGURIDADE'!L$26)</f>
        <v>24248.101259999999</v>
      </c>
      <c r="M71" s="1">
        <f>SUM('DRE HOLDING SEGURIDADE'!M$9,'DRE HOLDING SEGURIDADE'!M$26)</f>
        <v>2734.3223500000004</v>
      </c>
      <c r="N71" s="1">
        <f>SUM('DRE HOLDING SEGURIDADE'!N$9,'DRE HOLDING SEGURIDADE'!N$26)</f>
        <v>6629.0339199999999</v>
      </c>
      <c r="O71" s="1">
        <f>SUM('DRE HOLDING SEGURIDADE'!O$9,'DRE HOLDING SEGURIDADE'!O$26)</f>
        <v>6871.9531700000007</v>
      </c>
      <c r="P71" s="1">
        <f>SUM('DRE HOLDING SEGURIDADE'!P$9,'DRE HOLDING SEGURIDADE'!P$26)</f>
        <v>7660.0473200000015</v>
      </c>
      <c r="Q71" s="1">
        <f>SUM('DRE HOLDING SEGURIDADE'!Q$9,'DRE HOLDING SEGURIDADE'!Q$26)</f>
        <v>23895.356760000002</v>
      </c>
      <c r="R71" s="1">
        <f>SUM('DRE HOLDING SEGURIDADE'!R$9,'DRE HOLDING SEGURIDADE'!R$26)</f>
        <v>4140</v>
      </c>
      <c r="S71" s="1">
        <f>SUM('DRE HOLDING SEGURIDADE'!S$9,'DRE HOLDING SEGURIDADE'!S$26)</f>
        <v>13238</v>
      </c>
      <c r="T71" s="1">
        <f>SUM('DRE HOLDING SEGURIDADE'!T$9,'DRE HOLDING SEGURIDADE'!T$26)</f>
        <v>12216</v>
      </c>
      <c r="U71" s="1">
        <f>SUM('DRE HOLDING SEGURIDADE'!U$9,'DRE HOLDING SEGURIDADE'!U$26)</f>
        <v>5349.4627</v>
      </c>
      <c r="V71" s="1">
        <f>SUM('DRE HOLDING SEGURIDADE'!V$9,'DRE HOLDING SEGURIDADE'!V$26)</f>
        <v>34943.462700000004</v>
      </c>
      <c r="W71" s="1">
        <f>SUM('DRE HOLDING SEGURIDADE'!W$9,'DRE HOLDING SEGURIDADE'!W$26)</f>
        <v>4647</v>
      </c>
      <c r="X71" s="1">
        <f>SUM('DRE HOLDING SEGURIDADE'!X$9,'DRE HOLDING SEGURIDADE'!X$26)</f>
        <v>5912</v>
      </c>
      <c r="Y71" s="1">
        <f>SUM('DRE HOLDING SEGURIDADE'!Y$9,'DRE HOLDING SEGURIDADE'!Y$26)</f>
        <v>3792</v>
      </c>
      <c r="Z71" s="1">
        <f>SUM('DRE HOLDING SEGURIDADE'!Z$9,'DRE HOLDING SEGURIDADE'!Z$26)</f>
        <v>5933</v>
      </c>
      <c r="AA71" s="1">
        <f>SUM('DRE HOLDING SEGURIDADE'!AA$9,'DRE HOLDING SEGURIDADE'!AA$26)</f>
        <v>20284</v>
      </c>
      <c r="AB71" s="1">
        <f>SUM('DRE HOLDING SEGURIDADE'!AB$9,'DRE HOLDING SEGURIDADE'!AB$26)</f>
        <v>-240</v>
      </c>
      <c r="AC71" s="1">
        <f>SUM('DRE HOLDING SEGURIDADE'!AC$9,'DRE HOLDING SEGURIDADE'!AC$26)</f>
        <v>1865.7324400000002</v>
      </c>
      <c r="AD71" s="1">
        <f>SUM('DRE HOLDING SEGURIDADE'!AD$9,'DRE HOLDING SEGURIDADE'!AD$26)</f>
        <v>2792.8871799999997</v>
      </c>
      <c r="AE71" s="1">
        <f>SUM('DRE HOLDING SEGURIDADE'!AE$9,'DRE HOLDING SEGURIDADE'!AE$26)</f>
        <v>1350</v>
      </c>
      <c r="AF71" s="1">
        <f>SUM('DRE HOLDING SEGURIDADE'!AF$9,'DRE HOLDING SEGURIDADE'!AF$26)</f>
        <v>5768.6196199999995</v>
      </c>
      <c r="AG71" s="1">
        <f>SUM('DRE HOLDING SEGURIDADE'!AG$9,'DRE HOLDING SEGURIDADE'!AG$26)</f>
        <v>6531</v>
      </c>
      <c r="AH71" s="1">
        <f>SUM('DRE HOLDING SEGURIDADE'!AH$9,'DRE HOLDING SEGURIDADE'!AH$26)</f>
        <v>12193</v>
      </c>
      <c r="AI71" s="1">
        <f>SUM('DRE HOLDING SEGURIDADE'!AI$9,'DRE HOLDING SEGURIDADE'!AI$26)</f>
        <v>11333</v>
      </c>
      <c r="AJ71" s="1">
        <f>SUM('DRE HOLDING SEGURIDADE'!AJ$9,'DRE HOLDING SEGURIDADE'!AJ$26)</f>
        <v>21481</v>
      </c>
      <c r="AK71" s="1">
        <f>SUM('DRE HOLDING SEGURIDADE'!AK$9,'DRE HOLDING SEGURIDADE'!AK$26)</f>
        <v>51538</v>
      </c>
      <c r="AL71" s="1">
        <f>SUM('DRE HOLDING SEGURIDADE'!AL$9,'DRE HOLDING SEGURIDADE'!AL$26)</f>
        <v>3243</v>
      </c>
      <c r="AM71" s="1">
        <f>SUM('DRE HOLDING SEGURIDADE'!AM$9,'DRE HOLDING SEGURIDADE'!AM$26)</f>
        <v>17583</v>
      </c>
      <c r="AN71" s="1">
        <f>SUM('DRE HOLDING SEGURIDADE'!AN$9,'DRE HOLDING SEGURIDADE'!AN$26)</f>
        <v>12775</v>
      </c>
      <c r="AO71" s="1">
        <f>SUM('DRE HOLDING SEGURIDADE'!AO$9,'DRE HOLDING SEGURIDADE'!AO$26)</f>
        <v>19879</v>
      </c>
      <c r="AP71" s="1">
        <f>SUM('DRE HOLDING SEGURIDADE'!AP$9,'DRE HOLDING SEGURIDADE'!AP$26)</f>
        <v>53480</v>
      </c>
      <c r="AQ71" s="1">
        <f>SUM('DRE HOLDING SEGURIDADE'!AQ$9,'DRE HOLDING SEGURIDADE'!AQ$26)</f>
        <v>-23165</v>
      </c>
      <c r="AR71" s="1">
        <f>SUM('DRE HOLDING SEGURIDADE'!AR$9,'DRE HOLDING SEGURIDADE'!AR$26)</f>
        <v>2798</v>
      </c>
      <c r="AS71" s="1">
        <f>SUM('DRE HOLDING SEGURIDADE'!AS$9,'DRE HOLDING SEGURIDADE'!AS$26)</f>
        <v>18066.450649999999</v>
      </c>
      <c r="AT71" s="1">
        <f>SUM('DRE HOLDING SEGURIDADE'!AT$9,'DRE HOLDING SEGURIDADE'!AT$26)</f>
        <v>23316.748620000002</v>
      </c>
      <c r="AU71" s="1">
        <f>SUM('DRE HOLDING SEGURIDADE'!AU$9,'DRE HOLDING SEGURIDADE'!AU$26)</f>
        <v>21016.199270000001</v>
      </c>
      <c r="AV71" s="1">
        <f>SUM('DRE HOLDING SEGURIDADE'!AV$9,'DRE HOLDING SEGURIDADE'!AV$26)</f>
        <v>14097</v>
      </c>
      <c r="AW71" s="1">
        <f>SUM('DRE HOLDING SEGURIDADE'!AW$9,'DRE HOLDING SEGURIDADE'!AW$26)</f>
        <v>26618.123450000006</v>
      </c>
      <c r="AX71" s="1">
        <f>SUM('DRE HOLDING SEGURIDADE'!AX$9,'DRE HOLDING SEGURIDADE'!AX$26)</f>
        <v>30243.252930000006</v>
      </c>
      <c r="AY71" s="1">
        <f>SUM('DRE HOLDING SEGURIDADE'!AY$9,'DRE HOLDING SEGURIDADE'!AY$26)</f>
        <v>37185.027000000002</v>
      </c>
      <c r="AZ71" s="1">
        <f>SUM('DRE HOLDING SEGURIDADE'!AZ$9,'DRE HOLDING SEGURIDADE'!AZ$26)</f>
        <v>108143.40338000002</v>
      </c>
      <c r="BA71" s="1">
        <f>SUM('DRE HOLDING SEGURIDADE'!BA$9,'DRE HOLDING SEGURIDADE'!BA$26)</f>
        <v>12893</v>
      </c>
      <c r="BB71" s="771"/>
    </row>
    <row r="72" spans="1:59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771"/>
      <c r="BF72" s="538"/>
      <c r="BG72" s="171"/>
    </row>
    <row r="73" spans="1:59">
      <c r="A73" s="9"/>
      <c r="B73" s="9" t="s">
        <v>547</v>
      </c>
      <c r="C73" s="76">
        <f t="shared" ref="C73:AV73" si="39">C74+C80</f>
        <v>304885.57091000071</v>
      </c>
      <c r="D73" s="76">
        <f t="shared" si="39"/>
        <v>323554.72273999749</v>
      </c>
      <c r="E73" s="76">
        <f t="shared" si="39"/>
        <v>303426.03998999979</v>
      </c>
      <c r="F73" s="76">
        <f t="shared" si="39"/>
        <v>290726.189580001</v>
      </c>
      <c r="G73" s="76">
        <f t="shared" si="39"/>
        <v>1222592.5232199989</v>
      </c>
      <c r="H73" s="76">
        <f t="shared" si="39"/>
        <v>370300.92917000083</v>
      </c>
      <c r="I73" s="76">
        <f t="shared" si="39"/>
        <v>246574.54842999807</v>
      </c>
      <c r="J73" s="76">
        <f t="shared" si="39"/>
        <v>325224.41326000087</v>
      </c>
      <c r="K73" s="76">
        <f t="shared" si="39"/>
        <v>378005.17386999866</v>
      </c>
      <c r="L73" s="76">
        <f t="shared" si="39"/>
        <v>1320105.0647299988</v>
      </c>
      <c r="M73" s="76">
        <f t="shared" si="39"/>
        <v>279183.86841000046</v>
      </c>
      <c r="N73" s="76">
        <f t="shared" si="39"/>
        <v>193680.40802999886</v>
      </c>
      <c r="O73" s="76">
        <f t="shared" si="39"/>
        <v>199152.73450000072</v>
      </c>
      <c r="P73" s="76">
        <f t="shared" si="39"/>
        <v>226763.79400999955</v>
      </c>
      <c r="Q73" s="76">
        <f t="shared" si="39"/>
        <v>898780.80494999967</v>
      </c>
      <c r="R73" s="76">
        <f t="shared" si="39"/>
        <v>261675.35148000042</v>
      </c>
      <c r="S73" s="76">
        <f t="shared" si="39"/>
        <v>252390.09749999942</v>
      </c>
      <c r="T73" s="76">
        <f t="shared" si="39"/>
        <v>247491.8896499988</v>
      </c>
      <c r="U73" s="76">
        <f t="shared" si="39"/>
        <v>284167.86293000326</v>
      </c>
      <c r="V73" s="76">
        <f t="shared" si="39"/>
        <v>1045725.2015600018</v>
      </c>
      <c r="W73" s="76">
        <f t="shared" si="39"/>
        <v>241108.43547999943</v>
      </c>
      <c r="X73" s="76">
        <f t="shared" si="39"/>
        <v>286513.04480000131</v>
      </c>
      <c r="Y73" s="76">
        <f t="shared" si="39"/>
        <v>261163.52082999962</v>
      </c>
      <c r="Z73" s="76">
        <f t="shared" si="39"/>
        <v>231067.93478000836</v>
      </c>
      <c r="AA73" s="76">
        <f t="shared" si="39"/>
        <v>1019852.9358900088</v>
      </c>
      <c r="AB73" s="76">
        <f t="shared" si="39"/>
        <v>243037.67524999951</v>
      </c>
      <c r="AC73" s="76">
        <f t="shared" si="39"/>
        <v>228592.15790000075</v>
      </c>
      <c r="AD73" s="76">
        <f t="shared" si="39"/>
        <v>167622.51837999796</v>
      </c>
      <c r="AE73" s="76">
        <f t="shared" si="39"/>
        <v>245377.61645</v>
      </c>
      <c r="AF73" s="76">
        <f t="shared" si="39"/>
        <v>884629.96797999821</v>
      </c>
      <c r="AG73" s="76">
        <f t="shared" si="39"/>
        <v>296179</v>
      </c>
      <c r="AH73" s="76">
        <f t="shared" si="39"/>
        <v>236126.08636000002</v>
      </c>
      <c r="AI73" s="76">
        <f t="shared" si="39"/>
        <v>376761</v>
      </c>
      <c r="AJ73" s="76">
        <f t="shared" si="39"/>
        <v>383988.02279999998</v>
      </c>
      <c r="AK73" s="76">
        <f t="shared" si="39"/>
        <v>1293054.10916</v>
      </c>
      <c r="AL73" s="76">
        <f t="shared" si="39"/>
        <v>454790</v>
      </c>
      <c r="AM73" s="76">
        <f t="shared" si="39"/>
        <v>442214</v>
      </c>
      <c r="AN73" s="76">
        <f t="shared" si="39"/>
        <v>566240</v>
      </c>
      <c r="AO73" s="76">
        <f t="shared" si="39"/>
        <v>543956.00899999996</v>
      </c>
      <c r="AP73" s="76">
        <f t="shared" si="39"/>
        <v>2007200.0090000001</v>
      </c>
      <c r="AQ73" s="76">
        <f t="shared" si="39"/>
        <v>433173.45</v>
      </c>
      <c r="AR73" s="76">
        <f t="shared" si="39"/>
        <v>471040</v>
      </c>
      <c r="AS73" s="76">
        <f t="shared" si="39"/>
        <v>531804.00364999997</v>
      </c>
      <c r="AT73" s="76">
        <f t="shared" si="39"/>
        <v>543232.98762000003</v>
      </c>
      <c r="AU73" s="76">
        <f t="shared" si="39"/>
        <v>1979250.4412700001</v>
      </c>
      <c r="AV73" s="76">
        <f t="shared" si="39"/>
        <v>570111.37346000003</v>
      </c>
      <c r="AW73" s="76">
        <f>AW74+AW80</f>
        <v>624853.12344999996</v>
      </c>
      <c r="AX73" s="76">
        <f>AX74+AX80</f>
        <v>767697.52815000003</v>
      </c>
      <c r="AY73" s="76">
        <f>AY74+AY80</f>
        <v>731397.06160000002</v>
      </c>
      <c r="AZ73" s="76">
        <f>AZ74+AZ80</f>
        <v>2694059.08666</v>
      </c>
      <c r="BA73" s="76">
        <f t="shared" ref="BA73" si="40">BA74+BA80</f>
        <v>682342.77445999999</v>
      </c>
      <c r="BB73" s="771"/>
      <c r="BF73" s="538"/>
      <c r="BG73" s="171"/>
    </row>
    <row r="74" spans="1:59" s="100" customFormat="1">
      <c r="A74" s="2"/>
      <c r="B74" s="2" t="s">
        <v>549</v>
      </c>
      <c r="C74" s="3">
        <f t="shared" ref="C74:AU74" si="41">SUM(C76:C79)</f>
        <v>286886.57091000071</v>
      </c>
      <c r="D74" s="3">
        <f t="shared" si="41"/>
        <v>308012.72273999749</v>
      </c>
      <c r="E74" s="3">
        <f t="shared" si="41"/>
        <v>286703.03998999979</v>
      </c>
      <c r="F74" s="3">
        <f t="shared" si="41"/>
        <v>282629.189580001</v>
      </c>
      <c r="G74" s="3">
        <f t="shared" si="41"/>
        <v>1164231.5232199989</v>
      </c>
      <c r="H74" s="3">
        <f t="shared" si="41"/>
        <v>352346.03255000082</v>
      </c>
      <c r="I74" s="3">
        <f t="shared" si="41"/>
        <v>228560.91317999808</v>
      </c>
      <c r="J74" s="3">
        <f t="shared" si="41"/>
        <v>307621.91700000089</v>
      </c>
      <c r="K74" s="3">
        <f t="shared" si="41"/>
        <v>363885.21525999869</v>
      </c>
      <c r="L74" s="3">
        <f t="shared" si="41"/>
        <v>1252414.0779899987</v>
      </c>
      <c r="M74" s="3">
        <f t="shared" si="41"/>
        <v>263121.43419000047</v>
      </c>
      <c r="N74" s="3">
        <f t="shared" si="41"/>
        <v>186248.84421999886</v>
      </c>
      <c r="O74" s="3">
        <f t="shared" si="41"/>
        <v>189210.28785000072</v>
      </c>
      <c r="P74" s="3">
        <f t="shared" si="41"/>
        <v>212585.48036999954</v>
      </c>
      <c r="Q74" s="3">
        <f t="shared" si="41"/>
        <v>851166.04662999965</v>
      </c>
      <c r="R74" s="3">
        <f t="shared" si="41"/>
        <v>248716.57696000041</v>
      </c>
      <c r="S74" s="3">
        <f t="shared" si="41"/>
        <v>239607.64326999942</v>
      </c>
      <c r="T74" s="3">
        <f t="shared" si="41"/>
        <v>235163.11839999881</v>
      </c>
      <c r="U74" s="3">
        <f t="shared" si="41"/>
        <v>274115.53608000325</v>
      </c>
      <c r="V74" s="3">
        <f t="shared" si="41"/>
        <v>997602.87471000187</v>
      </c>
      <c r="W74" s="3">
        <f t="shared" si="41"/>
        <v>250724.43547999943</v>
      </c>
      <c r="X74" s="3">
        <f t="shared" si="41"/>
        <v>277897.51414000132</v>
      </c>
      <c r="Y74" s="3">
        <f t="shared" si="41"/>
        <v>254456.52082999962</v>
      </c>
      <c r="Z74" s="3">
        <f t="shared" si="41"/>
        <v>216647.93478000836</v>
      </c>
      <c r="AA74" s="3">
        <f t="shared" si="41"/>
        <v>999726.40523000876</v>
      </c>
      <c r="AB74" s="3">
        <f t="shared" si="41"/>
        <v>236761.67524999951</v>
      </c>
      <c r="AC74" s="3">
        <f t="shared" si="41"/>
        <v>217511.15790000075</v>
      </c>
      <c r="AD74" s="3">
        <f t="shared" si="41"/>
        <v>162842.26674999794</v>
      </c>
      <c r="AE74" s="3">
        <f t="shared" si="41"/>
        <v>232324.61645</v>
      </c>
      <c r="AF74" s="3">
        <f t="shared" si="41"/>
        <v>849439.71634999826</v>
      </c>
      <c r="AG74" s="3">
        <f t="shared" si="41"/>
        <v>270008</v>
      </c>
      <c r="AH74" s="3">
        <f t="shared" si="41"/>
        <v>209378.08636000002</v>
      </c>
      <c r="AI74" s="3">
        <f t="shared" si="41"/>
        <v>340592</v>
      </c>
      <c r="AJ74" s="3">
        <f t="shared" si="41"/>
        <v>342360.02279999998</v>
      </c>
      <c r="AK74" s="3">
        <f t="shared" si="41"/>
        <v>1162338.10916</v>
      </c>
      <c r="AL74" s="3">
        <f t="shared" si="41"/>
        <v>414722</v>
      </c>
      <c r="AM74" s="3">
        <f t="shared" si="41"/>
        <v>398464</v>
      </c>
      <c r="AN74" s="3">
        <f t="shared" si="41"/>
        <v>512467</v>
      </c>
      <c r="AO74" s="3">
        <f t="shared" si="41"/>
        <v>495108</v>
      </c>
      <c r="AP74" s="3">
        <f t="shared" si="41"/>
        <v>1820761</v>
      </c>
      <c r="AQ74" s="3">
        <f t="shared" si="41"/>
        <v>387300</v>
      </c>
      <c r="AR74" s="3">
        <f t="shared" si="41"/>
        <v>421867</v>
      </c>
      <c r="AS74" s="3">
        <f t="shared" si="41"/>
        <v>480383.45065000001</v>
      </c>
      <c r="AT74" s="3">
        <f t="shared" si="41"/>
        <v>488439.74861999997</v>
      </c>
      <c r="AU74" s="3">
        <f t="shared" si="41"/>
        <v>1777990.19927</v>
      </c>
      <c r="AV74" s="3">
        <f t="shared" ref="AV74" si="42">SUM(AV76:AV79)</f>
        <v>516037.37346000003</v>
      </c>
      <c r="AW74" s="3">
        <f>SUM(AW76:AW79)</f>
        <v>564411.12344999996</v>
      </c>
      <c r="AX74" s="3">
        <f>SUM(AX76:AX79)</f>
        <v>695239.52815000003</v>
      </c>
      <c r="AY74" s="3">
        <f>SUM(AY76:AY79)</f>
        <v>667116.06160000002</v>
      </c>
      <c r="AZ74" s="3">
        <f>SUM(AZ76:AZ79)</f>
        <v>2442804.08666</v>
      </c>
      <c r="BA74" s="3">
        <f t="shared" ref="BA74" si="43">SUM(BA76:BA79)</f>
        <v>616892.01046000002</v>
      </c>
      <c r="BB74" s="771"/>
      <c r="BF74" s="772"/>
      <c r="BG74" s="242"/>
    </row>
    <row r="75" spans="1:59">
      <c r="B75" s="11" t="s">
        <v>462</v>
      </c>
      <c r="C75" s="8">
        <f t="shared" ref="C75:AV75" si="44">C76+C77</f>
        <v>288304.57091000071</v>
      </c>
      <c r="D75" s="8">
        <f t="shared" si="44"/>
        <v>305336.72273999749</v>
      </c>
      <c r="E75" s="8">
        <f t="shared" si="44"/>
        <v>280864.75578999979</v>
      </c>
      <c r="F75" s="8">
        <f t="shared" si="44"/>
        <v>275621.47378000099</v>
      </c>
      <c r="G75" s="8">
        <f t="shared" si="44"/>
        <v>1150127.5232199989</v>
      </c>
      <c r="H75" s="8">
        <f t="shared" si="44"/>
        <v>348129.21308000083</v>
      </c>
      <c r="I75" s="8">
        <f t="shared" si="44"/>
        <v>221553.47865999807</v>
      </c>
      <c r="J75" s="8">
        <f t="shared" si="44"/>
        <v>301044.81408000091</v>
      </c>
      <c r="K75" s="8">
        <f t="shared" si="44"/>
        <v>357438.47090999869</v>
      </c>
      <c r="L75" s="8">
        <f t="shared" si="44"/>
        <v>1228165.9767299988</v>
      </c>
      <c r="M75" s="8">
        <f t="shared" si="44"/>
        <v>260387.11184000046</v>
      </c>
      <c r="N75" s="8">
        <f t="shared" si="44"/>
        <v>179619.81029999888</v>
      </c>
      <c r="O75" s="8">
        <f t="shared" si="44"/>
        <v>182338.33468000073</v>
      </c>
      <c r="P75" s="8">
        <f t="shared" si="44"/>
        <v>204925.43304999953</v>
      </c>
      <c r="Q75" s="8">
        <f t="shared" si="44"/>
        <v>827270.68986999965</v>
      </c>
      <c r="R75" s="8">
        <f t="shared" si="44"/>
        <v>244576.57696000041</v>
      </c>
      <c r="S75" s="8">
        <f t="shared" si="44"/>
        <v>226369.64326999942</v>
      </c>
      <c r="T75" s="8">
        <f t="shared" si="44"/>
        <v>222947.11839999881</v>
      </c>
      <c r="U75" s="8">
        <f t="shared" si="44"/>
        <v>268766.07338000328</v>
      </c>
      <c r="V75" s="8">
        <f t="shared" si="44"/>
        <v>962659.41201000183</v>
      </c>
      <c r="W75" s="8">
        <f t="shared" si="44"/>
        <v>246077.43547999943</v>
      </c>
      <c r="X75" s="8">
        <f t="shared" si="44"/>
        <v>271985.51414000132</v>
      </c>
      <c r="Y75" s="8">
        <f t="shared" si="44"/>
        <v>250664.52082999962</v>
      </c>
      <c r="Z75" s="8">
        <f t="shared" si="44"/>
        <v>209613.33205000835</v>
      </c>
      <c r="AA75" s="8">
        <f t="shared" si="44"/>
        <v>978340.80250000872</v>
      </c>
      <c r="AB75" s="8">
        <f t="shared" si="44"/>
        <v>125389.89321000002</v>
      </c>
      <c r="AC75" s="8">
        <f t="shared" si="44"/>
        <v>101710.99299</v>
      </c>
      <c r="AD75" s="8">
        <f t="shared" si="44"/>
        <v>67086.940109999967</v>
      </c>
      <c r="AE75" s="8">
        <f t="shared" si="44"/>
        <v>74146.685930000007</v>
      </c>
      <c r="AF75" s="8">
        <f t="shared" si="44"/>
        <v>368334.51224000001</v>
      </c>
      <c r="AG75" s="8">
        <f t="shared" si="44"/>
        <v>80924</v>
      </c>
      <c r="AH75" s="8">
        <f t="shared" si="44"/>
        <v>51338.086360000001</v>
      </c>
      <c r="AI75" s="8">
        <f t="shared" si="44"/>
        <v>116508</v>
      </c>
      <c r="AJ75" s="8">
        <f t="shared" si="44"/>
        <v>65197.022799999999</v>
      </c>
      <c r="AK75" s="8">
        <f t="shared" si="44"/>
        <v>313967.10915999999</v>
      </c>
      <c r="AL75" s="8">
        <f t="shared" si="44"/>
        <v>92896</v>
      </c>
      <c r="AM75" s="8">
        <f t="shared" si="44"/>
        <v>85123</v>
      </c>
      <c r="AN75" s="8">
        <f t="shared" si="44"/>
        <v>128604</v>
      </c>
      <c r="AO75" s="8">
        <f t="shared" si="44"/>
        <v>119988</v>
      </c>
      <c r="AP75" s="8">
        <f t="shared" si="44"/>
        <v>426611</v>
      </c>
      <c r="AQ75" s="8">
        <f t="shared" si="44"/>
        <v>75289</v>
      </c>
      <c r="AR75" s="8">
        <f t="shared" si="44"/>
        <v>71270</v>
      </c>
      <c r="AS75" s="8">
        <f t="shared" si="44"/>
        <v>110663</v>
      </c>
      <c r="AT75" s="8">
        <f t="shared" si="44"/>
        <v>86857</v>
      </c>
      <c r="AU75" s="8">
        <f t="shared" si="44"/>
        <v>344079</v>
      </c>
      <c r="AV75" s="8">
        <f t="shared" si="44"/>
        <v>98996</v>
      </c>
      <c r="AW75" s="8">
        <f>AW76+AW77</f>
        <v>117732</v>
      </c>
      <c r="AX75" s="8">
        <f>AX76+AX77</f>
        <v>148530</v>
      </c>
      <c r="AY75" s="8">
        <f>AY76+AY77</f>
        <v>133967</v>
      </c>
      <c r="AZ75" s="8">
        <f>AZ76+AZ77</f>
        <v>499225</v>
      </c>
      <c r="BA75" s="8">
        <f t="shared" ref="BA75" si="45">BA76+BA77</f>
        <v>133717</v>
      </c>
      <c r="BB75" s="771"/>
      <c r="BG75" s="189"/>
    </row>
    <row r="76" spans="1:59">
      <c r="B76" s="231" t="s">
        <v>581</v>
      </c>
      <c r="C76" s="1">
        <f t="shared" ref="C76:AU76" si="46">SUM(C48:C51)+(C47*(SUM(C48:C51)/SUM(C48:C56)))</f>
        <v>282182.04964098841</v>
      </c>
      <c r="D76" s="1">
        <f t="shared" si="46"/>
        <v>298482.12446551933</v>
      </c>
      <c r="E76" s="1">
        <f t="shared" si="46"/>
        <v>269442.10970481049</v>
      </c>
      <c r="F76" s="1">
        <f t="shared" si="46"/>
        <v>261109.50388930968</v>
      </c>
      <c r="G76" s="1">
        <f t="shared" si="46"/>
        <v>1111467.5809647269</v>
      </c>
      <c r="H76" s="1">
        <f t="shared" si="46"/>
        <v>316555.45743426675</v>
      </c>
      <c r="I76" s="1">
        <f t="shared" si="46"/>
        <v>191813.42033846641</v>
      </c>
      <c r="J76" s="1">
        <f t="shared" si="46"/>
        <v>268523.87170978112</v>
      </c>
      <c r="K76" s="1">
        <f t="shared" si="46"/>
        <v>334024.17741317296</v>
      </c>
      <c r="L76" s="1">
        <f t="shared" si="46"/>
        <v>1111546.5289137212</v>
      </c>
      <c r="M76" s="1">
        <f t="shared" si="46"/>
        <v>235861.6775573038</v>
      </c>
      <c r="N76" s="1">
        <f t="shared" si="46"/>
        <v>158497.04695252873</v>
      </c>
      <c r="O76" s="1">
        <f t="shared" si="46"/>
        <v>160086.63902632231</v>
      </c>
      <c r="P76" s="1">
        <f t="shared" si="46"/>
        <v>182699.7680333445</v>
      </c>
      <c r="Q76" s="1">
        <f t="shared" si="46"/>
        <v>737070.2493066662</v>
      </c>
      <c r="R76" s="1">
        <f t="shared" si="46"/>
        <v>221766.40337528259</v>
      </c>
      <c r="S76" s="1">
        <f t="shared" si="46"/>
        <v>201842.12717897049</v>
      </c>
      <c r="T76" s="1">
        <f t="shared" si="46"/>
        <v>196943.18881725389</v>
      </c>
      <c r="U76" s="1">
        <f t="shared" si="46"/>
        <v>243613.0137050348</v>
      </c>
      <c r="V76" s="1">
        <f t="shared" si="46"/>
        <v>864228.71070576855</v>
      </c>
      <c r="W76" s="1">
        <f t="shared" si="46"/>
        <v>220977.17054657667</v>
      </c>
      <c r="X76" s="1">
        <f t="shared" si="46"/>
        <v>214193.63147235103</v>
      </c>
      <c r="Y76" s="1">
        <f t="shared" si="46"/>
        <v>225682.5814696982</v>
      </c>
      <c r="Z76" s="1">
        <f t="shared" si="46"/>
        <v>201360.40459162334</v>
      </c>
      <c r="AA76" s="1">
        <f t="shared" si="46"/>
        <v>863560.47960509604</v>
      </c>
      <c r="AB76" s="1">
        <f t="shared" si="46"/>
        <v>119915.97059563335</v>
      </c>
      <c r="AC76" s="1">
        <f t="shared" si="46"/>
        <v>91620.109255475036</v>
      </c>
      <c r="AD76" s="1">
        <f t="shared" si="46"/>
        <v>59901.712084630213</v>
      </c>
      <c r="AE76" s="1">
        <f t="shared" si="46"/>
        <v>66482.847313135266</v>
      </c>
      <c r="AF76" s="1">
        <f t="shared" si="46"/>
        <v>338025.04627064278</v>
      </c>
      <c r="AG76" s="1">
        <f t="shared" si="46"/>
        <v>72092.629618987412</v>
      </c>
      <c r="AH76" s="1">
        <f t="shared" si="46"/>
        <v>36699.509253639495</v>
      </c>
      <c r="AI76" s="1">
        <f t="shared" si="46"/>
        <v>98177.513264441804</v>
      </c>
      <c r="AJ76" s="1">
        <f t="shared" si="46"/>
        <v>55912.316668765612</v>
      </c>
      <c r="AK76" s="1">
        <f t="shared" si="46"/>
        <v>265547.47848931595</v>
      </c>
      <c r="AL76" s="1">
        <f t="shared" si="46"/>
        <v>83863.413116357871</v>
      </c>
      <c r="AM76" s="1">
        <f t="shared" si="46"/>
        <v>76499.258627458941</v>
      </c>
      <c r="AN76" s="1">
        <f t="shared" si="46"/>
        <v>119044.67086433887</v>
      </c>
      <c r="AO76" s="1">
        <f t="shared" si="46"/>
        <v>111146.25714919087</v>
      </c>
      <c r="AP76" s="1">
        <f t="shared" si="46"/>
        <v>390426.63116476149</v>
      </c>
      <c r="AQ76" s="1">
        <f t="shared" si="46"/>
        <v>67653.430017150007</v>
      </c>
      <c r="AR76" s="1">
        <f t="shared" si="46"/>
        <v>62552.380587222877</v>
      </c>
      <c r="AS76" s="1">
        <f t="shared" si="46"/>
        <v>102405.62932000167</v>
      </c>
      <c r="AT76" s="1">
        <f t="shared" si="46"/>
        <v>78157.311851240345</v>
      </c>
      <c r="AU76" s="1">
        <f t="shared" si="46"/>
        <v>310882.31000071502</v>
      </c>
      <c r="AV76" s="1">
        <f t="shared" ref="AV76" si="47">SUM(AV48:AV51)+(AV47*(SUM(AV48:AV51)/SUM(AV48:AV56)))</f>
        <v>89814.334290906962</v>
      </c>
      <c r="AW76" s="1">
        <f>SUM(AW48:AW51)+(AW47*(SUM(AW48:AW51)/SUM(AW48:AW56)))</f>
        <v>108491.27810697794</v>
      </c>
      <c r="AX76" s="1">
        <f>SUM(AX48:AX51)+(AX47*(SUM(AX48:AX51)/SUM(AX48:AX56)))</f>
        <v>136895.57087359825</v>
      </c>
      <c r="AY76" s="1">
        <f>SUM(AY48:AY51)+(AY47*(SUM(AY48:AY51)/SUM(AY48:AY56)))</f>
        <v>123877.8401109441</v>
      </c>
      <c r="AZ76" s="1">
        <f>SUM(AZ48:AZ51)+(AZ47*(SUM(AZ48:AZ51)/SUM(AZ48:AZ56)))</f>
        <v>459072.45384309627</v>
      </c>
      <c r="BA76" s="1">
        <f t="shared" ref="BA76" si="48">SUM(BA48:BA51)+(BA47*(SUM(BA48:BA51)/SUM(BA48:BA56)))</f>
        <v>124422.30949683439</v>
      </c>
      <c r="BB76" s="771"/>
      <c r="BG76" s="189"/>
    </row>
    <row r="77" spans="1:59">
      <c r="B77" s="231" t="s">
        <v>582</v>
      </c>
      <c r="C77" s="1">
        <f t="shared" ref="C77:AU77" si="49">SUM(C52:C56)+(C47*(SUM(C52:C56)/SUM(C48:C56)))</f>
        <v>6122.5212690122862</v>
      </c>
      <c r="D77" s="1">
        <f t="shared" si="49"/>
        <v>6854.5982744781713</v>
      </c>
      <c r="E77" s="1">
        <f t="shared" si="49"/>
        <v>11422.646085189313</v>
      </c>
      <c r="F77" s="1">
        <f t="shared" si="49"/>
        <v>14511.969890691304</v>
      </c>
      <c r="G77" s="1">
        <f t="shared" si="49"/>
        <v>38659.942255272173</v>
      </c>
      <c r="H77" s="1">
        <f t="shared" si="49"/>
        <v>31573.755645734105</v>
      </c>
      <c r="I77" s="1">
        <f t="shared" si="49"/>
        <v>29740.058321531647</v>
      </c>
      <c r="J77" s="1">
        <f t="shared" si="49"/>
        <v>32520.942370219786</v>
      </c>
      <c r="K77" s="1">
        <f t="shared" si="49"/>
        <v>23414.29349682575</v>
      </c>
      <c r="L77" s="1">
        <f t="shared" si="49"/>
        <v>116619.4478162775</v>
      </c>
      <c r="M77" s="1">
        <f t="shared" si="49"/>
        <v>24525.434282696653</v>
      </c>
      <c r="N77" s="1">
        <f t="shared" si="49"/>
        <v>21122.76334747014</v>
      </c>
      <c r="O77" s="1">
        <f t="shared" si="49"/>
        <v>22251.695653678427</v>
      </c>
      <c r="P77" s="1">
        <f t="shared" si="49"/>
        <v>22225.66501665501</v>
      </c>
      <c r="Q77" s="1">
        <f t="shared" si="49"/>
        <v>90200.440563333439</v>
      </c>
      <c r="R77" s="1">
        <f t="shared" si="49"/>
        <v>22810.173584717824</v>
      </c>
      <c r="S77" s="1">
        <f t="shared" si="49"/>
        <v>24527.516091028938</v>
      </c>
      <c r="T77" s="1">
        <f t="shared" si="49"/>
        <v>26003.929582744917</v>
      </c>
      <c r="U77" s="1">
        <f t="shared" si="49"/>
        <v>25153.059674968463</v>
      </c>
      <c r="V77" s="1">
        <f t="shared" si="49"/>
        <v>98430.701304233298</v>
      </c>
      <c r="W77" s="1">
        <f t="shared" si="49"/>
        <v>25100.264933422761</v>
      </c>
      <c r="X77" s="1">
        <f t="shared" si="49"/>
        <v>57791.882667650301</v>
      </c>
      <c r="Y77" s="1">
        <f t="shared" si="49"/>
        <v>24981.939360301407</v>
      </c>
      <c r="Z77" s="1">
        <f t="shared" si="49"/>
        <v>8252.9274583850201</v>
      </c>
      <c r="AA77" s="1">
        <f t="shared" si="49"/>
        <v>114780.32289491272</v>
      </c>
      <c r="AB77" s="1">
        <f t="shared" si="49"/>
        <v>5473.922614366681</v>
      </c>
      <c r="AC77" s="1">
        <f t="shared" si="49"/>
        <v>10090.88373452497</v>
      </c>
      <c r="AD77" s="1">
        <f t="shared" si="49"/>
        <v>7185.228025369749</v>
      </c>
      <c r="AE77" s="1">
        <f t="shared" si="49"/>
        <v>7663.8386168647412</v>
      </c>
      <c r="AF77" s="1">
        <f t="shared" si="49"/>
        <v>30309.465969357214</v>
      </c>
      <c r="AG77" s="1">
        <f t="shared" si="49"/>
        <v>8831.3703810125862</v>
      </c>
      <c r="AH77" s="1">
        <f t="shared" si="49"/>
        <v>14638.57710636051</v>
      </c>
      <c r="AI77" s="1">
        <f t="shared" si="49"/>
        <v>18330.486735558192</v>
      </c>
      <c r="AJ77" s="1">
        <f t="shared" si="49"/>
        <v>9284.7061312343885</v>
      </c>
      <c r="AK77" s="1">
        <f t="shared" si="49"/>
        <v>48419.630670684026</v>
      </c>
      <c r="AL77" s="1">
        <f t="shared" si="49"/>
        <v>9032.5868836421341</v>
      </c>
      <c r="AM77" s="1">
        <f t="shared" si="49"/>
        <v>8623.7413725410552</v>
      </c>
      <c r="AN77" s="1">
        <f t="shared" si="49"/>
        <v>9559.3291356611335</v>
      </c>
      <c r="AO77" s="1">
        <f t="shared" si="49"/>
        <v>8841.7428508091325</v>
      </c>
      <c r="AP77" s="1">
        <f t="shared" si="49"/>
        <v>36184.3688352385</v>
      </c>
      <c r="AQ77" s="1">
        <f t="shared" si="49"/>
        <v>7635.569982849991</v>
      </c>
      <c r="AR77" s="1">
        <f t="shared" si="49"/>
        <v>8717.619412777125</v>
      </c>
      <c r="AS77" s="1">
        <f t="shared" si="49"/>
        <v>8257.3706799983411</v>
      </c>
      <c r="AT77" s="1">
        <f t="shared" si="49"/>
        <v>8699.6881487596602</v>
      </c>
      <c r="AU77" s="1">
        <f t="shared" si="49"/>
        <v>33196.689999285009</v>
      </c>
      <c r="AV77" s="1">
        <f t="shared" ref="AV77" si="50">SUM(AV52:AV56)+(AV47*(SUM(AV52:AV56)/SUM(AV48:AV56)))</f>
        <v>9181.6657090930421</v>
      </c>
      <c r="AW77" s="1">
        <f>SUM(AW52:AW56)+(AW47*(SUM(AW52:AW56)/SUM(AW48:AW56)))</f>
        <v>9240.721893022057</v>
      </c>
      <c r="AX77" s="1">
        <f>SUM(AX52:AX56)+(AX47*(SUM(AX52:AX56)/SUM(AX48:AX56)))</f>
        <v>11634.429126401748</v>
      </c>
      <c r="AY77" s="1">
        <f>SUM(AY52:AY56)+(AY47*(SUM(AY52:AY56)/SUM(AY48:AY56)))</f>
        <v>10089.159889055896</v>
      </c>
      <c r="AZ77" s="1">
        <f>SUM(AZ52:AZ56)+(AZ47*(SUM(AZ52:AZ56)/SUM(AZ48:AZ56)))</f>
        <v>40152.546156903722</v>
      </c>
      <c r="BA77" s="1">
        <f t="shared" ref="BA77" si="51">SUM(BA52:BA56)+(BA47*(SUM(BA52:BA56)/SUM(BA48:BA56)))</f>
        <v>9294.6905031656115</v>
      </c>
      <c r="BB77" s="771"/>
    </row>
    <row r="78" spans="1:59">
      <c r="B78" s="11" t="s">
        <v>446</v>
      </c>
      <c r="C78" s="1">
        <f t="shared" ref="C78:AV78" si="52">C57</f>
        <v>0</v>
      </c>
      <c r="D78" s="1">
        <f t="shared" si="52"/>
        <v>0</v>
      </c>
      <c r="E78" s="1">
        <f t="shared" si="52"/>
        <v>0</v>
      </c>
      <c r="F78" s="1">
        <f t="shared" si="52"/>
        <v>0</v>
      </c>
      <c r="G78" s="1">
        <f t="shared" si="52"/>
        <v>0</v>
      </c>
      <c r="H78" s="1">
        <f t="shared" si="52"/>
        <v>0</v>
      </c>
      <c r="I78" s="1">
        <f t="shared" si="52"/>
        <v>0</v>
      </c>
      <c r="J78" s="1">
        <f t="shared" si="52"/>
        <v>0</v>
      </c>
      <c r="K78" s="1">
        <f t="shared" si="52"/>
        <v>0</v>
      </c>
      <c r="L78" s="1">
        <f t="shared" si="52"/>
        <v>0</v>
      </c>
      <c r="M78" s="1">
        <f t="shared" si="52"/>
        <v>0</v>
      </c>
      <c r="N78" s="1">
        <f t="shared" si="52"/>
        <v>0</v>
      </c>
      <c r="O78" s="1">
        <f t="shared" si="52"/>
        <v>0</v>
      </c>
      <c r="P78" s="1">
        <f t="shared" si="52"/>
        <v>0</v>
      </c>
      <c r="Q78" s="1">
        <f t="shared" si="52"/>
        <v>0</v>
      </c>
      <c r="R78" s="1">
        <f t="shared" si="52"/>
        <v>0</v>
      </c>
      <c r="S78" s="1">
        <f t="shared" si="52"/>
        <v>0</v>
      </c>
      <c r="T78" s="1">
        <f t="shared" si="52"/>
        <v>0</v>
      </c>
      <c r="U78" s="1">
        <f t="shared" si="52"/>
        <v>0</v>
      </c>
      <c r="V78" s="1">
        <f t="shared" si="52"/>
        <v>0</v>
      </c>
      <c r="W78" s="1">
        <f t="shared" si="52"/>
        <v>0</v>
      </c>
      <c r="X78" s="1">
        <f t="shared" si="52"/>
        <v>0</v>
      </c>
      <c r="Y78" s="1">
        <f t="shared" si="52"/>
        <v>0</v>
      </c>
      <c r="Z78" s="1">
        <f t="shared" si="52"/>
        <v>1043.6027300000001</v>
      </c>
      <c r="AA78" s="1">
        <f t="shared" si="52"/>
        <v>1043.6027300000001</v>
      </c>
      <c r="AB78" s="1">
        <f t="shared" si="52"/>
        <v>111551.7820399995</v>
      </c>
      <c r="AC78" s="1">
        <f t="shared" si="52"/>
        <v>113354.43247000076</v>
      </c>
      <c r="AD78" s="1">
        <f t="shared" si="52"/>
        <v>90744.998459997965</v>
      </c>
      <c r="AE78" s="1">
        <f t="shared" si="52"/>
        <v>154881.37151999999</v>
      </c>
      <c r="AF78" s="1">
        <f t="shared" si="52"/>
        <v>470532.58448999823</v>
      </c>
      <c r="AG78" s="1">
        <f t="shared" si="52"/>
        <v>175051</v>
      </c>
      <c r="AH78" s="1">
        <f t="shared" si="52"/>
        <v>136766</v>
      </c>
      <c r="AI78" s="1">
        <f t="shared" si="52"/>
        <v>195148</v>
      </c>
      <c r="AJ78" s="1">
        <f t="shared" si="52"/>
        <v>242991</v>
      </c>
      <c r="AK78" s="1">
        <f t="shared" si="52"/>
        <v>749956</v>
      </c>
      <c r="AL78" s="1">
        <f t="shared" si="52"/>
        <v>306636</v>
      </c>
      <c r="AM78" s="1">
        <f t="shared" si="52"/>
        <v>281494</v>
      </c>
      <c r="AN78" s="1">
        <f t="shared" si="52"/>
        <v>352435</v>
      </c>
      <c r="AO78" s="1">
        <f t="shared" si="52"/>
        <v>340186</v>
      </c>
      <c r="AP78" s="1">
        <f t="shared" si="52"/>
        <v>1280751</v>
      </c>
      <c r="AQ78" s="1">
        <f t="shared" si="52"/>
        <v>319481</v>
      </c>
      <c r="AR78" s="1">
        <f t="shared" si="52"/>
        <v>333090</v>
      </c>
      <c r="AS78" s="1">
        <f t="shared" si="52"/>
        <v>340806</v>
      </c>
      <c r="AT78" s="1">
        <f t="shared" si="52"/>
        <v>366715</v>
      </c>
      <c r="AU78" s="1">
        <f t="shared" si="52"/>
        <v>1360092</v>
      </c>
      <c r="AV78" s="1">
        <f t="shared" si="52"/>
        <v>388581</v>
      </c>
      <c r="AW78" s="1">
        <f>AW57</f>
        <v>401426</v>
      </c>
      <c r="AX78" s="1">
        <f>AX57</f>
        <v>495901</v>
      </c>
      <c r="AY78" s="1">
        <f>AY57</f>
        <v>476519</v>
      </c>
      <c r="AZ78" s="1">
        <f>AZ57</f>
        <v>1762427</v>
      </c>
      <c r="BA78" s="1">
        <f t="shared" ref="BA78" si="53">BA57</f>
        <v>454720</v>
      </c>
      <c r="BB78" s="771"/>
    </row>
    <row r="79" spans="1:59">
      <c r="B79" s="11" t="s">
        <v>554</v>
      </c>
      <c r="C79" s="1">
        <f t="shared" ref="C79:AV79" si="54">C68</f>
        <v>-1418</v>
      </c>
      <c r="D79" s="1">
        <f t="shared" si="54"/>
        <v>2676</v>
      </c>
      <c r="E79" s="1">
        <f t="shared" si="54"/>
        <v>5838.2842000000046</v>
      </c>
      <c r="F79" s="1">
        <f t="shared" si="54"/>
        <v>7007.7157999999954</v>
      </c>
      <c r="G79" s="1">
        <f t="shared" si="54"/>
        <v>14104</v>
      </c>
      <c r="H79" s="1">
        <f t="shared" si="54"/>
        <v>4216.8194699999985</v>
      </c>
      <c r="I79" s="1">
        <f t="shared" si="54"/>
        <v>7007.4345200000016</v>
      </c>
      <c r="J79" s="1">
        <f t="shared" si="54"/>
        <v>6577.1029199999975</v>
      </c>
      <c r="K79" s="1">
        <f t="shared" si="54"/>
        <v>6446.7443500000008</v>
      </c>
      <c r="L79" s="1">
        <f t="shared" si="54"/>
        <v>24248.101259999999</v>
      </c>
      <c r="M79" s="1">
        <f t="shared" si="54"/>
        <v>2734.3223500000004</v>
      </c>
      <c r="N79" s="1">
        <f t="shared" si="54"/>
        <v>6629.0339199999999</v>
      </c>
      <c r="O79" s="1">
        <f t="shared" si="54"/>
        <v>6871.9531700000007</v>
      </c>
      <c r="P79" s="1">
        <f t="shared" si="54"/>
        <v>7660.0473200000015</v>
      </c>
      <c r="Q79" s="1">
        <f t="shared" si="54"/>
        <v>23895.356760000002</v>
      </c>
      <c r="R79" s="1">
        <f t="shared" si="54"/>
        <v>4140</v>
      </c>
      <c r="S79" s="1">
        <f t="shared" si="54"/>
        <v>13238</v>
      </c>
      <c r="T79" s="1">
        <f t="shared" si="54"/>
        <v>12216</v>
      </c>
      <c r="U79" s="1">
        <f t="shared" si="54"/>
        <v>5349.4627</v>
      </c>
      <c r="V79" s="1">
        <f t="shared" si="54"/>
        <v>34943.462700000004</v>
      </c>
      <c r="W79" s="1">
        <f t="shared" si="54"/>
        <v>4647</v>
      </c>
      <c r="X79" s="1">
        <f t="shared" si="54"/>
        <v>5912</v>
      </c>
      <c r="Y79" s="1">
        <f t="shared" si="54"/>
        <v>3792</v>
      </c>
      <c r="Z79" s="1">
        <f t="shared" si="54"/>
        <v>5991</v>
      </c>
      <c r="AA79" s="1">
        <f t="shared" si="54"/>
        <v>20342</v>
      </c>
      <c r="AB79" s="1">
        <f t="shared" si="54"/>
        <v>-180</v>
      </c>
      <c r="AC79" s="1">
        <f t="shared" si="54"/>
        <v>2445.7324400000002</v>
      </c>
      <c r="AD79" s="1">
        <f t="shared" si="54"/>
        <v>5010.3281799999995</v>
      </c>
      <c r="AE79" s="1">
        <f t="shared" si="54"/>
        <v>3296.5590000000002</v>
      </c>
      <c r="AF79" s="1">
        <f t="shared" si="54"/>
        <v>10572.619619999999</v>
      </c>
      <c r="AG79" s="1">
        <f t="shared" si="54"/>
        <v>14033</v>
      </c>
      <c r="AH79" s="1">
        <f t="shared" si="54"/>
        <v>21274</v>
      </c>
      <c r="AI79" s="1">
        <f t="shared" si="54"/>
        <v>28936</v>
      </c>
      <c r="AJ79" s="1">
        <f t="shared" si="54"/>
        <v>34172</v>
      </c>
      <c r="AK79" s="1">
        <f t="shared" si="54"/>
        <v>98415</v>
      </c>
      <c r="AL79" s="1">
        <f t="shared" si="54"/>
        <v>15190</v>
      </c>
      <c r="AM79" s="1">
        <f t="shared" si="54"/>
        <v>31847</v>
      </c>
      <c r="AN79" s="1">
        <f t="shared" si="54"/>
        <v>31428</v>
      </c>
      <c r="AO79" s="1">
        <f t="shared" si="54"/>
        <v>34934</v>
      </c>
      <c r="AP79" s="1">
        <f t="shared" si="54"/>
        <v>113399</v>
      </c>
      <c r="AQ79" s="1">
        <f t="shared" si="54"/>
        <v>-7470</v>
      </c>
      <c r="AR79" s="1">
        <f t="shared" si="54"/>
        <v>17507</v>
      </c>
      <c r="AS79" s="1">
        <f t="shared" si="54"/>
        <v>28914.450649999999</v>
      </c>
      <c r="AT79" s="1">
        <f t="shared" si="54"/>
        <v>34867.748619999998</v>
      </c>
      <c r="AU79" s="1">
        <f t="shared" si="54"/>
        <v>73819.199269999997</v>
      </c>
      <c r="AV79" s="1">
        <f t="shared" si="54"/>
        <v>28460.373460000003</v>
      </c>
      <c r="AW79" s="1">
        <f>AW68</f>
        <v>45253.123450000006</v>
      </c>
      <c r="AX79" s="1">
        <f>AX68</f>
        <v>50808.528150000013</v>
      </c>
      <c r="AY79" s="1">
        <f>AY68</f>
        <v>56630.061600000001</v>
      </c>
      <c r="AZ79" s="1">
        <f>AZ68</f>
        <v>181152.08666000003</v>
      </c>
      <c r="BA79" s="1">
        <f t="shared" ref="BA79" si="55">BA68</f>
        <v>28455.010460000005</v>
      </c>
      <c r="BB79" s="771"/>
    </row>
    <row r="80" spans="1:59" s="100" customFormat="1">
      <c r="A80" s="2"/>
      <c r="B80" s="2" t="s">
        <v>555</v>
      </c>
      <c r="C80" s="3">
        <f t="shared" ref="C80:AV80" si="56">C65</f>
        <v>17999</v>
      </c>
      <c r="D80" s="3">
        <f t="shared" si="56"/>
        <v>15542</v>
      </c>
      <c r="E80" s="3">
        <f t="shared" si="56"/>
        <v>16723</v>
      </c>
      <c r="F80" s="3">
        <f t="shared" si="56"/>
        <v>8097</v>
      </c>
      <c r="G80" s="3">
        <f t="shared" si="56"/>
        <v>58361</v>
      </c>
      <c r="H80" s="3">
        <f t="shared" si="56"/>
        <v>17954.89662</v>
      </c>
      <c r="I80" s="3">
        <f t="shared" si="56"/>
        <v>18013.635249999999</v>
      </c>
      <c r="J80" s="3">
        <f t="shared" si="56"/>
        <v>17602.49626</v>
      </c>
      <c r="K80" s="3">
        <f t="shared" si="56"/>
        <v>14119.95861</v>
      </c>
      <c r="L80" s="3">
        <f t="shared" si="56"/>
        <v>67690.986739999993</v>
      </c>
      <c r="M80" s="3">
        <f t="shared" si="56"/>
        <v>16062.434219999999</v>
      </c>
      <c r="N80" s="3">
        <f t="shared" si="56"/>
        <v>7431.5638099999996</v>
      </c>
      <c r="O80" s="3">
        <f t="shared" si="56"/>
        <v>9942.4466499999999</v>
      </c>
      <c r="P80" s="3">
        <f t="shared" si="56"/>
        <v>14178.31364</v>
      </c>
      <c r="Q80" s="3">
        <f t="shared" si="56"/>
        <v>47614.758320000001</v>
      </c>
      <c r="R80" s="3">
        <f t="shared" si="56"/>
        <v>12958.774520000001</v>
      </c>
      <c r="S80" s="3">
        <f t="shared" si="56"/>
        <v>12782.454229999999</v>
      </c>
      <c r="T80" s="3">
        <f t="shared" si="56"/>
        <v>12328.77125</v>
      </c>
      <c r="U80" s="3">
        <f t="shared" si="56"/>
        <v>10052.326849999999</v>
      </c>
      <c r="V80" s="3">
        <f t="shared" si="56"/>
        <v>48122.326849999998</v>
      </c>
      <c r="W80" s="3">
        <f t="shared" si="56"/>
        <v>-9616</v>
      </c>
      <c r="X80" s="3">
        <f t="shared" si="56"/>
        <v>8615.5306600000004</v>
      </c>
      <c r="Y80" s="3">
        <f t="shared" si="56"/>
        <v>6707</v>
      </c>
      <c r="Z80" s="3">
        <f t="shared" si="56"/>
        <v>14420</v>
      </c>
      <c r="AA80" s="3">
        <f t="shared" si="56"/>
        <v>20126.53066</v>
      </c>
      <c r="AB80" s="3">
        <f t="shared" si="56"/>
        <v>6276</v>
      </c>
      <c r="AC80" s="3">
        <f t="shared" si="56"/>
        <v>11081</v>
      </c>
      <c r="AD80" s="3">
        <f t="shared" si="56"/>
        <v>4780.2516299999997</v>
      </c>
      <c r="AE80" s="3">
        <f t="shared" si="56"/>
        <v>13053</v>
      </c>
      <c r="AF80" s="3">
        <f t="shared" si="56"/>
        <v>35190.251629999999</v>
      </c>
      <c r="AG80" s="3">
        <f t="shared" si="56"/>
        <v>26171</v>
      </c>
      <c r="AH80" s="3">
        <f t="shared" si="56"/>
        <v>26748</v>
      </c>
      <c r="AI80" s="3">
        <f t="shared" si="56"/>
        <v>36169</v>
      </c>
      <c r="AJ80" s="3">
        <f t="shared" si="56"/>
        <v>41628</v>
      </c>
      <c r="AK80" s="3">
        <f t="shared" si="56"/>
        <v>130716</v>
      </c>
      <c r="AL80" s="3">
        <f t="shared" si="56"/>
        <v>40068</v>
      </c>
      <c r="AM80" s="3">
        <f t="shared" si="56"/>
        <v>43750</v>
      </c>
      <c r="AN80" s="3">
        <f t="shared" si="56"/>
        <v>53773</v>
      </c>
      <c r="AO80" s="3">
        <f t="shared" si="56"/>
        <v>48848.008999999998</v>
      </c>
      <c r="AP80" s="3">
        <f t="shared" si="56"/>
        <v>186439.00899999999</v>
      </c>
      <c r="AQ80" s="3">
        <f t="shared" si="56"/>
        <v>45873.45</v>
      </c>
      <c r="AR80" s="3">
        <f t="shared" si="56"/>
        <v>49173</v>
      </c>
      <c r="AS80" s="3">
        <f t="shared" si="56"/>
        <v>51420.553</v>
      </c>
      <c r="AT80" s="3">
        <f t="shared" si="56"/>
        <v>54793.239000000001</v>
      </c>
      <c r="AU80" s="3">
        <f t="shared" si="56"/>
        <v>201260.242</v>
      </c>
      <c r="AV80" s="3">
        <f t="shared" si="56"/>
        <v>54074</v>
      </c>
      <c r="AW80" s="3">
        <f>AW65</f>
        <v>60442</v>
      </c>
      <c r="AX80" s="3">
        <f>AX65</f>
        <v>72458</v>
      </c>
      <c r="AY80" s="3">
        <f>AY65</f>
        <v>64281</v>
      </c>
      <c r="AZ80" s="3">
        <f>AZ65</f>
        <v>251255</v>
      </c>
      <c r="BA80" s="3">
        <f t="shared" ref="BA80" si="57">BA65</f>
        <v>65450.764000000003</v>
      </c>
      <c r="BB80" s="771"/>
    </row>
    <row r="81" spans="1:60">
      <c r="BB81" s="771"/>
    </row>
    <row r="82" spans="1:60">
      <c r="C82" s="173">
        <v>0</v>
      </c>
      <c r="D82" s="173">
        <v>0</v>
      </c>
      <c r="E82" s="173">
        <v>0</v>
      </c>
      <c r="F82" s="173">
        <v>0</v>
      </c>
      <c r="G82" s="173">
        <v>0</v>
      </c>
      <c r="H82" s="173">
        <v>0</v>
      </c>
      <c r="I82" s="173">
        <v>0</v>
      </c>
      <c r="J82" s="173">
        <v>0</v>
      </c>
      <c r="K82" s="173">
        <v>0</v>
      </c>
      <c r="L82" s="173">
        <v>0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0</v>
      </c>
      <c r="S82" s="173">
        <v>0</v>
      </c>
      <c r="T82" s="173">
        <v>0</v>
      </c>
      <c r="U82" s="173">
        <v>0</v>
      </c>
      <c r="V82" s="173">
        <v>0</v>
      </c>
      <c r="W82" s="173">
        <v>0</v>
      </c>
      <c r="X82" s="173">
        <v>0</v>
      </c>
      <c r="Y82" s="173">
        <v>0</v>
      </c>
      <c r="Z82" s="173">
        <v>0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  <c r="AF82" s="173">
        <v>0</v>
      </c>
      <c r="AG82" s="173"/>
      <c r="AH82" s="173"/>
      <c r="AI82" s="173"/>
      <c r="AJ82" s="173"/>
      <c r="AK82" s="173">
        <f>AK73-SUM(AK68,AK65,AK57,AK46)</f>
        <v>0</v>
      </c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</row>
    <row r="83" spans="1:60" s="100" customFormat="1">
      <c r="A83" s="28"/>
      <c r="B83" s="624" t="s">
        <v>444</v>
      </c>
      <c r="C83" s="624" t="s">
        <v>224</v>
      </c>
      <c r="D83" s="624" t="s">
        <v>225</v>
      </c>
      <c r="E83" s="624" t="s">
        <v>226</v>
      </c>
      <c r="F83" s="624" t="s">
        <v>227</v>
      </c>
      <c r="G83" s="624">
        <v>2016</v>
      </c>
      <c r="H83" s="624" t="s">
        <v>228</v>
      </c>
      <c r="I83" s="624" t="s">
        <v>229</v>
      </c>
      <c r="J83" s="624" t="s">
        <v>230</v>
      </c>
      <c r="K83" s="624" t="s">
        <v>231</v>
      </c>
      <c r="L83" s="624">
        <v>2017</v>
      </c>
      <c r="M83" s="624" t="s">
        <v>232</v>
      </c>
      <c r="N83" s="624" t="s">
        <v>233</v>
      </c>
      <c r="O83" s="624" t="s">
        <v>234</v>
      </c>
      <c r="P83" s="624" t="s">
        <v>235</v>
      </c>
      <c r="Q83" s="624">
        <v>2018</v>
      </c>
      <c r="R83" s="624" t="s">
        <v>236</v>
      </c>
      <c r="S83" s="624" t="s">
        <v>237</v>
      </c>
      <c r="T83" s="624" t="s">
        <v>238</v>
      </c>
      <c r="U83" s="624" t="s">
        <v>239</v>
      </c>
      <c r="V83" s="624">
        <v>2019</v>
      </c>
      <c r="W83" s="624" t="s">
        <v>240</v>
      </c>
      <c r="X83" s="624" t="s">
        <v>241</v>
      </c>
      <c r="Y83" s="624" t="s">
        <v>242</v>
      </c>
      <c r="Z83" s="624" t="s">
        <v>243</v>
      </c>
      <c r="AA83" s="624">
        <v>2020</v>
      </c>
      <c r="AB83" s="624" t="s">
        <v>244</v>
      </c>
      <c r="AC83" s="624" t="s">
        <v>245</v>
      </c>
      <c r="AD83" s="624" t="s">
        <v>246</v>
      </c>
      <c r="AE83" s="624" t="s">
        <v>247</v>
      </c>
      <c r="AF83" s="624">
        <v>2021</v>
      </c>
      <c r="AG83" s="624" t="s">
        <v>248</v>
      </c>
      <c r="AH83" s="624" t="s">
        <v>249</v>
      </c>
      <c r="AI83" s="624" t="s">
        <v>250</v>
      </c>
      <c r="AJ83" s="624" t="s">
        <v>215</v>
      </c>
      <c r="AK83" s="624">
        <v>2022</v>
      </c>
      <c r="AL83" s="624" t="s">
        <v>252</v>
      </c>
      <c r="AM83" s="624" t="s">
        <v>253</v>
      </c>
      <c r="AN83" s="624" t="s">
        <v>254</v>
      </c>
      <c r="AO83" s="624" t="s">
        <v>219</v>
      </c>
      <c r="AP83" s="624">
        <v>2023</v>
      </c>
      <c r="AQ83" s="624" t="s">
        <v>223</v>
      </c>
      <c r="AR83" s="624" t="s">
        <v>256</v>
      </c>
      <c r="AS83" s="624" t="s">
        <v>357</v>
      </c>
      <c r="AT83" s="624" t="s">
        <v>358</v>
      </c>
      <c r="AU83" s="624">
        <v>2024</v>
      </c>
      <c r="AV83" s="624" t="s">
        <v>359</v>
      </c>
      <c r="AW83" s="624" t="s">
        <v>1115</v>
      </c>
      <c r="AX83" s="624" t="s">
        <v>1116</v>
      </c>
      <c r="AY83" s="624" t="s">
        <v>1117</v>
      </c>
      <c r="AZ83" s="782">
        <v>2025</v>
      </c>
      <c r="BA83" s="783" t="s">
        <v>1124</v>
      </c>
      <c r="BD83" s="773"/>
    </row>
    <row r="84" spans="1:60" s="100" customFormat="1">
      <c r="A84" s="9"/>
      <c r="B84" s="9" t="str">
        <f t="shared" ref="B84:B108" si="58">B46</f>
        <v>Antiga Parceria CAIXA</v>
      </c>
      <c r="C84" s="76">
        <f t="shared" ref="C84:AV84" si="59">SUM(C85:C94)</f>
        <v>-119432.91665000001</v>
      </c>
      <c r="D84" s="76">
        <f t="shared" si="59"/>
        <v>-127590.68541999998</v>
      </c>
      <c r="E84" s="76">
        <f t="shared" si="59"/>
        <v>-132570.88521000007</v>
      </c>
      <c r="F84" s="76">
        <f t="shared" si="59"/>
        <v>-149309.08539000017</v>
      </c>
      <c r="G84" s="76">
        <f t="shared" si="59"/>
        <v>-528903.57267000014</v>
      </c>
      <c r="H84" s="76">
        <f t="shared" si="59"/>
        <v>-134483.11661999999</v>
      </c>
      <c r="I84" s="76">
        <f t="shared" si="59"/>
        <v>-149172.8419099999</v>
      </c>
      <c r="J84" s="76">
        <f t="shared" si="59"/>
        <v>-154687.73621999996</v>
      </c>
      <c r="K84" s="76">
        <f t="shared" si="59"/>
        <v>-199813.41938000018</v>
      </c>
      <c r="L84" s="76">
        <f t="shared" si="59"/>
        <v>-638157.11413000023</v>
      </c>
      <c r="M84" s="76">
        <f t="shared" si="59"/>
        <v>-160030.90247</v>
      </c>
      <c r="N84" s="76">
        <f t="shared" si="59"/>
        <v>-180520.15635000006</v>
      </c>
      <c r="O84" s="76">
        <f t="shared" si="59"/>
        <v>-226999.73832999993</v>
      </c>
      <c r="P84" s="76">
        <f t="shared" si="59"/>
        <v>-234600.78202000016</v>
      </c>
      <c r="Q84" s="76">
        <f t="shared" si="59"/>
        <v>-802151.57917000027</v>
      </c>
      <c r="R84" s="76">
        <f t="shared" si="59"/>
        <v>-179139.89839999995</v>
      </c>
      <c r="S84" s="76">
        <f t="shared" si="59"/>
        <v>-186978.87837000011</v>
      </c>
      <c r="T84" s="76">
        <f t="shared" si="59"/>
        <v>-200474.34008999995</v>
      </c>
      <c r="U84" s="76">
        <f t="shared" si="59"/>
        <v>-267304.41094999999</v>
      </c>
      <c r="V84" s="76">
        <f t="shared" si="59"/>
        <v>-833897.52781</v>
      </c>
      <c r="W84" s="76">
        <f t="shared" si="59"/>
        <v>-184816.39759000018</v>
      </c>
      <c r="X84" s="76">
        <f t="shared" si="59"/>
        <v>-208379.88842999982</v>
      </c>
      <c r="Y84" s="76">
        <f t="shared" si="59"/>
        <v>-207721.66358999987</v>
      </c>
      <c r="Z84" s="76">
        <f t="shared" si="59"/>
        <v>-222853.44560000044</v>
      </c>
      <c r="AA84" s="76">
        <f t="shared" si="59"/>
        <v>-823771.39521000034</v>
      </c>
      <c r="AB84" s="76">
        <f t="shared" si="59"/>
        <v>-131808.42168000003</v>
      </c>
      <c r="AC84" s="76">
        <f t="shared" si="59"/>
        <v>-153356.75338000013</v>
      </c>
      <c r="AD84" s="76">
        <f t="shared" si="59"/>
        <v>-135775.22715999986</v>
      </c>
      <c r="AE84" s="76">
        <f t="shared" si="59"/>
        <v>-101862.24945999998</v>
      </c>
      <c r="AF84" s="76">
        <f t="shared" si="59"/>
        <v>-522802.65168000001</v>
      </c>
      <c r="AG84" s="76">
        <f t="shared" si="59"/>
        <v>-123872.03109999999</v>
      </c>
      <c r="AH84" s="76">
        <f t="shared" si="59"/>
        <v>-135882.69792000001</v>
      </c>
      <c r="AI84" s="76">
        <f t="shared" si="59"/>
        <v>-143146</v>
      </c>
      <c r="AJ84" s="76">
        <f t="shared" si="59"/>
        <v>-133270.98371</v>
      </c>
      <c r="AK84" s="76">
        <f t="shared" si="59"/>
        <v>-536171.71273000003</v>
      </c>
      <c r="AL84" s="76">
        <f t="shared" si="59"/>
        <v>-86797</v>
      </c>
      <c r="AM84" s="76">
        <f t="shared" si="59"/>
        <v>-92072</v>
      </c>
      <c r="AN84" s="76">
        <f t="shared" si="59"/>
        <v>-89961</v>
      </c>
      <c r="AO84" s="76">
        <f t="shared" si="59"/>
        <v>-112710</v>
      </c>
      <c r="AP84" s="76">
        <f t="shared" si="59"/>
        <v>-381540</v>
      </c>
      <c r="AQ84" s="76">
        <f t="shared" si="59"/>
        <v>-89301</v>
      </c>
      <c r="AR84" s="76">
        <f t="shared" si="59"/>
        <v>-86003</v>
      </c>
      <c r="AS84" s="76">
        <f t="shared" si="59"/>
        <v>-80275</v>
      </c>
      <c r="AT84" s="76">
        <f t="shared" si="59"/>
        <v>-106182</v>
      </c>
      <c r="AU84" s="76">
        <f t="shared" si="59"/>
        <v>-361761</v>
      </c>
      <c r="AV84" s="76">
        <f t="shared" si="59"/>
        <v>-97003.010999999999</v>
      </c>
      <c r="AW84" s="76">
        <f>SUM(AW85:AW94)</f>
        <v>-76999.095000000001</v>
      </c>
      <c r="AX84" s="76">
        <f>SUM(AX85:AX94)</f>
        <v>-93179</v>
      </c>
      <c r="AY84" s="76">
        <f>SUM(AY85:AY94)</f>
        <v>-106642</v>
      </c>
      <c r="AZ84" s="76">
        <f>SUM(AZ85:AZ94)</f>
        <v>-373823.10600000003</v>
      </c>
      <c r="BA84" s="76">
        <f t="shared" ref="BA84" si="60">SUM(BA85:BA94)</f>
        <v>-94738</v>
      </c>
      <c r="BD84" s="773"/>
      <c r="BG84" s="771"/>
    </row>
    <row r="85" spans="1:60">
      <c r="B85" t="str">
        <f t="shared" si="58"/>
        <v>CNP SEGUROS HOLDING</v>
      </c>
      <c r="C85" s="1">
        <f>'DRE ANTIGA PARCERIA CAIXA'!C266</f>
        <v>-2759.2438599999996</v>
      </c>
      <c r="D85" s="1">
        <f>'DRE ANTIGA PARCERIA CAIXA'!D266</f>
        <v>-2822.7533800000019</v>
      </c>
      <c r="E85" s="1">
        <f>'DRE ANTIGA PARCERIA CAIXA'!E266</f>
        <v>-1456.6792299999979</v>
      </c>
      <c r="F85" s="1">
        <f>'DRE ANTIGA PARCERIA CAIXA'!F266</f>
        <v>-1408.4289600000002</v>
      </c>
      <c r="G85" s="1">
        <f>'DRE ANTIGA PARCERIA CAIXA'!G266</f>
        <v>-8447.1054299999996</v>
      </c>
      <c r="H85" s="1">
        <f>'DRE ANTIGA PARCERIA CAIXA'!H266</f>
        <v>-1942.2862900000005</v>
      </c>
      <c r="I85" s="1">
        <f>'DRE ANTIGA PARCERIA CAIXA'!I266</f>
        <v>-3661.3099499999994</v>
      </c>
      <c r="J85" s="1">
        <f>'DRE ANTIGA PARCERIA CAIXA'!J266</f>
        <v>-2399.1628599999995</v>
      </c>
      <c r="K85" s="1">
        <f>'DRE ANTIGA PARCERIA CAIXA'!K266</f>
        <v>-1671.9442499999986</v>
      </c>
      <c r="L85" s="1">
        <f>'DRE ANTIGA PARCERIA CAIXA'!L266</f>
        <v>-9674.703349999998</v>
      </c>
      <c r="M85" s="1">
        <f>'DRE ANTIGA PARCERIA CAIXA'!M266</f>
        <v>-2676.2606600000004</v>
      </c>
      <c r="N85" s="1">
        <f>'DRE ANTIGA PARCERIA CAIXA'!N266</f>
        <v>-5602.0413800000024</v>
      </c>
      <c r="O85" s="1">
        <f>'DRE ANTIGA PARCERIA CAIXA'!O266</f>
        <v>-14006.898199999978</v>
      </c>
      <c r="P85" s="1">
        <f>'DRE ANTIGA PARCERIA CAIXA'!P266</f>
        <v>-5072.0920300000143</v>
      </c>
      <c r="Q85" s="1">
        <f>'DRE ANTIGA PARCERIA CAIXA'!Q266</f>
        <v>-27357.292269999994</v>
      </c>
      <c r="R85" s="1">
        <f>'DRE ANTIGA PARCERIA CAIXA'!R266</f>
        <v>-2948.7960599999992</v>
      </c>
      <c r="S85" s="1">
        <f>'DRE ANTIGA PARCERIA CAIXA'!S266</f>
        <v>-4632.06646</v>
      </c>
      <c r="T85" s="1">
        <f>'DRE ANTIGA PARCERIA CAIXA'!T266</f>
        <v>-4047.4921100000047</v>
      </c>
      <c r="U85" s="1">
        <f>'DRE ANTIGA PARCERIA CAIXA'!U266</f>
        <v>-9124.1501900000058</v>
      </c>
      <c r="V85" s="1">
        <f>'DRE ANTIGA PARCERIA CAIXA'!V266</f>
        <v>-20752.504820000009</v>
      </c>
      <c r="W85" s="1">
        <f>'DRE ANTIGA PARCERIA CAIXA'!W266</f>
        <v>-3404.5684299999994</v>
      </c>
      <c r="X85" s="1">
        <f>'DRE ANTIGA PARCERIA CAIXA'!X266</f>
        <v>-5894.6183200000014</v>
      </c>
      <c r="Y85" s="1">
        <f>'DRE ANTIGA PARCERIA CAIXA'!Y266</f>
        <v>-4347.0529600000009</v>
      </c>
      <c r="Z85" s="1">
        <f>'DRE ANTIGA PARCERIA CAIXA'!Z266</f>
        <v>-6299.5771999999997</v>
      </c>
      <c r="AA85" s="1">
        <f>'DRE ANTIGA PARCERIA CAIXA'!AA266</f>
        <v>-19945.816910000001</v>
      </c>
      <c r="AB85" s="1">
        <f>'DRE ANTIGA PARCERIA CAIXA'!AB266</f>
        <v>-20274.716919999995</v>
      </c>
      <c r="AC85" s="1">
        <f>'DRE ANTIGA PARCERIA CAIXA'!AC266</f>
        <v>-23482.913780000006</v>
      </c>
      <c r="AD85" s="1">
        <f>'DRE ANTIGA PARCERIA CAIXA'!AD266</f>
        <v>-27594.750200000002</v>
      </c>
      <c r="AE85" s="1">
        <f>'DRE ANTIGA PARCERIA CAIXA'!AE266</f>
        <v>-11167.372289999978</v>
      </c>
      <c r="AF85" s="1">
        <f>'DRE ANTIGA PARCERIA CAIXA'!AF266</f>
        <v>-82519.753189999989</v>
      </c>
      <c r="AG85" s="1">
        <f>'DRE ANTIGA PARCERIA CAIXA'!AG266</f>
        <v>-5402</v>
      </c>
      <c r="AH85" s="1">
        <f>'DRE ANTIGA PARCERIA CAIXA'!AH266</f>
        <v>-7902</v>
      </c>
      <c r="AI85" s="1">
        <f>'DRE ANTIGA PARCERIA CAIXA'!AI266</f>
        <v>-11975</v>
      </c>
      <c r="AJ85" s="1">
        <f>'DRE ANTIGA PARCERIA CAIXA'!AJ266</f>
        <v>-8807</v>
      </c>
      <c r="AK85" s="1">
        <f>'DRE ANTIGA PARCERIA CAIXA'!AK266</f>
        <v>-34086</v>
      </c>
      <c r="AL85" s="1">
        <f>'DRE ANTIGA PARCERIA CAIXA'!AL266</f>
        <v>-3635</v>
      </c>
      <c r="AM85" s="1">
        <f>'DRE ANTIGA PARCERIA CAIXA'!AM266</f>
        <v>-4079</v>
      </c>
      <c r="AN85" s="1">
        <f>'DRE ANTIGA PARCERIA CAIXA'!AN266</f>
        <v>-5294</v>
      </c>
      <c r="AO85" s="1">
        <f>'DRE ANTIGA PARCERIA CAIXA'!AO266</f>
        <v>-1876</v>
      </c>
      <c r="AP85" s="1">
        <f>'DRE ANTIGA PARCERIA CAIXA'!AP266</f>
        <v>-14884</v>
      </c>
      <c r="AQ85" s="1">
        <f>'DRE ANTIGA PARCERIA CAIXA'!AQ266</f>
        <v>-1857</v>
      </c>
      <c r="AR85" s="1">
        <f>'DRE ANTIGA PARCERIA CAIXA'!AR266</f>
        <v>-1052</v>
      </c>
      <c r="AS85" s="1">
        <f>'DRE ANTIGA PARCERIA CAIXA'!AS266</f>
        <v>-1055</v>
      </c>
      <c r="AT85" s="1">
        <f>'DRE ANTIGA PARCERIA CAIXA'!AT266</f>
        <v>-1654</v>
      </c>
      <c r="AU85" s="1">
        <f>'DRE ANTIGA PARCERIA CAIXA'!AU266</f>
        <v>-5618</v>
      </c>
      <c r="AV85" s="1">
        <f>'DRE ANTIGA PARCERIA CAIXA'!AV266</f>
        <v>-3740</v>
      </c>
      <c r="AW85" s="1">
        <f>'DRE ANTIGA PARCERIA CAIXA'!AW266</f>
        <v>-2057</v>
      </c>
      <c r="AX85" s="1">
        <f>'DRE ANTIGA PARCERIA CAIXA'!AX266</f>
        <v>-1301</v>
      </c>
      <c r="AY85" s="1">
        <f>'DRE ANTIGA PARCERIA CAIXA'!AY266</f>
        <v>-1538</v>
      </c>
      <c r="AZ85" s="1">
        <f>'DRE ANTIGA PARCERIA CAIXA'!AZ266</f>
        <v>-8636</v>
      </c>
      <c r="BA85" s="1">
        <f>'DRE ANTIGA PARCERIA CAIXA'!BA266</f>
        <v>54</v>
      </c>
      <c r="BG85" s="171"/>
      <c r="BH85" s="189"/>
    </row>
    <row r="86" spans="1:60">
      <c r="B86" t="str">
        <f t="shared" si="58"/>
        <v>CNP Seguradora</v>
      </c>
      <c r="C86" s="1">
        <f>'DRE ANTIGA PARCERIA CAIXA'!C39</f>
        <v>-70928.000950000001</v>
      </c>
      <c r="D86" s="1">
        <f>'DRE ANTIGA PARCERIA CAIXA'!D39</f>
        <v>-77502.037150000004</v>
      </c>
      <c r="E86" s="1">
        <f>'DRE ANTIGA PARCERIA CAIXA'!E39</f>
        <v>-86545.168430000049</v>
      </c>
      <c r="F86" s="1">
        <f>'DRE ANTIGA PARCERIA CAIXA'!F39</f>
        <v>-99054.721350000211</v>
      </c>
      <c r="G86" s="1">
        <f>'DRE ANTIGA PARCERIA CAIXA'!G39</f>
        <v>-334029.92788000026</v>
      </c>
      <c r="H86" s="1">
        <f>'DRE ANTIGA PARCERIA CAIXA'!H39</f>
        <v>-89838.383690000002</v>
      </c>
      <c r="I86" s="1">
        <f>'DRE ANTIGA PARCERIA CAIXA'!I39</f>
        <v>-104340.75329999994</v>
      </c>
      <c r="J86" s="1">
        <f>'DRE ANTIGA PARCERIA CAIXA'!J39</f>
        <v>-109800.72200000004</v>
      </c>
      <c r="K86" s="1">
        <f>'DRE ANTIGA PARCERIA CAIXA'!K39</f>
        <v>-148365.53728000016</v>
      </c>
      <c r="L86" s="1">
        <f>'DRE ANTIGA PARCERIA CAIXA'!L39</f>
        <v>-452345.39627000014</v>
      </c>
      <c r="M86" s="1">
        <f>'DRE ANTIGA PARCERIA CAIXA'!M39</f>
        <v>-103248.17666999999</v>
      </c>
      <c r="N86" s="1">
        <f>'DRE ANTIGA PARCERIA CAIXA'!N39</f>
        <v>-117881.45956000008</v>
      </c>
      <c r="O86" s="1">
        <f>'DRE ANTIGA PARCERIA CAIXA'!O39</f>
        <v>-150999.30522999994</v>
      </c>
      <c r="P86" s="1">
        <f>'DRE ANTIGA PARCERIA CAIXA'!P39</f>
        <v>-160334.23338000011</v>
      </c>
      <c r="Q86" s="1">
        <f>'DRE ANTIGA PARCERIA CAIXA'!Q39</f>
        <v>-532463.17484000011</v>
      </c>
      <c r="R86" s="1">
        <f>'DRE ANTIGA PARCERIA CAIXA'!R39</f>
        <v>-116559.23077999994</v>
      </c>
      <c r="S86" s="1">
        <f>'DRE ANTIGA PARCERIA CAIXA'!S39</f>
        <v>-122156.36344000006</v>
      </c>
      <c r="T86" s="1">
        <f>'DRE ANTIGA PARCERIA CAIXA'!T39</f>
        <v>-131970.01174999998</v>
      </c>
      <c r="U86" s="1">
        <f>'DRE ANTIGA PARCERIA CAIXA'!U39</f>
        <v>-184935.63331999996</v>
      </c>
      <c r="V86" s="1">
        <f>'DRE ANTIGA PARCERIA CAIXA'!V39</f>
        <v>-555621.23928999994</v>
      </c>
      <c r="W86" s="1">
        <f>'DRE ANTIGA PARCERIA CAIXA'!W39</f>
        <v>-123632.65599000014</v>
      </c>
      <c r="X86" s="1">
        <f>'DRE ANTIGA PARCERIA CAIXA'!X39</f>
        <v>-139571.51198999982</v>
      </c>
      <c r="Y86" s="1">
        <f>'DRE ANTIGA PARCERIA CAIXA'!Y39</f>
        <v>-105159.89611999987</v>
      </c>
      <c r="Z86" s="1">
        <f>'DRE ANTIGA PARCERIA CAIXA'!Z39</f>
        <v>-107456.66510000022</v>
      </c>
      <c r="AA86" s="1">
        <f>'DRE ANTIGA PARCERIA CAIXA'!AA39</f>
        <v>-475820.72920000006</v>
      </c>
      <c r="AB86" s="1">
        <f>'DRE ANTIGA PARCERIA CAIXA'!AB39</f>
        <v>-63485.886420000017</v>
      </c>
      <c r="AC86" s="1">
        <f>'DRE ANTIGA PARCERIA CAIXA'!AC39</f>
        <v>-85701.291090000101</v>
      </c>
      <c r="AD86" s="1">
        <f>'DRE ANTIGA PARCERIA CAIXA'!AD39</f>
        <v>-68481.405349999899</v>
      </c>
      <c r="AE86" s="1">
        <f>'DRE ANTIGA PARCERIA CAIXA'!AE39</f>
        <v>-43972</v>
      </c>
      <c r="AF86" s="1">
        <f>'DRE ANTIGA PARCERIA CAIXA'!AF39</f>
        <v>-261640.58286000002</v>
      </c>
      <c r="AG86" s="1">
        <f>'DRE ANTIGA PARCERIA CAIXA'!AG39</f>
        <v>-77918</v>
      </c>
      <c r="AH86" s="1">
        <f>'DRE ANTIGA PARCERIA CAIXA'!AH39</f>
        <v>-87779</v>
      </c>
      <c r="AI86" s="1">
        <f>'DRE ANTIGA PARCERIA CAIXA'!AI39</f>
        <v>-82012</v>
      </c>
      <c r="AJ86" s="1">
        <f>'DRE ANTIGA PARCERIA CAIXA'!AJ39</f>
        <v>-87760</v>
      </c>
      <c r="AK86" s="1">
        <f>'DRE ANTIGA PARCERIA CAIXA'!AK39</f>
        <v>-335469</v>
      </c>
      <c r="AL86" s="1">
        <f>'DRE ANTIGA PARCERIA CAIXA'!AL39</f>
        <v>-82208</v>
      </c>
      <c r="AM86" s="1">
        <f>'DRE ANTIGA PARCERIA CAIXA'!AM39</f>
        <v>-86974</v>
      </c>
      <c r="AN86" s="1">
        <f>'DRE ANTIGA PARCERIA CAIXA'!AN39</f>
        <v>-83874</v>
      </c>
      <c r="AO86" s="1">
        <f>'DRE ANTIGA PARCERIA CAIXA'!AO39</f>
        <v>-109931</v>
      </c>
      <c r="AP86" s="1">
        <f>'DRE ANTIGA PARCERIA CAIXA'!AP39</f>
        <v>-362987</v>
      </c>
      <c r="AQ86" s="1">
        <f>'DRE ANTIGA PARCERIA CAIXA'!AQ39</f>
        <v>-86760</v>
      </c>
      <c r="AR86" s="1">
        <f>'DRE ANTIGA PARCERIA CAIXA'!AR39</f>
        <v>-83183</v>
      </c>
      <c r="AS86" s="1">
        <f>'DRE ANTIGA PARCERIA CAIXA'!AS39</f>
        <v>-77564</v>
      </c>
      <c r="AT86" s="1">
        <f>'DRE ANTIGA PARCERIA CAIXA'!AT39</f>
        <v>-103148</v>
      </c>
      <c r="AU86" s="1">
        <f>'DRE ANTIGA PARCERIA CAIXA'!AU39</f>
        <v>-350655</v>
      </c>
      <c r="AV86" s="1">
        <f>'DRE ANTIGA PARCERIA CAIXA'!AV39</f>
        <v>-90463.010999999999</v>
      </c>
      <c r="AW86" s="1">
        <f>'DRE ANTIGA PARCERIA CAIXA'!AW39</f>
        <v>-72453.095000000001</v>
      </c>
      <c r="AX86" s="1">
        <f>'DRE ANTIGA PARCERIA CAIXA'!AX39</f>
        <v>-90190</v>
      </c>
      <c r="AY86" s="1">
        <f>'DRE ANTIGA PARCERIA CAIXA'!AY39</f>
        <v>-102355</v>
      </c>
      <c r="AZ86" s="1">
        <f>'DRE ANTIGA PARCERIA CAIXA'!AZ39</f>
        <v>-355461.10600000003</v>
      </c>
      <c r="BA86" s="1">
        <f>'DRE ANTIGA PARCERIA CAIXA'!BA39</f>
        <v>-94894</v>
      </c>
      <c r="BC86" s="171"/>
      <c r="BD86" s="189"/>
      <c r="BF86" s="774"/>
    </row>
    <row r="87" spans="1:60">
      <c r="B87" t="str">
        <f t="shared" si="58"/>
        <v>CNP Vida &amp; Previdência</v>
      </c>
      <c r="C87" s="1">
        <f>'DRE ANTIGA PARCERIA CAIXA'!C77</f>
        <v>-13627.425869999999</v>
      </c>
      <c r="D87" s="1">
        <f>'DRE ANTIGA PARCERIA CAIXA'!D77</f>
        <v>-14150.104949999997</v>
      </c>
      <c r="E87" s="1">
        <f>'DRE ANTIGA PARCERIA CAIXA'!E77</f>
        <v>-14299.907250000015</v>
      </c>
      <c r="F87" s="1">
        <f>'DRE ANTIGA PARCERIA CAIXA'!F77</f>
        <v>-15450.455389999974</v>
      </c>
      <c r="G87" s="1">
        <f>'DRE ANTIGA PARCERIA CAIXA'!G77</f>
        <v>-57527.893459999985</v>
      </c>
      <c r="H87" s="1">
        <f>'DRE ANTIGA PARCERIA CAIXA'!H77</f>
        <v>-12722.8832</v>
      </c>
      <c r="I87" s="1">
        <f>'DRE ANTIGA PARCERIA CAIXA'!I77</f>
        <v>-11944.132860000005</v>
      </c>
      <c r="J87" s="1">
        <f>'DRE ANTIGA PARCERIA CAIXA'!J77</f>
        <v>-11863.379089999991</v>
      </c>
      <c r="K87" s="1">
        <f>'DRE ANTIGA PARCERIA CAIXA'!K77</f>
        <v>-16556.501969999968</v>
      </c>
      <c r="L87" s="1">
        <f>'DRE ANTIGA PARCERIA CAIXA'!L77</f>
        <v>-53086.897119999965</v>
      </c>
      <c r="M87" s="1">
        <f>'DRE ANTIGA PARCERIA CAIXA'!M77</f>
        <v>-10769.948479999999</v>
      </c>
      <c r="N87" s="1">
        <f>'DRE ANTIGA PARCERIA CAIXA'!N77</f>
        <v>-14579.339599999999</v>
      </c>
      <c r="O87" s="1">
        <f>'DRE ANTIGA PARCERIA CAIXA'!O77</f>
        <v>-16730.763599999998</v>
      </c>
      <c r="P87" s="1">
        <f>'DRE ANTIGA PARCERIA CAIXA'!P77</f>
        <v>-19086.531380000044</v>
      </c>
      <c r="Q87" s="1">
        <f>'DRE ANTIGA PARCERIA CAIXA'!Q77</f>
        <v>-61166.583060000041</v>
      </c>
      <c r="R87" s="1">
        <f>'DRE ANTIGA PARCERIA CAIXA'!R77</f>
        <v>-14933.487880000001</v>
      </c>
      <c r="S87" s="1">
        <f>'DRE ANTIGA PARCERIA CAIXA'!S77</f>
        <v>-15643.411940000013</v>
      </c>
      <c r="T87" s="1">
        <f>'DRE ANTIGA PARCERIA CAIXA'!T77</f>
        <v>-17680.148149999986</v>
      </c>
      <c r="U87" s="1">
        <f>'DRE ANTIGA PARCERIA CAIXA'!U77</f>
        <v>-19366.74751999999</v>
      </c>
      <c r="V87" s="1">
        <f>'DRE ANTIGA PARCERIA CAIXA'!V77</f>
        <v>-67623.79548999999</v>
      </c>
      <c r="W87" s="1">
        <f>'DRE ANTIGA PARCERIA CAIXA'!W77</f>
        <v>-16002.055710000008</v>
      </c>
      <c r="X87" s="1">
        <f>'DRE ANTIGA PARCERIA CAIXA'!X77</f>
        <v>-20243.755400000002</v>
      </c>
      <c r="Y87" s="1">
        <f>'DRE ANTIGA PARCERIA CAIXA'!Y77</f>
        <v>-47311.14354999995</v>
      </c>
      <c r="Z87" s="1">
        <f>'DRE ANTIGA PARCERIA CAIXA'!Z77</f>
        <v>-54605.530330000183</v>
      </c>
      <c r="AA87" s="1">
        <f>'DRE ANTIGA PARCERIA CAIXA'!AA77</f>
        <v>-138162.48499000014</v>
      </c>
      <c r="AB87" s="1">
        <f>'DRE ANTIGA PARCERIA CAIXA'!AB77</f>
        <v>0</v>
      </c>
      <c r="AC87" s="1">
        <f>'DRE ANTIGA PARCERIA CAIXA'!AC77</f>
        <v>0</v>
      </c>
      <c r="AD87" s="1">
        <f>'DRE ANTIGA PARCERIA CAIXA'!AD77</f>
        <v>0</v>
      </c>
      <c r="AE87" s="1">
        <f>'DRE ANTIGA PARCERIA CAIXA'!AE77</f>
        <v>0</v>
      </c>
      <c r="AF87" s="1">
        <f>'DRE ANTIGA PARCERIA CAIXA'!AF77</f>
        <v>0</v>
      </c>
      <c r="AG87" s="1">
        <f>'DRE ANTIGA PARCERIA CAIXA'!AG77</f>
        <v>0</v>
      </c>
      <c r="AH87" s="1">
        <f>'DRE ANTIGA PARCERIA CAIXA'!AH77</f>
        <v>0</v>
      </c>
      <c r="AI87" s="1">
        <f>'DRE ANTIGA PARCERIA CAIXA'!AI77</f>
        <v>0</v>
      </c>
      <c r="AJ87" s="1">
        <f>'DRE ANTIGA PARCERIA CAIXA'!AJ77</f>
        <v>0</v>
      </c>
      <c r="AK87" s="1">
        <f>'DRE ANTIGA PARCERIA CAIXA'!AK77</f>
        <v>0</v>
      </c>
      <c r="AL87" s="1">
        <f>'DRE ANTIGA PARCERIA CAIXA'!AL77</f>
        <v>0</v>
      </c>
      <c r="AM87" s="1">
        <f>'DRE ANTIGA PARCERIA CAIXA'!AM77</f>
        <v>0</v>
      </c>
      <c r="AN87" s="1">
        <f>'DRE ANTIGA PARCERIA CAIXA'!AN77</f>
        <v>0</v>
      </c>
      <c r="AO87" s="1">
        <f>'DRE ANTIGA PARCERIA CAIXA'!AO77</f>
        <v>0</v>
      </c>
      <c r="AP87" s="1">
        <f>'DRE ANTIGA PARCERIA CAIXA'!AP77</f>
        <v>0</v>
      </c>
      <c r="AQ87" s="1">
        <f>'DRE ANTIGA PARCERIA CAIXA'!AQ77</f>
        <v>0</v>
      </c>
      <c r="AR87" s="1">
        <f>'DRE ANTIGA PARCERIA CAIXA'!AR77</f>
        <v>0</v>
      </c>
      <c r="AS87" s="1">
        <f>'DRE ANTIGA PARCERIA CAIXA'!AS77</f>
        <v>0</v>
      </c>
      <c r="AT87" s="1">
        <f>'DRE ANTIGA PARCERIA CAIXA'!AT77</f>
        <v>0</v>
      </c>
      <c r="AU87" s="1">
        <f>'DRE ANTIGA PARCERIA CAIXA'!AU77</f>
        <v>0</v>
      </c>
      <c r="AV87" s="1">
        <f>'DRE ANTIGA PARCERIA CAIXA'!AV77</f>
        <v>0</v>
      </c>
      <c r="AW87" s="1">
        <f>'DRE ANTIGA PARCERIA CAIXA'!AW77</f>
        <v>0</v>
      </c>
      <c r="AX87" s="1">
        <f>'DRE ANTIGA PARCERIA CAIXA'!AX77</f>
        <v>0</v>
      </c>
      <c r="AY87" s="1">
        <f>'DRE ANTIGA PARCERIA CAIXA'!AY77</f>
        <v>0</v>
      </c>
      <c r="AZ87" s="1">
        <f>'DRE ANTIGA PARCERIA CAIXA'!AZ77</f>
        <v>0</v>
      </c>
      <c r="BA87" s="1">
        <f>'DRE ANTIGA PARCERIA CAIXA'!BA77</f>
        <v>0</v>
      </c>
    </row>
    <row r="88" spans="1:60">
      <c r="B88" t="str">
        <f t="shared" si="58"/>
        <v>CNP Capitalização</v>
      </c>
      <c r="C88" s="1">
        <f>'DRE ANTIGA PARCERIA CAIXA'!C105</f>
        <v>-7801.0230500000025</v>
      </c>
      <c r="D88" s="1">
        <f>'DRE ANTIGA PARCERIA CAIXA'!D105</f>
        <v>-8565.8103799999953</v>
      </c>
      <c r="E88" s="1">
        <f>'DRE ANTIGA PARCERIA CAIXA'!E105</f>
        <v>-8678.9602600000035</v>
      </c>
      <c r="F88" s="1">
        <f>'DRE ANTIGA PARCERIA CAIXA'!F105</f>
        <v>-9870.1489799999945</v>
      </c>
      <c r="G88" s="1">
        <f>'DRE ANTIGA PARCERIA CAIXA'!G105</f>
        <v>-34915.942669999997</v>
      </c>
      <c r="H88" s="1">
        <f>'DRE ANTIGA PARCERIA CAIXA'!H105</f>
        <v>-8399.6367999999984</v>
      </c>
      <c r="I88" s="1">
        <f>'DRE ANTIGA PARCERIA CAIXA'!I105</f>
        <v>-8094.3598499999989</v>
      </c>
      <c r="J88" s="1">
        <f>'DRE ANTIGA PARCERIA CAIXA'!J105</f>
        <v>-8799.7480300000025</v>
      </c>
      <c r="K88" s="1">
        <f>'DRE ANTIGA PARCERIA CAIXA'!K105</f>
        <v>-9987.8008500000033</v>
      </c>
      <c r="L88" s="1">
        <f>'DRE ANTIGA PARCERIA CAIXA'!L105</f>
        <v>-35281.545530000003</v>
      </c>
      <c r="M88" s="1">
        <f>'DRE ANTIGA PARCERIA CAIXA'!M105</f>
        <v>-8501.7037100000016</v>
      </c>
      <c r="N88" s="1">
        <f>'DRE ANTIGA PARCERIA CAIXA'!N105</f>
        <v>-9641.5636300000006</v>
      </c>
      <c r="O88" s="1">
        <f>'DRE ANTIGA PARCERIA CAIXA'!O105</f>
        <v>-11018.028329999994</v>
      </c>
      <c r="P88" s="1">
        <f>'DRE ANTIGA PARCERIA CAIXA'!P105</f>
        <v>-12659.566620000009</v>
      </c>
      <c r="Q88" s="1">
        <f>'DRE ANTIGA PARCERIA CAIXA'!Q105</f>
        <v>-41820.862290000005</v>
      </c>
      <c r="R88" s="1">
        <f>'DRE ANTIGA PARCERIA CAIXA'!R105</f>
        <v>-10624.895550000001</v>
      </c>
      <c r="S88" s="1">
        <f>'DRE ANTIGA PARCERIA CAIXA'!S105</f>
        <v>-10484.584409999999</v>
      </c>
      <c r="T88" s="1">
        <f>'DRE ANTIGA PARCERIA CAIXA'!T105</f>
        <v>-11171.976739999995</v>
      </c>
      <c r="U88" s="1">
        <f>'DRE ANTIGA PARCERIA CAIXA'!U105</f>
        <v>-11668.595800000003</v>
      </c>
      <c r="V88" s="1">
        <f>'DRE ANTIGA PARCERIA CAIXA'!V105</f>
        <v>-43950.052499999998</v>
      </c>
      <c r="W88" s="1">
        <f>'DRE ANTIGA PARCERIA CAIXA'!W105</f>
        <v>-10582.652329999999</v>
      </c>
      <c r="X88" s="1">
        <f>'DRE ANTIGA PARCERIA CAIXA'!X105</f>
        <v>-11494.920899999996</v>
      </c>
      <c r="Y88" s="1">
        <f>'DRE ANTIGA PARCERIA CAIXA'!Y105</f>
        <v>-14299.176270000004</v>
      </c>
      <c r="Z88" s="1">
        <f>'DRE ANTIGA PARCERIA CAIXA'!Z105</f>
        <v>-14121.68536000001</v>
      </c>
      <c r="AA88" s="1">
        <f>'DRE ANTIGA PARCERIA CAIXA'!AA105</f>
        <v>-50498.434860000008</v>
      </c>
      <c r="AB88" s="1">
        <f>'DRE ANTIGA PARCERIA CAIXA'!AB105</f>
        <v>-12083.608450000002</v>
      </c>
      <c r="AC88" s="1">
        <f>'DRE ANTIGA PARCERIA CAIXA'!AC105</f>
        <v>-10796.295259999997</v>
      </c>
      <c r="AD88" s="1">
        <f>'DRE ANTIGA PARCERIA CAIXA'!AD105</f>
        <v>-8934.0062700000017</v>
      </c>
      <c r="AE88" s="1">
        <f>'DRE ANTIGA PARCERIA CAIXA'!AE105</f>
        <v>-12663.518550000004</v>
      </c>
      <c r="AF88" s="1">
        <f>'DRE ANTIGA PARCERIA CAIXA'!AF105</f>
        <v>-44477.428530000005</v>
      </c>
      <c r="AG88" s="1">
        <f>'DRE ANTIGA PARCERIA CAIXA'!AG105</f>
        <v>-10854</v>
      </c>
      <c r="AH88" s="1">
        <f>'DRE ANTIGA PARCERIA CAIXA'!AH105</f>
        <v>-9586</v>
      </c>
      <c r="AI88" s="1">
        <f>'DRE ANTIGA PARCERIA CAIXA'!AI105</f>
        <v>-11258</v>
      </c>
      <c r="AJ88" s="1">
        <f>'DRE ANTIGA PARCERIA CAIXA'!AJ105</f>
        <v>-3474</v>
      </c>
      <c r="AK88" s="1">
        <f>'DRE ANTIGA PARCERIA CAIXA'!AK105</f>
        <v>-35172</v>
      </c>
      <c r="AL88" s="1">
        <f>'DRE ANTIGA PARCERIA CAIXA'!AL105</f>
        <v>0</v>
      </c>
      <c r="AM88" s="1">
        <f>'DRE ANTIGA PARCERIA CAIXA'!AM105</f>
        <v>0</v>
      </c>
      <c r="AN88" s="1">
        <f>'DRE ANTIGA PARCERIA CAIXA'!AN105</f>
        <v>0</v>
      </c>
      <c r="AO88" s="1">
        <f>'DRE ANTIGA PARCERIA CAIXA'!AO105</f>
        <v>0</v>
      </c>
      <c r="AP88" s="1">
        <f>'DRE ANTIGA PARCERIA CAIXA'!AP105</f>
        <v>0</v>
      </c>
      <c r="AQ88" s="1">
        <f>'DRE ANTIGA PARCERIA CAIXA'!AQ105</f>
        <v>0</v>
      </c>
      <c r="AR88" s="1">
        <f>'DRE ANTIGA PARCERIA CAIXA'!AR105</f>
        <v>0</v>
      </c>
      <c r="AS88" s="1">
        <f>'DRE ANTIGA PARCERIA CAIXA'!AS105</f>
        <v>0</v>
      </c>
      <c r="AT88" s="1">
        <f>'DRE ANTIGA PARCERIA CAIXA'!AT105</f>
        <v>0</v>
      </c>
      <c r="AU88" s="1">
        <f>'DRE ANTIGA PARCERIA CAIXA'!AU105</f>
        <v>0</v>
      </c>
      <c r="AV88" s="1">
        <f>'DRE ANTIGA PARCERIA CAIXA'!AV105</f>
        <v>0</v>
      </c>
      <c r="AW88" s="1">
        <f>'DRE ANTIGA PARCERIA CAIXA'!AW105</f>
        <v>0</v>
      </c>
      <c r="AX88" s="1">
        <f>'DRE ANTIGA PARCERIA CAIXA'!AX105</f>
        <v>0</v>
      </c>
      <c r="AY88" s="1">
        <f>'DRE ANTIGA PARCERIA CAIXA'!AY105</f>
        <v>0</v>
      </c>
      <c r="AZ88" s="1">
        <f>'DRE ANTIGA PARCERIA CAIXA'!AZ105</f>
        <v>0</v>
      </c>
      <c r="BA88" s="1">
        <f>'DRE ANTIGA PARCERIA CAIXA'!BA105</f>
        <v>0</v>
      </c>
    </row>
    <row r="89" spans="1:60">
      <c r="B89" t="str">
        <f t="shared" si="58"/>
        <v>CNP Consórcio</v>
      </c>
      <c r="C89" s="1">
        <f>'DRE ANTIGA PARCERIA CAIXA'!C127</f>
        <v>-11548.378859999997</v>
      </c>
      <c r="D89" s="1">
        <f>'DRE ANTIGA PARCERIA CAIXA'!D127</f>
        <v>-11942.266889999999</v>
      </c>
      <c r="E89" s="1">
        <f>'DRE ANTIGA PARCERIA CAIXA'!E127</f>
        <v>-11637.454270000009</v>
      </c>
      <c r="F89" s="1">
        <f>'DRE ANTIGA PARCERIA CAIXA'!F127</f>
        <v>-12436.231910000002</v>
      </c>
      <c r="G89" s="1">
        <f>'DRE ANTIGA PARCERIA CAIXA'!G127</f>
        <v>-47564.331930000008</v>
      </c>
      <c r="H89" s="1">
        <f>'DRE ANTIGA PARCERIA CAIXA'!H127</f>
        <v>-11026.247210000005</v>
      </c>
      <c r="I89" s="1">
        <f>'DRE ANTIGA PARCERIA CAIXA'!I127</f>
        <v>-10873.961739999999</v>
      </c>
      <c r="J89" s="1">
        <f>'DRE ANTIGA PARCERIA CAIXA'!J127</f>
        <v>-10783.658439999992</v>
      </c>
      <c r="K89" s="1">
        <f>'DRE ANTIGA PARCERIA CAIXA'!K127</f>
        <v>-11949.937120000021</v>
      </c>
      <c r="L89" s="1">
        <f>'DRE ANTIGA PARCERIA CAIXA'!L127</f>
        <v>-44633.804510000016</v>
      </c>
      <c r="M89" s="1">
        <f>'DRE ANTIGA PARCERIA CAIXA'!M127</f>
        <v>-9211.4524000000019</v>
      </c>
      <c r="N89" s="1">
        <f>'DRE ANTIGA PARCERIA CAIXA'!N127</f>
        <v>-11404.171140000006</v>
      </c>
      <c r="O89" s="1">
        <f>'DRE ANTIGA PARCERIA CAIXA'!O127</f>
        <v>-12013.281099999989</v>
      </c>
      <c r="P89" s="1">
        <f>'DRE ANTIGA PARCERIA CAIXA'!P127</f>
        <v>-13985.399170000022</v>
      </c>
      <c r="Q89" s="1">
        <f>'DRE ANTIGA PARCERIA CAIXA'!Q127</f>
        <v>-46614.303810000019</v>
      </c>
      <c r="R89" s="1">
        <f>'DRE ANTIGA PARCERIA CAIXA'!R127</f>
        <v>-12485.177739999999</v>
      </c>
      <c r="S89" s="1">
        <f>'DRE ANTIGA PARCERIA CAIXA'!S127</f>
        <v>-13060.036840000008</v>
      </c>
      <c r="T89" s="1">
        <f>'DRE ANTIGA PARCERIA CAIXA'!T127</f>
        <v>-13081.511590000009</v>
      </c>
      <c r="U89" s="1">
        <f>'DRE ANTIGA PARCERIA CAIXA'!U127</f>
        <v>-15663.117689999999</v>
      </c>
      <c r="V89" s="1">
        <f>'DRE ANTIGA PARCERIA CAIXA'!V127</f>
        <v>-54289.843860000015</v>
      </c>
      <c r="W89" s="1">
        <f>'DRE ANTIGA PARCERIA CAIXA'!W127</f>
        <v>-13339.176730000003</v>
      </c>
      <c r="X89" s="1">
        <f>'DRE ANTIGA PARCERIA CAIXA'!X127</f>
        <v>-14195.14546</v>
      </c>
      <c r="Y89" s="1">
        <f>'DRE ANTIGA PARCERIA CAIXA'!Y127</f>
        <v>-18292.426159999992</v>
      </c>
      <c r="Z89" s="1">
        <f>'DRE ANTIGA PARCERIA CAIXA'!Z127</f>
        <v>-19779.374280000018</v>
      </c>
      <c r="AA89" s="1">
        <f>'DRE ANTIGA PARCERIA CAIXA'!AA127</f>
        <v>-65606.122630000013</v>
      </c>
      <c r="AB89" s="1">
        <f>'DRE ANTIGA PARCERIA CAIXA'!AB127</f>
        <v>-17339.943459999995</v>
      </c>
      <c r="AC89" s="1">
        <f>'DRE ANTIGA PARCERIA CAIXA'!AC127</f>
        <v>-15766.260950000004</v>
      </c>
      <c r="AD89" s="1">
        <f>'DRE ANTIGA PARCERIA CAIXA'!AD127</f>
        <v>-13256.225749999998</v>
      </c>
      <c r="AE89" s="1">
        <f>'DRE ANTIGA PARCERIA CAIXA'!AE127</f>
        <v>-16195</v>
      </c>
      <c r="AF89" s="1">
        <f>'DRE ANTIGA PARCERIA CAIXA'!AF127</f>
        <v>-62557.430159999996</v>
      </c>
      <c r="AG89" s="1">
        <f>'DRE ANTIGA PARCERIA CAIXA'!AG127</f>
        <v>-14397</v>
      </c>
      <c r="AH89" s="1">
        <f>'DRE ANTIGA PARCERIA CAIXA'!AH127</f>
        <v>-12701.697919999999</v>
      </c>
      <c r="AI89" s="1">
        <f>'DRE ANTIGA PARCERIA CAIXA'!AI127</f>
        <v>-18045</v>
      </c>
      <c r="AJ89" s="1">
        <f>'DRE ANTIGA PARCERIA CAIXA'!AJ127</f>
        <v>-14602.983709999986</v>
      </c>
      <c r="AK89" s="1">
        <f>'DRE ANTIGA PARCERIA CAIXA'!AK127</f>
        <v>-59746.681629999985</v>
      </c>
      <c r="AL89" s="1">
        <f>'DRE ANTIGA PARCERIA CAIXA'!AL127</f>
        <v>0</v>
      </c>
      <c r="AM89" s="1">
        <f>'DRE ANTIGA PARCERIA CAIXA'!AM127</f>
        <v>0</v>
      </c>
      <c r="AN89" s="1">
        <f>'DRE ANTIGA PARCERIA CAIXA'!AN127</f>
        <v>0</v>
      </c>
      <c r="AO89" s="1">
        <f>'DRE ANTIGA PARCERIA CAIXA'!AO127</f>
        <v>0</v>
      </c>
      <c r="AP89" s="1">
        <f>'DRE ANTIGA PARCERIA CAIXA'!AP127</f>
        <v>0</v>
      </c>
      <c r="AQ89" s="1">
        <f>'DRE ANTIGA PARCERIA CAIXA'!AQ127</f>
        <v>0</v>
      </c>
      <c r="AR89" s="1">
        <f>'DRE ANTIGA PARCERIA CAIXA'!AR127</f>
        <v>0</v>
      </c>
      <c r="AS89" s="1">
        <f>'DRE ANTIGA PARCERIA CAIXA'!AS127</f>
        <v>0</v>
      </c>
      <c r="AT89" s="1">
        <f>'DRE ANTIGA PARCERIA CAIXA'!AT127</f>
        <v>0</v>
      </c>
      <c r="AU89" s="1">
        <f>'DRE ANTIGA PARCERIA CAIXA'!AU127</f>
        <v>0</v>
      </c>
      <c r="AV89" s="1">
        <f>'DRE ANTIGA PARCERIA CAIXA'!AV127</f>
        <v>0</v>
      </c>
      <c r="AW89" s="1">
        <f>'DRE ANTIGA PARCERIA CAIXA'!AW127</f>
        <v>0</v>
      </c>
      <c r="AX89" s="1">
        <f>'DRE ANTIGA PARCERIA CAIXA'!AX127</f>
        <v>0</v>
      </c>
      <c r="AY89" s="1">
        <f>'DRE ANTIGA PARCERIA CAIXA'!AY127</f>
        <v>0</v>
      </c>
      <c r="AZ89" s="1">
        <f>'DRE ANTIGA PARCERIA CAIXA'!AZ127</f>
        <v>0</v>
      </c>
      <c r="BA89" s="1">
        <f>'DRE ANTIGA PARCERIA CAIXA'!BA127</f>
        <v>0</v>
      </c>
    </row>
    <row r="90" spans="1:60">
      <c r="B90" t="str">
        <f t="shared" si="58"/>
        <v>CNP Seguros Saúde</v>
      </c>
      <c r="C90" s="1">
        <f>'DRE ANTIGA PARCERIA CAIXA'!C149</f>
        <v>-4821.6321000000007</v>
      </c>
      <c r="D90" s="1">
        <f>'DRE ANTIGA PARCERIA CAIXA'!D149</f>
        <v>-4728.9888799999917</v>
      </c>
      <c r="E90" s="1">
        <f>'DRE ANTIGA PARCERIA CAIXA'!E149</f>
        <v>-3395.0245200000118</v>
      </c>
      <c r="F90" s="1">
        <f>'DRE ANTIGA PARCERIA CAIXA'!F149</f>
        <v>-3565.1697799999984</v>
      </c>
      <c r="G90" s="1">
        <f>'DRE ANTIGA PARCERIA CAIXA'!G149</f>
        <v>-16510.815280000003</v>
      </c>
      <c r="H90" s="1">
        <f>'DRE ANTIGA PARCERIA CAIXA'!H149</f>
        <v>-3460.2284100000002</v>
      </c>
      <c r="I90" s="1">
        <f>'DRE ANTIGA PARCERIA CAIXA'!I149</f>
        <v>-3240.3214399999993</v>
      </c>
      <c r="J90" s="1">
        <f>'DRE ANTIGA PARCERIA CAIXA'!J149</f>
        <v>-3696.6090399999957</v>
      </c>
      <c r="K90" s="1">
        <f>'DRE ANTIGA PARCERIA CAIXA'!K149</f>
        <v>-3628.9993400000058</v>
      </c>
      <c r="L90" s="1">
        <f>'DRE ANTIGA PARCERIA CAIXA'!L149</f>
        <v>-14026.158230000001</v>
      </c>
      <c r="M90" s="1">
        <f>'DRE ANTIGA PARCERIA CAIXA'!M149</f>
        <v>-3203.4575100000011</v>
      </c>
      <c r="N90" s="1">
        <f>'DRE ANTIGA PARCERIA CAIXA'!N149</f>
        <v>-3221.708179999996</v>
      </c>
      <c r="O90" s="1">
        <f>'DRE ANTIGA PARCERIA CAIXA'!O149</f>
        <v>-2372.8362500000067</v>
      </c>
      <c r="P90" s="1">
        <f>'DRE ANTIGA PARCERIA CAIXA'!P149</f>
        <v>-2582.4508699999897</v>
      </c>
      <c r="Q90" s="1">
        <f>'DRE ANTIGA PARCERIA CAIXA'!Q149</f>
        <v>-11380.452809999993</v>
      </c>
      <c r="R90" s="1">
        <f>'DRE ANTIGA PARCERIA CAIXA'!R149</f>
        <v>-1712.4257</v>
      </c>
      <c r="S90" s="1">
        <f>'DRE ANTIGA PARCERIA CAIXA'!S149</f>
        <v>-2049.6466500000006</v>
      </c>
      <c r="T90" s="1">
        <f>'DRE ANTIGA PARCERIA CAIXA'!T149</f>
        <v>-1317.2597699999988</v>
      </c>
      <c r="U90" s="1">
        <f>'DRE ANTIGA PARCERIA CAIXA'!U149</f>
        <v>-1078.2651400000004</v>
      </c>
      <c r="V90" s="1">
        <f>'DRE ANTIGA PARCERIA CAIXA'!V149</f>
        <v>-6157.5972599999996</v>
      </c>
      <c r="W90" s="1">
        <f>'DRE ANTIGA PARCERIA CAIXA'!W149</f>
        <v>-980.13167000000044</v>
      </c>
      <c r="X90" s="1">
        <f>'DRE ANTIGA PARCERIA CAIXA'!X149</f>
        <v>-1175.9760299999982</v>
      </c>
      <c r="Y90" s="1">
        <f>'DRE ANTIGA PARCERIA CAIXA'!Y149</f>
        <v>-1462.4354100000019</v>
      </c>
      <c r="Z90" s="1">
        <f>'DRE ANTIGA PARCERIA CAIXA'!Z149</f>
        <v>-1112.8520599999983</v>
      </c>
      <c r="AA90" s="1">
        <f>'DRE ANTIGA PARCERIA CAIXA'!AA149</f>
        <v>-4731.3951699999989</v>
      </c>
      <c r="AB90" s="1">
        <f>'DRE ANTIGA PARCERIA CAIXA'!AB149</f>
        <v>-1105.7365500000001</v>
      </c>
      <c r="AC90" s="1">
        <f>'DRE ANTIGA PARCERIA CAIXA'!AC149</f>
        <v>-1332.4281499999988</v>
      </c>
      <c r="AD90" s="1">
        <f>'DRE ANTIGA PARCERIA CAIXA'!AD149</f>
        <v>-918.39533000000074</v>
      </c>
      <c r="AE90" s="1">
        <f>'DRE ANTIGA PARCERIA CAIXA'!AE149</f>
        <v>-992.02393999999902</v>
      </c>
      <c r="AF90" s="1">
        <f>'DRE ANTIGA PARCERIA CAIXA'!AF149</f>
        <v>-4348.5839699999988</v>
      </c>
      <c r="AG90" s="1">
        <f>'DRE ANTIGA PARCERIA CAIXA'!AG149</f>
        <v>-990</v>
      </c>
      <c r="AH90" s="1">
        <f>'DRE ANTIGA PARCERIA CAIXA'!AH149</f>
        <v>-693</v>
      </c>
      <c r="AI90" s="1">
        <f>'DRE ANTIGA PARCERIA CAIXA'!AI149</f>
        <v>-832</v>
      </c>
      <c r="AJ90" s="1">
        <f>'DRE ANTIGA PARCERIA CAIXA'!AJ149</f>
        <v>-915</v>
      </c>
      <c r="AK90" s="1">
        <f>'DRE ANTIGA PARCERIA CAIXA'!AK149</f>
        <v>-3430</v>
      </c>
      <c r="AL90" s="1">
        <f>'DRE ANTIGA PARCERIA CAIXA'!AL149</f>
        <v>-790</v>
      </c>
      <c r="AM90" s="1">
        <f>'DRE ANTIGA PARCERIA CAIXA'!AM149</f>
        <v>-840</v>
      </c>
      <c r="AN90" s="1">
        <f>'DRE ANTIGA PARCERIA CAIXA'!AN149</f>
        <v>-708</v>
      </c>
      <c r="AO90" s="1">
        <f>'DRE ANTIGA PARCERIA CAIXA'!AO149</f>
        <v>-800</v>
      </c>
      <c r="AP90" s="1">
        <f>'DRE ANTIGA PARCERIA CAIXA'!AP149</f>
        <v>-3138</v>
      </c>
      <c r="AQ90" s="1">
        <f>'DRE ANTIGA PARCERIA CAIXA'!AQ149</f>
        <v>-524</v>
      </c>
      <c r="AR90" s="1">
        <f>'DRE ANTIGA PARCERIA CAIXA'!AR149</f>
        <v>-938</v>
      </c>
      <c r="AS90" s="1">
        <f>'DRE ANTIGA PARCERIA CAIXA'!AS149</f>
        <v>-1588</v>
      </c>
      <c r="AT90" s="1">
        <f>'DRE ANTIGA PARCERIA CAIXA'!AT149</f>
        <v>-1113</v>
      </c>
      <c r="AU90" s="1">
        <f>'DRE ANTIGA PARCERIA CAIXA'!AU149</f>
        <v>-4163</v>
      </c>
      <c r="AV90" s="1">
        <f>'DRE ANTIGA PARCERIA CAIXA'!AV149</f>
        <v>-2083</v>
      </c>
      <c r="AW90" s="1">
        <f>'DRE ANTIGA PARCERIA CAIXA'!AW149</f>
        <v>-1768</v>
      </c>
      <c r="AX90" s="1">
        <f>'DRE ANTIGA PARCERIA CAIXA'!AX149</f>
        <v>-1276</v>
      </c>
      <c r="AY90" s="1">
        <f>'DRE ANTIGA PARCERIA CAIXA'!AY149</f>
        <v>-1644</v>
      </c>
      <c r="AZ90" s="1">
        <f>'DRE ANTIGA PARCERIA CAIXA'!AZ149</f>
        <v>-6771</v>
      </c>
      <c r="BA90" s="1">
        <f>'DRE ANTIGA PARCERIA CAIXA'!BA149</f>
        <v>-395</v>
      </c>
    </row>
    <row r="91" spans="1:60">
      <c r="B91" t="str">
        <f t="shared" si="58"/>
        <v>Companhia de Seguros Previdência do Sul</v>
      </c>
      <c r="C91" s="1">
        <f>'DRE ANTIGA PARCERIA CAIXA'!C179</f>
        <v>0</v>
      </c>
      <c r="D91" s="1">
        <f>'DRE ANTIGA PARCERIA CAIXA'!D179</f>
        <v>0</v>
      </c>
      <c r="E91" s="1">
        <f>'DRE ANTIGA PARCERIA CAIXA'!E179</f>
        <v>0</v>
      </c>
      <c r="F91" s="1">
        <f>'DRE ANTIGA PARCERIA CAIXA'!F179</f>
        <v>0</v>
      </c>
      <c r="G91" s="1">
        <f>'DRE ANTIGA PARCERIA CAIXA'!G179</f>
        <v>0</v>
      </c>
      <c r="H91" s="1">
        <f>'DRE ANTIGA PARCERIA CAIXA'!H179</f>
        <v>0</v>
      </c>
      <c r="I91" s="1">
        <f>'DRE ANTIGA PARCERIA CAIXA'!I179</f>
        <v>0</v>
      </c>
      <c r="J91" s="1">
        <f>'DRE ANTIGA PARCERIA CAIXA'!J179</f>
        <v>0</v>
      </c>
      <c r="K91" s="1">
        <f>'DRE ANTIGA PARCERIA CAIXA'!K179</f>
        <v>0</v>
      </c>
      <c r="L91" s="1">
        <f>'DRE ANTIGA PARCERIA CAIXA'!L179</f>
        <v>0</v>
      </c>
      <c r="M91" s="1">
        <f>'DRE ANTIGA PARCERIA CAIXA'!M179</f>
        <v>-14064.37139</v>
      </c>
      <c r="N91" s="1">
        <f>'DRE ANTIGA PARCERIA CAIXA'!N179</f>
        <v>-9971.5290599999989</v>
      </c>
      <c r="O91" s="1">
        <f>'DRE ANTIGA PARCERIA CAIXA'!O179</f>
        <v>-11655.598229999998</v>
      </c>
      <c r="P91" s="1">
        <f>'DRE ANTIGA PARCERIA CAIXA'!P179</f>
        <v>-12844.918529999997</v>
      </c>
      <c r="Q91" s="1">
        <f>'DRE ANTIGA PARCERIA CAIXA'!Q179</f>
        <v>-48536.417209999992</v>
      </c>
      <c r="R91" s="1">
        <f>'DRE ANTIGA PARCERIA CAIXA'!R179</f>
        <v>-13187.246999999999</v>
      </c>
      <c r="S91" s="1">
        <f>'DRE ANTIGA PARCERIA CAIXA'!S179</f>
        <v>-11734.61004</v>
      </c>
      <c r="T91" s="1">
        <f>'DRE ANTIGA PARCERIA CAIXA'!T179</f>
        <v>-14311.37759</v>
      </c>
      <c r="U91" s="1">
        <f>'DRE ANTIGA PARCERIA CAIXA'!U179</f>
        <v>-13972.551130000002</v>
      </c>
      <c r="V91" s="1">
        <f>'DRE ANTIGA PARCERIA CAIXA'!V179</f>
        <v>-53205.785759999999</v>
      </c>
      <c r="W91" s="1">
        <f>'DRE ANTIGA PARCERIA CAIXA'!W179</f>
        <v>-11970.923309999998</v>
      </c>
      <c r="X91" s="1">
        <f>'DRE ANTIGA PARCERIA CAIXA'!X179</f>
        <v>-10209.313790000002</v>
      </c>
      <c r="Y91" s="1">
        <f>'DRE ANTIGA PARCERIA CAIXA'!Y179</f>
        <v>-12713.263910000001</v>
      </c>
      <c r="Z91" s="1">
        <f>'DRE ANTIGA PARCERIA CAIXA'!Z179</f>
        <v>-13045.805109999998</v>
      </c>
      <c r="AA91" s="1">
        <f>'DRE ANTIGA PARCERIA CAIXA'!AA179</f>
        <v>-47939.306119999994</v>
      </c>
      <c r="AB91" s="1">
        <f>'DRE ANTIGA PARCERIA CAIXA'!AB179</f>
        <v>-11422.362279999996</v>
      </c>
      <c r="AC91" s="1">
        <f>'DRE ANTIGA PARCERIA CAIXA'!AC179</f>
        <v>-11765.557239999998</v>
      </c>
      <c r="AD91" s="1">
        <f>'DRE ANTIGA PARCERIA CAIXA'!AD179</f>
        <v>-12332.067879999995</v>
      </c>
      <c r="AE91" s="1">
        <f>'DRE ANTIGA PARCERIA CAIXA'!AE179</f>
        <v>-11512.158350000002</v>
      </c>
      <c r="AF91" s="1">
        <f>'DRE ANTIGA PARCERIA CAIXA'!AF179</f>
        <v>-47032.145749999996</v>
      </c>
      <c r="AG91" s="1">
        <f>'DRE ANTIGA PARCERIA CAIXA'!AG179</f>
        <v>-9683.0310999999965</v>
      </c>
      <c r="AH91" s="1">
        <f>'DRE ANTIGA PARCERIA CAIXA'!AH179</f>
        <v>-10651</v>
      </c>
      <c r="AI91" s="1">
        <f>'DRE ANTIGA PARCERIA CAIXA'!AI179</f>
        <v>-13169</v>
      </c>
      <c r="AJ91" s="1">
        <f>'DRE ANTIGA PARCERIA CAIXA'!AJ179</f>
        <v>-14359</v>
      </c>
      <c r="AK91" s="1">
        <f>'DRE ANTIGA PARCERIA CAIXA'!AK179</f>
        <v>-47862.031099999993</v>
      </c>
      <c r="AL91" s="1">
        <f>'DRE ANTIGA PARCERIA CAIXA'!AL179</f>
        <v>0</v>
      </c>
      <c r="AM91" s="1">
        <f>'DRE ANTIGA PARCERIA CAIXA'!AM179</f>
        <v>0</v>
      </c>
      <c r="AN91" s="1">
        <f>'DRE ANTIGA PARCERIA CAIXA'!AN179</f>
        <v>0</v>
      </c>
      <c r="AO91" s="1">
        <f>'DRE ANTIGA PARCERIA CAIXA'!AO179</f>
        <v>0</v>
      </c>
      <c r="AP91" s="1">
        <f>'DRE ANTIGA PARCERIA CAIXA'!AP179</f>
        <v>0</v>
      </c>
      <c r="AQ91" s="1">
        <f>'DRE ANTIGA PARCERIA CAIXA'!AQ179</f>
        <v>0</v>
      </c>
      <c r="AR91" s="1">
        <f>'DRE ANTIGA PARCERIA CAIXA'!AR179</f>
        <v>0</v>
      </c>
      <c r="AS91" s="1">
        <f>'DRE ANTIGA PARCERIA CAIXA'!AS179</f>
        <v>0</v>
      </c>
      <c r="AT91" s="1">
        <f>'DRE ANTIGA PARCERIA CAIXA'!AT179</f>
        <v>0</v>
      </c>
      <c r="AU91" s="1">
        <f>'DRE ANTIGA PARCERIA CAIXA'!AU179</f>
        <v>0</v>
      </c>
      <c r="AV91" s="1">
        <f>'DRE ANTIGA PARCERIA CAIXA'!AV179</f>
        <v>0</v>
      </c>
      <c r="AW91" s="1">
        <f>'DRE ANTIGA PARCERIA CAIXA'!AW179</f>
        <v>0</v>
      </c>
      <c r="AX91" s="1">
        <f>'DRE ANTIGA PARCERIA CAIXA'!AX179</f>
        <v>0</v>
      </c>
      <c r="AY91" s="1">
        <f>'DRE ANTIGA PARCERIA CAIXA'!AY179</f>
        <v>0</v>
      </c>
      <c r="AZ91" s="1">
        <f>'DRE ANTIGA PARCERIA CAIXA'!AZ179</f>
        <v>0</v>
      </c>
      <c r="BA91" s="1">
        <f>'DRE ANTIGA PARCERIA CAIXA'!BA179</f>
        <v>0</v>
      </c>
    </row>
    <row r="92" spans="1:60">
      <c r="B92" t="str">
        <f t="shared" si="58"/>
        <v>Odonto Empresas</v>
      </c>
      <c r="C92" s="1">
        <f>'DRE ANTIGA PARCERIA CAIXA'!C200</f>
        <v>-7787.3304800000014</v>
      </c>
      <c r="D92" s="1">
        <f>'DRE ANTIGA PARCERIA CAIXA'!D200</f>
        <v>-7640.8733900000016</v>
      </c>
      <c r="E92" s="1">
        <f>'DRE ANTIGA PARCERIA CAIXA'!E200</f>
        <v>-6294.2265800000005</v>
      </c>
      <c r="F92" s="1">
        <f>'DRE ANTIGA PARCERIA CAIXA'!F200</f>
        <v>-7335.1014499999874</v>
      </c>
      <c r="G92" s="1">
        <f>'DRE ANTIGA PARCERIA CAIXA'!G200</f>
        <v>-29057.531899999991</v>
      </c>
      <c r="H92" s="1">
        <f>'DRE ANTIGA PARCERIA CAIXA'!H200</f>
        <v>-6949.1141799999987</v>
      </c>
      <c r="I92" s="1">
        <f>'DRE ANTIGA PARCERIA CAIXA'!I200</f>
        <v>-6747.5085800000015</v>
      </c>
      <c r="J92" s="1">
        <f>'DRE ANTIGA PARCERIA CAIXA'!J200</f>
        <v>-7160.3744499999866</v>
      </c>
      <c r="K92" s="1">
        <f>'DRE ANTIGA PARCERIA CAIXA'!K200</f>
        <v>-7464.8817999999956</v>
      </c>
      <c r="L92" s="1">
        <f>'DRE ANTIGA PARCERIA CAIXA'!L200</f>
        <v>-28321.879009999982</v>
      </c>
      <c r="M92" s="1">
        <f>'DRE ANTIGA PARCERIA CAIXA'!M200</f>
        <v>-8244.2453100000021</v>
      </c>
      <c r="N92" s="1">
        <f>'DRE ANTIGA PARCERIA CAIXA'!N200</f>
        <v>-7995.2995799999971</v>
      </c>
      <c r="O92" s="1">
        <f>'DRE ANTIGA PARCERIA CAIXA'!O200</f>
        <v>-7989.5583900000074</v>
      </c>
      <c r="P92" s="1">
        <f>'DRE ANTIGA PARCERIA CAIXA'!P200</f>
        <v>-7896.3155599999955</v>
      </c>
      <c r="Q92" s="1">
        <f>'DRE ANTIGA PARCERIA CAIXA'!Q200</f>
        <v>-32125.418840000002</v>
      </c>
      <c r="R92" s="1">
        <f>'DRE ANTIGA PARCERIA CAIXA'!R200</f>
        <v>-6201.7379000000019</v>
      </c>
      <c r="S92" s="1">
        <f>'DRE ANTIGA PARCERIA CAIXA'!S200</f>
        <v>-6742.4199600000011</v>
      </c>
      <c r="T92" s="1">
        <f>'DRE ANTIGA PARCERIA CAIXA'!T200</f>
        <v>-6752.5987000000023</v>
      </c>
      <c r="U92" s="1">
        <f>'DRE ANTIGA PARCERIA CAIXA'!U200</f>
        <v>-11279.024869999997</v>
      </c>
      <c r="V92" s="1">
        <f>'DRE ANTIGA PARCERIA CAIXA'!V200</f>
        <v>-30975.781430000003</v>
      </c>
      <c r="W92" s="1">
        <f>'DRE ANTIGA PARCERIA CAIXA'!W200</f>
        <v>-4667.9414400000014</v>
      </c>
      <c r="X92" s="1">
        <f>'DRE ANTIGA PARCERIA CAIXA'!X200</f>
        <v>-5376.3564299999989</v>
      </c>
      <c r="Y92" s="1">
        <f>'DRE ANTIGA PARCERIA CAIXA'!Y200</f>
        <v>-3875.3891700000004</v>
      </c>
      <c r="Z92" s="1">
        <f>'DRE ANTIGA PARCERIA CAIXA'!Z200</f>
        <v>-6165.7389300000068</v>
      </c>
      <c r="AA92" s="1">
        <f>'DRE ANTIGA PARCERIA CAIXA'!AA200</f>
        <v>-20085.425970000008</v>
      </c>
      <c r="AB92" s="1">
        <f>'DRE ANTIGA PARCERIA CAIXA'!AB200</f>
        <v>-5848.1204399999988</v>
      </c>
      <c r="AC92" s="1">
        <f>'DRE ANTIGA PARCERIA CAIXA'!AC200</f>
        <v>-4084.4443700000029</v>
      </c>
      <c r="AD92" s="1">
        <f>'DRE ANTIGA PARCERIA CAIXA'!AD200</f>
        <v>-3841.593109999998</v>
      </c>
      <c r="AE92" s="1">
        <f>'DRE ANTIGA PARCERIA CAIXA'!AE200</f>
        <v>-4997.5362300000024</v>
      </c>
      <c r="AF92" s="1">
        <f>'DRE ANTIGA PARCERIA CAIXA'!AF200</f>
        <v>-18771.694150000003</v>
      </c>
      <c r="AG92" s="1">
        <f>'DRE ANTIGA PARCERIA CAIXA'!AG200</f>
        <v>-4420</v>
      </c>
      <c r="AH92" s="1">
        <f>'DRE ANTIGA PARCERIA CAIXA'!AH200</f>
        <v>-6321</v>
      </c>
      <c r="AI92" s="1">
        <f>'DRE ANTIGA PARCERIA CAIXA'!AI200</f>
        <v>-5453</v>
      </c>
      <c r="AJ92" s="1">
        <f>'DRE ANTIGA PARCERIA CAIXA'!AJ200</f>
        <v>-3401</v>
      </c>
      <c r="AK92" s="1">
        <f>'DRE ANTIGA PARCERIA CAIXA'!AK200</f>
        <v>-19595</v>
      </c>
      <c r="AL92" s="1">
        <f>'DRE ANTIGA PARCERIA CAIXA'!AL200</f>
        <v>0</v>
      </c>
      <c r="AM92" s="1">
        <f>'DRE ANTIGA PARCERIA CAIXA'!AM200</f>
        <v>0</v>
      </c>
      <c r="AN92" s="1">
        <f>'DRE ANTIGA PARCERIA CAIXA'!AN200</f>
        <v>0</v>
      </c>
      <c r="AO92" s="1">
        <f>'DRE ANTIGA PARCERIA CAIXA'!AO200</f>
        <v>0</v>
      </c>
      <c r="AP92" s="1">
        <f>'DRE ANTIGA PARCERIA CAIXA'!AP200</f>
        <v>0</v>
      </c>
      <c r="AQ92" s="1">
        <f>'DRE ANTIGA PARCERIA CAIXA'!AQ200</f>
        <v>0</v>
      </c>
      <c r="AR92" s="1">
        <f>'DRE ANTIGA PARCERIA CAIXA'!AR200</f>
        <v>0</v>
      </c>
      <c r="AS92" s="1">
        <f>'DRE ANTIGA PARCERIA CAIXA'!AS200</f>
        <v>0</v>
      </c>
      <c r="AT92" s="1">
        <f>'DRE ANTIGA PARCERIA CAIXA'!AT200</f>
        <v>0</v>
      </c>
      <c r="AU92" s="1">
        <f>'DRE ANTIGA PARCERIA CAIXA'!AU200</f>
        <v>0</v>
      </c>
      <c r="AV92" s="1">
        <f>'DRE ANTIGA PARCERIA CAIXA'!AV200</f>
        <v>0</v>
      </c>
      <c r="AW92" s="1">
        <f>'DRE ANTIGA PARCERIA CAIXA'!AW200</f>
        <v>0</v>
      </c>
      <c r="AX92" s="1">
        <f>'DRE ANTIGA PARCERIA CAIXA'!AX200</f>
        <v>0</v>
      </c>
      <c r="AY92" s="1">
        <f>'DRE ANTIGA PARCERIA CAIXA'!AY200</f>
        <v>0</v>
      </c>
      <c r="AZ92" s="1">
        <f>'DRE ANTIGA PARCERIA CAIXA'!AZ200</f>
        <v>0</v>
      </c>
      <c r="BA92" s="1">
        <f>'DRE ANTIGA PARCERIA CAIXA'!BA200</f>
        <v>0</v>
      </c>
    </row>
    <row r="93" spans="1:60">
      <c r="B93" t="str">
        <f t="shared" si="58"/>
        <v>Youse Seguradora</v>
      </c>
      <c r="C93" s="1">
        <f>'DRE ANTIGA PARCERIA CAIXA'!C222</f>
        <v>0</v>
      </c>
      <c r="D93" s="1">
        <f>'DRE ANTIGA PARCERIA CAIXA'!D222</f>
        <v>-4.1829999999999999E-2</v>
      </c>
      <c r="E93" s="1">
        <f>'DRE ANTIGA PARCERIA CAIXA'!E222</f>
        <v>-8.1949999999999995E-2</v>
      </c>
      <c r="F93" s="1">
        <f>'DRE ANTIGA PARCERIA CAIXA'!F222</f>
        <v>-9.7200000000000009E-2</v>
      </c>
      <c r="G93" s="1">
        <f>'DRE ANTIGA PARCERIA CAIXA'!G222</f>
        <v>-0.22098000000000001</v>
      </c>
      <c r="H93" s="1">
        <f>'DRE ANTIGA PARCERIA CAIXA'!H222</f>
        <v>-0.46290999999999999</v>
      </c>
      <c r="I93" s="1">
        <f>'DRE ANTIGA PARCERIA CAIXA'!I222</f>
        <v>-0.12080000000000007</v>
      </c>
      <c r="J93" s="1">
        <f>'DRE ANTIGA PARCERIA CAIXA'!J222</f>
        <v>-0.65903999999999996</v>
      </c>
      <c r="K93" s="1">
        <f>'DRE ANTIGA PARCERIA CAIXA'!K222</f>
        <v>-0.13439999999999985</v>
      </c>
      <c r="L93" s="1">
        <f>'DRE ANTIGA PARCERIA CAIXA'!L222</f>
        <v>-1.3771499999999999</v>
      </c>
      <c r="M93" s="1">
        <f>'DRE ANTIGA PARCERIA CAIXA'!M222</f>
        <v>-0.1217</v>
      </c>
      <c r="N93" s="1">
        <f>'DRE ANTIGA PARCERIA CAIXA'!N222</f>
        <v>-0.4121999999999999</v>
      </c>
      <c r="O93" s="1">
        <f>'DRE ANTIGA PARCERIA CAIXA'!O222</f>
        <v>-19.122669999999999</v>
      </c>
      <c r="P93" s="1">
        <f>'DRE ANTIGA PARCERIA CAIXA'!P222</f>
        <v>-30.184340000000002</v>
      </c>
      <c r="Q93" s="1">
        <f>'DRE ANTIGA PARCERIA CAIXA'!Q222</f>
        <v>-49.840910000000001</v>
      </c>
      <c r="R93" s="1">
        <f>'DRE ANTIGA PARCERIA CAIXA'!R222</f>
        <v>-392.10979000000003</v>
      </c>
      <c r="S93" s="1">
        <f>'DRE ANTIGA PARCERIA CAIXA'!S222</f>
        <v>-330.53490000000016</v>
      </c>
      <c r="T93" s="1">
        <f>'DRE ANTIGA PARCERIA CAIXA'!T222</f>
        <v>-65.618909999999914</v>
      </c>
      <c r="U93" s="1">
        <f>'DRE ANTIGA PARCERIA CAIXA'!U222</f>
        <v>-141.05732999999998</v>
      </c>
      <c r="V93" s="1">
        <f>'DRE ANTIGA PARCERIA CAIXA'!V222</f>
        <v>-929.32093000000009</v>
      </c>
      <c r="W93" s="1">
        <f>'DRE ANTIGA PARCERIA CAIXA'!W222</f>
        <v>-197.37381999999997</v>
      </c>
      <c r="X93" s="1">
        <f>'DRE ANTIGA PARCERIA CAIXA'!X222</f>
        <v>-156.53077999999994</v>
      </c>
      <c r="Y93" s="1">
        <f>'DRE ANTIGA PARCERIA CAIXA'!Y222</f>
        <v>-167.21051000000017</v>
      </c>
      <c r="Z93" s="1">
        <f>'DRE ANTIGA PARCERIA CAIXA'!Z222</f>
        <v>-157.49183999999991</v>
      </c>
      <c r="AA93" s="1">
        <f>'DRE ANTIGA PARCERIA CAIXA'!AA222</f>
        <v>-678.60694999999998</v>
      </c>
      <c r="AB93" s="1">
        <f>'DRE ANTIGA PARCERIA CAIXA'!AB222</f>
        <v>-201.22337999999996</v>
      </c>
      <c r="AC93" s="1">
        <f>'DRE ANTIGA PARCERIA CAIXA'!AC222</f>
        <v>-363.63116999999994</v>
      </c>
      <c r="AD93" s="1">
        <f>'DRE ANTIGA PARCERIA CAIXA'!AD222</f>
        <v>-394.59040000000005</v>
      </c>
      <c r="AE93" s="1">
        <f>'DRE ANTIGA PARCERIA CAIXA'!AE222</f>
        <v>-341.64349999999956</v>
      </c>
      <c r="AF93" s="1">
        <f>'DRE ANTIGA PARCERIA CAIXA'!AF222</f>
        <v>-1301.0884499999995</v>
      </c>
      <c r="AG93" s="1">
        <f>'DRE ANTIGA PARCERIA CAIXA'!AG222</f>
        <v>-184</v>
      </c>
      <c r="AH93" s="1">
        <f>'DRE ANTIGA PARCERIA CAIXA'!AH222</f>
        <v>-238</v>
      </c>
      <c r="AI93" s="1">
        <f>'DRE ANTIGA PARCERIA CAIXA'!AI222</f>
        <v>-355</v>
      </c>
      <c r="AJ93" s="1">
        <f>'DRE ANTIGA PARCERIA CAIXA'!AJ222</f>
        <v>43</v>
      </c>
      <c r="AK93" s="1">
        <f>'DRE ANTIGA PARCERIA CAIXA'!AK222</f>
        <v>-734</v>
      </c>
      <c r="AL93" s="1">
        <f>'DRE ANTIGA PARCERIA CAIXA'!AL222</f>
        <v>-145</v>
      </c>
      <c r="AM93" s="1">
        <f>'DRE ANTIGA PARCERIA CAIXA'!AM222</f>
        <v>-157</v>
      </c>
      <c r="AN93" s="1">
        <f>'DRE ANTIGA PARCERIA CAIXA'!AN222</f>
        <v>-65</v>
      </c>
      <c r="AO93" s="1">
        <f>'DRE ANTIGA PARCERIA CAIXA'!AO222</f>
        <v>-83</v>
      </c>
      <c r="AP93" s="1">
        <f>'DRE ANTIGA PARCERIA CAIXA'!AP222</f>
        <v>-450</v>
      </c>
      <c r="AQ93" s="1">
        <f>'DRE ANTIGA PARCERIA CAIXA'!AQ222</f>
        <v>-139</v>
      </c>
      <c r="AR93" s="1">
        <f>'DRE ANTIGA PARCERIA CAIXA'!AR222</f>
        <v>-108</v>
      </c>
      <c r="AS93" s="1">
        <f>'DRE ANTIGA PARCERIA CAIXA'!AS222</f>
        <v>-122</v>
      </c>
      <c r="AT93" s="1">
        <f>'DRE ANTIGA PARCERIA CAIXA'!AT222</f>
        <v>-18</v>
      </c>
      <c r="AU93" s="1">
        <f>'DRE ANTIGA PARCERIA CAIXA'!AU222</f>
        <v>-387</v>
      </c>
      <c r="AV93" s="1">
        <f>'DRE ANTIGA PARCERIA CAIXA'!AV222</f>
        <v>-149</v>
      </c>
      <c r="AW93" s="1">
        <f>'DRE ANTIGA PARCERIA CAIXA'!AW222</f>
        <v>-95</v>
      </c>
      <c r="AX93" s="1">
        <f>'DRE ANTIGA PARCERIA CAIXA'!AX222</f>
        <v>-74</v>
      </c>
      <c r="AY93" s="1">
        <f>'DRE ANTIGA PARCERIA CAIXA'!AY222</f>
        <v>-601</v>
      </c>
      <c r="AZ93" s="1">
        <f>'DRE ANTIGA PARCERIA CAIXA'!AZ222</f>
        <v>-919</v>
      </c>
      <c r="BA93" s="1">
        <f>'DRE ANTIGA PARCERIA CAIXA'!BA222</f>
        <v>108</v>
      </c>
    </row>
    <row r="94" spans="1:60">
      <c r="B94" t="str">
        <f t="shared" si="58"/>
        <v>CAIXA Assessoria</v>
      </c>
      <c r="C94" s="1">
        <f>'DRE ANTIGA PARCERIA CAIXA'!C244</f>
        <v>-159.88148000000001</v>
      </c>
      <c r="D94" s="1">
        <f>'DRE ANTIGA PARCERIA CAIXA'!D244</f>
        <v>-237.80857000000003</v>
      </c>
      <c r="E94" s="1">
        <f>'DRE ANTIGA PARCERIA CAIXA'!E244</f>
        <v>-263.38271999999995</v>
      </c>
      <c r="F94" s="1">
        <f>'DRE ANTIGA PARCERIA CAIXA'!F244</f>
        <v>-188.73036999999988</v>
      </c>
      <c r="G94" s="1">
        <f>'DRE ANTIGA PARCERIA CAIXA'!G244</f>
        <v>-849.80313999999987</v>
      </c>
      <c r="H94" s="1">
        <f>'DRE ANTIGA PARCERIA CAIXA'!H244</f>
        <v>-143.87393</v>
      </c>
      <c r="I94" s="1">
        <f>'DRE ANTIGA PARCERIA CAIXA'!I244</f>
        <v>-270.37338999999997</v>
      </c>
      <c r="J94" s="1">
        <f>'DRE ANTIGA PARCERIA CAIXA'!J244</f>
        <v>-183.42327</v>
      </c>
      <c r="K94" s="1">
        <f>'DRE ANTIGA PARCERIA CAIXA'!K244</f>
        <v>-187.68237000000022</v>
      </c>
      <c r="L94" s="1">
        <f>'DRE ANTIGA PARCERIA CAIXA'!L244</f>
        <v>-785.35296000000017</v>
      </c>
      <c r="M94" s="1">
        <f>'DRE ANTIGA PARCERIA CAIXA'!M244</f>
        <v>-111.16463999999999</v>
      </c>
      <c r="N94" s="1">
        <f>'DRE ANTIGA PARCERIA CAIXA'!N244</f>
        <v>-222.63201999999998</v>
      </c>
      <c r="O94" s="1">
        <f>'DRE ANTIGA PARCERIA CAIXA'!O244</f>
        <v>-194.34633000000008</v>
      </c>
      <c r="P94" s="1">
        <f>'DRE ANTIGA PARCERIA CAIXA'!P244</f>
        <v>-109.09014000000013</v>
      </c>
      <c r="Q94" s="1">
        <f>'DRE ANTIGA PARCERIA CAIXA'!Q244</f>
        <v>-637.23313000000019</v>
      </c>
      <c r="R94" s="1">
        <f>'DRE ANTIGA PARCERIA CAIXA'!R244</f>
        <v>-94.789999999999992</v>
      </c>
      <c r="S94" s="1">
        <f>'DRE ANTIGA PARCERIA CAIXA'!S244</f>
        <v>-145.20373000000004</v>
      </c>
      <c r="T94" s="1">
        <f>'DRE ANTIGA PARCERIA CAIXA'!T244</f>
        <v>-76.344779999999957</v>
      </c>
      <c r="U94" s="1">
        <f>'DRE ANTIGA PARCERIA CAIXA'!U244</f>
        <v>-75.267960000000073</v>
      </c>
      <c r="V94" s="1">
        <f>'DRE ANTIGA PARCERIA CAIXA'!V244</f>
        <v>-391.60647000000006</v>
      </c>
      <c r="W94" s="1">
        <f>'DRE ANTIGA PARCERIA CAIXA'!W244</f>
        <v>-38.91816</v>
      </c>
      <c r="X94" s="1">
        <f>'DRE ANTIGA PARCERIA CAIXA'!X244</f>
        <v>-61.759330000000006</v>
      </c>
      <c r="Y94" s="1">
        <f>'DRE ANTIGA PARCERIA CAIXA'!Y244</f>
        <v>-93.66952999999998</v>
      </c>
      <c r="Z94" s="1">
        <f>'DRE ANTIGA PARCERIA CAIXA'!Z244</f>
        <v>-108.72539</v>
      </c>
      <c r="AA94" s="1">
        <f>'DRE ANTIGA PARCERIA CAIXA'!AA244</f>
        <v>-303.07240999999999</v>
      </c>
      <c r="AB94" s="1">
        <f>'DRE ANTIGA PARCERIA CAIXA'!AB244</f>
        <v>-46.823779999999999</v>
      </c>
      <c r="AC94" s="1">
        <f>'DRE ANTIGA PARCERIA CAIXA'!AC244</f>
        <v>-63.931370000000015</v>
      </c>
      <c r="AD94" s="1">
        <f>'DRE ANTIGA PARCERIA CAIXA'!AD244</f>
        <v>-22.192869999999971</v>
      </c>
      <c r="AE94" s="1">
        <f>'DRE ANTIGA PARCERIA CAIXA'!AE244</f>
        <v>-20.996600000000004</v>
      </c>
      <c r="AF94" s="1">
        <f>'DRE ANTIGA PARCERIA CAIXA'!AF244</f>
        <v>-153.94461999999999</v>
      </c>
      <c r="AG94" s="1">
        <f>'DRE ANTIGA PARCERIA CAIXA'!AG244</f>
        <v>-24</v>
      </c>
      <c r="AH94" s="1">
        <f>'DRE ANTIGA PARCERIA CAIXA'!AH244</f>
        <v>-11</v>
      </c>
      <c r="AI94" s="1">
        <f>'DRE ANTIGA PARCERIA CAIXA'!AI244</f>
        <v>-47</v>
      </c>
      <c r="AJ94" s="1">
        <f>'DRE ANTIGA PARCERIA CAIXA'!AJ244</f>
        <v>5</v>
      </c>
      <c r="AK94" s="1">
        <f>'DRE ANTIGA PARCERIA CAIXA'!AK244</f>
        <v>-77</v>
      </c>
      <c r="AL94" s="1">
        <f>'DRE ANTIGA PARCERIA CAIXA'!AL244</f>
        <v>-19</v>
      </c>
      <c r="AM94" s="1">
        <f>'DRE ANTIGA PARCERIA CAIXA'!AM244</f>
        <v>-22</v>
      </c>
      <c r="AN94" s="1">
        <f>'DRE ANTIGA PARCERIA CAIXA'!AN244</f>
        <v>-20</v>
      </c>
      <c r="AO94" s="1">
        <f>'DRE ANTIGA PARCERIA CAIXA'!AO244</f>
        <v>-20</v>
      </c>
      <c r="AP94" s="1">
        <f>'DRE ANTIGA PARCERIA CAIXA'!AP244</f>
        <v>-81</v>
      </c>
      <c r="AQ94" s="1">
        <f>'DRE ANTIGA PARCERIA CAIXA'!AQ244</f>
        <v>-21</v>
      </c>
      <c r="AR94" s="1">
        <f>'DRE ANTIGA PARCERIA CAIXA'!AR244</f>
        <v>-722</v>
      </c>
      <c r="AS94" s="1">
        <f>'DRE ANTIGA PARCERIA CAIXA'!AS244</f>
        <v>54</v>
      </c>
      <c r="AT94" s="1">
        <f>'DRE ANTIGA PARCERIA CAIXA'!AT244</f>
        <v>-249</v>
      </c>
      <c r="AU94" s="1">
        <f>'DRE ANTIGA PARCERIA CAIXA'!AU244</f>
        <v>-938</v>
      </c>
      <c r="AV94" s="1">
        <f>'DRE ANTIGA PARCERIA CAIXA'!AV244</f>
        <v>-568</v>
      </c>
      <c r="AW94" s="1">
        <f>'DRE ANTIGA PARCERIA CAIXA'!AW244</f>
        <v>-626</v>
      </c>
      <c r="AX94" s="1">
        <f>'DRE ANTIGA PARCERIA CAIXA'!AX244</f>
        <v>-338</v>
      </c>
      <c r="AY94" s="1">
        <f>'DRE ANTIGA PARCERIA CAIXA'!AY244</f>
        <v>-504</v>
      </c>
      <c r="AZ94" s="1">
        <f>'DRE ANTIGA PARCERIA CAIXA'!AZ244</f>
        <v>-2036</v>
      </c>
      <c r="BA94" s="1">
        <f>'DRE ANTIGA PARCERIA CAIXA'!BA244</f>
        <v>389</v>
      </c>
    </row>
    <row r="95" spans="1:60" s="100" customFormat="1">
      <c r="A95" s="9"/>
      <c r="B95" s="9" t="str">
        <f t="shared" si="58"/>
        <v>Novas Parcerias CAIXA</v>
      </c>
      <c r="C95" s="76">
        <f t="shared" ref="C95:AU95" si="61">SUM(C96:C102)</f>
        <v>0</v>
      </c>
      <c r="D95" s="76">
        <f t="shared" si="61"/>
        <v>0</v>
      </c>
      <c r="E95" s="76">
        <f t="shared" si="61"/>
        <v>0</v>
      </c>
      <c r="F95" s="76">
        <f t="shared" si="61"/>
        <v>0</v>
      </c>
      <c r="G95" s="76">
        <f t="shared" si="61"/>
        <v>0</v>
      </c>
      <c r="H95" s="76">
        <f t="shared" si="61"/>
        <v>0</v>
      </c>
      <c r="I95" s="76">
        <f t="shared" si="61"/>
        <v>0</v>
      </c>
      <c r="J95" s="76">
        <f t="shared" si="61"/>
        <v>0</v>
      </c>
      <c r="K95" s="76">
        <f t="shared" si="61"/>
        <v>0</v>
      </c>
      <c r="L95" s="76">
        <f t="shared" si="61"/>
        <v>0</v>
      </c>
      <c r="M95" s="76">
        <f t="shared" si="61"/>
        <v>0</v>
      </c>
      <c r="N95" s="76">
        <f t="shared" si="61"/>
        <v>0</v>
      </c>
      <c r="O95" s="76">
        <f t="shared" si="61"/>
        <v>0</v>
      </c>
      <c r="P95" s="76">
        <f t="shared" si="61"/>
        <v>0</v>
      </c>
      <c r="Q95" s="76">
        <f t="shared" si="61"/>
        <v>0</v>
      </c>
      <c r="R95" s="76">
        <f t="shared" si="61"/>
        <v>0</v>
      </c>
      <c r="S95" s="76">
        <f t="shared" si="61"/>
        <v>0</v>
      </c>
      <c r="T95" s="76">
        <f t="shared" si="61"/>
        <v>0</v>
      </c>
      <c r="U95" s="76">
        <f t="shared" si="61"/>
        <v>0</v>
      </c>
      <c r="V95" s="76">
        <f t="shared" si="61"/>
        <v>0</v>
      </c>
      <c r="W95" s="76">
        <f t="shared" si="61"/>
        <v>0</v>
      </c>
      <c r="X95" s="76">
        <f t="shared" si="61"/>
        <v>0</v>
      </c>
      <c r="Y95" s="76">
        <f t="shared" si="61"/>
        <v>0</v>
      </c>
      <c r="Z95" s="76">
        <f t="shared" si="61"/>
        <v>-128.57438999999999</v>
      </c>
      <c r="AA95" s="76">
        <f t="shared" si="61"/>
        <v>-128.57438999999999</v>
      </c>
      <c r="AB95" s="76">
        <f t="shared" si="61"/>
        <v>-166792.70824521594</v>
      </c>
      <c r="AC95" s="76">
        <f t="shared" si="61"/>
        <v>-188205.49094478405</v>
      </c>
      <c r="AD95" s="76">
        <f t="shared" si="61"/>
        <v>-193054.78059000004</v>
      </c>
      <c r="AE95" s="76">
        <f t="shared" si="61"/>
        <v>-224900.86485000001</v>
      </c>
      <c r="AF95" s="76">
        <f t="shared" si="61"/>
        <v>-772953.84463000007</v>
      </c>
      <c r="AG95" s="76">
        <f t="shared" si="61"/>
        <v>-206143.53909999999</v>
      </c>
      <c r="AH95" s="76">
        <f t="shared" si="61"/>
        <v>-220864.46090000001</v>
      </c>
      <c r="AI95" s="76">
        <f t="shared" si="61"/>
        <v>-178937.67780999999</v>
      </c>
      <c r="AJ95" s="76">
        <f t="shared" si="61"/>
        <v>-252959.45878000002</v>
      </c>
      <c r="AK95" s="76">
        <f t="shared" si="61"/>
        <v>-858905.13659000001</v>
      </c>
      <c r="AL95" s="76">
        <f t="shared" si="61"/>
        <v>-247107.75899999999</v>
      </c>
      <c r="AM95" s="76">
        <f t="shared" si="61"/>
        <v>-240235.85055999999</v>
      </c>
      <c r="AN95" s="76">
        <f t="shared" si="61"/>
        <v>-236132.73421999998</v>
      </c>
      <c r="AO95" s="76">
        <f t="shared" si="61"/>
        <v>-302966.71655999997</v>
      </c>
      <c r="AP95" s="76">
        <f t="shared" si="61"/>
        <v>-1026443.06034</v>
      </c>
      <c r="AQ95" s="76">
        <f t="shared" si="61"/>
        <v>-256753.81031999999</v>
      </c>
      <c r="AR95" s="76">
        <f t="shared" si="61"/>
        <v>-276168.86982999998</v>
      </c>
      <c r="AS95" s="76">
        <f t="shared" si="61"/>
        <v>-304624.44280999998</v>
      </c>
      <c r="AT95" s="76">
        <f t="shared" si="61"/>
        <v>-349012.78356999997</v>
      </c>
      <c r="AU95" s="76">
        <f t="shared" si="61"/>
        <v>-1186559.90653</v>
      </c>
      <c r="AV95" s="76">
        <f t="shared" ref="AV95" si="62">SUM(AV96:AV102)</f>
        <v>-296274.10334999999</v>
      </c>
      <c r="AW95" s="76">
        <f>SUM(AW96:AW102)</f>
        <v>-305444.00448</v>
      </c>
      <c r="AX95" s="76">
        <f>SUM(AX96:AX102)</f>
        <v>-328262.41137000005</v>
      </c>
      <c r="AY95" s="76">
        <f>SUM(AY96:AY102)</f>
        <v>-417795.72080000001</v>
      </c>
      <c r="AZ95" s="76">
        <f>SUM(AZ96:AZ102)</f>
        <v>-1347776.24</v>
      </c>
      <c r="BA95" s="76">
        <f t="shared" ref="BA95" si="63">SUM(BA96:BA102)</f>
        <v>-328952.23988000007</v>
      </c>
      <c r="BB95" s="771"/>
      <c r="BC95" s="771"/>
      <c r="BD95" s="189"/>
    </row>
    <row r="96" spans="1:60">
      <c r="B96" t="str">
        <f t="shared" si="58"/>
        <v>XS1 Holding</v>
      </c>
      <c r="C96" s="1">
        <f>'DRE NOVAS PARCERIAS CAIXA'!C$100</f>
        <v>0</v>
      </c>
      <c r="D96" s="1">
        <f>'DRE NOVAS PARCERIAS CAIXA'!D$100</f>
        <v>0</v>
      </c>
      <c r="E96" s="1">
        <f>'DRE NOVAS PARCERIAS CAIXA'!E$100</f>
        <v>0</v>
      </c>
      <c r="F96" s="1">
        <f>'DRE NOVAS PARCERIAS CAIXA'!F$100</f>
        <v>0</v>
      </c>
      <c r="G96" s="1">
        <f>'DRE NOVAS PARCERIAS CAIXA'!G$100</f>
        <v>0</v>
      </c>
      <c r="H96" s="1">
        <f>'DRE NOVAS PARCERIAS CAIXA'!H$100</f>
        <v>0</v>
      </c>
      <c r="I96" s="1">
        <f>'DRE NOVAS PARCERIAS CAIXA'!I$100</f>
        <v>0</v>
      </c>
      <c r="J96" s="1">
        <f>'DRE NOVAS PARCERIAS CAIXA'!J$100</f>
        <v>0</v>
      </c>
      <c r="K96" s="1">
        <f>'DRE NOVAS PARCERIAS CAIXA'!K$100</f>
        <v>0</v>
      </c>
      <c r="L96" s="1">
        <f>'DRE NOVAS PARCERIAS CAIXA'!L$100</f>
        <v>0</v>
      </c>
      <c r="M96" s="1">
        <f>'DRE NOVAS PARCERIAS CAIXA'!M$100</f>
        <v>0</v>
      </c>
      <c r="N96" s="1">
        <f>'DRE NOVAS PARCERIAS CAIXA'!N$100</f>
        <v>0</v>
      </c>
      <c r="O96" s="1">
        <f>'DRE NOVAS PARCERIAS CAIXA'!O$100</f>
        <v>0</v>
      </c>
      <c r="P96" s="1">
        <f>'DRE NOVAS PARCERIAS CAIXA'!P$100</f>
        <v>0</v>
      </c>
      <c r="Q96" s="1">
        <f>'DRE NOVAS PARCERIAS CAIXA'!Q$100</f>
        <v>0</v>
      </c>
      <c r="R96" s="1">
        <f>'DRE NOVAS PARCERIAS CAIXA'!R$100</f>
        <v>0</v>
      </c>
      <c r="S96" s="1">
        <f>'DRE NOVAS PARCERIAS CAIXA'!S$100</f>
        <v>0</v>
      </c>
      <c r="T96" s="1">
        <f>'DRE NOVAS PARCERIAS CAIXA'!T$100</f>
        <v>0</v>
      </c>
      <c r="U96" s="1">
        <f>'DRE NOVAS PARCERIAS CAIXA'!U$100</f>
        <v>0</v>
      </c>
      <c r="V96" s="1">
        <f>'DRE NOVAS PARCERIAS CAIXA'!V$100</f>
        <v>0</v>
      </c>
      <c r="W96" s="1">
        <f>'DRE NOVAS PARCERIAS CAIXA'!W$100</f>
        <v>0</v>
      </c>
      <c r="X96" s="1">
        <f>'DRE NOVAS PARCERIAS CAIXA'!X$100</f>
        <v>0</v>
      </c>
      <c r="Y96" s="1">
        <f>'DRE NOVAS PARCERIAS CAIXA'!Y$100</f>
        <v>0</v>
      </c>
      <c r="Z96" s="1">
        <f>'DRE NOVAS PARCERIAS CAIXA'!Z$100</f>
        <v>-70.691299999999998</v>
      </c>
      <c r="AA96" s="1">
        <f>'DRE NOVAS PARCERIAS CAIXA'!AA$100</f>
        <v>-70.691299999999998</v>
      </c>
      <c r="AB96" s="1">
        <f>'DRE NOVAS PARCERIAS CAIXA'!AB$100</f>
        <v>3574.0562447840639</v>
      </c>
      <c r="AC96" s="1">
        <f>'DRE NOVAS PARCERIAS CAIXA'!AC$100</f>
        <v>-8119.8058747840405</v>
      </c>
      <c r="AD96" s="1">
        <f>'DRE NOVAS PARCERIAS CAIXA'!AD$100</f>
        <v>-760.65379000001121</v>
      </c>
      <c r="AE96" s="1">
        <f>'DRE NOVAS PARCERIAS CAIXA'!AE$100</f>
        <v>-756</v>
      </c>
      <c r="AF96" s="1">
        <f>'DRE NOVAS PARCERIAS CAIXA'!AF$100</f>
        <v>-6062.4034199999878</v>
      </c>
      <c r="AG96" s="1">
        <f>'DRE NOVAS PARCERIAS CAIXA'!AG$100</f>
        <v>-2478</v>
      </c>
      <c r="AH96" s="1">
        <f>'DRE NOVAS PARCERIAS CAIXA'!AH$100</f>
        <v>-4135</v>
      </c>
      <c r="AI96" s="1">
        <f>'DRE NOVAS PARCERIAS CAIXA'!AI$100</f>
        <v>13834</v>
      </c>
      <c r="AJ96" s="1">
        <f>'DRE NOVAS PARCERIAS CAIXA'!AJ$100</f>
        <v>3112</v>
      </c>
      <c r="AK96" s="1">
        <f>'DRE NOVAS PARCERIAS CAIXA'!AK$100</f>
        <v>10333</v>
      </c>
      <c r="AL96" s="1">
        <f>'DRE NOVAS PARCERIAS CAIXA'!AL$100</f>
        <v>-3389</v>
      </c>
      <c r="AM96" s="1">
        <f>'DRE NOVAS PARCERIAS CAIXA'!AM$100</f>
        <v>-5995</v>
      </c>
      <c r="AN96" s="1">
        <f>'DRE NOVAS PARCERIAS CAIXA'!AN$100</f>
        <v>8180</v>
      </c>
      <c r="AO96" s="1">
        <f>'DRE NOVAS PARCERIAS CAIXA'!AO$100</f>
        <v>-38094</v>
      </c>
      <c r="AP96" s="1">
        <f>'DRE NOVAS PARCERIAS CAIXA'!AP$100</f>
        <v>-39298</v>
      </c>
      <c r="AQ96" s="1">
        <f>'DRE NOVAS PARCERIAS CAIXA'!AQ$100</f>
        <v>-13190</v>
      </c>
      <c r="AR96" s="1">
        <f>'DRE NOVAS PARCERIAS CAIXA'!AR$100</f>
        <v>-17899</v>
      </c>
      <c r="AS96" s="1">
        <f>'DRE NOVAS PARCERIAS CAIXA'!AS$100</f>
        <v>-14043</v>
      </c>
      <c r="AT96" s="1">
        <f>'DRE NOVAS PARCERIAS CAIXA'!AT$100</f>
        <v>-22210</v>
      </c>
      <c r="AU96" s="1">
        <f>'DRE NOVAS PARCERIAS CAIXA'!AU$100</f>
        <v>-67342</v>
      </c>
      <c r="AV96" s="1">
        <f>'DRE NOVAS PARCERIAS CAIXA'!AV$100</f>
        <v>-17901</v>
      </c>
      <c r="AW96" s="1">
        <f>'DRE NOVAS PARCERIAS CAIXA'!AW$100</f>
        <v>-16359</v>
      </c>
      <c r="AX96" s="1">
        <f>'DRE NOVAS PARCERIAS CAIXA'!AX$100</f>
        <v>-16312</v>
      </c>
      <c r="AY96" s="1">
        <f>'DRE NOVAS PARCERIAS CAIXA'!AY$100</f>
        <v>-6052</v>
      </c>
      <c r="AZ96" s="1">
        <f>'DRE NOVAS PARCERIAS CAIXA'!AZ$100</f>
        <v>-56624</v>
      </c>
      <c r="BA96" s="1">
        <f>'DRE NOVAS PARCERIAS CAIXA'!BA$100</f>
        <v>-13770</v>
      </c>
      <c r="BB96" s="171"/>
      <c r="BC96" s="171"/>
      <c r="BD96" s="189"/>
    </row>
    <row r="97" spans="1:58">
      <c r="B97" t="str">
        <f t="shared" si="58"/>
        <v>Caixa Vida &amp; Previdência</v>
      </c>
      <c r="C97" s="1">
        <f>'DRE NOVAS PARCERIAS CAIXA'!C49</f>
        <v>0</v>
      </c>
      <c r="D97" s="1">
        <f>'DRE NOVAS PARCERIAS CAIXA'!D49</f>
        <v>0</v>
      </c>
      <c r="E97" s="1">
        <f>'DRE NOVAS PARCERIAS CAIXA'!E49</f>
        <v>0</v>
      </c>
      <c r="F97" s="1">
        <f>'DRE NOVAS PARCERIAS CAIXA'!F49</f>
        <v>0</v>
      </c>
      <c r="G97" s="1">
        <f>'DRE NOVAS PARCERIAS CAIXA'!G49</f>
        <v>0</v>
      </c>
      <c r="H97" s="1">
        <f>'DRE NOVAS PARCERIAS CAIXA'!H49</f>
        <v>0</v>
      </c>
      <c r="I97" s="1">
        <f>'DRE NOVAS PARCERIAS CAIXA'!I49</f>
        <v>0</v>
      </c>
      <c r="J97" s="1">
        <f>'DRE NOVAS PARCERIAS CAIXA'!J49</f>
        <v>0</v>
      </c>
      <c r="K97" s="1">
        <f>'DRE NOVAS PARCERIAS CAIXA'!K49</f>
        <v>0</v>
      </c>
      <c r="L97" s="1">
        <f>'DRE NOVAS PARCERIAS CAIXA'!L49</f>
        <v>0</v>
      </c>
      <c r="M97" s="1">
        <f>'DRE NOVAS PARCERIAS CAIXA'!M49</f>
        <v>0</v>
      </c>
      <c r="N97" s="1">
        <f>'DRE NOVAS PARCERIAS CAIXA'!N49</f>
        <v>0</v>
      </c>
      <c r="O97" s="1">
        <f>'DRE NOVAS PARCERIAS CAIXA'!O49</f>
        <v>0</v>
      </c>
      <c r="P97" s="1">
        <f>'DRE NOVAS PARCERIAS CAIXA'!P49</f>
        <v>0</v>
      </c>
      <c r="Q97" s="1">
        <f>'DRE NOVAS PARCERIAS CAIXA'!Q49</f>
        <v>0</v>
      </c>
      <c r="R97" s="1">
        <f>'DRE NOVAS PARCERIAS CAIXA'!R49</f>
        <v>0</v>
      </c>
      <c r="S97" s="1">
        <f>'DRE NOVAS PARCERIAS CAIXA'!S49</f>
        <v>0</v>
      </c>
      <c r="T97" s="1">
        <f>'DRE NOVAS PARCERIAS CAIXA'!T49</f>
        <v>0</v>
      </c>
      <c r="U97" s="1">
        <f>'DRE NOVAS PARCERIAS CAIXA'!U49</f>
        <v>0</v>
      </c>
      <c r="V97" s="1">
        <f>'DRE NOVAS PARCERIAS CAIXA'!V49</f>
        <v>0</v>
      </c>
      <c r="W97" s="1">
        <f>'DRE NOVAS PARCERIAS CAIXA'!W49</f>
        <v>0</v>
      </c>
      <c r="X97" s="1">
        <f>'DRE NOVAS PARCERIAS CAIXA'!X49</f>
        <v>0</v>
      </c>
      <c r="Y97" s="1">
        <f>'DRE NOVAS PARCERIAS CAIXA'!Y49</f>
        <v>0</v>
      </c>
      <c r="Z97" s="1">
        <f>'DRE NOVAS PARCERIAS CAIXA'!Z49</f>
        <v>0</v>
      </c>
      <c r="AA97" s="1">
        <f>'DRE NOVAS PARCERIAS CAIXA'!AA49</f>
        <v>0</v>
      </c>
      <c r="AB97" s="1">
        <f>'DRE NOVAS PARCERIAS CAIXA'!AB49</f>
        <v>-40863.081930000008</v>
      </c>
      <c r="AC97" s="1">
        <f>'DRE NOVAS PARCERIAS CAIXA'!AC49</f>
        <v>-48364.621699999996</v>
      </c>
      <c r="AD97" s="1">
        <f>'DRE NOVAS PARCERIAS CAIXA'!AD49</f>
        <v>-45204.369459999987</v>
      </c>
      <c r="AE97" s="1">
        <f>'DRE NOVAS PARCERIAS CAIXA'!AE49</f>
        <v>-51303</v>
      </c>
      <c r="AF97" s="1">
        <f>'DRE NOVAS PARCERIAS CAIXA'!AF49</f>
        <v>-185735.07308999999</v>
      </c>
      <c r="AG97" s="1">
        <f>'DRE NOVAS PARCERIAS CAIXA'!AG49</f>
        <v>-44770</v>
      </c>
      <c r="AH97" s="1">
        <f>'DRE NOVAS PARCERIAS CAIXA'!AH49</f>
        <v>-6875</v>
      </c>
      <c r="AI97" s="1">
        <f>'DRE NOVAS PARCERIAS CAIXA'!AI49</f>
        <v>-32484</v>
      </c>
      <c r="AJ97" s="1">
        <f>'DRE NOVAS PARCERIAS CAIXA'!AJ49</f>
        <v>-43155</v>
      </c>
      <c r="AK97" s="1">
        <f>'DRE NOVAS PARCERIAS CAIXA'!AK49</f>
        <v>-127284</v>
      </c>
      <c r="AL97" s="1">
        <f>'DRE NOVAS PARCERIAS CAIXA'!AL49</f>
        <v>-31580</v>
      </c>
      <c r="AM97" s="1">
        <f>'DRE NOVAS PARCERIAS CAIXA'!AM49</f>
        <v>-46154</v>
      </c>
      <c r="AN97" s="1">
        <f>'DRE NOVAS PARCERIAS CAIXA'!AN49</f>
        <v>-43867</v>
      </c>
      <c r="AO97" s="1">
        <f>'DRE NOVAS PARCERIAS CAIXA'!AO49</f>
        <v>-54857</v>
      </c>
      <c r="AP97" s="1">
        <f>'DRE NOVAS PARCERIAS CAIXA'!AP49</f>
        <v>-176458</v>
      </c>
      <c r="AQ97" s="1">
        <f>'DRE NOVAS PARCERIAS CAIXA'!AQ49</f>
        <v>-36762</v>
      </c>
      <c r="AR97" s="1">
        <f>'DRE NOVAS PARCERIAS CAIXA'!AR49</f>
        <v>-38023</v>
      </c>
      <c r="AS97" s="1">
        <f>'DRE NOVAS PARCERIAS CAIXA'!AS49</f>
        <v>-84677</v>
      </c>
      <c r="AT97" s="1">
        <f>'DRE NOVAS PARCERIAS CAIXA'!AT49</f>
        <v>-190951</v>
      </c>
      <c r="AU97" s="1">
        <f>'DRE NOVAS PARCERIAS CAIXA'!AU49</f>
        <v>-350413</v>
      </c>
      <c r="AV97" s="1">
        <f>'DRE NOVAS PARCERIAS CAIXA'!AV49</f>
        <v>-151678</v>
      </c>
      <c r="AW97" s="1">
        <f>'DRE NOVAS PARCERIAS CAIXA'!AW49</f>
        <v>-158207</v>
      </c>
      <c r="AX97" s="1">
        <f>'DRE NOVAS PARCERIAS CAIXA'!AX49</f>
        <v>-173160</v>
      </c>
      <c r="AY97" s="1">
        <f>'DRE NOVAS PARCERIAS CAIXA'!AY49</f>
        <v>-215423</v>
      </c>
      <c r="AZ97" s="1">
        <f>'DRE NOVAS PARCERIAS CAIXA'!AZ49</f>
        <v>-698468</v>
      </c>
      <c r="BA97" s="1">
        <f>'DRE NOVAS PARCERIAS CAIXA'!BA49</f>
        <v>-168420</v>
      </c>
      <c r="BB97" s="171"/>
      <c r="BC97" s="171"/>
      <c r="BD97" s="189"/>
    </row>
    <row r="98" spans="1:58">
      <c r="B98" t="str">
        <f t="shared" si="58"/>
        <v>XS2 Vida e Previdência</v>
      </c>
      <c r="C98" s="1">
        <f>'DRE NOVAS PARCERIAS CAIXA'!C78</f>
        <v>0</v>
      </c>
      <c r="D98" s="1">
        <f>'DRE NOVAS PARCERIAS CAIXA'!D78</f>
        <v>0</v>
      </c>
      <c r="E98" s="1">
        <f>'DRE NOVAS PARCERIAS CAIXA'!E78</f>
        <v>0</v>
      </c>
      <c r="F98" s="1">
        <f>'DRE NOVAS PARCERIAS CAIXA'!F78</f>
        <v>0</v>
      </c>
      <c r="G98" s="1">
        <f>'DRE NOVAS PARCERIAS CAIXA'!G78</f>
        <v>0</v>
      </c>
      <c r="H98" s="1">
        <f>'DRE NOVAS PARCERIAS CAIXA'!H78</f>
        <v>0</v>
      </c>
      <c r="I98" s="1">
        <f>'DRE NOVAS PARCERIAS CAIXA'!I78</f>
        <v>0</v>
      </c>
      <c r="J98" s="1">
        <f>'DRE NOVAS PARCERIAS CAIXA'!J78</f>
        <v>0</v>
      </c>
      <c r="K98" s="1">
        <f>'DRE NOVAS PARCERIAS CAIXA'!K78</f>
        <v>0</v>
      </c>
      <c r="L98" s="1">
        <f>'DRE NOVAS PARCERIAS CAIXA'!L78</f>
        <v>0</v>
      </c>
      <c r="M98" s="1">
        <f>'DRE NOVAS PARCERIAS CAIXA'!M78</f>
        <v>0</v>
      </c>
      <c r="N98" s="1">
        <f>'DRE NOVAS PARCERIAS CAIXA'!N78</f>
        <v>0</v>
      </c>
      <c r="O98" s="1">
        <f>'DRE NOVAS PARCERIAS CAIXA'!O78</f>
        <v>0</v>
      </c>
      <c r="P98" s="1">
        <f>'DRE NOVAS PARCERIAS CAIXA'!P78</f>
        <v>0</v>
      </c>
      <c r="Q98" s="1">
        <f>'DRE NOVAS PARCERIAS CAIXA'!Q78</f>
        <v>0</v>
      </c>
      <c r="R98" s="1">
        <f>'DRE NOVAS PARCERIAS CAIXA'!R78</f>
        <v>0</v>
      </c>
      <c r="S98" s="1">
        <f>'DRE NOVAS PARCERIAS CAIXA'!S78</f>
        <v>0</v>
      </c>
      <c r="T98" s="1">
        <f>'DRE NOVAS PARCERIAS CAIXA'!T78</f>
        <v>0</v>
      </c>
      <c r="U98" s="1">
        <f>'DRE NOVAS PARCERIAS CAIXA'!U78</f>
        <v>0</v>
      </c>
      <c r="V98" s="1">
        <f>'DRE NOVAS PARCERIAS CAIXA'!V78</f>
        <v>0</v>
      </c>
      <c r="W98" s="1">
        <f>'DRE NOVAS PARCERIAS CAIXA'!W78</f>
        <v>0</v>
      </c>
      <c r="X98" s="1">
        <f>'DRE NOVAS PARCERIAS CAIXA'!X78</f>
        <v>0</v>
      </c>
      <c r="Y98" s="1">
        <f>'DRE NOVAS PARCERIAS CAIXA'!Y78</f>
        <v>0</v>
      </c>
      <c r="Z98" s="1">
        <f>'DRE NOVAS PARCERIAS CAIXA'!Z78</f>
        <v>-31.883089999999999</v>
      </c>
      <c r="AA98" s="1">
        <f>'DRE NOVAS PARCERIAS CAIXA'!AA78</f>
        <v>-31.883089999999999</v>
      </c>
      <c r="AB98" s="1">
        <f>'DRE NOVAS PARCERIAS CAIXA'!AB78</f>
        <v>-70658.282799999986</v>
      </c>
      <c r="AC98" s="1">
        <f>'DRE NOVAS PARCERIAS CAIXA'!AC78</f>
        <v>-75865.591070000024</v>
      </c>
      <c r="AD98" s="1">
        <f>'DRE NOVAS PARCERIAS CAIXA'!AD78</f>
        <v>-82740.807270000019</v>
      </c>
      <c r="AE98" s="1">
        <f>'DRE NOVAS PARCERIAS CAIXA'!AE78</f>
        <v>-87031</v>
      </c>
      <c r="AF98" s="1">
        <f>'DRE NOVAS PARCERIAS CAIXA'!AF78</f>
        <v>-316295.68114</v>
      </c>
      <c r="AG98" s="1">
        <f>'DRE NOVAS PARCERIAS CAIXA'!AG78</f>
        <v>-89970</v>
      </c>
      <c r="AH98" s="1">
        <f>'DRE NOVAS PARCERIAS CAIXA'!AH78</f>
        <v>-119692</v>
      </c>
      <c r="AI98" s="1">
        <f>'DRE NOVAS PARCERIAS CAIXA'!AI78</f>
        <v>-110318</v>
      </c>
      <c r="AJ98" s="1">
        <f>'DRE NOVAS PARCERIAS CAIXA'!AJ78</f>
        <v>-118366</v>
      </c>
      <c r="AK98" s="1">
        <f>'DRE NOVAS PARCERIAS CAIXA'!AK78</f>
        <v>-438346</v>
      </c>
      <c r="AL98" s="1">
        <f>'DRE NOVAS PARCERIAS CAIXA'!AL78</f>
        <v>-115385</v>
      </c>
      <c r="AM98" s="1">
        <f>'DRE NOVAS PARCERIAS CAIXA'!AM78</f>
        <v>-87614</v>
      </c>
      <c r="AN98" s="1">
        <f>'DRE NOVAS PARCERIAS CAIXA'!AN78</f>
        <v>-104885</v>
      </c>
      <c r="AO98" s="1">
        <f>'DRE NOVAS PARCERIAS CAIXA'!AO78</f>
        <v>-105205</v>
      </c>
      <c r="AP98" s="1">
        <f>'DRE NOVAS PARCERIAS CAIXA'!AP78</f>
        <v>-413089</v>
      </c>
      <c r="AQ98" s="1">
        <f>'DRE NOVAS PARCERIAS CAIXA'!AQ78</f>
        <v>-104222</v>
      </c>
      <c r="AR98" s="1">
        <f>'DRE NOVAS PARCERIAS CAIXA'!AR78</f>
        <v>-108799</v>
      </c>
      <c r="AS98" s="1">
        <f>'DRE NOVAS PARCERIAS CAIXA'!AS78</f>
        <v>-82169</v>
      </c>
      <c r="AT98" s="1">
        <f>'DRE NOVAS PARCERIAS CAIXA'!AT78</f>
        <v>0</v>
      </c>
      <c r="AU98" s="1">
        <f>'DRE NOVAS PARCERIAS CAIXA'!AU78</f>
        <v>-295190</v>
      </c>
      <c r="AV98" s="1">
        <f>'DRE NOVAS PARCERIAS CAIXA'!AV78</f>
        <v>0</v>
      </c>
      <c r="AW98" s="1">
        <f>'DRE NOVAS PARCERIAS CAIXA'!AW78</f>
        <v>0</v>
      </c>
      <c r="AX98" s="1">
        <f>'DRE NOVAS PARCERIAS CAIXA'!AX78</f>
        <v>0</v>
      </c>
      <c r="AY98" s="1">
        <f>'DRE NOVAS PARCERIAS CAIXA'!AY78</f>
        <v>0</v>
      </c>
      <c r="AZ98" s="1">
        <f>'DRE NOVAS PARCERIAS CAIXA'!AZ78</f>
        <v>0</v>
      </c>
      <c r="BA98" s="1">
        <f>'DRE NOVAS PARCERIAS CAIXA'!BA78</f>
        <v>0</v>
      </c>
      <c r="BB98" s="171"/>
      <c r="BC98" s="775"/>
      <c r="BD98" s="189"/>
    </row>
    <row r="99" spans="1:58">
      <c r="B99" t="str">
        <f t="shared" si="58"/>
        <v>XS3 SEGUROS</v>
      </c>
      <c r="C99" s="1">
        <f>'DRE NOVAS PARCERIAS CAIXA'!C130</f>
        <v>0</v>
      </c>
      <c r="D99" s="1">
        <f>'DRE NOVAS PARCERIAS CAIXA'!D130</f>
        <v>0</v>
      </c>
      <c r="E99" s="1">
        <f>'DRE NOVAS PARCERIAS CAIXA'!E130</f>
        <v>0</v>
      </c>
      <c r="F99" s="1">
        <f>'DRE NOVAS PARCERIAS CAIXA'!F130</f>
        <v>0</v>
      </c>
      <c r="G99" s="1">
        <f>'DRE NOVAS PARCERIAS CAIXA'!G130</f>
        <v>0</v>
      </c>
      <c r="H99" s="1">
        <f>'DRE NOVAS PARCERIAS CAIXA'!H130</f>
        <v>0</v>
      </c>
      <c r="I99" s="1">
        <f>'DRE NOVAS PARCERIAS CAIXA'!I130</f>
        <v>0</v>
      </c>
      <c r="J99" s="1">
        <f>'DRE NOVAS PARCERIAS CAIXA'!J130</f>
        <v>0</v>
      </c>
      <c r="K99" s="1">
        <f>'DRE NOVAS PARCERIAS CAIXA'!K130</f>
        <v>0</v>
      </c>
      <c r="L99" s="1">
        <f>'DRE NOVAS PARCERIAS CAIXA'!L130</f>
        <v>0</v>
      </c>
      <c r="M99" s="1">
        <f>'DRE NOVAS PARCERIAS CAIXA'!M130</f>
        <v>0</v>
      </c>
      <c r="N99" s="1">
        <f>'DRE NOVAS PARCERIAS CAIXA'!N130</f>
        <v>0</v>
      </c>
      <c r="O99" s="1">
        <f>'DRE NOVAS PARCERIAS CAIXA'!O130</f>
        <v>0</v>
      </c>
      <c r="P99" s="1">
        <f>'DRE NOVAS PARCERIAS CAIXA'!P130</f>
        <v>0</v>
      </c>
      <c r="Q99" s="1">
        <f>'DRE NOVAS PARCERIAS CAIXA'!Q130</f>
        <v>0</v>
      </c>
      <c r="R99" s="1">
        <f>'DRE NOVAS PARCERIAS CAIXA'!R130</f>
        <v>0</v>
      </c>
      <c r="S99" s="1">
        <f>'DRE NOVAS PARCERIAS CAIXA'!S130</f>
        <v>0</v>
      </c>
      <c r="T99" s="1">
        <f>'DRE NOVAS PARCERIAS CAIXA'!T130</f>
        <v>0</v>
      </c>
      <c r="U99" s="1">
        <f>'DRE NOVAS PARCERIAS CAIXA'!U130</f>
        <v>0</v>
      </c>
      <c r="V99" s="1">
        <f>'DRE NOVAS PARCERIAS CAIXA'!V130</f>
        <v>0</v>
      </c>
      <c r="W99" s="1">
        <f>'DRE NOVAS PARCERIAS CAIXA'!W130</f>
        <v>0</v>
      </c>
      <c r="X99" s="1">
        <f>'DRE NOVAS PARCERIAS CAIXA'!X130</f>
        <v>0</v>
      </c>
      <c r="Y99" s="1">
        <f>'DRE NOVAS PARCERIAS CAIXA'!Y130</f>
        <v>0</v>
      </c>
      <c r="Z99" s="1">
        <f>'DRE NOVAS PARCERIAS CAIXA'!Z130</f>
        <v>-15</v>
      </c>
      <c r="AA99" s="1">
        <f>'DRE NOVAS PARCERIAS CAIXA'!AA130</f>
        <v>-15</v>
      </c>
      <c r="AB99" s="1">
        <f>'DRE NOVAS PARCERIAS CAIXA'!AB130</f>
        <v>-58412.57129</v>
      </c>
      <c r="AC99" s="1">
        <f>'DRE NOVAS PARCERIAS CAIXA'!AC130</f>
        <v>-50030.331720000002</v>
      </c>
      <c r="AD99" s="1">
        <f>'DRE NOVAS PARCERIAS CAIXA'!AD130</f>
        <v>-49966.241139999998</v>
      </c>
      <c r="AE99" s="1">
        <f>'DRE NOVAS PARCERIAS CAIXA'!AE130</f>
        <v>-44589</v>
      </c>
      <c r="AF99" s="1">
        <f>'DRE NOVAS PARCERIAS CAIXA'!AF130</f>
        <v>-202998.14415000001</v>
      </c>
      <c r="AG99" s="1">
        <f>'DRE NOVAS PARCERIAS CAIXA'!AG130</f>
        <v>-46178</v>
      </c>
      <c r="AH99" s="1">
        <f>'DRE NOVAS PARCERIAS CAIXA'!AH130</f>
        <v>-44346</v>
      </c>
      <c r="AI99" s="1">
        <f>'DRE NOVAS PARCERIAS CAIXA'!AI130</f>
        <v>-50560</v>
      </c>
      <c r="AJ99" s="1">
        <f>'DRE NOVAS PARCERIAS CAIXA'!AJ130</f>
        <v>-58423</v>
      </c>
      <c r="AK99" s="1">
        <f>'DRE NOVAS PARCERIAS CAIXA'!AK130</f>
        <v>-199507</v>
      </c>
      <c r="AL99" s="1">
        <f>'DRE NOVAS PARCERIAS CAIXA'!AL130</f>
        <v>-59168</v>
      </c>
      <c r="AM99" s="1">
        <f>'DRE NOVAS PARCERIAS CAIXA'!AM130</f>
        <v>-60595</v>
      </c>
      <c r="AN99" s="1">
        <f>'DRE NOVAS PARCERIAS CAIXA'!AN130</f>
        <v>-56026</v>
      </c>
      <c r="AO99" s="1">
        <f>'DRE NOVAS PARCERIAS CAIXA'!AO130</f>
        <v>-63623</v>
      </c>
      <c r="AP99" s="1">
        <f>'DRE NOVAS PARCERIAS CAIXA'!AP130</f>
        <v>-239412</v>
      </c>
      <c r="AQ99" s="1">
        <f>'DRE NOVAS PARCERIAS CAIXA'!AQ130</f>
        <v>-59919</v>
      </c>
      <c r="AR99" s="1">
        <f>'DRE NOVAS PARCERIAS CAIXA'!AR130</f>
        <v>-59599</v>
      </c>
      <c r="AS99" s="1">
        <f>'DRE NOVAS PARCERIAS CAIXA'!AS130</f>
        <v>-72426</v>
      </c>
      <c r="AT99" s="1">
        <f>'DRE NOVAS PARCERIAS CAIXA'!AT130</f>
        <v>-81599</v>
      </c>
      <c r="AU99" s="1">
        <f>'DRE NOVAS PARCERIAS CAIXA'!AU130</f>
        <v>-273543</v>
      </c>
      <c r="AV99" s="1">
        <f>'DRE NOVAS PARCERIAS CAIXA'!AV130</f>
        <v>-68918</v>
      </c>
      <c r="AW99" s="1">
        <f>'DRE NOVAS PARCERIAS CAIXA'!AW130</f>
        <v>-65978</v>
      </c>
      <c r="AX99" s="1">
        <f>'DRE NOVAS PARCERIAS CAIXA'!AX130</f>
        <v>-71074.477999999988</v>
      </c>
      <c r="AY99" s="1">
        <f>'DRE NOVAS PARCERIAS CAIXA'!AY130</f>
        <v>-101987.451</v>
      </c>
      <c r="AZ99" s="1">
        <f>'DRE NOVAS PARCERIAS CAIXA'!AZ130</f>
        <v>-307957.929</v>
      </c>
      <c r="BA99" s="1">
        <f>'DRE NOVAS PARCERIAS CAIXA'!BA130</f>
        <v>-75433</v>
      </c>
      <c r="BB99" s="171"/>
      <c r="BC99" s="189"/>
      <c r="BD99" s="189"/>
      <c r="BE99" s="189"/>
      <c r="BF99" s="189"/>
    </row>
    <row r="100" spans="1:58">
      <c r="B100" t="str">
        <f t="shared" si="58"/>
        <v>XS4 Capitalização</v>
      </c>
      <c r="C100" s="1">
        <f>'DRE NOVAS PARCERIAS CAIXA'!C160</f>
        <v>0</v>
      </c>
      <c r="D100" s="1">
        <f>'DRE NOVAS PARCERIAS CAIXA'!D160</f>
        <v>0</v>
      </c>
      <c r="E100" s="1">
        <f>'DRE NOVAS PARCERIAS CAIXA'!E160</f>
        <v>0</v>
      </c>
      <c r="F100" s="1">
        <f>'DRE NOVAS PARCERIAS CAIXA'!F160</f>
        <v>0</v>
      </c>
      <c r="G100" s="1">
        <f>'DRE NOVAS PARCERIAS CAIXA'!G160</f>
        <v>0</v>
      </c>
      <c r="H100" s="1">
        <f>'DRE NOVAS PARCERIAS CAIXA'!H160</f>
        <v>0</v>
      </c>
      <c r="I100" s="1">
        <f>'DRE NOVAS PARCERIAS CAIXA'!I160</f>
        <v>0</v>
      </c>
      <c r="J100" s="1">
        <f>'DRE NOVAS PARCERIAS CAIXA'!J160</f>
        <v>0</v>
      </c>
      <c r="K100" s="1">
        <f>'DRE NOVAS PARCERIAS CAIXA'!K160</f>
        <v>0</v>
      </c>
      <c r="L100" s="1">
        <f>'DRE NOVAS PARCERIAS CAIXA'!L160</f>
        <v>0</v>
      </c>
      <c r="M100" s="1">
        <f>'DRE NOVAS PARCERIAS CAIXA'!M160</f>
        <v>0</v>
      </c>
      <c r="N100" s="1">
        <f>'DRE NOVAS PARCERIAS CAIXA'!N160</f>
        <v>0</v>
      </c>
      <c r="O100" s="1">
        <f>'DRE NOVAS PARCERIAS CAIXA'!O160</f>
        <v>0</v>
      </c>
      <c r="P100" s="1">
        <f>'DRE NOVAS PARCERIAS CAIXA'!P160</f>
        <v>0</v>
      </c>
      <c r="Q100" s="1">
        <f>'DRE NOVAS PARCERIAS CAIXA'!Q160</f>
        <v>0</v>
      </c>
      <c r="R100" s="1">
        <f>'DRE NOVAS PARCERIAS CAIXA'!R160</f>
        <v>0</v>
      </c>
      <c r="S100" s="1">
        <f>'DRE NOVAS PARCERIAS CAIXA'!S160</f>
        <v>0</v>
      </c>
      <c r="T100" s="1">
        <f>'DRE NOVAS PARCERIAS CAIXA'!T160</f>
        <v>0</v>
      </c>
      <c r="U100" s="1">
        <f>'DRE NOVAS PARCERIAS CAIXA'!U160</f>
        <v>0</v>
      </c>
      <c r="V100" s="1">
        <f>'DRE NOVAS PARCERIAS CAIXA'!V160</f>
        <v>0</v>
      </c>
      <c r="W100" s="1">
        <f>'DRE NOVAS PARCERIAS CAIXA'!W160</f>
        <v>0</v>
      </c>
      <c r="X100" s="1">
        <f>'DRE NOVAS PARCERIAS CAIXA'!X160</f>
        <v>0</v>
      </c>
      <c r="Y100" s="1">
        <f>'DRE NOVAS PARCERIAS CAIXA'!Y160</f>
        <v>0</v>
      </c>
      <c r="Z100" s="1">
        <f>'DRE NOVAS PARCERIAS CAIXA'!Z160</f>
        <v>-11</v>
      </c>
      <c r="AA100" s="1">
        <f>'DRE NOVAS PARCERIAS CAIXA'!AA160</f>
        <v>-11</v>
      </c>
      <c r="AB100" s="1">
        <f>'DRE NOVAS PARCERIAS CAIXA'!AB160</f>
        <v>-1.44936</v>
      </c>
      <c r="AC100" s="1">
        <f>'DRE NOVAS PARCERIAS CAIXA'!AC160</f>
        <v>-1406.66616</v>
      </c>
      <c r="AD100" s="1">
        <f>'DRE NOVAS PARCERIAS CAIXA'!AD160</f>
        <v>-8025.1655299999993</v>
      </c>
      <c r="AE100" s="1">
        <f>'DRE NOVAS PARCERIAS CAIXA'!AE160</f>
        <v>-19706.864850000002</v>
      </c>
      <c r="AF100" s="1">
        <f>'DRE NOVAS PARCERIAS CAIXA'!AF160</f>
        <v>-29140.145900000003</v>
      </c>
      <c r="AG100" s="1">
        <f>'DRE NOVAS PARCERIAS CAIXA'!AG160</f>
        <v>-6585</v>
      </c>
      <c r="AH100" s="1">
        <f>'DRE NOVAS PARCERIAS CAIXA'!AH160</f>
        <v>-8294</v>
      </c>
      <c r="AI100" s="1">
        <f>'DRE NOVAS PARCERIAS CAIXA'!AI160</f>
        <v>-8497</v>
      </c>
      <c r="AJ100" s="1">
        <f>'DRE NOVAS PARCERIAS CAIXA'!AJ160</f>
        <v>-10076</v>
      </c>
      <c r="AK100" s="1">
        <f>'DRE NOVAS PARCERIAS CAIXA'!AK160</f>
        <v>-33452</v>
      </c>
      <c r="AL100" s="1">
        <f>'DRE NOVAS PARCERIAS CAIXA'!AL160</f>
        <v>-8357.759</v>
      </c>
      <c r="AM100" s="1">
        <f>'DRE NOVAS PARCERIAS CAIXA'!AM160</f>
        <v>-10989</v>
      </c>
      <c r="AN100" s="1">
        <f>'DRE NOVAS PARCERIAS CAIXA'!AN160</f>
        <v>-9855</v>
      </c>
      <c r="AO100" s="1">
        <f>'DRE NOVAS PARCERIAS CAIXA'!AO160</f>
        <v>-12081</v>
      </c>
      <c r="AP100" s="1">
        <f>'DRE NOVAS PARCERIAS CAIXA'!AP160</f>
        <v>-41282.758999999998</v>
      </c>
      <c r="AQ100" s="1">
        <f>'DRE NOVAS PARCERIAS CAIXA'!AQ160</f>
        <v>-10360</v>
      </c>
      <c r="AR100" s="1">
        <f>'DRE NOVAS PARCERIAS CAIXA'!AR160</f>
        <v>-11125</v>
      </c>
      <c r="AS100" s="1">
        <f>'DRE NOVAS PARCERIAS CAIXA'!AS160</f>
        <v>-12840</v>
      </c>
      <c r="AT100" s="1">
        <f>'DRE NOVAS PARCERIAS CAIXA'!AT160</f>
        <v>-15338</v>
      </c>
      <c r="AU100" s="1">
        <f>'DRE NOVAS PARCERIAS CAIXA'!AU160</f>
        <v>-49663</v>
      </c>
      <c r="AV100" s="1">
        <f>'DRE NOVAS PARCERIAS CAIXA'!AV160</f>
        <v>-11815.883</v>
      </c>
      <c r="AW100" s="1">
        <f>'DRE NOVAS PARCERIAS CAIXA'!AW160</f>
        <v>-14497.482</v>
      </c>
      <c r="AX100" s="1">
        <f>'DRE NOVAS PARCERIAS CAIXA'!AX160</f>
        <v>-13972.204</v>
      </c>
      <c r="AY100" s="1">
        <f>'DRE NOVAS PARCERIAS CAIXA'!AY160</f>
        <v>-20753</v>
      </c>
      <c r="AZ100" s="1">
        <f>'DRE NOVAS PARCERIAS CAIXA'!AZ160</f>
        <v>-61038.568999999996</v>
      </c>
      <c r="BA100" s="1">
        <f>'DRE NOVAS PARCERIAS CAIXA'!BA160</f>
        <v>-14456</v>
      </c>
      <c r="BB100" s="171"/>
      <c r="BC100" s="171"/>
      <c r="BD100" s="189"/>
    </row>
    <row r="101" spans="1:58">
      <c r="B101" t="str">
        <f t="shared" si="58"/>
        <v>XS5 Consórcio</v>
      </c>
      <c r="C101" s="1">
        <f>'DRE NOVAS PARCERIAS CAIXA'!C184</f>
        <v>0</v>
      </c>
      <c r="D101" s="1">
        <f>'DRE NOVAS PARCERIAS CAIXA'!D184</f>
        <v>0</v>
      </c>
      <c r="E101" s="1">
        <f>'DRE NOVAS PARCERIAS CAIXA'!E184</f>
        <v>0</v>
      </c>
      <c r="F101" s="1">
        <f>'DRE NOVAS PARCERIAS CAIXA'!F184</f>
        <v>0</v>
      </c>
      <c r="G101" s="1">
        <f>'DRE NOVAS PARCERIAS CAIXA'!G184</f>
        <v>0</v>
      </c>
      <c r="H101" s="1">
        <f>'DRE NOVAS PARCERIAS CAIXA'!H184</f>
        <v>0</v>
      </c>
      <c r="I101" s="1">
        <f>'DRE NOVAS PARCERIAS CAIXA'!I184</f>
        <v>0</v>
      </c>
      <c r="J101" s="1">
        <f>'DRE NOVAS PARCERIAS CAIXA'!J184</f>
        <v>0</v>
      </c>
      <c r="K101" s="1">
        <f>'DRE NOVAS PARCERIAS CAIXA'!K184</f>
        <v>0</v>
      </c>
      <c r="L101" s="1">
        <f>'DRE NOVAS PARCERIAS CAIXA'!L184</f>
        <v>0</v>
      </c>
      <c r="M101" s="1">
        <f>'DRE NOVAS PARCERIAS CAIXA'!M184</f>
        <v>0</v>
      </c>
      <c r="N101" s="1">
        <f>'DRE NOVAS PARCERIAS CAIXA'!N184</f>
        <v>0</v>
      </c>
      <c r="O101" s="1">
        <f>'DRE NOVAS PARCERIAS CAIXA'!O184</f>
        <v>0</v>
      </c>
      <c r="P101" s="1">
        <f>'DRE NOVAS PARCERIAS CAIXA'!P184</f>
        <v>0</v>
      </c>
      <c r="Q101" s="1">
        <f>'DRE NOVAS PARCERIAS CAIXA'!Q184</f>
        <v>0</v>
      </c>
      <c r="R101" s="1">
        <f>'DRE NOVAS PARCERIAS CAIXA'!R184</f>
        <v>0</v>
      </c>
      <c r="S101" s="1">
        <f>'DRE NOVAS PARCERIAS CAIXA'!S184</f>
        <v>0</v>
      </c>
      <c r="T101" s="1">
        <f>'DRE NOVAS PARCERIAS CAIXA'!T184</f>
        <v>0</v>
      </c>
      <c r="U101" s="1">
        <f>'DRE NOVAS PARCERIAS CAIXA'!U184</f>
        <v>0</v>
      </c>
      <c r="V101" s="1">
        <f>'DRE NOVAS PARCERIAS CAIXA'!V184</f>
        <v>0</v>
      </c>
      <c r="W101" s="1">
        <f>'DRE NOVAS PARCERIAS CAIXA'!W184</f>
        <v>0</v>
      </c>
      <c r="X101" s="1">
        <f>'DRE NOVAS PARCERIAS CAIXA'!X184</f>
        <v>0</v>
      </c>
      <c r="Y101" s="1">
        <f>'DRE NOVAS PARCERIAS CAIXA'!Y184</f>
        <v>0</v>
      </c>
      <c r="Z101" s="1">
        <f>'DRE NOVAS PARCERIAS CAIXA'!Z184</f>
        <v>0</v>
      </c>
      <c r="AA101" s="1">
        <f>'DRE NOVAS PARCERIAS CAIXA'!AA184</f>
        <v>0</v>
      </c>
      <c r="AB101" s="1">
        <f>'DRE NOVAS PARCERIAS CAIXA'!AB184</f>
        <v>-0.24540000000000001</v>
      </c>
      <c r="AC101" s="1">
        <f>'DRE NOVAS PARCERIAS CAIXA'!AC184</f>
        <v>-3129.0813800000001</v>
      </c>
      <c r="AD101" s="1">
        <f>'DRE NOVAS PARCERIAS CAIXA'!AD184</f>
        <v>-4505.0701500000005</v>
      </c>
      <c r="AE101" s="1">
        <f>'DRE NOVAS PARCERIAS CAIXA'!AE184</f>
        <v>-17705</v>
      </c>
      <c r="AF101" s="1">
        <f>'DRE NOVAS PARCERIAS CAIXA'!AF184</f>
        <v>-25339.396930000003</v>
      </c>
      <c r="AG101" s="1">
        <f>'DRE NOVAS PARCERIAS CAIXA'!AG184</f>
        <v>-13451.539100000002</v>
      </c>
      <c r="AH101" s="1">
        <f>'DRE NOVAS PARCERIAS CAIXA'!AH184</f>
        <v>-33265.460899999998</v>
      </c>
      <c r="AI101" s="1">
        <f>'DRE NOVAS PARCERIAS CAIXA'!AI184</f>
        <v>16124.322190000006</v>
      </c>
      <c r="AJ101" s="1">
        <f>'DRE NOVAS PARCERIAS CAIXA'!AJ184</f>
        <v>-15085.458780000008</v>
      </c>
      <c r="AK101" s="1">
        <f>'DRE NOVAS PARCERIAS CAIXA'!AK184</f>
        <v>-45678.136590000002</v>
      </c>
      <c r="AL101" s="1">
        <f>'DRE NOVAS PARCERIAS CAIXA'!AL184</f>
        <v>-18876</v>
      </c>
      <c r="AM101" s="1">
        <f>'DRE NOVAS PARCERIAS CAIXA'!AM184</f>
        <v>-18456.850559999999</v>
      </c>
      <c r="AN101" s="1">
        <f>'DRE NOVAS PARCERIAS CAIXA'!AN184</f>
        <v>-17878.734219999998</v>
      </c>
      <c r="AO101" s="1">
        <f>'DRE NOVAS PARCERIAS CAIXA'!AO184</f>
        <v>-16186.716560000001</v>
      </c>
      <c r="AP101" s="1">
        <f>'DRE NOVAS PARCERIAS CAIXA'!AP184</f>
        <v>-71398.301340000005</v>
      </c>
      <c r="AQ101" s="1">
        <f>'DRE NOVAS PARCERIAS CAIXA'!AQ184</f>
        <v>-19427.810320000004</v>
      </c>
      <c r="AR101" s="1">
        <f>'DRE NOVAS PARCERIAS CAIXA'!AR184</f>
        <v>-26140.869830000011</v>
      </c>
      <c r="AS101" s="1">
        <f>'DRE NOVAS PARCERIAS CAIXA'!AS184</f>
        <v>-22952.442809999993</v>
      </c>
      <c r="AT101" s="1">
        <f>'DRE NOVAS PARCERIAS CAIXA'!AT184</f>
        <v>-19404.78357</v>
      </c>
      <c r="AU101" s="1">
        <f>'DRE NOVAS PARCERIAS CAIXA'!AU184</f>
        <v>-87925.906530000007</v>
      </c>
      <c r="AV101" s="1">
        <f>'DRE NOVAS PARCERIAS CAIXA'!AV184</f>
        <v>-25894.220350000003</v>
      </c>
      <c r="AW101" s="1">
        <f>'DRE NOVAS PARCERIAS CAIXA'!AW184</f>
        <v>-28575.52248</v>
      </c>
      <c r="AX101" s="1">
        <f>'DRE NOVAS PARCERIAS CAIXA'!AX184</f>
        <v>-31937.729370000015</v>
      </c>
      <c r="AY101" s="1">
        <f>'DRE NOVAS PARCERIAS CAIXA'!AY184</f>
        <v>-48289.269800000009</v>
      </c>
      <c r="AZ101" s="1">
        <f>'DRE NOVAS PARCERIAS CAIXA'!AZ184</f>
        <v>-134696.74200000003</v>
      </c>
      <c r="BA101" s="1">
        <f>'DRE NOVAS PARCERIAS CAIXA'!BA184</f>
        <v>-32439.239880000066</v>
      </c>
      <c r="BB101" s="171"/>
      <c r="BC101" s="171"/>
      <c r="BD101" s="189"/>
    </row>
    <row r="102" spans="1:58">
      <c r="B102" t="str">
        <f t="shared" si="58"/>
        <v>XS6 Assistência</v>
      </c>
      <c r="C102" s="1">
        <f>'DRE NOVAS PARCERIAS CAIXA'!C209</f>
        <v>0</v>
      </c>
      <c r="D102" s="1">
        <f>'DRE NOVAS PARCERIAS CAIXA'!D209</f>
        <v>0</v>
      </c>
      <c r="E102" s="1">
        <f>'DRE NOVAS PARCERIAS CAIXA'!E209</f>
        <v>0</v>
      </c>
      <c r="F102" s="1">
        <f>'DRE NOVAS PARCERIAS CAIXA'!F209</f>
        <v>0</v>
      </c>
      <c r="G102" s="1">
        <f>'DRE NOVAS PARCERIAS CAIXA'!G209</f>
        <v>0</v>
      </c>
      <c r="H102" s="1">
        <f>'DRE NOVAS PARCERIAS CAIXA'!H209</f>
        <v>0</v>
      </c>
      <c r="I102" s="1">
        <f>'DRE NOVAS PARCERIAS CAIXA'!I209</f>
        <v>0</v>
      </c>
      <c r="J102" s="1">
        <f>'DRE NOVAS PARCERIAS CAIXA'!J209</f>
        <v>0</v>
      </c>
      <c r="K102" s="1">
        <f>'DRE NOVAS PARCERIAS CAIXA'!K209</f>
        <v>0</v>
      </c>
      <c r="L102" s="1">
        <f>'DRE NOVAS PARCERIAS CAIXA'!L209</f>
        <v>0</v>
      </c>
      <c r="M102" s="1">
        <f>'DRE NOVAS PARCERIAS CAIXA'!M209</f>
        <v>0</v>
      </c>
      <c r="N102" s="1">
        <f>'DRE NOVAS PARCERIAS CAIXA'!N209</f>
        <v>0</v>
      </c>
      <c r="O102" s="1">
        <f>'DRE NOVAS PARCERIAS CAIXA'!O209</f>
        <v>0</v>
      </c>
      <c r="P102" s="1">
        <f>'DRE NOVAS PARCERIAS CAIXA'!P209</f>
        <v>0</v>
      </c>
      <c r="Q102" s="1">
        <f>'DRE NOVAS PARCERIAS CAIXA'!Q209</f>
        <v>0</v>
      </c>
      <c r="R102" s="1">
        <f>'DRE NOVAS PARCERIAS CAIXA'!R209</f>
        <v>0</v>
      </c>
      <c r="S102" s="1">
        <f>'DRE NOVAS PARCERIAS CAIXA'!S209</f>
        <v>0</v>
      </c>
      <c r="T102" s="1">
        <f>'DRE NOVAS PARCERIAS CAIXA'!T209</f>
        <v>0</v>
      </c>
      <c r="U102" s="1">
        <f>'DRE NOVAS PARCERIAS CAIXA'!U209</f>
        <v>0</v>
      </c>
      <c r="V102" s="1">
        <f>'DRE NOVAS PARCERIAS CAIXA'!V209</f>
        <v>0</v>
      </c>
      <c r="W102" s="1">
        <f>'DRE NOVAS PARCERIAS CAIXA'!W209</f>
        <v>0</v>
      </c>
      <c r="X102" s="1">
        <f>'DRE NOVAS PARCERIAS CAIXA'!X209</f>
        <v>0</v>
      </c>
      <c r="Y102" s="1">
        <f>'DRE NOVAS PARCERIAS CAIXA'!Y209</f>
        <v>0</v>
      </c>
      <c r="Z102" s="1">
        <f>'DRE NOVAS PARCERIAS CAIXA'!Z209</f>
        <v>0</v>
      </c>
      <c r="AA102" s="1">
        <f>'DRE NOVAS PARCERIAS CAIXA'!AA209</f>
        <v>0</v>
      </c>
      <c r="AB102" s="1">
        <f>'DRE NOVAS PARCERIAS CAIXA'!AB209</f>
        <v>-431.13371000000001</v>
      </c>
      <c r="AC102" s="1">
        <f>'DRE NOVAS PARCERIAS CAIXA'!AC209</f>
        <v>-1289.3930399999999</v>
      </c>
      <c r="AD102" s="1">
        <f>'DRE NOVAS PARCERIAS CAIXA'!AD209</f>
        <v>-1852.47325</v>
      </c>
      <c r="AE102" s="1">
        <f>'DRE NOVAS PARCERIAS CAIXA'!AE209</f>
        <v>-3810</v>
      </c>
      <c r="AF102" s="1">
        <f>'DRE NOVAS PARCERIAS CAIXA'!AF209</f>
        <v>-7383</v>
      </c>
      <c r="AG102" s="1">
        <f>'DRE NOVAS PARCERIAS CAIXA'!AG209</f>
        <v>-2711</v>
      </c>
      <c r="AH102" s="1">
        <f>'DRE NOVAS PARCERIAS CAIXA'!AH209</f>
        <v>-4257</v>
      </c>
      <c r="AI102" s="1">
        <f>'DRE NOVAS PARCERIAS CAIXA'!AI209</f>
        <v>-7037</v>
      </c>
      <c r="AJ102" s="1">
        <f>'DRE NOVAS PARCERIAS CAIXA'!AJ209</f>
        <v>-10966</v>
      </c>
      <c r="AK102" s="1">
        <f>'DRE NOVAS PARCERIAS CAIXA'!AK209</f>
        <v>-24971</v>
      </c>
      <c r="AL102" s="1">
        <f>'DRE NOVAS PARCERIAS CAIXA'!AL209</f>
        <v>-10352</v>
      </c>
      <c r="AM102" s="1">
        <f>'DRE NOVAS PARCERIAS CAIXA'!AM209</f>
        <v>-10432</v>
      </c>
      <c r="AN102" s="1">
        <f>'DRE NOVAS PARCERIAS CAIXA'!AN209</f>
        <v>-11801</v>
      </c>
      <c r="AO102" s="1">
        <f>'DRE NOVAS PARCERIAS CAIXA'!AO209</f>
        <v>-12920</v>
      </c>
      <c r="AP102" s="1">
        <f>'DRE NOVAS PARCERIAS CAIXA'!AP209</f>
        <v>-45505</v>
      </c>
      <c r="AQ102" s="1">
        <f>'DRE NOVAS PARCERIAS CAIXA'!AQ209</f>
        <v>-12873</v>
      </c>
      <c r="AR102" s="1">
        <f>'DRE NOVAS PARCERIAS CAIXA'!AR209</f>
        <v>-14583</v>
      </c>
      <c r="AS102" s="1">
        <f>'DRE NOVAS PARCERIAS CAIXA'!AS209</f>
        <v>-15517</v>
      </c>
      <c r="AT102" s="1">
        <f>'DRE NOVAS PARCERIAS CAIXA'!AT209</f>
        <v>-19510</v>
      </c>
      <c r="AU102" s="1">
        <f>'DRE NOVAS PARCERIAS CAIXA'!AU209</f>
        <v>-62483</v>
      </c>
      <c r="AV102" s="1">
        <f>'DRE NOVAS PARCERIAS CAIXA'!AV209</f>
        <v>-20067</v>
      </c>
      <c r="AW102" s="1">
        <f>'DRE NOVAS PARCERIAS CAIXA'!AW209</f>
        <v>-21827</v>
      </c>
      <c r="AX102" s="1">
        <f>'DRE NOVAS PARCERIAS CAIXA'!AX209</f>
        <v>-21806</v>
      </c>
      <c r="AY102" s="1">
        <f>'DRE NOVAS PARCERIAS CAIXA'!AY209</f>
        <v>-25291</v>
      </c>
      <c r="AZ102" s="1">
        <f>'DRE NOVAS PARCERIAS CAIXA'!AZ209</f>
        <v>-88991</v>
      </c>
      <c r="BA102" s="1">
        <f>'DRE NOVAS PARCERIAS CAIXA'!BA209</f>
        <v>-24434</v>
      </c>
      <c r="BB102" s="171"/>
      <c r="BC102" s="171"/>
      <c r="BD102" s="189"/>
      <c r="BE102" s="776"/>
    </row>
    <row r="103" spans="1:58" s="100" customFormat="1">
      <c r="A103" s="9"/>
      <c r="B103" s="9" t="str">
        <f t="shared" si="58"/>
        <v>Parcerias Banco PAN</v>
      </c>
      <c r="C103" s="160">
        <f t="shared" ref="C103:AU103" si="64">SUM(C104:C105)</f>
        <v>-16757</v>
      </c>
      <c r="D103" s="160">
        <f t="shared" si="64"/>
        <v>-17146</v>
      </c>
      <c r="E103" s="160">
        <f t="shared" si="64"/>
        <v>-17761</v>
      </c>
      <c r="F103" s="160">
        <f t="shared" si="64"/>
        <v>-50404</v>
      </c>
      <c r="G103" s="160">
        <f t="shared" si="64"/>
        <v>-102068</v>
      </c>
      <c r="H103" s="160">
        <f t="shared" si="64"/>
        <v>-20109.377079999998</v>
      </c>
      <c r="I103" s="160">
        <f t="shared" si="64"/>
        <v>-20517.537349999999</v>
      </c>
      <c r="J103" s="160">
        <f t="shared" si="64"/>
        <v>-24333.673340000001</v>
      </c>
      <c r="K103" s="160">
        <f t="shared" si="64"/>
        <v>-30442.080099999999</v>
      </c>
      <c r="L103" s="160">
        <f t="shared" si="64"/>
        <v>-95402.667870000005</v>
      </c>
      <c r="M103" s="160">
        <f t="shared" si="64"/>
        <v>-22099.800490000001</v>
      </c>
      <c r="N103" s="160">
        <f t="shared" si="64"/>
        <v>-22940.840669999998</v>
      </c>
      <c r="O103" s="160">
        <f t="shared" si="64"/>
        <v>-24534.26698</v>
      </c>
      <c r="P103" s="160">
        <f t="shared" si="64"/>
        <v>-28173.036680000001</v>
      </c>
      <c r="Q103" s="160">
        <f t="shared" si="64"/>
        <v>-97747.944820000004</v>
      </c>
      <c r="R103" s="160">
        <f t="shared" si="64"/>
        <v>-19494.577860000001</v>
      </c>
      <c r="S103" s="160">
        <f t="shared" si="64"/>
        <v>-23087.69327</v>
      </c>
      <c r="T103" s="160">
        <f t="shared" si="64"/>
        <v>-28447.728869999999</v>
      </c>
      <c r="U103" s="160">
        <f t="shared" si="64"/>
        <v>-22359.195660000001</v>
      </c>
      <c r="V103" s="160">
        <f t="shared" si="64"/>
        <v>-93389.195659999998</v>
      </c>
      <c r="W103" s="160">
        <f t="shared" si="64"/>
        <v>-24874</v>
      </c>
      <c r="X103" s="160">
        <f t="shared" si="64"/>
        <v>-23224.194909999998</v>
      </c>
      <c r="Y103" s="160">
        <f t="shared" si="64"/>
        <v>-23722</v>
      </c>
      <c r="Z103" s="160">
        <f t="shared" si="64"/>
        <v>-30836</v>
      </c>
      <c r="AA103" s="160">
        <f t="shared" si="64"/>
        <v>-102656.19491000001</v>
      </c>
      <c r="AB103" s="160">
        <f t="shared" si="64"/>
        <v>-23180</v>
      </c>
      <c r="AC103" s="160">
        <f t="shared" si="64"/>
        <v>-18130</v>
      </c>
      <c r="AD103" s="160">
        <f t="shared" si="64"/>
        <v>-28941.113819999999</v>
      </c>
      <c r="AE103" s="160">
        <f t="shared" si="64"/>
        <v>-33656</v>
      </c>
      <c r="AF103" s="160">
        <f t="shared" si="64"/>
        <v>-103907.11382</v>
      </c>
      <c r="AG103" s="160">
        <f t="shared" si="64"/>
        <v>-31066</v>
      </c>
      <c r="AH103" s="160">
        <f t="shared" si="64"/>
        <v>-32252</v>
      </c>
      <c r="AI103" s="160">
        <f t="shared" si="64"/>
        <v>-34498</v>
      </c>
      <c r="AJ103" s="160">
        <f t="shared" si="64"/>
        <v>-38707</v>
      </c>
      <c r="AK103" s="160">
        <f t="shared" si="64"/>
        <v>-136523</v>
      </c>
      <c r="AL103" s="160">
        <f t="shared" si="64"/>
        <v>-38114</v>
      </c>
      <c r="AM103" s="160">
        <f t="shared" si="64"/>
        <v>-40970</v>
      </c>
      <c r="AN103" s="160">
        <f t="shared" si="64"/>
        <v>-39875</v>
      </c>
      <c r="AO103" s="160">
        <f t="shared" si="64"/>
        <v>-47373.258000000002</v>
      </c>
      <c r="AP103" s="160">
        <f t="shared" si="64"/>
        <v>-166332.258</v>
      </c>
      <c r="AQ103" s="160">
        <f t="shared" si="64"/>
        <v>-40893.038</v>
      </c>
      <c r="AR103" s="160">
        <f t="shared" si="64"/>
        <v>-38453.936000000002</v>
      </c>
      <c r="AS103" s="160">
        <f t="shared" si="64"/>
        <v>-41657.480000000003</v>
      </c>
      <c r="AT103" s="160">
        <f t="shared" si="64"/>
        <v>-54524.754999999997</v>
      </c>
      <c r="AU103" s="160">
        <f t="shared" si="64"/>
        <v>-175529.209</v>
      </c>
      <c r="AV103" s="160">
        <f t="shared" ref="AV103" si="65">SUM(AV104:AV105)</f>
        <v>-38481.572999999997</v>
      </c>
      <c r="AW103" s="160">
        <f>SUM(AW104:AW105)</f>
        <v>-36961.817999999999</v>
      </c>
      <c r="AX103" s="160">
        <f>SUM(AX104:AX105)</f>
        <v>-38257.214999999997</v>
      </c>
      <c r="AY103" s="160">
        <f>SUM(AY104:AY105)</f>
        <v>-54712.733999999997</v>
      </c>
      <c r="AZ103" s="160">
        <f>SUM(AZ104:AZ105)</f>
        <v>-168413.34</v>
      </c>
      <c r="BA103" s="160">
        <f t="shared" ref="BA103" si="66">SUM(BA104:BA105)</f>
        <v>-37632.483999999997</v>
      </c>
      <c r="BC103" s="777"/>
    </row>
    <row r="104" spans="1:58">
      <c r="B104" t="str">
        <f t="shared" si="58"/>
        <v>Too Seguros</v>
      </c>
      <c r="C104" s="1">
        <f>'DRE PARCERIAS BANCO PAN'!C17</f>
        <v>-15223</v>
      </c>
      <c r="D104" s="1">
        <f>'DRE PARCERIAS BANCO PAN'!D17</f>
        <v>-15752</v>
      </c>
      <c r="E104" s="1">
        <f>'DRE PARCERIAS BANCO PAN'!E17</f>
        <v>-15510</v>
      </c>
      <c r="F104" s="1">
        <f>'DRE PARCERIAS BANCO PAN'!F17</f>
        <v>-48642</v>
      </c>
      <c r="G104" s="1">
        <f>'DRE PARCERIAS BANCO PAN'!G17</f>
        <v>-95127</v>
      </c>
      <c r="H104" s="1">
        <f>'DRE PARCERIAS BANCO PAN'!H17</f>
        <v>-18326</v>
      </c>
      <c r="I104" s="1">
        <f>'DRE PARCERIAS BANCO PAN'!I17</f>
        <v>-19255</v>
      </c>
      <c r="J104" s="1">
        <f>'DRE PARCERIAS BANCO PAN'!J17</f>
        <v>-22918</v>
      </c>
      <c r="K104" s="1">
        <f>'DRE PARCERIAS BANCO PAN'!K17</f>
        <v>-28874</v>
      </c>
      <c r="L104" s="1">
        <f>'DRE PARCERIAS BANCO PAN'!L17</f>
        <v>-89373</v>
      </c>
      <c r="M104" s="1">
        <f>'DRE PARCERIAS BANCO PAN'!M17</f>
        <v>-20451</v>
      </c>
      <c r="N104" s="1">
        <f>'DRE PARCERIAS BANCO PAN'!N17</f>
        <v>-21236</v>
      </c>
      <c r="O104" s="1">
        <f>'DRE PARCERIAS BANCO PAN'!O17</f>
        <v>-22942</v>
      </c>
      <c r="P104" s="1">
        <f>'DRE PARCERIAS BANCO PAN'!P17</f>
        <v>-26378</v>
      </c>
      <c r="Q104" s="1">
        <f>'DRE PARCERIAS BANCO PAN'!Q17</f>
        <v>-91007</v>
      </c>
      <c r="R104" s="1">
        <f>'DRE PARCERIAS BANCO PAN'!R17</f>
        <v>-17472</v>
      </c>
      <c r="S104" s="1">
        <f>'DRE PARCERIAS BANCO PAN'!S17</f>
        <v>-21507</v>
      </c>
      <c r="T104" s="1">
        <f>'DRE PARCERIAS BANCO PAN'!T17</f>
        <v>-26850</v>
      </c>
      <c r="U104" s="1">
        <f>'DRE PARCERIAS BANCO PAN'!U17</f>
        <v>-20696</v>
      </c>
      <c r="V104" s="1">
        <f>'DRE PARCERIAS BANCO PAN'!V17</f>
        <v>-86525</v>
      </c>
      <c r="W104" s="1">
        <f>'DRE PARCERIAS BANCO PAN'!W17</f>
        <v>-22909</v>
      </c>
      <c r="X104" s="1">
        <f>'DRE PARCERIAS BANCO PAN'!X17</f>
        <v>-21421</v>
      </c>
      <c r="Y104" s="1">
        <f>'DRE PARCERIAS BANCO PAN'!Y17</f>
        <v>-21374</v>
      </c>
      <c r="Z104" s="1">
        <f>'DRE PARCERIAS BANCO PAN'!Z17</f>
        <v>-29297</v>
      </c>
      <c r="AA104" s="1">
        <f>'DRE PARCERIAS BANCO PAN'!AA17</f>
        <v>-95001</v>
      </c>
      <c r="AB104" s="1">
        <f>'DRE PARCERIAS BANCO PAN'!AB17</f>
        <v>-21755</v>
      </c>
      <c r="AC104" s="1">
        <f>'DRE PARCERIAS BANCO PAN'!AC17</f>
        <v>-16567</v>
      </c>
      <c r="AD104" s="1">
        <f>'DRE PARCERIAS BANCO PAN'!AD17</f>
        <v>-26248</v>
      </c>
      <c r="AE104" s="1">
        <f>'DRE PARCERIAS BANCO PAN'!AE17</f>
        <v>-32591</v>
      </c>
      <c r="AF104" s="1">
        <f>'DRE PARCERIAS BANCO PAN'!AF17</f>
        <v>-97161</v>
      </c>
      <c r="AG104" s="1">
        <f>'DRE PARCERIAS BANCO PAN'!AG17</f>
        <v>-29677</v>
      </c>
      <c r="AH104" s="1">
        <f>'DRE PARCERIAS BANCO PAN'!AH17</f>
        <v>-31026</v>
      </c>
      <c r="AI104" s="1">
        <f>'DRE PARCERIAS BANCO PAN'!AI17</f>
        <v>-33068</v>
      </c>
      <c r="AJ104" s="1">
        <f>'DRE PARCERIAS BANCO PAN'!AJ17</f>
        <v>-37294</v>
      </c>
      <c r="AK104" s="1">
        <f>'DRE PARCERIAS BANCO PAN'!AK17</f>
        <v>-131065</v>
      </c>
      <c r="AL104" s="1">
        <f>'DRE PARCERIAS BANCO PAN'!AL17</f>
        <v>-36889</v>
      </c>
      <c r="AM104" s="1">
        <f>'DRE PARCERIAS BANCO PAN'!AM17</f>
        <v>-39596</v>
      </c>
      <c r="AN104" s="1">
        <f>'DRE PARCERIAS BANCO PAN'!AN17</f>
        <v>-38489</v>
      </c>
      <c r="AO104" s="1">
        <f>'DRE PARCERIAS BANCO PAN'!AO17</f>
        <v>-46178</v>
      </c>
      <c r="AP104" s="1">
        <f>'DRE PARCERIAS BANCO PAN'!AP17</f>
        <v>-161152</v>
      </c>
      <c r="AQ104" s="1">
        <f>'DRE PARCERIAS BANCO PAN'!AQ17</f>
        <v>-39880</v>
      </c>
      <c r="AR104" s="1">
        <f>'DRE PARCERIAS BANCO PAN'!AR17</f>
        <v>-37674</v>
      </c>
      <c r="AS104" s="1">
        <f>'DRE PARCERIAS BANCO PAN'!AS17</f>
        <v>-40909</v>
      </c>
      <c r="AT104" s="1">
        <f>'DRE PARCERIAS BANCO PAN'!AT17</f>
        <v>-53760</v>
      </c>
      <c r="AU104" s="1">
        <f>'DRE PARCERIAS BANCO PAN'!AU17</f>
        <v>-172223</v>
      </c>
      <c r="AV104" s="1">
        <f>'DRE PARCERIAS BANCO PAN'!AV17</f>
        <v>-37715</v>
      </c>
      <c r="AW104" s="1">
        <f>'DRE PARCERIAS BANCO PAN'!AW17</f>
        <v>-36180</v>
      </c>
      <c r="AX104" s="1">
        <f>'DRE PARCERIAS BANCO PAN'!AX17</f>
        <v>-37454</v>
      </c>
      <c r="AY104" s="1">
        <f>'DRE PARCERIAS BANCO PAN'!AY17</f>
        <v>-53979</v>
      </c>
      <c r="AZ104" s="1">
        <f>'DRE PARCERIAS BANCO PAN'!AZ17</f>
        <v>-165328</v>
      </c>
      <c r="BA104" s="1">
        <f>'DRE PARCERIAS BANCO PAN'!BA17</f>
        <v>-36854</v>
      </c>
    </row>
    <row r="105" spans="1:58">
      <c r="B105" t="str">
        <f t="shared" si="58"/>
        <v>PAN Corretora</v>
      </c>
      <c r="C105" s="1">
        <f>'DRE PARCERIAS BANCO PAN'!C34</f>
        <v>-1534</v>
      </c>
      <c r="D105" s="1">
        <f>'DRE PARCERIAS BANCO PAN'!D34</f>
        <v>-1394</v>
      </c>
      <c r="E105" s="1">
        <f>'DRE PARCERIAS BANCO PAN'!E34</f>
        <v>-2251</v>
      </c>
      <c r="F105" s="1">
        <f>'DRE PARCERIAS BANCO PAN'!F34</f>
        <v>-1762</v>
      </c>
      <c r="G105" s="1">
        <f>'DRE PARCERIAS BANCO PAN'!G34</f>
        <v>-6941</v>
      </c>
      <c r="H105" s="1">
        <f>'DRE PARCERIAS BANCO PAN'!H34</f>
        <v>-1783.3770799999995</v>
      </c>
      <c r="I105" s="1">
        <f>'DRE PARCERIAS BANCO PAN'!I34</f>
        <v>-1262.5373500000003</v>
      </c>
      <c r="J105" s="1">
        <f>'DRE PARCERIAS BANCO PAN'!J34</f>
        <v>-1415.6733399999994</v>
      </c>
      <c r="K105" s="1">
        <f>'DRE PARCERIAS BANCO PAN'!K34</f>
        <v>-1568.0801000000001</v>
      </c>
      <c r="L105" s="1">
        <f>'DRE PARCERIAS BANCO PAN'!L34</f>
        <v>-6029.6678699999993</v>
      </c>
      <c r="M105" s="1">
        <f>'DRE PARCERIAS BANCO PAN'!M34</f>
        <v>-1648.8004900000001</v>
      </c>
      <c r="N105" s="1">
        <f>'DRE PARCERIAS BANCO PAN'!N34</f>
        <v>-1704.8406699999996</v>
      </c>
      <c r="O105" s="1">
        <f>'DRE PARCERIAS BANCO PAN'!O34</f>
        <v>-1592.2669799999999</v>
      </c>
      <c r="P105" s="1">
        <f>'DRE PARCERIAS BANCO PAN'!P34</f>
        <v>-1795.0366800000011</v>
      </c>
      <c r="Q105" s="1">
        <f>'DRE PARCERIAS BANCO PAN'!Q34</f>
        <v>-6740.9448200000006</v>
      </c>
      <c r="R105" s="1">
        <f>'DRE PARCERIAS BANCO PAN'!R34</f>
        <v>-2022.5778600000001</v>
      </c>
      <c r="S105" s="1">
        <f>'DRE PARCERIAS BANCO PAN'!S34</f>
        <v>-1580.6932700000004</v>
      </c>
      <c r="T105" s="1">
        <f>'DRE PARCERIAS BANCO PAN'!T34</f>
        <v>-1597.7288699999995</v>
      </c>
      <c r="U105" s="1">
        <f>'DRE PARCERIAS BANCO PAN'!U34</f>
        <v>-1663.1956600000003</v>
      </c>
      <c r="V105" s="1">
        <f>'DRE PARCERIAS BANCO PAN'!V34</f>
        <v>-6864.1956600000003</v>
      </c>
      <c r="W105" s="1">
        <f>'DRE PARCERIAS BANCO PAN'!W34</f>
        <v>-1965</v>
      </c>
      <c r="X105" s="1">
        <f>'DRE PARCERIAS BANCO PAN'!X34</f>
        <v>-1803.1949099999999</v>
      </c>
      <c r="Y105" s="1">
        <f>'DRE PARCERIAS BANCO PAN'!Y34</f>
        <v>-2348</v>
      </c>
      <c r="Z105" s="1">
        <f>'DRE PARCERIAS BANCO PAN'!Z34</f>
        <v>-1539</v>
      </c>
      <c r="AA105" s="1">
        <f>'DRE PARCERIAS BANCO PAN'!AA34</f>
        <v>-7655.1949100000002</v>
      </c>
      <c r="AB105" s="1">
        <f>'DRE PARCERIAS BANCO PAN'!AB34</f>
        <v>-1425</v>
      </c>
      <c r="AC105" s="1">
        <f>'DRE PARCERIAS BANCO PAN'!AC34</f>
        <v>-1563</v>
      </c>
      <c r="AD105" s="1">
        <f>'DRE PARCERIAS BANCO PAN'!AD34</f>
        <v>-2693.11382</v>
      </c>
      <c r="AE105" s="1">
        <f>'DRE PARCERIAS BANCO PAN'!AE34</f>
        <v>-1065</v>
      </c>
      <c r="AF105" s="1">
        <f>'DRE PARCERIAS BANCO PAN'!AF34</f>
        <v>-6746.1138200000005</v>
      </c>
      <c r="AG105" s="1">
        <f>'DRE PARCERIAS BANCO PAN'!AG34</f>
        <v>-1389</v>
      </c>
      <c r="AH105" s="1">
        <f>'DRE PARCERIAS BANCO PAN'!AH34</f>
        <v>-1226</v>
      </c>
      <c r="AI105" s="1">
        <f>'DRE PARCERIAS BANCO PAN'!AI34</f>
        <v>-1430</v>
      </c>
      <c r="AJ105" s="1">
        <f>'DRE PARCERIAS BANCO PAN'!AJ34</f>
        <v>-1413</v>
      </c>
      <c r="AK105" s="1">
        <f>'DRE PARCERIAS BANCO PAN'!AK34</f>
        <v>-5458</v>
      </c>
      <c r="AL105" s="1">
        <f>'DRE PARCERIAS BANCO PAN'!AL34</f>
        <v>-1225</v>
      </c>
      <c r="AM105" s="1">
        <f>'DRE PARCERIAS BANCO PAN'!AM34</f>
        <v>-1374</v>
      </c>
      <c r="AN105" s="1">
        <f>'DRE PARCERIAS BANCO PAN'!AN34</f>
        <v>-1386</v>
      </c>
      <c r="AO105" s="1">
        <f>'DRE PARCERIAS BANCO PAN'!AO34</f>
        <v>-1195.2579999999998</v>
      </c>
      <c r="AP105" s="1">
        <f>'DRE PARCERIAS BANCO PAN'!AP34</f>
        <v>-5180.2579999999998</v>
      </c>
      <c r="AQ105" s="1">
        <f>'DRE PARCERIAS BANCO PAN'!AQ34</f>
        <v>-1013.038</v>
      </c>
      <c r="AR105" s="1">
        <f>'DRE PARCERIAS BANCO PAN'!AR34</f>
        <v>-779.93599999999992</v>
      </c>
      <c r="AS105" s="1">
        <f>'DRE PARCERIAS BANCO PAN'!AS34</f>
        <v>-748.48000000000025</v>
      </c>
      <c r="AT105" s="1">
        <f>'DRE PARCERIAS BANCO PAN'!AT34</f>
        <v>-764.75499999999965</v>
      </c>
      <c r="AU105" s="1">
        <f>'DRE PARCERIAS BANCO PAN'!AU34</f>
        <v>-3306.2089999999998</v>
      </c>
      <c r="AV105" s="1">
        <f>'DRE PARCERIAS BANCO PAN'!AV34</f>
        <v>-766.57299999999998</v>
      </c>
      <c r="AW105" s="1">
        <f>'DRE PARCERIAS BANCO PAN'!AW34</f>
        <v>-781.81799999999998</v>
      </c>
      <c r="AX105" s="1">
        <f>'DRE PARCERIAS BANCO PAN'!AX34</f>
        <v>-803.21500000000003</v>
      </c>
      <c r="AY105" s="1">
        <f>'DRE PARCERIAS BANCO PAN'!AY34</f>
        <v>-733.73400000000004</v>
      </c>
      <c r="AZ105" s="1">
        <f>'DRE PARCERIAS BANCO PAN'!AZ34</f>
        <v>-3085.34</v>
      </c>
      <c r="BA105" s="1">
        <f>'DRE PARCERIAS BANCO PAN'!BA34</f>
        <v>-778.48400000000004</v>
      </c>
    </row>
    <row r="106" spans="1:58" s="100" customFormat="1">
      <c r="A106" s="9"/>
      <c r="B106" s="9" t="str">
        <f t="shared" si="58"/>
        <v>Holding + Corretora</v>
      </c>
      <c r="C106" s="76">
        <f t="shared" ref="C106:AV106" si="67">SUM(C107:C109)</f>
        <v>-2216.6877699999995</v>
      </c>
      <c r="D106" s="76">
        <f t="shared" si="67"/>
        <v>-4126.8672299999998</v>
      </c>
      <c r="E106" s="76">
        <f t="shared" si="67"/>
        <v>-6310.178469999998</v>
      </c>
      <c r="F106" s="76">
        <f t="shared" si="67"/>
        <v>-9359.9636399999981</v>
      </c>
      <c r="G106" s="76">
        <f t="shared" si="67"/>
        <v>-22013.697109999994</v>
      </c>
      <c r="H106" s="76">
        <f t="shared" si="67"/>
        <v>-6669.2848099999983</v>
      </c>
      <c r="I106" s="76">
        <f t="shared" si="67"/>
        <v>-7482.5691600000036</v>
      </c>
      <c r="J106" s="76">
        <f t="shared" si="67"/>
        <v>-8903.9532499999932</v>
      </c>
      <c r="K106" s="76">
        <f t="shared" si="67"/>
        <v>-15634.739829999995</v>
      </c>
      <c r="L106" s="76">
        <f t="shared" si="67"/>
        <v>-38690.547049999994</v>
      </c>
      <c r="M106" s="76">
        <f t="shared" si="67"/>
        <v>-8155.6838599999992</v>
      </c>
      <c r="N106" s="76">
        <f t="shared" si="67"/>
        <v>-10933.564439999995</v>
      </c>
      <c r="O106" s="76">
        <f t="shared" si="67"/>
        <v>-14467.978350000012</v>
      </c>
      <c r="P106" s="76">
        <f t="shared" si="67"/>
        <v>-13158.086229999997</v>
      </c>
      <c r="Q106" s="76">
        <f t="shared" si="67"/>
        <v>-46715.312879999998</v>
      </c>
      <c r="R106" s="76">
        <f t="shared" si="67"/>
        <v>-10460.7711</v>
      </c>
      <c r="S106" s="76">
        <f t="shared" si="67"/>
        <v>-11110.768909999995</v>
      </c>
      <c r="T106" s="76">
        <f t="shared" si="67"/>
        <v>-12026.777290000004</v>
      </c>
      <c r="U106" s="76">
        <f t="shared" si="67"/>
        <v>-11909.429629999995</v>
      </c>
      <c r="V106" s="76">
        <f t="shared" si="67"/>
        <v>-45507.746929999994</v>
      </c>
      <c r="W106" s="76">
        <f t="shared" si="67"/>
        <v>-16810.195630000002</v>
      </c>
      <c r="X106" s="76">
        <f t="shared" si="67"/>
        <v>-11807.021240000002</v>
      </c>
      <c r="Y106" s="76">
        <f t="shared" si="67"/>
        <v>-12318.089829999999</v>
      </c>
      <c r="Z106" s="76">
        <f t="shared" si="67"/>
        <v>-14215.174809999995</v>
      </c>
      <c r="AA106" s="76">
        <f t="shared" si="67"/>
        <v>-55150.481509999998</v>
      </c>
      <c r="AB106" s="76">
        <f t="shared" si="67"/>
        <v>-13578.83628</v>
      </c>
      <c r="AC106" s="76">
        <f t="shared" si="67"/>
        <v>-19664.28773</v>
      </c>
      <c r="AD106" s="76">
        <f t="shared" si="67"/>
        <v>-15965.930740000002</v>
      </c>
      <c r="AE106" s="76">
        <f t="shared" si="67"/>
        <v>-20352.135999999999</v>
      </c>
      <c r="AF106" s="76">
        <f t="shared" si="67"/>
        <v>-69561.190750000009</v>
      </c>
      <c r="AG106" s="76">
        <f t="shared" si="67"/>
        <v>-22132</v>
      </c>
      <c r="AH106" s="76">
        <f t="shared" si="67"/>
        <v>-24183</v>
      </c>
      <c r="AI106" s="76">
        <f t="shared" si="67"/>
        <v>-24124</v>
      </c>
      <c r="AJ106" s="76">
        <f t="shared" si="67"/>
        <v>-29858</v>
      </c>
      <c r="AK106" s="76">
        <f t="shared" si="67"/>
        <v>-100297</v>
      </c>
      <c r="AL106" s="76">
        <f t="shared" si="67"/>
        <v>-26196</v>
      </c>
      <c r="AM106" s="76">
        <f t="shared" si="67"/>
        <v>-29653</v>
      </c>
      <c r="AN106" s="76">
        <f t="shared" si="67"/>
        <v>-30624</v>
      </c>
      <c r="AO106" s="76">
        <f t="shared" si="67"/>
        <v>-23546</v>
      </c>
      <c r="AP106" s="76">
        <f t="shared" si="67"/>
        <v>-110019</v>
      </c>
      <c r="AQ106" s="76">
        <f t="shared" si="67"/>
        <v>-36004</v>
      </c>
      <c r="AR106" s="76">
        <f t="shared" si="67"/>
        <v>-32228</v>
      </c>
      <c r="AS106" s="76">
        <f t="shared" si="67"/>
        <v>-29867</v>
      </c>
      <c r="AT106" s="76">
        <f t="shared" si="67"/>
        <v>-28509.945899999999</v>
      </c>
      <c r="AU106" s="76">
        <f t="shared" si="67"/>
        <v>-126608.94589999999</v>
      </c>
      <c r="AV106" s="76">
        <f t="shared" si="67"/>
        <v>-37471.559179999997</v>
      </c>
      <c r="AW106" s="76">
        <f>SUM(AW107:AW109)</f>
        <v>-35167.448319999996</v>
      </c>
      <c r="AX106" s="76">
        <f>SUM(AX107:AX109)</f>
        <v>-38768.447459999996</v>
      </c>
      <c r="AY106" s="76">
        <f>SUM(AY107:AY109)</f>
        <v>-38037.826140000005</v>
      </c>
      <c r="AZ106" s="76">
        <f>SUM(AZ107:AZ109)</f>
        <v>-149445.28109999999</v>
      </c>
      <c r="BA106" s="76">
        <f t="shared" ref="BA106" si="68">SUM(BA107:BA109)</f>
        <v>-45929.458049999965</v>
      </c>
    </row>
    <row r="107" spans="1:58">
      <c r="B107" t="str">
        <f t="shared" si="58"/>
        <v>BDF</v>
      </c>
      <c r="C107" s="1">
        <f>'DRE NEGÓCIOS DE DISTRIBUIÇÃO'!C7</f>
        <v>0</v>
      </c>
      <c r="D107" s="1">
        <f>'DRE NEGÓCIOS DE DISTRIBUIÇÃO'!D7</f>
        <v>0</v>
      </c>
      <c r="E107" s="1">
        <f>'DRE NEGÓCIOS DE DISTRIBUIÇÃO'!E7</f>
        <v>0</v>
      </c>
      <c r="F107" s="1">
        <f>'DRE NEGÓCIOS DE DISTRIBUIÇÃO'!F7</f>
        <v>0</v>
      </c>
      <c r="G107" s="1">
        <f>'DRE NEGÓCIOS DE DISTRIBUIÇÃO'!G7</f>
        <v>0</v>
      </c>
      <c r="H107" s="1">
        <f>'DRE NEGÓCIOS DE DISTRIBUIÇÃO'!H7</f>
        <v>0</v>
      </c>
      <c r="I107" s="1">
        <f>'DRE NEGÓCIOS DE DISTRIBUIÇÃO'!I7</f>
        <v>0</v>
      </c>
      <c r="J107" s="1">
        <f>'DRE NEGÓCIOS DE DISTRIBUIÇÃO'!J7</f>
        <v>0</v>
      </c>
      <c r="K107" s="1">
        <f>'DRE NEGÓCIOS DE DISTRIBUIÇÃO'!K7</f>
        <v>0</v>
      </c>
      <c r="L107" s="1">
        <f>'DRE NEGÓCIOS DE DISTRIBUIÇÃO'!L7</f>
        <v>0</v>
      </c>
      <c r="M107" s="1">
        <f>'DRE NEGÓCIOS DE DISTRIBUIÇÃO'!M7</f>
        <v>0</v>
      </c>
      <c r="N107" s="1">
        <f>'DRE NEGÓCIOS DE DISTRIBUIÇÃO'!N7</f>
        <v>0</v>
      </c>
      <c r="O107" s="1">
        <f>'DRE NEGÓCIOS DE DISTRIBUIÇÃO'!O7</f>
        <v>0</v>
      </c>
      <c r="P107" s="1">
        <f>'DRE NEGÓCIOS DE DISTRIBUIÇÃO'!P7</f>
        <v>0</v>
      </c>
      <c r="Q107" s="1">
        <f>'DRE NEGÓCIOS DE DISTRIBUIÇÃO'!Q7</f>
        <v>0</v>
      </c>
      <c r="R107" s="1">
        <f>'DRE NEGÓCIOS DE DISTRIBUIÇÃO'!R7</f>
        <v>0</v>
      </c>
      <c r="S107" s="1">
        <f>'DRE NEGÓCIOS DE DISTRIBUIÇÃO'!S7</f>
        <v>0</v>
      </c>
      <c r="T107" s="1">
        <f>'DRE NEGÓCIOS DE DISTRIBUIÇÃO'!T7</f>
        <v>0</v>
      </c>
      <c r="U107" s="1">
        <f>'DRE NEGÓCIOS DE DISTRIBUIÇÃO'!U7</f>
        <v>0</v>
      </c>
      <c r="V107" s="1">
        <f>'DRE NEGÓCIOS DE DISTRIBUIÇÃO'!V7</f>
        <v>0</v>
      </c>
      <c r="W107" s="1">
        <f>'DRE NEGÓCIOS DE DISTRIBUIÇÃO'!W7</f>
        <v>0</v>
      </c>
      <c r="X107" s="1">
        <f>'DRE NEGÓCIOS DE DISTRIBUIÇÃO'!X7</f>
        <v>0</v>
      </c>
      <c r="Y107" s="1">
        <f>'DRE NEGÓCIOS DE DISTRIBUIÇÃO'!Y7</f>
        <v>0</v>
      </c>
      <c r="Z107" s="1">
        <f>'DRE NEGÓCIOS DE DISTRIBUIÇÃO'!Z7</f>
        <v>0</v>
      </c>
      <c r="AA107" s="1">
        <f>'DRE NEGÓCIOS DE DISTRIBUIÇÃO'!AA7</f>
        <v>0</v>
      </c>
      <c r="AB107" s="1">
        <f>'DRE NEGÓCIOS DE DISTRIBUIÇÃO'!AB7</f>
        <v>0</v>
      </c>
      <c r="AC107" s="1">
        <f>'DRE NEGÓCIOS DE DISTRIBUIÇÃO'!AC7</f>
        <v>0</v>
      </c>
      <c r="AD107" s="1">
        <f>'DRE NEGÓCIOS DE DISTRIBUIÇÃO'!AD7</f>
        <v>0</v>
      </c>
      <c r="AE107" s="1">
        <f>'DRE NEGÓCIOS DE DISTRIBUIÇÃO'!AE7</f>
        <v>0</v>
      </c>
      <c r="AF107" s="1">
        <f>'DRE NEGÓCIOS DE DISTRIBUIÇÃO'!AF7</f>
        <v>0</v>
      </c>
      <c r="AG107" s="1">
        <f>'DRE NEGÓCIOS DE DISTRIBUIÇÃO'!AG7</f>
        <v>0</v>
      </c>
      <c r="AH107" s="1">
        <f>'DRE NEGÓCIOS DE DISTRIBUIÇÃO'!AH7</f>
        <v>0</v>
      </c>
      <c r="AI107" s="1">
        <f>'DRE NEGÓCIOS DE DISTRIBUIÇÃO'!AI7</f>
        <v>0</v>
      </c>
      <c r="AJ107" s="1">
        <f>'DRE NEGÓCIOS DE DISTRIBUIÇÃO'!AJ7</f>
        <v>0</v>
      </c>
      <c r="AK107" s="1">
        <f>'DRE NEGÓCIOS DE DISTRIBUIÇÃO'!AK7</f>
        <v>0</v>
      </c>
      <c r="AL107" s="1">
        <f>'DRE NEGÓCIOS DE DISTRIBUIÇÃO'!AL7</f>
        <v>0</v>
      </c>
      <c r="AM107" s="1">
        <f>'DRE NEGÓCIOS DE DISTRIBUIÇÃO'!AM7</f>
        <v>0</v>
      </c>
      <c r="AN107" s="1">
        <f>'DRE NEGÓCIOS DE DISTRIBUIÇÃO'!AN7</f>
        <v>0</v>
      </c>
      <c r="AO107" s="1">
        <f>'DRE NEGÓCIOS DE DISTRIBUIÇÃO'!AO7</f>
        <v>0</v>
      </c>
      <c r="AP107" s="1">
        <f>'DRE NEGÓCIOS DE DISTRIBUIÇÃO'!AP7</f>
        <v>0</v>
      </c>
      <c r="AQ107" s="1">
        <f>'DRE NEGÓCIOS DE DISTRIBUIÇÃO'!AQ7</f>
        <v>0</v>
      </c>
      <c r="AR107" s="1">
        <f>'DRE NEGÓCIOS DE DISTRIBUIÇÃO'!AR7</f>
        <v>0</v>
      </c>
      <c r="AS107" s="1">
        <f>'DRE NEGÓCIOS DE DISTRIBUIÇÃO'!AS7</f>
        <v>0</v>
      </c>
      <c r="AT107" s="1">
        <f>'DRE NEGÓCIOS DE DISTRIBUIÇÃO'!AT7</f>
        <v>0</v>
      </c>
      <c r="AU107" s="1">
        <f>'DRE NEGÓCIOS DE DISTRIBUIÇÃO'!AU7</f>
        <v>0</v>
      </c>
      <c r="AV107" s="1">
        <f>'DRE NEGÓCIOS DE DISTRIBUIÇÃO'!AV7</f>
        <v>0</v>
      </c>
      <c r="AW107" s="1">
        <f>'DRE NEGÓCIOS DE DISTRIBUIÇÃO'!AW7</f>
        <v>0</v>
      </c>
      <c r="AX107" s="1">
        <f>'DRE NEGÓCIOS DE DISTRIBUIÇÃO'!AX7</f>
        <v>0</v>
      </c>
      <c r="AY107" s="1">
        <f>'DRE NEGÓCIOS DE DISTRIBUIÇÃO'!AY7</f>
        <v>0</v>
      </c>
      <c r="AZ107" s="1">
        <f>'DRE NEGÓCIOS DE DISTRIBUIÇÃO'!AZ7</f>
        <v>0</v>
      </c>
      <c r="BA107" s="1">
        <f>'DRE NEGÓCIOS DE DISTRIBUIÇÃO'!BA7</f>
        <v>0</v>
      </c>
    </row>
    <row r="108" spans="1:58">
      <c r="B108" t="str">
        <f t="shared" si="58"/>
        <v>Caixa Seguridade Corretagem de Seguros</v>
      </c>
      <c r="C108" s="1">
        <f>'DRE NEGÓCIOS DE DISTRIBUIÇÃO'!C26</f>
        <v>0</v>
      </c>
      <c r="D108" s="1">
        <f>'DRE NEGÓCIOS DE DISTRIBUIÇÃO'!D26</f>
        <v>0</v>
      </c>
      <c r="E108" s="1">
        <f>'DRE NEGÓCIOS DE DISTRIBUIÇÃO'!E26</f>
        <v>0</v>
      </c>
      <c r="F108" s="1">
        <f>'DRE NEGÓCIOS DE DISTRIBUIÇÃO'!F26</f>
        <v>0</v>
      </c>
      <c r="G108" s="1">
        <f>'DRE NEGÓCIOS DE DISTRIBUIÇÃO'!G26</f>
        <v>0</v>
      </c>
      <c r="H108" s="1">
        <f>'DRE NEGÓCIOS DE DISTRIBUIÇÃO'!H26</f>
        <v>0</v>
      </c>
      <c r="I108" s="1">
        <f>'DRE NEGÓCIOS DE DISTRIBUIÇÃO'!I26</f>
        <v>0</v>
      </c>
      <c r="J108" s="1">
        <f>'DRE NEGÓCIOS DE DISTRIBUIÇÃO'!J26</f>
        <v>0</v>
      </c>
      <c r="K108" s="1">
        <f>'DRE NEGÓCIOS DE DISTRIBUIÇÃO'!K26</f>
        <v>0</v>
      </c>
      <c r="L108" s="1">
        <f>'DRE NEGÓCIOS DE DISTRIBUIÇÃO'!L26</f>
        <v>0</v>
      </c>
      <c r="M108" s="1">
        <f>'DRE NEGÓCIOS DE DISTRIBUIÇÃO'!M26</f>
        <v>0</v>
      </c>
      <c r="N108" s="1">
        <f>'DRE NEGÓCIOS DE DISTRIBUIÇÃO'!N26</f>
        <v>0</v>
      </c>
      <c r="O108" s="1">
        <f>'DRE NEGÓCIOS DE DISTRIBUIÇÃO'!O26</f>
        <v>0</v>
      </c>
      <c r="P108" s="1">
        <f>'DRE NEGÓCIOS DE DISTRIBUIÇÃO'!P26</f>
        <v>0</v>
      </c>
      <c r="Q108" s="1">
        <f>'DRE NEGÓCIOS DE DISTRIBUIÇÃO'!Q26</f>
        <v>0</v>
      </c>
      <c r="R108" s="1">
        <f>'DRE NEGÓCIOS DE DISTRIBUIÇÃO'!R26</f>
        <v>0</v>
      </c>
      <c r="S108" s="1">
        <f>'DRE NEGÓCIOS DE DISTRIBUIÇÃO'!S26</f>
        <v>0</v>
      </c>
      <c r="T108" s="1">
        <f>'DRE NEGÓCIOS DE DISTRIBUIÇÃO'!T26</f>
        <v>0</v>
      </c>
      <c r="U108" s="1">
        <f>'DRE NEGÓCIOS DE DISTRIBUIÇÃO'!U26</f>
        <v>0</v>
      </c>
      <c r="V108" s="1">
        <f>'DRE NEGÓCIOS DE DISTRIBUIÇÃO'!V26</f>
        <v>0</v>
      </c>
      <c r="W108" s="1">
        <f>'DRE NEGÓCIOS DE DISTRIBUIÇÃO'!W26</f>
        <v>0</v>
      </c>
      <c r="X108" s="1">
        <f>'DRE NEGÓCIOS DE DISTRIBUIÇÃO'!X26</f>
        <v>0</v>
      </c>
      <c r="Y108" s="1">
        <f>'DRE NEGÓCIOS DE DISTRIBUIÇÃO'!Y26</f>
        <v>0</v>
      </c>
      <c r="Z108" s="1">
        <f>'DRE NEGÓCIOS DE DISTRIBUIÇÃO'!Z26</f>
        <v>0</v>
      </c>
      <c r="AA108" s="1">
        <f>'DRE NEGÓCIOS DE DISTRIBUIÇÃO'!AA26</f>
        <v>0</v>
      </c>
      <c r="AB108" s="1">
        <f>'DRE NEGÓCIOS DE DISTRIBUIÇÃO'!AB26</f>
        <v>-441</v>
      </c>
      <c r="AC108" s="1">
        <f>'DRE NEGÓCIOS DE DISTRIBUIÇÃO'!AC26</f>
        <v>-727</v>
      </c>
      <c r="AD108" s="1">
        <f>'DRE NEGÓCIOS DE DISTRIBUIÇÃO'!AD26</f>
        <v>-1188.864</v>
      </c>
      <c r="AE108" s="1">
        <f>'DRE NEGÓCIOS DE DISTRIBUIÇÃO'!AE26</f>
        <v>-6433.1360000000004</v>
      </c>
      <c r="AF108" s="1">
        <f>'DRE NEGÓCIOS DE DISTRIBUIÇÃO'!AF26</f>
        <v>-8790</v>
      </c>
      <c r="AG108" s="1">
        <f>'DRE NEGÓCIOS DE DISTRIBUIÇÃO'!AG26</f>
        <v>-3225</v>
      </c>
      <c r="AH108" s="1">
        <f>'DRE NEGÓCIOS DE DISTRIBUIÇÃO'!AH26</f>
        <v>-3180</v>
      </c>
      <c r="AI108" s="1">
        <f>'DRE NEGÓCIOS DE DISTRIBUIÇÃO'!AI26</f>
        <v>-4650</v>
      </c>
      <c r="AJ108" s="1">
        <f>'DRE NEGÓCIOS DE DISTRIBUIÇÃO'!AJ26</f>
        <v>-7399</v>
      </c>
      <c r="AK108" s="1">
        <f>'DRE NEGÓCIOS DE DISTRIBUIÇÃO'!AK26</f>
        <v>-18454</v>
      </c>
      <c r="AL108" s="1">
        <f>'DRE NEGÓCIOS DE DISTRIBUIÇÃO'!AL26</f>
        <v>-5375</v>
      </c>
      <c r="AM108" s="1">
        <f>'DRE NEGÓCIOS DE DISTRIBUIÇÃO'!AM26</f>
        <v>-5550</v>
      </c>
      <c r="AN108" s="1">
        <f>'DRE NEGÓCIOS DE DISTRIBUIÇÃO'!AN26</f>
        <v>-5033</v>
      </c>
      <c r="AO108" s="1">
        <f>'DRE NEGÓCIOS DE DISTRIBUIÇÃO'!AO26</f>
        <v>-1723</v>
      </c>
      <c r="AP108" s="1">
        <f>'DRE NEGÓCIOS DE DISTRIBUIÇÃO'!AP26</f>
        <v>-17681</v>
      </c>
      <c r="AQ108" s="1">
        <f>'DRE NEGÓCIOS DE DISTRIBUIÇÃO'!AQ26</f>
        <v>-7231</v>
      </c>
      <c r="AR108" s="1">
        <f>'DRE NEGÓCIOS DE DISTRIBUIÇÃO'!AR26</f>
        <v>-6518</v>
      </c>
      <c r="AS108" s="1">
        <f>'DRE NEGÓCIOS DE DISTRIBUIÇÃO'!AS26</f>
        <v>-5980</v>
      </c>
      <c r="AT108" s="1">
        <f>'DRE NEGÓCIOS DE DISTRIBUIÇÃO'!AT26</f>
        <v>-5905</v>
      </c>
      <c r="AU108" s="1">
        <f>'DRE NEGÓCIOS DE DISTRIBUIÇÃO'!AU26</f>
        <v>-25634</v>
      </c>
      <c r="AV108" s="1">
        <f>'DRE NEGÓCIOS DE DISTRIBUIÇÃO'!AV26</f>
        <v>-8022.4818700000005</v>
      </c>
      <c r="AW108" s="1">
        <f>'DRE NEGÓCIOS DE DISTRIBUIÇÃO'!AW26</f>
        <v>-6565.0119799999993</v>
      </c>
      <c r="AX108" s="1">
        <f>'DRE NEGÓCIOS DE DISTRIBUIÇÃO'!AX26</f>
        <v>-6289</v>
      </c>
      <c r="AY108" s="1">
        <f>'DRE NEGÓCIOS DE DISTRIBUIÇÃO'!AY26</f>
        <v>-11178</v>
      </c>
      <c r="AZ108" s="1">
        <f>'DRE NEGÓCIOS DE DISTRIBUIÇÃO'!AZ26</f>
        <v>-32054.493849999999</v>
      </c>
      <c r="BA108" s="1">
        <f>'DRE NEGÓCIOS DE DISTRIBUIÇÃO'!BA26</f>
        <v>-7946.1375599999974</v>
      </c>
      <c r="BB108" s="171"/>
      <c r="BC108" s="171"/>
      <c r="BD108" s="171"/>
      <c r="BE108" s="189"/>
    </row>
    <row r="109" spans="1:58">
      <c r="B109" t="s">
        <v>554</v>
      </c>
      <c r="C109" s="1">
        <f>SUM('DRE HOLDING SEGURIDADE'!C$7,'DRE HOLDING SEGURIDADE'!C$24)</f>
        <v>-2216.6877699999995</v>
      </c>
      <c r="D109" s="1">
        <f>SUM('DRE HOLDING SEGURIDADE'!D$7,'DRE HOLDING SEGURIDADE'!D$24)</f>
        <v>-4126.8672299999998</v>
      </c>
      <c r="E109" s="1">
        <f>SUM('DRE HOLDING SEGURIDADE'!E$7,'DRE HOLDING SEGURIDADE'!E$24)</f>
        <v>-6310.178469999998</v>
      </c>
      <c r="F109" s="1">
        <f>SUM('DRE HOLDING SEGURIDADE'!F$7,'DRE HOLDING SEGURIDADE'!F$24)</f>
        <v>-9359.9636399999981</v>
      </c>
      <c r="G109" s="1">
        <f>SUM('DRE HOLDING SEGURIDADE'!G$7,'DRE HOLDING SEGURIDADE'!G$24)</f>
        <v>-22013.697109999994</v>
      </c>
      <c r="H109" s="1">
        <f>SUM('DRE HOLDING SEGURIDADE'!H$7,'DRE HOLDING SEGURIDADE'!H$24)</f>
        <v>-6669.2848099999983</v>
      </c>
      <c r="I109" s="1">
        <f>SUM('DRE HOLDING SEGURIDADE'!I$7,'DRE HOLDING SEGURIDADE'!I$24)</f>
        <v>-7482.5691600000036</v>
      </c>
      <c r="J109" s="1">
        <f>SUM('DRE HOLDING SEGURIDADE'!J$7,'DRE HOLDING SEGURIDADE'!J$24)</f>
        <v>-8903.9532499999932</v>
      </c>
      <c r="K109" s="1">
        <f>SUM('DRE HOLDING SEGURIDADE'!K$7,'DRE HOLDING SEGURIDADE'!K$24)</f>
        <v>-15634.739829999995</v>
      </c>
      <c r="L109" s="1">
        <f>SUM('DRE HOLDING SEGURIDADE'!L$7,'DRE HOLDING SEGURIDADE'!L$24)</f>
        <v>-38690.547049999994</v>
      </c>
      <c r="M109" s="1">
        <f>SUM('DRE HOLDING SEGURIDADE'!M$7,'DRE HOLDING SEGURIDADE'!M$24)</f>
        <v>-8155.6838599999992</v>
      </c>
      <c r="N109" s="1">
        <f>SUM('DRE HOLDING SEGURIDADE'!N$7,'DRE HOLDING SEGURIDADE'!N$24)</f>
        <v>-10933.564439999995</v>
      </c>
      <c r="O109" s="1">
        <f>SUM('DRE HOLDING SEGURIDADE'!O$7,'DRE HOLDING SEGURIDADE'!O$24)</f>
        <v>-14467.978350000012</v>
      </c>
      <c r="P109" s="1">
        <f>SUM('DRE HOLDING SEGURIDADE'!P$7,'DRE HOLDING SEGURIDADE'!P$24)</f>
        <v>-13158.086229999997</v>
      </c>
      <c r="Q109" s="1">
        <f>SUM('DRE HOLDING SEGURIDADE'!Q$7,'DRE HOLDING SEGURIDADE'!Q$24)</f>
        <v>-46715.312879999998</v>
      </c>
      <c r="R109" s="1">
        <f>SUM('DRE HOLDING SEGURIDADE'!R$7,'DRE HOLDING SEGURIDADE'!R$24)</f>
        <v>-10460.7711</v>
      </c>
      <c r="S109" s="1">
        <f>SUM('DRE HOLDING SEGURIDADE'!S$7,'DRE HOLDING SEGURIDADE'!S$24)</f>
        <v>-11110.768909999995</v>
      </c>
      <c r="T109" s="1">
        <f>SUM('DRE HOLDING SEGURIDADE'!T$7,'DRE HOLDING SEGURIDADE'!T$24)</f>
        <v>-12026.777290000004</v>
      </c>
      <c r="U109" s="1">
        <f>SUM('DRE HOLDING SEGURIDADE'!U$7,'DRE HOLDING SEGURIDADE'!U$24)</f>
        <v>-11909.429629999995</v>
      </c>
      <c r="V109" s="1">
        <f>SUM('DRE HOLDING SEGURIDADE'!V$7,'DRE HOLDING SEGURIDADE'!V$24)</f>
        <v>-45507.746929999994</v>
      </c>
      <c r="W109" s="1">
        <f>SUM('DRE HOLDING SEGURIDADE'!W$7,'DRE HOLDING SEGURIDADE'!W$24)</f>
        <v>-16810.195630000002</v>
      </c>
      <c r="X109" s="1">
        <f>SUM('DRE HOLDING SEGURIDADE'!X$7,'DRE HOLDING SEGURIDADE'!X$24)</f>
        <v>-11807.021240000002</v>
      </c>
      <c r="Y109" s="1">
        <f>SUM('DRE HOLDING SEGURIDADE'!Y$7,'DRE HOLDING SEGURIDADE'!Y$24)</f>
        <v>-12318.089829999999</v>
      </c>
      <c r="Z109" s="1">
        <f>SUM('DRE HOLDING SEGURIDADE'!Z$7,'DRE HOLDING SEGURIDADE'!Z$24)</f>
        <v>-14215.174809999995</v>
      </c>
      <c r="AA109" s="1">
        <f>SUM('DRE HOLDING SEGURIDADE'!AA$7,'DRE HOLDING SEGURIDADE'!AA$24)</f>
        <v>-55150.481509999998</v>
      </c>
      <c r="AB109" s="1">
        <f>SUM('DRE HOLDING SEGURIDADE'!AB$7,'DRE HOLDING SEGURIDADE'!AB$24)</f>
        <v>-13137.83628</v>
      </c>
      <c r="AC109" s="1">
        <f>SUM('DRE HOLDING SEGURIDADE'!AC$7,'DRE HOLDING SEGURIDADE'!AC$24)</f>
        <v>-18937.28773</v>
      </c>
      <c r="AD109" s="1">
        <f>SUM('DRE HOLDING SEGURIDADE'!AD$7,'DRE HOLDING SEGURIDADE'!AD$24)</f>
        <v>-14777.066740000002</v>
      </c>
      <c r="AE109" s="1">
        <f>SUM('DRE HOLDING SEGURIDADE'!AE$7,'DRE HOLDING SEGURIDADE'!AE$24)</f>
        <v>-13919</v>
      </c>
      <c r="AF109" s="1">
        <f>SUM('DRE HOLDING SEGURIDADE'!AF$7,'DRE HOLDING SEGURIDADE'!AF$24)</f>
        <v>-60771.190750000002</v>
      </c>
      <c r="AG109" s="1">
        <f>SUM('DRE HOLDING SEGURIDADE'!AG$7,'DRE HOLDING SEGURIDADE'!AG$24)</f>
        <v>-18907</v>
      </c>
      <c r="AH109" s="1">
        <f>SUM('DRE HOLDING SEGURIDADE'!AH$7,'DRE HOLDING SEGURIDADE'!AH$24)</f>
        <v>-21003</v>
      </c>
      <c r="AI109" s="1">
        <f>SUM('DRE HOLDING SEGURIDADE'!AI$7,'DRE HOLDING SEGURIDADE'!AI$24)</f>
        <v>-19474</v>
      </c>
      <c r="AJ109" s="1">
        <f>SUM('DRE HOLDING SEGURIDADE'!AJ$7,'DRE HOLDING SEGURIDADE'!AJ$24)</f>
        <v>-22459</v>
      </c>
      <c r="AK109" s="1">
        <f>SUM('DRE HOLDING SEGURIDADE'!AK$7,'DRE HOLDING SEGURIDADE'!AK$24)</f>
        <v>-81843</v>
      </c>
      <c r="AL109" s="1">
        <f>SUM('DRE HOLDING SEGURIDADE'!AL$7,'DRE HOLDING SEGURIDADE'!AL$24)</f>
        <v>-20821</v>
      </c>
      <c r="AM109" s="1">
        <f>SUM('DRE HOLDING SEGURIDADE'!AM$7,'DRE HOLDING SEGURIDADE'!AM$24)</f>
        <v>-24103</v>
      </c>
      <c r="AN109" s="1">
        <f>SUM('DRE HOLDING SEGURIDADE'!AN$7,'DRE HOLDING SEGURIDADE'!AN$24)</f>
        <v>-25591</v>
      </c>
      <c r="AO109" s="1">
        <f>SUM('DRE HOLDING SEGURIDADE'!AO$7,'DRE HOLDING SEGURIDADE'!AO$24)</f>
        <v>-21823</v>
      </c>
      <c r="AP109" s="1">
        <f>SUM('DRE HOLDING SEGURIDADE'!AP$7,'DRE HOLDING SEGURIDADE'!AP$24)</f>
        <v>-92338</v>
      </c>
      <c r="AQ109" s="1">
        <f>SUM('DRE HOLDING SEGURIDADE'!AQ$7,'DRE HOLDING SEGURIDADE'!AQ$24)</f>
        <v>-28773</v>
      </c>
      <c r="AR109" s="1">
        <f>SUM('DRE HOLDING SEGURIDADE'!AR$7,'DRE HOLDING SEGURIDADE'!AR$24)</f>
        <v>-25710</v>
      </c>
      <c r="AS109" s="1">
        <f>SUM('DRE HOLDING SEGURIDADE'!AS$7,'DRE HOLDING SEGURIDADE'!AS$24)</f>
        <v>-23887</v>
      </c>
      <c r="AT109" s="1">
        <f>SUM('DRE HOLDING SEGURIDADE'!AT$7,'DRE HOLDING SEGURIDADE'!AT$24)</f>
        <v>-22604.945899999999</v>
      </c>
      <c r="AU109" s="1">
        <f>SUM('DRE HOLDING SEGURIDADE'!AU$7,'DRE HOLDING SEGURIDADE'!AU$24)</f>
        <v>-100974.94589999999</v>
      </c>
      <c r="AV109" s="1">
        <f>SUM('DRE HOLDING SEGURIDADE'!AV$7,'DRE HOLDING SEGURIDADE'!AV$24)</f>
        <v>-29449.077309999997</v>
      </c>
      <c r="AW109" s="1">
        <f>SUM('DRE HOLDING SEGURIDADE'!AW$7,'DRE HOLDING SEGURIDADE'!AW$24)</f>
        <v>-28602.436339999997</v>
      </c>
      <c r="AX109" s="1">
        <f>SUM('DRE HOLDING SEGURIDADE'!AX$7,'DRE HOLDING SEGURIDADE'!AX$24)</f>
        <v>-32479.447459999996</v>
      </c>
      <c r="AY109" s="1">
        <f>SUM('DRE HOLDING SEGURIDADE'!AY$7,'DRE HOLDING SEGURIDADE'!AY$24)</f>
        <v>-26859.826140000001</v>
      </c>
      <c r="AZ109" s="1">
        <f>SUM('DRE HOLDING SEGURIDADE'!AZ$7,'DRE HOLDING SEGURIDADE'!AZ$24)</f>
        <v>-117390.78724999999</v>
      </c>
      <c r="BA109" s="1">
        <f>SUM('DRE HOLDING SEGURIDADE'!BA$7,'DRE HOLDING SEGURIDADE'!BA$24)</f>
        <v>-37983.320489999969</v>
      </c>
    </row>
    <row r="110" spans="1:58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419"/>
    </row>
    <row r="111" spans="1:58">
      <c r="A111" s="9"/>
      <c r="B111" s="9" t="s">
        <v>547</v>
      </c>
      <c r="C111" s="76">
        <f t="shared" ref="C111:AV111" si="69">C112+C118</f>
        <v>-138406.60441999999</v>
      </c>
      <c r="D111" s="76">
        <f t="shared" si="69"/>
        <v>-148863.55264999997</v>
      </c>
      <c r="E111" s="76">
        <f t="shared" si="69"/>
        <v>-156642.06368000008</v>
      </c>
      <c r="F111" s="76">
        <f t="shared" si="69"/>
        <v>-209073.04903000017</v>
      </c>
      <c r="G111" s="76">
        <f t="shared" si="69"/>
        <v>-652985.26978000021</v>
      </c>
      <c r="H111" s="76">
        <f t="shared" si="69"/>
        <v>-161261.77851</v>
      </c>
      <c r="I111" s="76">
        <f t="shared" si="69"/>
        <v>-177172.94841999994</v>
      </c>
      <c r="J111" s="76">
        <f t="shared" si="69"/>
        <v>-187925.36281000002</v>
      </c>
      <c r="K111" s="76">
        <f t="shared" si="69"/>
        <v>-245890.23931000015</v>
      </c>
      <c r="L111" s="76">
        <f t="shared" si="69"/>
        <v>-772250.32905000006</v>
      </c>
      <c r="M111" s="76">
        <f t="shared" si="69"/>
        <v>-190286.38681999999</v>
      </c>
      <c r="N111" s="76">
        <f t="shared" si="69"/>
        <v>-214394.56146000006</v>
      </c>
      <c r="O111" s="76">
        <f t="shared" si="69"/>
        <v>-266001.98365999997</v>
      </c>
      <c r="P111" s="76">
        <f t="shared" si="69"/>
        <v>-275931.90493000019</v>
      </c>
      <c r="Q111" s="76">
        <f t="shared" si="69"/>
        <v>-946614.83687000012</v>
      </c>
      <c r="R111" s="76">
        <f t="shared" si="69"/>
        <v>-209095.24736000001</v>
      </c>
      <c r="S111" s="76">
        <f t="shared" si="69"/>
        <v>-221177.34055000005</v>
      </c>
      <c r="T111" s="76">
        <f t="shared" si="69"/>
        <v>-240948.84624999997</v>
      </c>
      <c r="U111" s="76">
        <f t="shared" si="69"/>
        <v>-301573.03623999993</v>
      </c>
      <c r="V111" s="76">
        <f t="shared" si="69"/>
        <v>-972794.47039999987</v>
      </c>
      <c r="W111" s="76">
        <f t="shared" si="69"/>
        <v>-226500.59322000018</v>
      </c>
      <c r="X111" s="76">
        <f t="shared" si="69"/>
        <v>-243411.10457999981</v>
      </c>
      <c r="Y111" s="76">
        <f t="shared" si="69"/>
        <v>-243761.75341999985</v>
      </c>
      <c r="Z111" s="76">
        <f t="shared" si="69"/>
        <v>-268033.1948000004</v>
      </c>
      <c r="AA111" s="76">
        <f t="shared" si="69"/>
        <v>-981706.6460200001</v>
      </c>
      <c r="AB111" s="76">
        <f t="shared" si="69"/>
        <v>-335359.96620521595</v>
      </c>
      <c r="AC111" s="76">
        <f t="shared" si="69"/>
        <v>-379356.53205478413</v>
      </c>
      <c r="AD111" s="76">
        <f t="shared" si="69"/>
        <v>-373737.05230999994</v>
      </c>
      <c r="AE111" s="76">
        <f t="shared" si="69"/>
        <v>-380771.25030999997</v>
      </c>
      <c r="AF111" s="76">
        <f t="shared" si="69"/>
        <v>-1469224.8008800002</v>
      </c>
      <c r="AG111" s="76">
        <f t="shared" si="69"/>
        <v>-383213.57019999996</v>
      </c>
      <c r="AH111" s="76">
        <f t="shared" si="69"/>
        <v>-413182.15882000001</v>
      </c>
      <c r="AI111" s="76">
        <f t="shared" si="69"/>
        <v>-380705.67781000002</v>
      </c>
      <c r="AJ111" s="76">
        <f t="shared" si="69"/>
        <v>-454795.44249000004</v>
      </c>
      <c r="AK111" s="76">
        <f t="shared" si="69"/>
        <v>-1631896.84932</v>
      </c>
      <c r="AL111" s="76">
        <f t="shared" si="69"/>
        <v>-398214.75899999996</v>
      </c>
      <c r="AM111" s="76">
        <f t="shared" si="69"/>
        <v>-402930.85055999999</v>
      </c>
      <c r="AN111" s="76">
        <f t="shared" si="69"/>
        <v>-396592.73421999998</v>
      </c>
      <c r="AO111" s="76">
        <f t="shared" si="69"/>
        <v>-486595.97456</v>
      </c>
      <c r="AP111" s="76">
        <f t="shared" si="69"/>
        <v>-1684334.3183399998</v>
      </c>
      <c r="AQ111" s="76">
        <f t="shared" si="69"/>
        <v>-422951.84831999999</v>
      </c>
      <c r="AR111" s="76">
        <f t="shared" si="69"/>
        <v>-432853.80582999997</v>
      </c>
      <c r="AS111" s="76">
        <f t="shared" si="69"/>
        <v>-456423.92280999996</v>
      </c>
      <c r="AT111" s="76">
        <f t="shared" si="69"/>
        <v>-538229.48446999991</v>
      </c>
      <c r="AU111" s="76">
        <f t="shared" si="69"/>
        <v>-1850459.06143</v>
      </c>
      <c r="AV111" s="76">
        <f t="shared" si="69"/>
        <v>-469230.24652999995</v>
      </c>
      <c r="AW111" s="76">
        <f>AW112+AW118</f>
        <v>-454572.36579999991</v>
      </c>
      <c r="AX111" s="76">
        <f>AX112+AX118</f>
        <v>-498467.07383000001</v>
      </c>
      <c r="AY111" s="76">
        <f>AY112+AY118</f>
        <v>-617188.28093999997</v>
      </c>
      <c r="AZ111" s="76">
        <f>AZ112+AZ118</f>
        <v>-2039457.9671</v>
      </c>
      <c r="BA111" s="76">
        <f t="shared" ref="BA111" si="70">BA112+BA118</f>
        <v>-507252.18193000002</v>
      </c>
      <c r="BC111" s="778"/>
      <c r="BD111" s="773"/>
      <c r="BE111" s="773"/>
      <c r="BF111" s="171"/>
    </row>
    <row r="112" spans="1:58" s="100" customFormat="1">
      <c r="A112" s="2"/>
      <c r="B112" s="2" t="s">
        <v>549</v>
      </c>
      <c r="C112" s="3">
        <f t="shared" ref="C112:AU112" si="71">SUM(C114:C117)</f>
        <v>-121649.60442</v>
      </c>
      <c r="D112" s="3">
        <f t="shared" si="71"/>
        <v>-131717.55264999997</v>
      </c>
      <c r="E112" s="3">
        <f t="shared" si="71"/>
        <v>-138881.06368000008</v>
      </c>
      <c r="F112" s="3">
        <f t="shared" si="71"/>
        <v>-158669.04903000017</v>
      </c>
      <c r="G112" s="3">
        <f t="shared" si="71"/>
        <v>-550917.26978000021</v>
      </c>
      <c r="H112" s="3">
        <f t="shared" si="71"/>
        <v>-141152.40143</v>
      </c>
      <c r="I112" s="3">
        <f t="shared" si="71"/>
        <v>-156655.41106999994</v>
      </c>
      <c r="J112" s="3">
        <f t="shared" si="71"/>
        <v>-163591.68947000001</v>
      </c>
      <c r="K112" s="3">
        <f t="shared" si="71"/>
        <v>-215448.15921000016</v>
      </c>
      <c r="L112" s="3">
        <f t="shared" si="71"/>
        <v>-676847.66118000005</v>
      </c>
      <c r="M112" s="3">
        <f t="shared" si="71"/>
        <v>-168186.58632999999</v>
      </c>
      <c r="N112" s="3">
        <f t="shared" si="71"/>
        <v>-191453.72079000005</v>
      </c>
      <c r="O112" s="3">
        <f t="shared" si="71"/>
        <v>-241467.71667999995</v>
      </c>
      <c r="P112" s="3">
        <f t="shared" si="71"/>
        <v>-247758.86825000017</v>
      </c>
      <c r="Q112" s="3">
        <f t="shared" si="71"/>
        <v>-848866.89205000014</v>
      </c>
      <c r="R112" s="3">
        <f t="shared" si="71"/>
        <v>-189600.66950000002</v>
      </c>
      <c r="S112" s="3">
        <f t="shared" si="71"/>
        <v>-198089.64728000006</v>
      </c>
      <c r="T112" s="3">
        <f t="shared" si="71"/>
        <v>-212501.11737999998</v>
      </c>
      <c r="U112" s="3">
        <f t="shared" si="71"/>
        <v>-279213.8405799999</v>
      </c>
      <c r="V112" s="3">
        <f t="shared" si="71"/>
        <v>-879405.27473999991</v>
      </c>
      <c r="W112" s="3">
        <f t="shared" si="71"/>
        <v>-201626.59322000018</v>
      </c>
      <c r="X112" s="3">
        <f t="shared" si="71"/>
        <v>-220186.90966999982</v>
      </c>
      <c r="Y112" s="3">
        <f t="shared" si="71"/>
        <v>-220039.75341999985</v>
      </c>
      <c r="Z112" s="3">
        <f t="shared" si="71"/>
        <v>-237197.1948000004</v>
      </c>
      <c r="AA112" s="3">
        <f t="shared" si="71"/>
        <v>-879050.45111000014</v>
      </c>
      <c r="AB112" s="3">
        <f t="shared" si="71"/>
        <v>-312179.96620521595</v>
      </c>
      <c r="AC112" s="3">
        <f t="shared" si="71"/>
        <v>-361226.53205478413</v>
      </c>
      <c r="AD112" s="3">
        <f t="shared" si="71"/>
        <v>-344795.93848999991</v>
      </c>
      <c r="AE112" s="3">
        <f t="shared" si="71"/>
        <v>-347115.25030999997</v>
      </c>
      <c r="AF112" s="3">
        <f t="shared" si="71"/>
        <v>-1365317.6870600001</v>
      </c>
      <c r="AG112" s="3">
        <f t="shared" si="71"/>
        <v>-352147.57019999996</v>
      </c>
      <c r="AH112" s="3">
        <f t="shared" si="71"/>
        <v>-380930.15882000001</v>
      </c>
      <c r="AI112" s="3">
        <f t="shared" si="71"/>
        <v>-346207.67781000002</v>
      </c>
      <c r="AJ112" s="3">
        <f t="shared" si="71"/>
        <v>-416088.44249000004</v>
      </c>
      <c r="AK112" s="3">
        <f t="shared" si="71"/>
        <v>-1495373.84932</v>
      </c>
      <c r="AL112" s="3">
        <f t="shared" si="71"/>
        <v>-360100.75899999996</v>
      </c>
      <c r="AM112" s="3">
        <f t="shared" si="71"/>
        <v>-361960.85055999999</v>
      </c>
      <c r="AN112" s="3">
        <f t="shared" si="71"/>
        <v>-356717.73421999998</v>
      </c>
      <c r="AO112" s="3">
        <f t="shared" si="71"/>
        <v>-439222.71655999997</v>
      </c>
      <c r="AP112" s="3">
        <f t="shared" si="71"/>
        <v>-1518002.0603399999</v>
      </c>
      <c r="AQ112" s="3">
        <f t="shared" si="71"/>
        <v>-382058.81031999999</v>
      </c>
      <c r="AR112" s="3">
        <f t="shared" si="71"/>
        <v>-394399.86982999998</v>
      </c>
      <c r="AS112" s="3">
        <f t="shared" si="71"/>
        <v>-414766.44280999998</v>
      </c>
      <c r="AT112" s="3">
        <f t="shared" si="71"/>
        <v>-483704.72946999996</v>
      </c>
      <c r="AU112" s="3">
        <f t="shared" si="71"/>
        <v>-1674929.85243</v>
      </c>
      <c r="AV112" s="3">
        <f t="shared" ref="AV112" si="72">SUM(AV114:AV117)</f>
        <v>-430748.67352999997</v>
      </c>
      <c r="AW112" s="3">
        <f>SUM(AW114:AW117)</f>
        <v>-417610.54779999994</v>
      </c>
      <c r="AX112" s="3">
        <f>SUM(AX114:AX117)</f>
        <v>-460209.85883000004</v>
      </c>
      <c r="AY112" s="3">
        <f>SUM(AY114:AY117)</f>
        <v>-562475.54694000003</v>
      </c>
      <c r="AZ112" s="3">
        <f>SUM(AZ114:AZ117)</f>
        <v>-1871044.6270999999</v>
      </c>
      <c r="BA112" s="3">
        <f t="shared" ref="BA112" si="73">SUM(BA114:BA117)</f>
        <v>-469619.69793000002</v>
      </c>
    </row>
    <row r="113" spans="1:56" s="100" customFormat="1">
      <c r="A113" s="2"/>
      <c r="B113" s="2" t="s">
        <v>462</v>
      </c>
      <c r="C113" s="3">
        <f t="shared" ref="C113:AV113" si="74">C114+C115</f>
        <v>-119432.91665</v>
      </c>
      <c r="D113" s="3">
        <f t="shared" si="74"/>
        <v>-127590.68541999998</v>
      </c>
      <c r="E113" s="3">
        <f t="shared" si="74"/>
        <v>-132570.88521000009</v>
      </c>
      <c r="F113" s="3">
        <f t="shared" si="74"/>
        <v>-149309.08539000017</v>
      </c>
      <c r="G113" s="3">
        <f t="shared" si="74"/>
        <v>-528903.57267000026</v>
      </c>
      <c r="H113" s="3">
        <f t="shared" si="74"/>
        <v>-134483.11661999999</v>
      </c>
      <c r="I113" s="3">
        <f t="shared" si="74"/>
        <v>-149172.84190999993</v>
      </c>
      <c r="J113" s="3">
        <f t="shared" si="74"/>
        <v>-154687.73622000002</v>
      </c>
      <c r="K113" s="3">
        <f t="shared" si="74"/>
        <v>-199813.41938000015</v>
      </c>
      <c r="L113" s="3">
        <f t="shared" si="74"/>
        <v>-638157.11413000012</v>
      </c>
      <c r="M113" s="3">
        <f t="shared" si="74"/>
        <v>-160030.90247</v>
      </c>
      <c r="N113" s="3">
        <f t="shared" si="74"/>
        <v>-180520.15635000006</v>
      </c>
      <c r="O113" s="3">
        <f t="shared" si="74"/>
        <v>-226999.73832999993</v>
      </c>
      <c r="P113" s="3">
        <f t="shared" si="74"/>
        <v>-234600.78202000019</v>
      </c>
      <c r="Q113" s="3">
        <f t="shared" si="74"/>
        <v>-802151.57917000016</v>
      </c>
      <c r="R113" s="3">
        <f t="shared" si="74"/>
        <v>-179139.89840000001</v>
      </c>
      <c r="S113" s="3">
        <f t="shared" si="74"/>
        <v>-186978.87837000008</v>
      </c>
      <c r="T113" s="3">
        <f t="shared" si="74"/>
        <v>-200474.34008999998</v>
      </c>
      <c r="U113" s="3">
        <f t="shared" si="74"/>
        <v>-267304.41094999993</v>
      </c>
      <c r="V113" s="3">
        <f t="shared" si="74"/>
        <v>-833897.52780999988</v>
      </c>
      <c r="W113" s="3">
        <f t="shared" si="74"/>
        <v>-184816.39759000018</v>
      </c>
      <c r="X113" s="3">
        <f t="shared" si="74"/>
        <v>-208379.88842999982</v>
      </c>
      <c r="Y113" s="3">
        <f t="shared" si="74"/>
        <v>-207721.66358999984</v>
      </c>
      <c r="Z113" s="3">
        <f t="shared" si="74"/>
        <v>-222853.44560000041</v>
      </c>
      <c r="AA113" s="3">
        <f t="shared" si="74"/>
        <v>-823771.39521000022</v>
      </c>
      <c r="AB113" s="3">
        <f t="shared" si="74"/>
        <v>-131808.42168</v>
      </c>
      <c r="AC113" s="3">
        <f t="shared" si="74"/>
        <v>-153356.75338000013</v>
      </c>
      <c r="AD113" s="3">
        <f t="shared" si="74"/>
        <v>-135775.22715999989</v>
      </c>
      <c r="AE113" s="3">
        <f t="shared" si="74"/>
        <v>-101862.24945999999</v>
      </c>
      <c r="AF113" s="3">
        <f t="shared" si="74"/>
        <v>-522802.65168000001</v>
      </c>
      <c r="AG113" s="3">
        <f t="shared" si="74"/>
        <v>-123872.03109999999</v>
      </c>
      <c r="AH113" s="3">
        <f t="shared" si="74"/>
        <v>-135882.69792000001</v>
      </c>
      <c r="AI113" s="3">
        <f t="shared" si="74"/>
        <v>-143146</v>
      </c>
      <c r="AJ113" s="3">
        <f t="shared" si="74"/>
        <v>-133270.98371</v>
      </c>
      <c r="AK113" s="3">
        <f t="shared" si="74"/>
        <v>-536171.71273000003</v>
      </c>
      <c r="AL113" s="3">
        <f t="shared" si="74"/>
        <v>-86797</v>
      </c>
      <c r="AM113" s="3">
        <f t="shared" si="74"/>
        <v>-92072</v>
      </c>
      <c r="AN113" s="3">
        <f t="shared" si="74"/>
        <v>-89961</v>
      </c>
      <c r="AO113" s="3">
        <f t="shared" si="74"/>
        <v>-112710</v>
      </c>
      <c r="AP113" s="3">
        <f t="shared" si="74"/>
        <v>-381540</v>
      </c>
      <c r="AQ113" s="3">
        <f t="shared" si="74"/>
        <v>-89301</v>
      </c>
      <c r="AR113" s="3">
        <f t="shared" si="74"/>
        <v>-86003</v>
      </c>
      <c r="AS113" s="3">
        <f t="shared" si="74"/>
        <v>-80275</v>
      </c>
      <c r="AT113" s="3">
        <f t="shared" si="74"/>
        <v>-106182</v>
      </c>
      <c r="AU113" s="3">
        <f t="shared" si="74"/>
        <v>-361761</v>
      </c>
      <c r="AV113" s="3">
        <f t="shared" si="74"/>
        <v>-97003.010999999999</v>
      </c>
      <c r="AW113" s="3">
        <f>AW114+AW115</f>
        <v>-76999.095000000001</v>
      </c>
      <c r="AX113" s="3">
        <f>AX114+AX115</f>
        <v>-93179</v>
      </c>
      <c r="AY113" s="3">
        <f>AY114+AY115</f>
        <v>-106642</v>
      </c>
      <c r="AZ113" s="3">
        <f>AZ114+AZ115</f>
        <v>-373823.10600000003</v>
      </c>
      <c r="BA113" s="3">
        <f t="shared" ref="BA113" si="75">BA114+BA115</f>
        <v>-94738</v>
      </c>
    </row>
    <row r="114" spans="1:56">
      <c r="B114" s="231" t="s">
        <v>581</v>
      </c>
      <c r="C114" s="1">
        <f t="shared" ref="C114:AU114" si="76">SUM(C86:C89)+(C85*(SUM(C86:C89)/SUM(C86:C94)))</f>
        <v>-106362.09911364199</v>
      </c>
      <c r="D114" s="1">
        <f t="shared" si="76"/>
        <v>-114697.73548613397</v>
      </c>
      <c r="E114" s="1">
        <f t="shared" si="76"/>
        <v>-122507.59473731329</v>
      </c>
      <c r="F114" s="1">
        <f t="shared" si="76"/>
        <v>-138114.38727579016</v>
      </c>
      <c r="G114" s="1">
        <f t="shared" si="76"/>
        <v>-481731.82255555433</v>
      </c>
      <c r="H114" s="1">
        <f t="shared" si="76"/>
        <v>-123774.78094697732</v>
      </c>
      <c r="I114" s="1">
        <f t="shared" si="76"/>
        <v>-138656.40135695488</v>
      </c>
      <c r="J114" s="1">
        <f t="shared" si="76"/>
        <v>-143472.72884042034</v>
      </c>
      <c r="K114" s="1">
        <f t="shared" si="76"/>
        <v>-188436.52499516576</v>
      </c>
      <c r="L114" s="1">
        <f t="shared" si="76"/>
        <v>-594358.3408014325</v>
      </c>
      <c r="M114" s="1">
        <f t="shared" si="76"/>
        <v>-133971.7442147136</v>
      </c>
      <c r="N114" s="1">
        <f t="shared" si="76"/>
        <v>-158422.83408178095</v>
      </c>
      <c r="O114" s="1">
        <f t="shared" si="76"/>
        <v>-203306.28448383673</v>
      </c>
      <c r="P114" s="1">
        <f t="shared" si="76"/>
        <v>-210619.34147168638</v>
      </c>
      <c r="Q114" s="1">
        <f t="shared" si="76"/>
        <v>-706148.02552574966</v>
      </c>
      <c r="R114" s="1">
        <f t="shared" si="76"/>
        <v>-157190.2784786183</v>
      </c>
      <c r="S114" s="1">
        <f t="shared" si="76"/>
        <v>-165442.94905496723</v>
      </c>
      <c r="T114" s="1">
        <f t="shared" si="76"/>
        <v>-177487.03640401785</v>
      </c>
      <c r="U114" s="1">
        <f t="shared" si="76"/>
        <v>-239820.09685230814</v>
      </c>
      <c r="V114" s="1">
        <f t="shared" si="76"/>
        <v>-739898.15275203739</v>
      </c>
      <c r="W114" s="1">
        <f t="shared" si="76"/>
        <v>-166626.01774928949</v>
      </c>
      <c r="X114" s="1">
        <f t="shared" si="76"/>
        <v>-190905.64330430186</v>
      </c>
      <c r="Y114" s="1">
        <f t="shared" si="76"/>
        <v>-189018.28387669049</v>
      </c>
      <c r="Z114" s="1">
        <f t="shared" si="76"/>
        <v>-201663.84893515604</v>
      </c>
      <c r="AA114" s="1">
        <f t="shared" si="76"/>
        <v>-748203.88718475506</v>
      </c>
      <c r="AB114" s="1">
        <f t="shared" si="76"/>
        <v>-109798.61604888194</v>
      </c>
      <c r="AC114" s="1">
        <f t="shared" si="76"/>
        <v>-132562.64076661743</v>
      </c>
      <c r="AD114" s="1">
        <f t="shared" si="76"/>
        <v>-113800.22076841917</v>
      </c>
      <c r="AE114" s="1">
        <f t="shared" si="76"/>
        <v>-81798.230289628787</v>
      </c>
      <c r="AF114" s="1">
        <f t="shared" si="76"/>
        <v>-437774.21088276175</v>
      </c>
      <c r="AG114" s="1">
        <f t="shared" si="76"/>
        <v>-107873.3031290299</v>
      </c>
      <c r="AH114" s="1">
        <f t="shared" si="76"/>
        <v>-116862.62153269599</v>
      </c>
      <c r="AI114" s="1">
        <f t="shared" si="76"/>
        <v>-121477.28529934208</v>
      </c>
      <c r="AJ114" s="1">
        <f t="shared" si="76"/>
        <v>-113325.94788863153</v>
      </c>
      <c r="AK114" s="1">
        <f t="shared" si="76"/>
        <v>-459606.18784136709</v>
      </c>
      <c r="AL114" s="1">
        <f t="shared" si="76"/>
        <v>-85801.300786416876</v>
      </c>
      <c r="AM114" s="1">
        <f t="shared" si="76"/>
        <v>-91005.763276624275</v>
      </c>
      <c r="AN114" s="1">
        <f t="shared" si="76"/>
        <v>-89118.415840882517</v>
      </c>
      <c r="AO114" s="1">
        <f t="shared" si="76"/>
        <v>-111791.71562877817</v>
      </c>
      <c r="AP114" s="1">
        <f t="shared" si="76"/>
        <v>-377722.06095086405</v>
      </c>
      <c r="AQ114" s="1">
        <f t="shared" si="76"/>
        <v>-88602.47426924661</v>
      </c>
      <c r="AR114" s="1">
        <f t="shared" si="76"/>
        <v>-84213.105778625322</v>
      </c>
      <c r="AS114" s="1">
        <f t="shared" si="76"/>
        <v>-78596.946478162077</v>
      </c>
      <c r="AT114" s="1">
        <f t="shared" si="76"/>
        <v>-104780.16355426297</v>
      </c>
      <c r="AU114" s="1">
        <f t="shared" si="76"/>
        <v>-356186.42920119164</v>
      </c>
      <c r="AV114" s="1">
        <f t="shared" ref="AV114" si="77">SUM(AV86:AV89)+(AV85*(SUM(AV86:AV89)/SUM(AV86:AV94)))</f>
        <v>-94090.726398766186</v>
      </c>
      <c r="AW114" s="1">
        <f>SUM(AW86:AW89)+(AW85*(SUM(AW86:AW89)/SUM(AW86:AW94)))</f>
        <v>-74441.777280832961</v>
      </c>
      <c r="AX114" s="1">
        <f>SUM(AX86:AX89)+(AX85*(SUM(AX86:AX89)/SUM(AX86:AX94)))</f>
        <v>-91467.097781841134</v>
      </c>
      <c r="AY114" s="1">
        <f>SUM(AY86:AY89)+(AY85*(SUM(AY86:AY89)/SUM(AY86:AY94)))</f>
        <v>-103852.77353859035</v>
      </c>
      <c r="AZ114" s="1">
        <f>SUM(AZ86:AZ89)+(AZ85*(SUM(AZ86:AZ89)/SUM(AZ86:AZ94)))</f>
        <v>-363867.10407873831</v>
      </c>
      <c r="BA114" s="1">
        <f t="shared" ref="BA114" si="78">SUM(BA86:BA89)+(BA85*(SUM(BA86:BA89)/SUM(BA86:BA94)))</f>
        <v>-94839.941893830706</v>
      </c>
    </row>
    <row r="115" spans="1:56">
      <c r="B115" s="231" t="s">
        <v>582</v>
      </c>
      <c r="C115" s="1">
        <f t="shared" ref="C115:AU115" si="79">SUM(C90:C94)+(C85*(SUM(C90:C94)/SUM(C86:C94)))</f>
        <v>-13070.817536358007</v>
      </c>
      <c r="D115" s="1">
        <f t="shared" si="79"/>
        <v>-12892.949933866015</v>
      </c>
      <c r="E115" s="1">
        <f t="shared" si="79"/>
        <v>-10063.290472686796</v>
      </c>
      <c r="F115" s="1">
        <f t="shared" si="79"/>
        <v>-11194.698114210016</v>
      </c>
      <c r="G115" s="1">
        <f t="shared" si="79"/>
        <v>-47171.750114445917</v>
      </c>
      <c r="H115" s="1">
        <f t="shared" si="79"/>
        <v>-10708.335673022677</v>
      </c>
      <c r="I115" s="1">
        <f t="shared" si="79"/>
        <v>-10516.440553045059</v>
      </c>
      <c r="J115" s="1">
        <f t="shared" si="79"/>
        <v>-11215.007379579674</v>
      </c>
      <c r="K115" s="1">
        <f t="shared" si="79"/>
        <v>-11376.89438483439</v>
      </c>
      <c r="L115" s="1">
        <f t="shared" si="79"/>
        <v>-43798.773328567608</v>
      </c>
      <c r="M115" s="1">
        <f t="shared" si="79"/>
        <v>-26059.158255286398</v>
      </c>
      <c r="N115" s="1">
        <f t="shared" si="79"/>
        <v>-22097.322268219126</v>
      </c>
      <c r="O115" s="1">
        <f t="shared" si="79"/>
        <v>-23693.453846163211</v>
      </c>
      <c r="P115" s="1">
        <f t="shared" si="79"/>
        <v>-23981.440548313818</v>
      </c>
      <c r="Q115" s="1">
        <f t="shared" si="79"/>
        <v>-96003.55364425054</v>
      </c>
      <c r="R115" s="1">
        <f t="shared" si="79"/>
        <v>-21949.619921381694</v>
      </c>
      <c r="S115" s="1">
        <f t="shared" si="79"/>
        <v>-21535.929315032845</v>
      </c>
      <c r="T115" s="1">
        <f t="shared" si="79"/>
        <v>-22987.303685982122</v>
      </c>
      <c r="U115" s="1">
        <f t="shared" si="79"/>
        <v>-27484.314097691808</v>
      </c>
      <c r="V115" s="1">
        <f t="shared" si="79"/>
        <v>-93999.37505796249</v>
      </c>
      <c r="W115" s="1">
        <f t="shared" si="79"/>
        <v>-18190.379840710688</v>
      </c>
      <c r="X115" s="1">
        <f t="shared" si="79"/>
        <v>-17474.245125697951</v>
      </c>
      <c r="Y115" s="1">
        <f t="shared" si="79"/>
        <v>-18703.379713309336</v>
      </c>
      <c r="Z115" s="1">
        <f t="shared" si="79"/>
        <v>-21189.596664844383</v>
      </c>
      <c r="AA115" s="1">
        <f t="shared" si="79"/>
        <v>-75567.508025245144</v>
      </c>
      <c r="AB115" s="1">
        <f t="shared" si="79"/>
        <v>-22009.805631118059</v>
      </c>
      <c r="AC115" s="1">
        <f t="shared" si="79"/>
        <v>-20794.112613382676</v>
      </c>
      <c r="AD115" s="1">
        <f t="shared" si="79"/>
        <v>-21975.006391580726</v>
      </c>
      <c r="AE115" s="1">
        <f t="shared" si="79"/>
        <v>-20064.019170371197</v>
      </c>
      <c r="AF115" s="1">
        <f t="shared" si="79"/>
        <v>-85028.440797238232</v>
      </c>
      <c r="AG115" s="1">
        <f t="shared" si="79"/>
        <v>-15998.727970970092</v>
      </c>
      <c r="AH115" s="1">
        <f t="shared" si="79"/>
        <v>-19020.076387304016</v>
      </c>
      <c r="AI115" s="1">
        <f t="shared" si="79"/>
        <v>-21668.714700657918</v>
      </c>
      <c r="AJ115" s="1">
        <f t="shared" si="79"/>
        <v>-19945.035821368456</v>
      </c>
      <c r="AK115" s="1">
        <f t="shared" si="79"/>
        <v>-76565.524888632892</v>
      </c>
      <c r="AL115" s="1">
        <f t="shared" si="79"/>
        <v>-995.69921358312695</v>
      </c>
      <c r="AM115" s="1">
        <f t="shared" si="79"/>
        <v>-1066.2367233757232</v>
      </c>
      <c r="AN115" s="1">
        <f t="shared" si="79"/>
        <v>-842.58415911748375</v>
      </c>
      <c r="AO115" s="1">
        <f t="shared" si="79"/>
        <v>-918.2843712218272</v>
      </c>
      <c r="AP115" s="1">
        <f t="shared" si="79"/>
        <v>-3817.939049135975</v>
      </c>
      <c r="AQ115" s="1">
        <f t="shared" si="79"/>
        <v>-698.52573075339649</v>
      </c>
      <c r="AR115" s="1">
        <f t="shared" si="79"/>
        <v>-1789.8942213746748</v>
      </c>
      <c r="AS115" s="1">
        <f t="shared" si="79"/>
        <v>-1678.0535218379198</v>
      </c>
      <c r="AT115" s="1">
        <f t="shared" si="79"/>
        <v>-1401.8364457370274</v>
      </c>
      <c r="AU115" s="1">
        <f t="shared" si="79"/>
        <v>-5574.5707988083441</v>
      </c>
      <c r="AV115" s="1">
        <f t="shared" ref="AV115" si="80">SUM(AV90:AV94)+(AV85*(SUM(AV90:AV94)/SUM(AV86:AV94)))</f>
        <v>-2912.2846012338159</v>
      </c>
      <c r="AW115" s="1">
        <f>SUM(AW90:AW94)+(AW85*(SUM(AW90:AW94)/SUM(AW86:AW94)))</f>
        <v>-2557.3177191670447</v>
      </c>
      <c r="AX115" s="1">
        <f>SUM(AX90:AX94)+(AX85*(SUM(AX90:AX94)/SUM(AX86:AX94)))</f>
        <v>-1711.9022181588628</v>
      </c>
      <c r="AY115" s="1">
        <f>SUM(AY90:AY94)+(AY85*(SUM(AY90:AY94)/SUM(AY86:AY94)))</f>
        <v>-2789.2264614096512</v>
      </c>
      <c r="AZ115" s="1">
        <f>SUM(AZ90:AZ94)+(AZ85*(SUM(AZ90:AZ94)/SUM(AZ86:AZ94)))</f>
        <v>-9956.001921261699</v>
      </c>
      <c r="BA115" s="1">
        <f t="shared" ref="BA115" si="81">SUM(BA90:BA94)+(BA85*(SUM(BA90:BA94)/SUM(BA86:BA94)))</f>
        <v>101.94189383070301</v>
      </c>
    </row>
    <row r="116" spans="1:56">
      <c r="B116" s="11" t="s">
        <v>446</v>
      </c>
      <c r="C116" s="1">
        <f t="shared" ref="C116:AV116" si="82">C95</f>
        <v>0</v>
      </c>
      <c r="D116" s="1">
        <f t="shared" si="82"/>
        <v>0</v>
      </c>
      <c r="E116" s="1">
        <f t="shared" si="82"/>
        <v>0</v>
      </c>
      <c r="F116" s="1">
        <f t="shared" si="82"/>
        <v>0</v>
      </c>
      <c r="G116" s="1">
        <f t="shared" si="82"/>
        <v>0</v>
      </c>
      <c r="H116" s="1">
        <f t="shared" si="82"/>
        <v>0</v>
      </c>
      <c r="I116" s="1">
        <f t="shared" si="82"/>
        <v>0</v>
      </c>
      <c r="J116" s="1">
        <f t="shared" si="82"/>
        <v>0</v>
      </c>
      <c r="K116" s="1">
        <f t="shared" si="82"/>
        <v>0</v>
      </c>
      <c r="L116" s="1">
        <f t="shared" si="82"/>
        <v>0</v>
      </c>
      <c r="M116" s="1">
        <f t="shared" si="82"/>
        <v>0</v>
      </c>
      <c r="N116" s="1">
        <f t="shared" si="82"/>
        <v>0</v>
      </c>
      <c r="O116" s="1">
        <f t="shared" si="82"/>
        <v>0</v>
      </c>
      <c r="P116" s="1">
        <f t="shared" si="82"/>
        <v>0</v>
      </c>
      <c r="Q116" s="1">
        <f t="shared" si="82"/>
        <v>0</v>
      </c>
      <c r="R116" s="1">
        <f t="shared" si="82"/>
        <v>0</v>
      </c>
      <c r="S116" s="1">
        <f t="shared" si="82"/>
        <v>0</v>
      </c>
      <c r="T116" s="1">
        <f t="shared" si="82"/>
        <v>0</v>
      </c>
      <c r="U116" s="1">
        <f t="shared" si="82"/>
        <v>0</v>
      </c>
      <c r="V116" s="1">
        <f t="shared" si="82"/>
        <v>0</v>
      </c>
      <c r="W116" s="1">
        <f t="shared" si="82"/>
        <v>0</v>
      </c>
      <c r="X116" s="1">
        <f t="shared" si="82"/>
        <v>0</v>
      </c>
      <c r="Y116" s="1">
        <f t="shared" si="82"/>
        <v>0</v>
      </c>
      <c r="Z116" s="1">
        <f t="shared" si="82"/>
        <v>-128.57438999999999</v>
      </c>
      <c r="AA116" s="1">
        <f t="shared" si="82"/>
        <v>-128.57438999999999</v>
      </c>
      <c r="AB116" s="1">
        <f t="shared" si="82"/>
        <v>-166792.70824521594</v>
      </c>
      <c r="AC116" s="1">
        <f t="shared" si="82"/>
        <v>-188205.49094478405</v>
      </c>
      <c r="AD116" s="1">
        <f t="shared" si="82"/>
        <v>-193054.78059000004</v>
      </c>
      <c r="AE116" s="1">
        <f t="shared" si="82"/>
        <v>-224900.86485000001</v>
      </c>
      <c r="AF116" s="1">
        <f t="shared" si="82"/>
        <v>-772953.84463000007</v>
      </c>
      <c r="AG116" s="1">
        <f t="shared" si="82"/>
        <v>-206143.53909999999</v>
      </c>
      <c r="AH116" s="1">
        <f t="shared" si="82"/>
        <v>-220864.46090000001</v>
      </c>
      <c r="AI116" s="1">
        <f t="shared" si="82"/>
        <v>-178937.67780999999</v>
      </c>
      <c r="AJ116" s="1">
        <f t="shared" si="82"/>
        <v>-252959.45878000002</v>
      </c>
      <c r="AK116" s="1">
        <f t="shared" si="82"/>
        <v>-858905.13659000001</v>
      </c>
      <c r="AL116" s="1">
        <f t="shared" si="82"/>
        <v>-247107.75899999999</v>
      </c>
      <c r="AM116" s="1">
        <f t="shared" si="82"/>
        <v>-240235.85055999999</v>
      </c>
      <c r="AN116" s="1">
        <f t="shared" si="82"/>
        <v>-236132.73421999998</v>
      </c>
      <c r="AO116" s="1">
        <f t="shared" si="82"/>
        <v>-302966.71655999997</v>
      </c>
      <c r="AP116" s="1">
        <f t="shared" si="82"/>
        <v>-1026443.06034</v>
      </c>
      <c r="AQ116" s="1">
        <f t="shared" si="82"/>
        <v>-256753.81031999999</v>
      </c>
      <c r="AR116" s="1">
        <f t="shared" si="82"/>
        <v>-276168.86982999998</v>
      </c>
      <c r="AS116" s="1">
        <f t="shared" si="82"/>
        <v>-304624.44280999998</v>
      </c>
      <c r="AT116" s="1">
        <f t="shared" si="82"/>
        <v>-349012.78356999997</v>
      </c>
      <c r="AU116" s="1">
        <f t="shared" si="82"/>
        <v>-1186559.90653</v>
      </c>
      <c r="AV116" s="1">
        <f t="shared" si="82"/>
        <v>-296274.10334999999</v>
      </c>
      <c r="AW116" s="1">
        <f>AW95</f>
        <v>-305444.00448</v>
      </c>
      <c r="AX116" s="1">
        <f>AX95</f>
        <v>-328262.41137000005</v>
      </c>
      <c r="AY116" s="1">
        <f>AY95</f>
        <v>-417795.72080000001</v>
      </c>
      <c r="AZ116" s="1">
        <f>AZ95</f>
        <v>-1347776.24</v>
      </c>
      <c r="BA116" s="1">
        <f t="shared" ref="BA116" si="83">BA95</f>
        <v>-328952.23988000007</v>
      </c>
    </row>
    <row r="117" spans="1:56">
      <c r="B117" s="11" t="s">
        <v>554</v>
      </c>
      <c r="C117" s="1">
        <f t="shared" ref="C117:AV117" si="84">C106</f>
        <v>-2216.6877699999995</v>
      </c>
      <c r="D117" s="1">
        <f t="shared" si="84"/>
        <v>-4126.8672299999998</v>
      </c>
      <c r="E117" s="1">
        <f t="shared" si="84"/>
        <v>-6310.178469999998</v>
      </c>
      <c r="F117" s="1">
        <f t="shared" si="84"/>
        <v>-9359.9636399999981</v>
      </c>
      <c r="G117" s="1">
        <f t="shared" si="84"/>
        <v>-22013.697109999994</v>
      </c>
      <c r="H117" s="1">
        <f t="shared" si="84"/>
        <v>-6669.2848099999983</v>
      </c>
      <c r="I117" s="1">
        <f t="shared" si="84"/>
        <v>-7482.5691600000036</v>
      </c>
      <c r="J117" s="1">
        <f t="shared" si="84"/>
        <v>-8903.9532499999932</v>
      </c>
      <c r="K117" s="1">
        <f t="shared" si="84"/>
        <v>-15634.739829999995</v>
      </c>
      <c r="L117" s="1">
        <f t="shared" si="84"/>
        <v>-38690.547049999994</v>
      </c>
      <c r="M117" s="1">
        <f t="shared" si="84"/>
        <v>-8155.6838599999992</v>
      </c>
      <c r="N117" s="1">
        <f t="shared" si="84"/>
        <v>-10933.564439999995</v>
      </c>
      <c r="O117" s="1">
        <f t="shared" si="84"/>
        <v>-14467.978350000012</v>
      </c>
      <c r="P117" s="1">
        <f t="shared" si="84"/>
        <v>-13158.086229999997</v>
      </c>
      <c r="Q117" s="1">
        <f t="shared" si="84"/>
        <v>-46715.312879999998</v>
      </c>
      <c r="R117" s="1">
        <f t="shared" si="84"/>
        <v>-10460.7711</v>
      </c>
      <c r="S117" s="1">
        <f t="shared" si="84"/>
        <v>-11110.768909999995</v>
      </c>
      <c r="T117" s="1">
        <f t="shared" si="84"/>
        <v>-12026.777290000004</v>
      </c>
      <c r="U117" s="1">
        <f t="shared" si="84"/>
        <v>-11909.429629999995</v>
      </c>
      <c r="V117" s="1">
        <f t="shared" si="84"/>
        <v>-45507.746929999994</v>
      </c>
      <c r="W117" s="1">
        <f t="shared" si="84"/>
        <v>-16810.195630000002</v>
      </c>
      <c r="X117" s="1">
        <f t="shared" si="84"/>
        <v>-11807.021240000002</v>
      </c>
      <c r="Y117" s="1">
        <f t="shared" si="84"/>
        <v>-12318.089829999999</v>
      </c>
      <c r="Z117" s="1">
        <f t="shared" si="84"/>
        <v>-14215.174809999995</v>
      </c>
      <c r="AA117" s="1">
        <f t="shared" si="84"/>
        <v>-55150.481509999998</v>
      </c>
      <c r="AB117" s="1">
        <f t="shared" si="84"/>
        <v>-13578.83628</v>
      </c>
      <c r="AC117" s="1">
        <f t="shared" si="84"/>
        <v>-19664.28773</v>
      </c>
      <c r="AD117" s="1">
        <f t="shared" si="84"/>
        <v>-15965.930740000002</v>
      </c>
      <c r="AE117" s="1">
        <f t="shared" si="84"/>
        <v>-20352.135999999999</v>
      </c>
      <c r="AF117" s="1">
        <f t="shared" si="84"/>
        <v>-69561.190750000009</v>
      </c>
      <c r="AG117" s="1">
        <f t="shared" si="84"/>
        <v>-22132</v>
      </c>
      <c r="AH117" s="1">
        <f t="shared" si="84"/>
        <v>-24183</v>
      </c>
      <c r="AI117" s="1">
        <f t="shared" si="84"/>
        <v>-24124</v>
      </c>
      <c r="AJ117" s="1">
        <f t="shared" si="84"/>
        <v>-29858</v>
      </c>
      <c r="AK117" s="1">
        <f t="shared" si="84"/>
        <v>-100297</v>
      </c>
      <c r="AL117" s="1">
        <f t="shared" si="84"/>
        <v>-26196</v>
      </c>
      <c r="AM117" s="1">
        <f t="shared" si="84"/>
        <v>-29653</v>
      </c>
      <c r="AN117" s="1">
        <f t="shared" si="84"/>
        <v>-30624</v>
      </c>
      <c r="AO117" s="1">
        <f t="shared" si="84"/>
        <v>-23546</v>
      </c>
      <c r="AP117" s="1">
        <f t="shared" si="84"/>
        <v>-110019</v>
      </c>
      <c r="AQ117" s="1">
        <f t="shared" si="84"/>
        <v>-36004</v>
      </c>
      <c r="AR117" s="1">
        <f t="shared" si="84"/>
        <v>-32228</v>
      </c>
      <c r="AS117" s="1">
        <f t="shared" si="84"/>
        <v>-29867</v>
      </c>
      <c r="AT117" s="1">
        <f t="shared" si="84"/>
        <v>-28509.945899999999</v>
      </c>
      <c r="AU117" s="1">
        <f t="shared" si="84"/>
        <v>-126608.94589999999</v>
      </c>
      <c r="AV117" s="1">
        <f t="shared" si="84"/>
        <v>-37471.559179999997</v>
      </c>
      <c r="AW117" s="1">
        <f>AW106</f>
        <v>-35167.448319999996</v>
      </c>
      <c r="AX117" s="1">
        <f>AX106</f>
        <v>-38768.447459999996</v>
      </c>
      <c r="AY117" s="1">
        <f>AY106</f>
        <v>-38037.826140000005</v>
      </c>
      <c r="AZ117" s="1">
        <f>AZ106</f>
        <v>-149445.28109999999</v>
      </c>
      <c r="BA117" s="1">
        <f t="shared" ref="BA117" si="85">BA106</f>
        <v>-45929.458049999965</v>
      </c>
    </row>
    <row r="118" spans="1:56" s="100" customFormat="1">
      <c r="A118" s="2"/>
      <c r="B118" s="2" t="s">
        <v>555</v>
      </c>
      <c r="C118" s="3">
        <f t="shared" ref="C118:AV118" si="86">C103</f>
        <v>-16757</v>
      </c>
      <c r="D118" s="3">
        <f t="shared" si="86"/>
        <v>-17146</v>
      </c>
      <c r="E118" s="3">
        <f t="shared" si="86"/>
        <v>-17761</v>
      </c>
      <c r="F118" s="3">
        <f t="shared" si="86"/>
        <v>-50404</v>
      </c>
      <c r="G118" s="3">
        <f t="shared" si="86"/>
        <v>-102068</v>
      </c>
      <c r="H118" s="3">
        <f t="shared" si="86"/>
        <v>-20109.377079999998</v>
      </c>
      <c r="I118" s="3">
        <f t="shared" si="86"/>
        <v>-20517.537349999999</v>
      </c>
      <c r="J118" s="3">
        <f t="shared" si="86"/>
        <v>-24333.673340000001</v>
      </c>
      <c r="K118" s="3">
        <f t="shared" si="86"/>
        <v>-30442.080099999999</v>
      </c>
      <c r="L118" s="3">
        <f t="shared" si="86"/>
        <v>-95402.667870000005</v>
      </c>
      <c r="M118" s="3">
        <f t="shared" si="86"/>
        <v>-22099.800490000001</v>
      </c>
      <c r="N118" s="3">
        <f t="shared" si="86"/>
        <v>-22940.840669999998</v>
      </c>
      <c r="O118" s="3">
        <f t="shared" si="86"/>
        <v>-24534.26698</v>
      </c>
      <c r="P118" s="3">
        <f t="shared" si="86"/>
        <v>-28173.036680000001</v>
      </c>
      <c r="Q118" s="3">
        <f t="shared" si="86"/>
        <v>-97747.944820000004</v>
      </c>
      <c r="R118" s="3">
        <f t="shared" si="86"/>
        <v>-19494.577860000001</v>
      </c>
      <c r="S118" s="3">
        <f t="shared" si="86"/>
        <v>-23087.69327</v>
      </c>
      <c r="T118" s="3">
        <f t="shared" si="86"/>
        <v>-28447.728869999999</v>
      </c>
      <c r="U118" s="3">
        <f t="shared" si="86"/>
        <v>-22359.195660000001</v>
      </c>
      <c r="V118" s="3">
        <f t="shared" si="86"/>
        <v>-93389.195659999998</v>
      </c>
      <c r="W118" s="3">
        <f t="shared" si="86"/>
        <v>-24874</v>
      </c>
      <c r="X118" s="3">
        <f t="shared" si="86"/>
        <v>-23224.194909999998</v>
      </c>
      <c r="Y118" s="3">
        <f t="shared" si="86"/>
        <v>-23722</v>
      </c>
      <c r="Z118" s="3">
        <f t="shared" si="86"/>
        <v>-30836</v>
      </c>
      <c r="AA118" s="3">
        <f t="shared" si="86"/>
        <v>-102656.19491000001</v>
      </c>
      <c r="AB118" s="3">
        <f t="shared" si="86"/>
        <v>-23180</v>
      </c>
      <c r="AC118" s="3">
        <f t="shared" si="86"/>
        <v>-18130</v>
      </c>
      <c r="AD118" s="3">
        <f t="shared" si="86"/>
        <v>-28941.113819999999</v>
      </c>
      <c r="AE118" s="3">
        <f t="shared" si="86"/>
        <v>-33656</v>
      </c>
      <c r="AF118" s="3">
        <f t="shared" si="86"/>
        <v>-103907.11382</v>
      </c>
      <c r="AG118" s="3">
        <f t="shared" si="86"/>
        <v>-31066</v>
      </c>
      <c r="AH118" s="3">
        <f t="shared" si="86"/>
        <v>-32252</v>
      </c>
      <c r="AI118" s="3">
        <f t="shared" si="86"/>
        <v>-34498</v>
      </c>
      <c r="AJ118" s="3">
        <f t="shared" si="86"/>
        <v>-38707</v>
      </c>
      <c r="AK118" s="3">
        <f t="shared" si="86"/>
        <v>-136523</v>
      </c>
      <c r="AL118" s="3">
        <f t="shared" si="86"/>
        <v>-38114</v>
      </c>
      <c r="AM118" s="3">
        <f t="shared" si="86"/>
        <v>-40970</v>
      </c>
      <c r="AN118" s="3">
        <f t="shared" si="86"/>
        <v>-39875</v>
      </c>
      <c r="AO118" s="3">
        <f t="shared" si="86"/>
        <v>-47373.258000000002</v>
      </c>
      <c r="AP118" s="3">
        <f t="shared" si="86"/>
        <v>-166332.258</v>
      </c>
      <c r="AQ118" s="3">
        <f t="shared" si="86"/>
        <v>-40893.038</v>
      </c>
      <c r="AR118" s="3">
        <f t="shared" si="86"/>
        <v>-38453.936000000002</v>
      </c>
      <c r="AS118" s="3">
        <f t="shared" si="86"/>
        <v>-41657.480000000003</v>
      </c>
      <c r="AT118" s="3">
        <f t="shared" si="86"/>
        <v>-54524.754999999997</v>
      </c>
      <c r="AU118" s="3">
        <f t="shared" si="86"/>
        <v>-175529.209</v>
      </c>
      <c r="AV118" s="3">
        <f t="shared" si="86"/>
        <v>-38481.572999999997</v>
      </c>
      <c r="AW118" s="3">
        <f>AW103</f>
        <v>-36961.817999999999</v>
      </c>
      <c r="AX118" s="3">
        <f>AX103</f>
        <v>-38257.214999999997</v>
      </c>
      <c r="AY118" s="3">
        <f>AY103</f>
        <v>-54712.733999999997</v>
      </c>
      <c r="AZ118" s="3">
        <f>AZ103</f>
        <v>-168413.34</v>
      </c>
      <c r="BA118" s="3">
        <f t="shared" ref="BA118" si="87">BA103</f>
        <v>-37632.483999999997</v>
      </c>
    </row>
    <row r="120" spans="1:56">
      <c r="C120" s="173">
        <v>0</v>
      </c>
      <c r="D120" s="173">
        <v>0</v>
      </c>
      <c r="E120" s="173">
        <v>0</v>
      </c>
      <c r="F120" s="173">
        <v>0</v>
      </c>
      <c r="G120" s="173">
        <v>0</v>
      </c>
      <c r="H120" s="173">
        <v>0</v>
      </c>
      <c r="I120" s="173">
        <v>0</v>
      </c>
      <c r="J120" s="173">
        <v>0</v>
      </c>
      <c r="K120" s="173">
        <v>0</v>
      </c>
      <c r="L120" s="173">
        <v>0</v>
      </c>
      <c r="M120" s="173">
        <v>0</v>
      </c>
      <c r="N120" s="173">
        <v>0</v>
      </c>
      <c r="O120" s="173">
        <v>0</v>
      </c>
      <c r="P120" s="173">
        <v>0</v>
      </c>
      <c r="Q120" s="173">
        <v>0</v>
      </c>
      <c r="R120" s="173">
        <v>0</v>
      </c>
      <c r="S120" s="173">
        <v>0</v>
      </c>
      <c r="T120" s="173">
        <v>0</v>
      </c>
      <c r="U120" s="173">
        <v>0</v>
      </c>
      <c r="V120" s="173">
        <v>0</v>
      </c>
      <c r="W120" s="173">
        <v>0</v>
      </c>
      <c r="X120" s="173">
        <v>0</v>
      </c>
      <c r="Y120" s="173">
        <v>0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f>AG111-SUM(AG106,AG103,AG95,AG84)</f>
        <v>0</v>
      </c>
      <c r="AH120" s="173">
        <f>AH111-SUM(AH106,AH103,AH95,AH84)</f>
        <v>0</v>
      </c>
      <c r="AI120" s="173"/>
      <c r="AJ120" s="173"/>
      <c r="AK120" s="173">
        <f>AK111-SUM(AK106,AK103,AK95,AK84)</f>
        <v>0</v>
      </c>
      <c r="AL120" s="173">
        <f>AL111-SUM(AL106,AL103,AL95,AL84)</f>
        <v>0</v>
      </c>
      <c r="AM120" s="173">
        <f>AM111-SUM(AM106,AM103,AM95,AM84)</f>
        <v>0</v>
      </c>
      <c r="AN120" s="173"/>
      <c r="AO120" s="173"/>
      <c r="AP120" s="173">
        <f>AP111-SUM(AP106,AP103,AP95,AP84)</f>
        <v>0</v>
      </c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</row>
    <row r="121" spans="1:56" s="100" customFormat="1">
      <c r="A121" s="28"/>
      <c r="B121" s="624" t="s">
        <v>445</v>
      </c>
      <c r="C121" s="624" t="s">
        <v>224</v>
      </c>
      <c r="D121" s="624" t="s">
        <v>225</v>
      </c>
      <c r="E121" s="624" t="s">
        <v>226</v>
      </c>
      <c r="F121" s="624" t="s">
        <v>227</v>
      </c>
      <c r="G121" s="624">
        <v>2016</v>
      </c>
      <c r="H121" s="624" t="s">
        <v>228</v>
      </c>
      <c r="I121" s="624" t="s">
        <v>229</v>
      </c>
      <c r="J121" s="624" t="s">
        <v>230</v>
      </c>
      <c r="K121" s="624" t="s">
        <v>231</v>
      </c>
      <c r="L121" s="624">
        <v>2017</v>
      </c>
      <c r="M121" s="624" t="s">
        <v>232</v>
      </c>
      <c r="N121" s="624" t="s">
        <v>233</v>
      </c>
      <c r="O121" s="624" t="s">
        <v>234</v>
      </c>
      <c r="P121" s="624" t="s">
        <v>235</v>
      </c>
      <c r="Q121" s="624">
        <v>2018</v>
      </c>
      <c r="R121" s="624" t="s">
        <v>236</v>
      </c>
      <c r="S121" s="624" t="s">
        <v>237</v>
      </c>
      <c r="T121" s="624" t="s">
        <v>238</v>
      </c>
      <c r="U121" s="624" t="s">
        <v>239</v>
      </c>
      <c r="V121" s="624">
        <v>2019</v>
      </c>
      <c r="W121" s="624" t="s">
        <v>240</v>
      </c>
      <c r="X121" s="624" t="s">
        <v>241</v>
      </c>
      <c r="Y121" s="624" t="s">
        <v>242</v>
      </c>
      <c r="Z121" s="624" t="s">
        <v>243</v>
      </c>
      <c r="AA121" s="624">
        <v>2020</v>
      </c>
      <c r="AB121" s="624" t="s">
        <v>244</v>
      </c>
      <c r="AC121" s="624" t="s">
        <v>245</v>
      </c>
      <c r="AD121" s="624" t="s">
        <v>246</v>
      </c>
      <c r="AE121" s="624" t="s">
        <v>247</v>
      </c>
      <c r="AF121" s="624">
        <v>2021</v>
      </c>
      <c r="AG121" s="624" t="s">
        <v>248</v>
      </c>
      <c r="AH121" s="624" t="s">
        <v>249</v>
      </c>
      <c r="AI121" s="624" t="s">
        <v>250</v>
      </c>
      <c r="AJ121" s="624" t="s">
        <v>215</v>
      </c>
      <c r="AK121" s="624">
        <v>2022</v>
      </c>
      <c r="AL121" s="624" t="s">
        <v>252</v>
      </c>
      <c r="AM121" s="624" t="s">
        <v>253</v>
      </c>
      <c r="AN121" s="624" t="s">
        <v>254</v>
      </c>
      <c r="AO121" s="624" t="s">
        <v>219</v>
      </c>
      <c r="AP121" s="624">
        <v>2023</v>
      </c>
      <c r="AQ121" s="624" t="s">
        <v>223</v>
      </c>
      <c r="AR121" s="624" t="s">
        <v>256</v>
      </c>
      <c r="AS121" s="624" t="s">
        <v>357</v>
      </c>
      <c r="AT121" s="624" t="s">
        <v>358</v>
      </c>
      <c r="AU121" s="624">
        <v>2024</v>
      </c>
      <c r="AV121" s="624" t="s">
        <v>359</v>
      </c>
      <c r="AW121" s="624" t="s">
        <v>1115</v>
      </c>
      <c r="AX121" s="624" t="s">
        <v>1116</v>
      </c>
      <c r="AY121" s="624" t="s">
        <v>1117</v>
      </c>
      <c r="AZ121" s="782">
        <v>2025</v>
      </c>
      <c r="BA121" s="783" t="s">
        <v>1124</v>
      </c>
      <c r="BD121" s="773"/>
    </row>
    <row r="122" spans="1:56" s="100" customFormat="1">
      <c r="A122" s="9"/>
      <c r="B122" s="9" t="str">
        <f t="shared" ref="B122:B146" si="88">B84</f>
        <v>Antiga Parceria CAIXA</v>
      </c>
      <c r="C122" s="76">
        <f t="shared" ref="C122:AV122" si="89">SUM(C123:C132)</f>
        <v>-81663.161110000001</v>
      </c>
      <c r="D122" s="76">
        <f t="shared" si="89"/>
        <v>-83076.945810000019</v>
      </c>
      <c r="E122" s="76">
        <f t="shared" si="89"/>
        <v>-83460.548099999985</v>
      </c>
      <c r="F122" s="76">
        <f t="shared" si="89"/>
        <v>-84247.71401999997</v>
      </c>
      <c r="G122" s="76">
        <f t="shared" si="89"/>
        <v>-332448.3690399999</v>
      </c>
      <c r="H122" s="76">
        <f t="shared" si="89"/>
        <v>-92082.382659999988</v>
      </c>
      <c r="I122" s="76">
        <f t="shared" si="89"/>
        <v>-86356.886100000032</v>
      </c>
      <c r="J122" s="76">
        <f t="shared" si="89"/>
        <v>-86332.340419999964</v>
      </c>
      <c r="K122" s="76">
        <f t="shared" si="89"/>
        <v>-14257.641629999966</v>
      </c>
      <c r="L122" s="76">
        <f t="shared" si="89"/>
        <v>-279029.25080999994</v>
      </c>
      <c r="M122" s="76">
        <f t="shared" si="89"/>
        <v>-95510.193370000023</v>
      </c>
      <c r="N122" s="76">
        <f t="shared" si="89"/>
        <v>-95462.751330000014</v>
      </c>
      <c r="O122" s="76">
        <f t="shared" si="89"/>
        <v>-133098.95069999996</v>
      </c>
      <c r="P122" s="76">
        <f t="shared" si="89"/>
        <v>-81506.27519</v>
      </c>
      <c r="Q122" s="76">
        <f t="shared" si="89"/>
        <v>-405578.17059000005</v>
      </c>
      <c r="R122" s="76">
        <f t="shared" si="89"/>
        <v>-95559.507469999953</v>
      </c>
      <c r="S122" s="76">
        <f t="shared" si="89"/>
        <v>-100451.75356</v>
      </c>
      <c r="T122" s="76">
        <f t="shared" si="89"/>
        <v>-107542.95835999998</v>
      </c>
      <c r="U122" s="76">
        <f t="shared" si="89"/>
        <v>-105510.04760000001</v>
      </c>
      <c r="V122" s="76">
        <f t="shared" si="89"/>
        <v>-409064.26698999997</v>
      </c>
      <c r="W122" s="76">
        <f t="shared" si="89"/>
        <v>-111871.04755</v>
      </c>
      <c r="X122" s="76">
        <f t="shared" si="89"/>
        <v>-114797.38364999997</v>
      </c>
      <c r="Y122" s="76">
        <f t="shared" si="89"/>
        <v>-105052.40266999998</v>
      </c>
      <c r="Z122" s="76">
        <f t="shared" si="89"/>
        <v>-115012.34918000002</v>
      </c>
      <c r="AA122" s="76">
        <f t="shared" si="89"/>
        <v>-446733.18304999999</v>
      </c>
      <c r="AB122" s="76">
        <f t="shared" si="89"/>
        <v>-55921.38607</v>
      </c>
      <c r="AC122" s="76">
        <f t="shared" si="89"/>
        <v>-46506.597649999989</v>
      </c>
      <c r="AD122" s="76">
        <f t="shared" si="89"/>
        <v>-50255.52766</v>
      </c>
      <c r="AE122" s="76">
        <f t="shared" si="89"/>
        <v>-48788.855519999997</v>
      </c>
      <c r="AF122" s="76">
        <f t="shared" si="89"/>
        <v>-201472.36689999999</v>
      </c>
      <c r="AG122" s="76">
        <f t="shared" si="89"/>
        <v>-47735</v>
      </c>
      <c r="AH122" s="76">
        <f t="shared" si="89"/>
        <v>-43409.862580000001</v>
      </c>
      <c r="AI122" s="76">
        <f t="shared" si="89"/>
        <v>-46835</v>
      </c>
      <c r="AJ122" s="76">
        <f t="shared" si="89"/>
        <v>-35359.373619999998</v>
      </c>
      <c r="AK122" s="76">
        <f t="shared" si="89"/>
        <v>-173339.23619999998</v>
      </c>
      <c r="AL122" s="76">
        <f t="shared" si="89"/>
        <v>-31510</v>
      </c>
      <c r="AM122" s="76">
        <f t="shared" si="89"/>
        <v>-29524</v>
      </c>
      <c r="AN122" s="76">
        <f t="shared" si="89"/>
        <v>-28662</v>
      </c>
      <c r="AO122" s="76">
        <f t="shared" si="89"/>
        <v>-28876</v>
      </c>
      <c r="AP122" s="76">
        <f t="shared" si="89"/>
        <v>-118572</v>
      </c>
      <c r="AQ122" s="76">
        <f t="shared" si="89"/>
        <v>-28189</v>
      </c>
      <c r="AR122" s="76">
        <f t="shared" si="89"/>
        <v>-23263</v>
      </c>
      <c r="AS122" s="76">
        <f t="shared" si="89"/>
        <v>-22051</v>
      </c>
      <c r="AT122" s="76">
        <f t="shared" si="89"/>
        <v>-34267</v>
      </c>
      <c r="AU122" s="76">
        <f t="shared" si="89"/>
        <v>-107770</v>
      </c>
      <c r="AV122" s="76">
        <f t="shared" si="89"/>
        <v>-28768</v>
      </c>
      <c r="AW122" s="76">
        <f>SUM(AW123:AW132)</f>
        <v>-28146</v>
      </c>
      <c r="AX122" s="76">
        <f>SUM(AX123:AX132)</f>
        <v>-27508</v>
      </c>
      <c r="AY122" s="76">
        <f>SUM(AY123:AY132)</f>
        <v>-27063</v>
      </c>
      <c r="AZ122" s="76">
        <f>SUM(AZ123:AZ132)</f>
        <v>-111485</v>
      </c>
      <c r="BA122" s="76">
        <f t="shared" ref="BA122" si="90">SUM(BA123:BA132)</f>
        <v>-31747</v>
      </c>
    </row>
    <row r="123" spans="1:56">
      <c r="B123" t="str">
        <f t="shared" si="88"/>
        <v>CNP SEGUROS HOLDING</v>
      </c>
      <c r="C123" s="1">
        <f>'DRE ANTIGA PARCERIA CAIXA'!C267</f>
        <v>-2744.0813700000003</v>
      </c>
      <c r="D123" s="1">
        <f>'DRE ANTIGA PARCERIA CAIXA'!D267</f>
        <v>-3620.3989299999998</v>
      </c>
      <c r="E123" s="1">
        <f>'DRE ANTIGA PARCERIA CAIXA'!E267</f>
        <v>-3776.9704499999998</v>
      </c>
      <c r="F123" s="1">
        <f>'DRE ANTIGA PARCERIA CAIXA'!F267</f>
        <v>-2467.6146899999949</v>
      </c>
      <c r="G123" s="1">
        <f>'DRE ANTIGA PARCERIA CAIXA'!G267</f>
        <v>-12609.065439999995</v>
      </c>
      <c r="H123" s="1">
        <f>'DRE ANTIGA PARCERIA CAIXA'!H267</f>
        <v>-1679.6535700000002</v>
      </c>
      <c r="I123" s="1">
        <f>'DRE ANTIGA PARCERIA CAIXA'!I267</f>
        <v>-2460.0902599999999</v>
      </c>
      <c r="J123" s="1">
        <f>'DRE ANTIGA PARCERIA CAIXA'!J267</f>
        <v>-2475.24503</v>
      </c>
      <c r="K123" s="1">
        <f>'DRE ANTIGA PARCERIA CAIXA'!K267</f>
        <v>-1718.3358000000017</v>
      </c>
      <c r="L123" s="1">
        <f>'DRE ANTIGA PARCERIA CAIXA'!L267</f>
        <v>-8333.324660000002</v>
      </c>
      <c r="M123" s="1">
        <f>'DRE ANTIGA PARCERIA CAIXA'!M267</f>
        <v>-1613.9054599999997</v>
      </c>
      <c r="N123" s="1">
        <f>'DRE ANTIGA PARCERIA CAIXA'!N267</f>
        <v>-2036.05675</v>
      </c>
      <c r="O123" s="1">
        <f>'DRE ANTIGA PARCERIA CAIXA'!O267</f>
        <v>-1472.7865300000003</v>
      </c>
      <c r="P123" s="1">
        <f>'DRE ANTIGA PARCERIA CAIXA'!P267</f>
        <v>-1352.7790700000014</v>
      </c>
      <c r="Q123" s="1">
        <f>'DRE ANTIGA PARCERIA CAIXA'!Q267</f>
        <v>-6475.5278100000014</v>
      </c>
      <c r="R123" s="1">
        <f>'DRE ANTIGA PARCERIA CAIXA'!R267</f>
        <v>-1024.4428700000001</v>
      </c>
      <c r="S123" s="1">
        <f>'DRE ANTIGA PARCERIA CAIXA'!S267</f>
        <v>-1922.1131699999994</v>
      </c>
      <c r="T123" s="1">
        <f>'DRE ANTIGA PARCERIA CAIXA'!T267</f>
        <v>-2347.0905100000009</v>
      </c>
      <c r="U123" s="1">
        <f>'DRE ANTIGA PARCERIA CAIXA'!U267</f>
        <v>-1277.9809399999995</v>
      </c>
      <c r="V123" s="1">
        <f>'DRE ANTIGA PARCERIA CAIXA'!V267</f>
        <v>-6571.6274899999999</v>
      </c>
      <c r="W123" s="1">
        <f>'DRE ANTIGA PARCERIA CAIXA'!W267</f>
        <v>-2103.7321699999998</v>
      </c>
      <c r="X123" s="1">
        <f>'DRE ANTIGA PARCERIA CAIXA'!X267</f>
        <v>-2816.3566299999998</v>
      </c>
      <c r="Y123" s="1">
        <f>'DRE ANTIGA PARCERIA CAIXA'!Y267</f>
        <v>-2335.8907399999998</v>
      </c>
      <c r="Z123" s="1">
        <f>'DRE ANTIGA PARCERIA CAIXA'!Z267</f>
        <v>-1298.4524500000016</v>
      </c>
      <c r="AA123" s="1">
        <f>'DRE ANTIGA PARCERIA CAIXA'!AA267</f>
        <v>-8554.431990000001</v>
      </c>
      <c r="AB123" s="1">
        <f>'DRE ANTIGA PARCERIA CAIXA'!AB267</f>
        <v>-1142.72351</v>
      </c>
      <c r="AC123" s="1">
        <f>'DRE ANTIGA PARCERIA CAIXA'!AC267</f>
        <v>-504.72503000000006</v>
      </c>
      <c r="AD123" s="1">
        <f>'DRE ANTIGA PARCERIA CAIXA'!AD267</f>
        <v>-1386.6505</v>
      </c>
      <c r="AE123" s="1">
        <f>'DRE ANTIGA PARCERIA CAIXA'!AE267</f>
        <v>-904.7549800000005</v>
      </c>
      <c r="AF123" s="1">
        <f>'DRE ANTIGA PARCERIA CAIXA'!AF267</f>
        <v>-3938.8540200000007</v>
      </c>
      <c r="AG123" s="1">
        <f>'DRE ANTIGA PARCERIA CAIXA'!AG267</f>
        <v>565</v>
      </c>
      <c r="AH123" s="1">
        <f>'DRE ANTIGA PARCERIA CAIXA'!AH267</f>
        <v>317</v>
      </c>
      <c r="AI123" s="1">
        <f>'DRE ANTIGA PARCERIA CAIXA'!AI267</f>
        <v>-767</v>
      </c>
      <c r="AJ123" s="1">
        <f>'DRE ANTIGA PARCERIA CAIXA'!AJ267</f>
        <v>-2781</v>
      </c>
      <c r="AK123" s="1">
        <f>'DRE ANTIGA PARCERIA CAIXA'!AK267</f>
        <v>-2666</v>
      </c>
      <c r="AL123" s="1">
        <f>'DRE ANTIGA PARCERIA CAIXA'!AL267</f>
        <v>-949</v>
      </c>
      <c r="AM123" s="1">
        <f>'DRE ANTIGA PARCERIA CAIXA'!AM267</f>
        <v>-350</v>
      </c>
      <c r="AN123" s="1">
        <f>'DRE ANTIGA PARCERIA CAIXA'!AN267</f>
        <v>-1826</v>
      </c>
      <c r="AO123" s="1">
        <f>'DRE ANTIGA PARCERIA CAIXA'!AO267</f>
        <v>-1648</v>
      </c>
      <c r="AP123" s="1">
        <f>'DRE ANTIGA PARCERIA CAIXA'!AP267</f>
        <v>-4773</v>
      </c>
      <c r="AQ123" s="1">
        <f>'DRE ANTIGA PARCERIA CAIXA'!AQ267</f>
        <v>-506</v>
      </c>
      <c r="AR123" s="1">
        <f>'DRE ANTIGA PARCERIA CAIXA'!AR267</f>
        <v>-384</v>
      </c>
      <c r="AS123" s="1">
        <f>'DRE ANTIGA PARCERIA CAIXA'!AS267</f>
        <v>-674</v>
      </c>
      <c r="AT123" s="1">
        <f>'DRE ANTIGA PARCERIA CAIXA'!AT267</f>
        <v>-1190</v>
      </c>
      <c r="AU123" s="1">
        <f>'DRE ANTIGA PARCERIA CAIXA'!AU267</f>
        <v>-2754</v>
      </c>
      <c r="AV123" s="1">
        <f>'DRE ANTIGA PARCERIA CAIXA'!AV267</f>
        <v>-730</v>
      </c>
      <c r="AW123" s="1">
        <f>'DRE ANTIGA PARCERIA CAIXA'!AW267</f>
        <v>-1293</v>
      </c>
      <c r="AX123" s="1">
        <f>'DRE ANTIGA PARCERIA CAIXA'!AX267</f>
        <v>-1683</v>
      </c>
      <c r="AY123" s="1">
        <f>'DRE ANTIGA PARCERIA CAIXA'!AY267</f>
        <v>-984</v>
      </c>
      <c r="AZ123" s="1">
        <f>'DRE ANTIGA PARCERIA CAIXA'!AZ267</f>
        <v>-4690</v>
      </c>
      <c r="BA123" s="1">
        <f>'DRE ANTIGA PARCERIA CAIXA'!BA267</f>
        <v>-1403</v>
      </c>
    </row>
    <row r="124" spans="1:56">
      <c r="B124" t="str">
        <f t="shared" si="88"/>
        <v>CNP Seguradora</v>
      </c>
      <c r="C124" s="1">
        <f>'DRE ANTIGA PARCERIA CAIXA'!C40</f>
        <v>-48122.535800000012</v>
      </c>
      <c r="D124" s="1">
        <f>'DRE ANTIGA PARCERIA CAIXA'!D40</f>
        <v>-48232.960089999993</v>
      </c>
      <c r="E124" s="1">
        <f>'DRE ANTIGA PARCERIA CAIXA'!E40</f>
        <v>-47426.089829999997</v>
      </c>
      <c r="F124" s="1">
        <f>'DRE ANTIGA PARCERIA CAIXA'!F40</f>
        <v>-49449.416459999979</v>
      </c>
      <c r="G124" s="1">
        <f>'DRE ANTIGA PARCERIA CAIXA'!G40</f>
        <v>-193231.00217999998</v>
      </c>
      <c r="H124" s="1">
        <f>'DRE ANTIGA PARCERIA CAIXA'!H40</f>
        <v>-55776.234530000002</v>
      </c>
      <c r="I124" s="1">
        <f>'DRE ANTIGA PARCERIA CAIXA'!I40</f>
        <v>-51365.919140000013</v>
      </c>
      <c r="J124" s="1">
        <f>'DRE ANTIGA PARCERIA CAIXA'!J40</f>
        <v>-50842.529139999955</v>
      </c>
      <c r="K124" s="1">
        <f>'DRE ANTIGA PARCERIA CAIXA'!K40</f>
        <v>20945.179000000004</v>
      </c>
      <c r="L124" s="1">
        <f>'DRE ANTIGA PARCERIA CAIXA'!L40</f>
        <v>-137039.50380999997</v>
      </c>
      <c r="M124" s="1">
        <f>'DRE ANTIGA PARCERIA CAIXA'!M40</f>
        <v>-57042.484170000011</v>
      </c>
      <c r="N124" s="1">
        <f>'DRE ANTIGA PARCERIA CAIXA'!N40</f>
        <v>-55800.625929999995</v>
      </c>
      <c r="O124" s="1">
        <f>'DRE ANTIGA PARCERIA CAIXA'!O40</f>
        <v>-95069.678359999976</v>
      </c>
      <c r="P124" s="1">
        <f>'DRE ANTIGA PARCERIA CAIXA'!P40</f>
        <v>-43519.310039999982</v>
      </c>
      <c r="Q124" s="1">
        <f>'DRE ANTIGA PARCERIA CAIXA'!Q40</f>
        <v>-251432.09849999996</v>
      </c>
      <c r="R124" s="1">
        <f>'DRE ANTIGA PARCERIA CAIXA'!R40</f>
        <v>-56227.140599999992</v>
      </c>
      <c r="S124" s="1">
        <f>'DRE ANTIGA PARCERIA CAIXA'!S40</f>
        <v>-58921.890390000022</v>
      </c>
      <c r="T124" s="1">
        <f>'DRE ANTIGA PARCERIA CAIXA'!T40</f>
        <v>-60961.292789999963</v>
      </c>
      <c r="U124" s="1">
        <f>'DRE ANTIGA PARCERIA CAIXA'!U40</f>
        <v>-61572.398690000031</v>
      </c>
      <c r="V124" s="1">
        <f>'DRE ANTIGA PARCERIA CAIXA'!V40</f>
        <v>-237682.72247000001</v>
      </c>
      <c r="W124" s="1">
        <f>'DRE ANTIGA PARCERIA CAIXA'!W40</f>
        <v>-66780.957840000003</v>
      </c>
      <c r="X124" s="1">
        <f>'DRE ANTIGA PARCERIA CAIXA'!X40</f>
        <v>-65258.202540000013</v>
      </c>
      <c r="Y124" s="1">
        <f>'DRE ANTIGA PARCERIA CAIXA'!Y40</f>
        <v>-30890.651649999956</v>
      </c>
      <c r="Z124" s="1">
        <f>'DRE ANTIGA PARCERIA CAIXA'!Z40</f>
        <v>-33597.187800000043</v>
      </c>
      <c r="AA124" s="1">
        <f>'DRE ANTIGA PARCERIA CAIXA'!AA40</f>
        <v>-196526.99983000002</v>
      </c>
      <c r="AB124" s="1">
        <f>'DRE ANTIGA PARCERIA CAIXA'!AB40</f>
        <v>-32539.189970000003</v>
      </c>
      <c r="AC124" s="1">
        <f>'DRE ANTIGA PARCERIA CAIXA'!AC40</f>
        <v>-23740.382829999991</v>
      </c>
      <c r="AD124" s="1">
        <f>'DRE ANTIGA PARCERIA CAIXA'!AD40</f>
        <v>-26692.721579999998</v>
      </c>
      <c r="AE124" s="1">
        <f>'DRE ANTIGA PARCERIA CAIXA'!AE40</f>
        <v>-28113</v>
      </c>
      <c r="AF124" s="1">
        <f>'DRE ANTIGA PARCERIA CAIXA'!AF40</f>
        <v>-111085.29437999999</v>
      </c>
      <c r="AG124" s="1">
        <f>'DRE ANTIGA PARCERIA CAIXA'!AG40</f>
        <v>-27722</v>
      </c>
      <c r="AH124" s="1">
        <f>'DRE ANTIGA PARCERIA CAIXA'!AH40</f>
        <v>-28291</v>
      </c>
      <c r="AI124" s="1">
        <f>'DRE ANTIGA PARCERIA CAIXA'!AI40</f>
        <v>-27846</v>
      </c>
      <c r="AJ124" s="1">
        <f>'DRE ANTIGA PARCERIA CAIXA'!AJ40</f>
        <v>-27927</v>
      </c>
      <c r="AK124" s="1">
        <f>'DRE ANTIGA PARCERIA CAIXA'!AK40</f>
        <v>-111786</v>
      </c>
      <c r="AL124" s="1">
        <f>'DRE ANTIGA PARCERIA CAIXA'!AL40</f>
        <v>-29511</v>
      </c>
      <c r="AM124" s="1">
        <f>'DRE ANTIGA PARCERIA CAIXA'!AM40</f>
        <v>-28065</v>
      </c>
      <c r="AN124" s="1">
        <f>'DRE ANTIGA PARCERIA CAIXA'!AN40</f>
        <v>-25835</v>
      </c>
      <c r="AO124" s="1">
        <f>'DRE ANTIGA PARCERIA CAIXA'!AO40</f>
        <v>-26188</v>
      </c>
      <c r="AP124" s="1">
        <f>'DRE ANTIGA PARCERIA CAIXA'!AP40</f>
        <v>-109599</v>
      </c>
      <c r="AQ124" s="1">
        <f>'DRE ANTIGA PARCERIA CAIXA'!AQ40</f>
        <v>-26579</v>
      </c>
      <c r="AR124" s="1">
        <f>'DRE ANTIGA PARCERIA CAIXA'!AR40</f>
        <v>-21493</v>
      </c>
      <c r="AS124" s="1">
        <f>'DRE ANTIGA PARCERIA CAIXA'!AS40</f>
        <v>-20099</v>
      </c>
      <c r="AT124" s="1">
        <f>'DRE ANTIGA PARCERIA CAIXA'!AT40</f>
        <v>-31599</v>
      </c>
      <c r="AU124" s="1">
        <f>'DRE ANTIGA PARCERIA CAIXA'!AU40</f>
        <v>-99770</v>
      </c>
      <c r="AV124" s="1">
        <f>'DRE ANTIGA PARCERIA CAIXA'!AV40</f>
        <v>-26473</v>
      </c>
      <c r="AW124" s="1">
        <f>'DRE ANTIGA PARCERIA CAIXA'!AW40</f>
        <v>-25805</v>
      </c>
      <c r="AX124" s="1">
        <f>'DRE ANTIGA PARCERIA CAIXA'!AX40</f>
        <v>-24401</v>
      </c>
      <c r="AY124" s="1">
        <f>'DRE ANTIGA PARCERIA CAIXA'!AY40</f>
        <v>-24641</v>
      </c>
      <c r="AZ124" s="1">
        <f>'DRE ANTIGA PARCERIA CAIXA'!AZ40</f>
        <v>-101320</v>
      </c>
      <c r="BA124" s="1">
        <f>'DRE ANTIGA PARCERIA CAIXA'!BA40</f>
        <v>-28433</v>
      </c>
    </row>
    <row r="125" spans="1:56">
      <c r="B125" t="str">
        <f t="shared" si="88"/>
        <v>CNP Vida &amp; Previdência</v>
      </c>
      <c r="C125" s="1">
        <f>'DRE ANTIGA PARCERIA CAIXA'!C78</f>
        <v>-11020.264239999997</v>
      </c>
      <c r="D125" s="1">
        <f>'DRE ANTIGA PARCERIA CAIXA'!D78</f>
        <v>-11195.649420000009</v>
      </c>
      <c r="E125" s="1">
        <f>'DRE ANTIGA PARCERIA CAIXA'!E78</f>
        <v>-11907.438920000001</v>
      </c>
      <c r="F125" s="1">
        <f>'DRE ANTIGA PARCERIA CAIXA'!F78</f>
        <v>-11957.00688999999</v>
      </c>
      <c r="G125" s="1">
        <f>'DRE ANTIGA PARCERIA CAIXA'!G78</f>
        <v>-46080.359469999996</v>
      </c>
      <c r="H125" s="1">
        <f>'DRE ANTIGA PARCERIA CAIXA'!H78</f>
        <v>-12456.462819999999</v>
      </c>
      <c r="I125" s="1">
        <f>'DRE ANTIGA PARCERIA CAIXA'!I78</f>
        <v>-13472.136910000003</v>
      </c>
      <c r="J125" s="1">
        <f>'DRE ANTIGA PARCERIA CAIXA'!J78</f>
        <v>-14048.495050000005</v>
      </c>
      <c r="K125" s="1">
        <f>'DRE ANTIGA PARCERIA CAIXA'!K78</f>
        <v>-14549.322219999987</v>
      </c>
      <c r="L125" s="1">
        <f>'DRE ANTIGA PARCERIA CAIXA'!L78</f>
        <v>-54526.416999999994</v>
      </c>
      <c r="M125" s="1">
        <f>'DRE ANTIGA PARCERIA CAIXA'!M78</f>
        <v>-15172.81165</v>
      </c>
      <c r="N125" s="1">
        <f>'DRE ANTIGA PARCERIA CAIXA'!N78</f>
        <v>-16668.996519999997</v>
      </c>
      <c r="O125" s="1">
        <f>'DRE ANTIGA PARCERIA CAIXA'!O78</f>
        <v>-16306.053420000011</v>
      </c>
      <c r="P125" s="1">
        <f>'DRE ANTIGA PARCERIA CAIXA'!P78</f>
        <v>-15425.236619999996</v>
      </c>
      <c r="Q125" s="1">
        <f>'DRE ANTIGA PARCERIA CAIXA'!Q78</f>
        <v>-63573.098210000004</v>
      </c>
      <c r="R125" s="1">
        <f>'DRE ANTIGA PARCERIA CAIXA'!R78</f>
        <v>-17506.3989</v>
      </c>
      <c r="S125" s="1">
        <f>'DRE ANTIGA PARCERIA CAIXA'!S78</f>
        <v>-18122.707620000001</v>
      </c>
      <c r="T125" s="1">
        <f>'DRE ANTIGA PARCERIA CAIXA'!T78</f>
        <v>-20025.642169999999</v>
      </c>
      <c r="U125" s="1">
        <f>'DRE ANTIGA PARCERIA CAIXA'!U78</f>
        <v>-20136.960339999983</v>
      </c>
      <c r="V125" s="1">
        <f>'DRE ANTIGA PARCERIA CAIXA'!V78</f>
        <v>-75791.709029999984</v>
      </c>
      <c r="W125" s="1">
        <f>'DRE ANTIGA PARCERIA CAIXA'!W78</f>
        <v>-20234.66459</v>
      </c>
      <c r="X125" s="1">
        <f>'DRE ANTIGA PARCERIA CAIXA'!X78</f>
        <v>-24824.636949999993</v>
      </c>
      <c r="Y125" s="1">
        <f>'DRE ANTIGA PARCERIA CAIXA'!Y78</f>
        <v>-47260.321140000022</v>
      </c>
      <c r="Z125" s="1">
        <f>'DRE ANTIGA PARCERIA CAIXA'!Z78</f>
        <v>-57452.639159999977</v>
      </c>
      <c r="AA125" s="1">
        <f>'DRE ANTIGA PARCERIA CAIXA'!AA78</f>
        <v>-149772.26183999999</v>
      </c>
      <c r="AB125" s="1">
        <f>'DRE ANTIGA PARCERIA CAIXA'!AB78</f>
        <v>0</v>
      </c>
      <c r="AC125" s="1">
        <f>'DRE ANTIGA PARCERIA CAIXA'!AC78</f>
        <v>0</v>
      </c>
      <c r="AD125" s="1">
        <f>'DRE ANTIGA PARCERIA CAIXA'!AD78</f>
        <v>0</v>
      </c>
      <c r="AE125" s="1">
        <f>'DRE ANTIGA PARCERIA CAIXA'!AE78</f>
        <v>0</v>
      </c>
      <c r="AF125" s="1">
        <f>'DRE ANTIGA PARCERIA CAIXA'!AF78</f>
        <v>0</v>
      </c>
      <c r="AG125" s="1">
        <f>'DRE ANTIGA PARCERIA CAIXA'!AG78</f>
        <v>0</v>
      </c>
      <c r="AH125" s="1">
        <f>'DRE ANTIGA PARCERIA CAIXA'!AH78</f>
        <v>0</v>
      </c>
      <c r="AI125" s="1">
        <f>'DRE ANTIGA PARCERIA CAIXA'!AI78</f>
        <v>0</v>
      </c>
      <c r="AJ125" s="1">
        <f>'DRE ANTIGA PARCERIA CAIXA'!AJ78</f>
        <v>0</v>
      </c>
      <c r="AK125" s="1">
        <f>'DRE ANTIGA PARCERIA CAIXA'!AK78</f>
        <v>0</v>
      </c>
      <c r="AL125" s="1">
        <f>'DRE ANTIGA PARCERIA CAIXA'!AL78</f>
        <v>0</v>
      </c>
      <c r="AM125" s="1">
        <f>'DRE ANTIGA PARCERIA CAIXA'!AM78</f>
        <v>0</v>
      </c>
      <c r="AN125" s="1">
        <f>'DRE ANTIGA PARCERIA CAIXA'!AN78</f>
        <v>0</v>
      </c>
      <c r="AO125" s="1">
        <f>'DRE ANTIGA PARCERIA CAIXA'!AO78</f>
        <v>0</v>
      </c>
      <c r="AP125" s="1">
        <f>'DRE ANTIGA PARCERIA CAIXA'!AP78</f>
        <v>0</v>
      </c>
      <c r="AQ125" s="1">
        <f>'DRE ANTIGA PARCERIA CAIXA'!AQ78</f>
        <v>0</v>
      </c>
      <c r="AR125" s="1">
        <f>'DRE ANTIGA PARCERIA CAIXA'!AR78</f>
        <v>0</v>
      </c>
      <c r="AS125" s="1">
        <f>'DRE ANTIGA PARCERIA CAIXA'!AS78</f>
        <v>0</v>
      </c>
      <c r="AT125" s="1">
        <f>'DRE ANTIGA PARCERIA CAIXA'!AT78</f>
        <v>0</v>
      </c>
      <c r="AU125" s="1">
        <f>'DRE ANTIGA PARCERIA CAIXA'!AU78</f>
        <v>0</v>
      </c>
      <c r="AV125" s="1">
        <f>'DRE ANTIGA PARCERIA CAIXA'!AV78</f>
        <v>0</v>
      </c>
      <c r="AW125" s="1">
        <f>'DRE ANTIGA PARCERIA CAIXA'!AW78</f>
        <v>0</v>
      </c>
      <c r="AX125" s="1">
        <f>'DRE ANTIGA PARCERIA CAIXA'!AX78</f>
        <v>0</v>
      </c>
      <c r="AY125" s="1">
        <f>'DRE ANTIGA PARCERIA CAIXA'!AY78</f>
        <v>0</v>
      </c>
      <c r="AZ125" s="1">
        <f>'DRE ANTIGA PARCERIA CAIXA'!AZ78</f>
        <v>0</v>
      </c>
      <c r="BA125" s="1">
        <f>'DRE ANTIGA PARCERIA CAIXA'!BA78</f>
        <v>0</v>
      </c>
    </row>
    <row r="126" spans="1:56">
      <c r="B126" t="str">
        <f t="shared" si="88"/>
        <v>CNP Capitalização</v>
      </c>
      <c r="C126" s="1">
        <f>'DRE ANTIGA PARCERIA CAIXA'!C106</f>
        <v>-2755.4457499999994</v>
      </c>
      <c r="D126" s="1">
        <f>'DRE ANTIGA PARCERIA CAIXA'!D106</f>
        <v>-2948.6222300000013</v>
      </c>
      <c r="E126" s="1">
        <f>'DRE ANTIGA PARCERIA CAIXA'!E106</f>
        <v>-3204.6877299999987</v>
      </c>
      <c r="F126" s="1">
        <f>'DRE ANTIGA PARCERIA CAIXA'!F106</f>
        <v>-3207.422770000001</v>
      </c>
      <c r="G126" s="1">
        <f>'DRE ANTIGA PARCERIA CAIXA'!G106</f>
        <v>-12116.17848</v>
      </c>
      <c r="H126" s="1">
        <f>'DRE ANTIGA PARCERIA CAIXA'!H106</f>
        <v>-3375.7763399999999</v>
      </c>
      <c r="I126" s="1">
        <f>'DRE ANTIGA PARCERIA CAIXA'!I106</f>
        <v>-3019.2882699999996</v>
      </c>
      <c r="J126" s="1">
        <f>'DRE ANTIGA PARCERIA CAIXA'!J106</f>
        <v>-3039.4715099999994</v>
      </c>
      <c r="K126" s="1">
        <f>'DRE ANTIGA PARCERIA CAIXA'!K106</f>
        <v>-2719.5985100000016</v>
      </c>
      <c r="L126" s="1">
        <f>'DRE ANTIGA PARCERIA CAIXA'!L106</f>
        <v>-12154.13463</v>
      </c>
      <c r="M126" s="1">
        <f>'DRE ANTIGA PARCERIA CAIXA'!M106</f>
        <v>-2931.9423500000003</v>
      </c>
      <c r="N126" s="1">
        <f>'DRE ANTIGA PARCERIA CAIXA'!N106</f>
        <v>-3713.948519999999</v>
      </c>
      <c r="O126" s="1">
        <f>'DRE ANTIGA PARCERIA CAIXA'!O106</f>
        <v>-3645.0064199999997</v>
      </c>
      <c r="P126" s="1">
        <f>'DRE ANTIGA PARCERIA CAIXA'!P106</f>
        <v>-4130.6914000000033</v>
      </c>
      <c r="Q126" s="1">
        <f>'DRE ANTIGA PARCERIA CAIXA'!Q106</f>
        <v>-14421.588690000002</v>
      </c>
      <c r="R126" s="1">
        <f>'DRE ANTIGA PARCERIA CAIXA'!R106</f>
        <v>-4236.6684999999998</v>
      </c>
      <c r="S126" s="1">
        <f>'DRE ANTIGA PARCERIA CAIXA'!S106</f>
        <v>-4517.1366300000009</v>
      </c>
      <c r="T126" s="1">
        <f>'DRE ANTIGA PARCERIA CAIXA'!T106</f>
        <v>-5710.9651600000016</v>
      </c>
      <c r="U126" s="1">
        <f>'DRE ANTIGA PARCERIA CAIXA'!U106</f>
        <v>-3861.8838400000004</v>
      </c>
      <c r="V126" s="1">
        <f>'DRE ANTIGA PARCERIA CAIXA'!V106</f>
        <v>-18326.654130000003</v>
      </c>
      <c r="W126" s="1">
        <f>'DRE ANTIGA PARCERIA CAIXA'!W106</f>
        <v>-3149.0782400000003</v>
      </c>
      <c r="X126" s="1">
        <f>'DRE ANTIGA PARCERIA CAIXA'!X106</f>
        <v>-3178.366129999999</v>
      </c>
      <c r="Y126" s="1">
        <f>'DRE ANTIGA PARCERIA CAIXA'!Y106</f>
        <v>-3160.738150000001</v>
      </c>
      <c r="Z126" s="1">
        <f>'DRE ANTIGA PARCERIA CAIXA'!Z106</f>
        <v>-2594.9409399999986</v>
      </c>
      <c r="AA126" s="1">
        <f>'DRE ANTIGA PARCERIA CAIXA'!AA106</f>
        <v>-12083.123459999999</v>
      </c>
      <c r="AB126" s="1">
        <f>'DRE ANTIGA PARCERIA CAIXA'!AB106</f>
        <v>-2526.3693399999997</v>
      </c>
      <c r="AC126" s="1">
        <f>'DRE ANTIGA PARCERIA CAIXA'!AC106</f>
        <v>-2476.2263500000004</v>
      </c>
      <c r="AD126" s="1">
        <f>'DRE ANTIGA PARCERIA CAIXA'!AD106</f>
        <v>-1935.3622999999998</v>
      </c>
      <c r="AE126" s="1">
        <f>'DRE ANTIGA PARCERIA CAIXA'!AE106</f>
        <v>-1532.4726600000001</v>
      </c>
      <c r="AF126" s="1">
        <f>'DRE ANTIGA PARCERIA CAIXA'!AF106</f>
        <v>-8470.4306500000002</v>
      </c>
      <c r="AG126" s="1">
        <f>'DRE ANTIGA PARCERIA CAIXA'!AG106</f>
        <v>-1756</v>
      </c>
      <c r="AH126" s="1">
        <f>'DRE ANTIGA PARCERIA CAIXA'!AH106</f>
        <v>-1633</v>
      </c>
      <c r="AI126" s="1">
        <f>'DRE ANTIGA PARCERIA CAIXA'!AI106</f>
        <v>-1721</v>
      </c>
      <c r="AJ126" s="1">
        <f>'DRE ANTIGA PARCERIA CAIXA'!AJ106</f>
        <v>-312</v>
      </c>
      <c r="AK126" s="1">
        <f>'DRE ANTIGA PARCERIA CAIXA'!AK106</f>
        <v>-5422</v>
      </c>
      <c r="AL126" s="1">
        <f>'DRE ANTIGA PARCERIA CAIXA'!AL106</f>
        <v>0</v>
      </c>
      <c r="AM126" s="1">
        <f>'DRE ANTIGA PARCERIA CAIXA'!AM106</f>
        <v>0</v>
      </c>
      <c r="AN126" s="1">
        <f>'DRE ANTIGA PARCERIA CAIXA'!AN106</f>
        <v>0</v>
      </c>
      <c r="AO126" s="1">
        <f>'DRE ANTIGA PARCERIA CAIXA'!AO106</f>
        <v>0</v>
      </c>
      <c r="AP126" s="1">
        <f>'DRE ANTIGA PARCERIA CAIXA'!AP106</f>
        <v>0</v>
      </c>
      <c r="AQ126" s="1">
        <f>'DRE ANTIGA PARCERIA CAIXA'!AQ106</f>
        <v>0</v>
      </c>
      <c r="AR126" s="1">
        <f>'DRE ANTIGA PARCERIA CAIXA'!AR106</f>
        <v>0</v>
      </c>
      <c r="AS126" s="1">
        <f>'DRE ANTIGA PARCERIA CAIXA'!AS106</f>
        <v>0</v>
      </c>
      <c r="AT126" s="1">
        <f>'DRE ANTIGA PARCERIA CAIXA'!AT106</f>
        <v>0</v>
      </c>
      <c r="AU126" s="1">
        <f>'DRE ANTIGA PARCERIA CAIXA'!AU106</f>
        <v>0</v>
      </c>
      <c r="AV126" s="1">
        <f>'DRE ANTIGA PARCERIA CAIXA'!AV106</f>
        <v>0</v>
      </c>
      <c r="AW126" s="1">
        <f>'DRE ANTIGA PARCERIA CAIXA'!AW106</f>
        <v>0</v>
      </c>
      <c r="AX126" s="1">
        <f>'DRE ANTIGA PARCERIA CAIXA'!AX106</f>
        <v>0</v>
      </c>
      <c r="AY126" s="1">
        <f>'DRE ANTIGA PARCERIA CAIXA'!AY106</f>
        <v>0</v>
      </c>
      <c r="AZ126" s="1">
        <f>'DRE ANTIGA PARCERIA CAIXA'!AZ106</f>
        <v>0</v>
      </c>
      <c r="BA126" s="1">
        <f>'DRE ANTIGA PARCERIA CAIXA'!BA106</f>
        <v>0</v>
      </c>
    </row>
    <row r="127" spans="1:56">
      <c r="B127" t="str">
        <f t="shared" si="88"/>
        <v>CNP Consórcio</v>
      </c>
      <c r="C127" s="1">
        <f>'DRE ANTIGA PARCERIA CAIXA'!C128</f>
        <v>-13873.33022</v>
      </c>
      <c r="D127" s="1">
        <f>'DRE ANTIGA PARCERIA CAIXA'!D128</f>
        <v>-14501.896050000003</v>
      </c>
      <c r="E127" s="1">
        <f>'DRE ANTIGA PARCERIA CAIXA'!E128</f>
        <v>-14811.68154999999</v>
      </c>
      <c r="F127" s="1">
        <f>'DRE ANTIGA PARCERIA CAIXA'!F128</f>
        <v>-15276.154609999998</v>
      </c>
      <c r="G127" s="1">
        <f>'DRE ANTIGA PARCERIA CAIXA'!G128</f>
        <v>-58463.062429999991</v>
      </c>
      <c r="H127" s="1">
        <f>'DRE ANTIGA PARCERIA CAIXA'!H128</f>
        <v>-16705.685249999999</v>
      </c>
      <c r="I127" s="1">
        <f>'DRE ANTIGA PARCERIA CAIXA'!I128</f>
        <v>-13795.759330000001</v>
      </c>
      <c r="J127" s="1">
        <f>'DRE ANTIGA PARCERIA CAIXA'!J128</f>
        <v>-13866.904850000003</v>
      </c>
      <c r="K127" s="1">
        <f>'DRE ANTIGA PARCERIA CAIXA'!K128</f>
        <v>-14039.19057999998</v>
      </c>
      <c r="L127" s="1">
        <f>'DRE ANTIGA PARCERIA CAIXA'!L128</f>
        <v>-58407.540009999982</v>
      </c>
      <c r="M127" s="1">
        <f>'DRE ANTIGA PARCERIA CAIXA'!M128</f>
        <v>-14500.154289999999</v>
      </c>
      <c r="N127" s="1">
        <f>'DRE ANTIGA PARCERIA CAIXA'!N128</f>
        <v>-13883.770250000005</v>
      </c>
      <c r="O127" s="1">
        <f>'DRE ANTIGA PARCERIA CAIXA'!O128</f>
        <v>-13768.641009999996</v>
      </c>
      <c r="P127" s="1">
        <f>'DRE ANTIGA PARCERIA CAIXA'!P128</f>
        <v>-13961.254760000011</v>
      </c>
      <c r="Q127" s="1">
        <f>'DRE ANTIGA PARCERIA CAIXA'!Q128</f>
        <v>-56113.82031000001</v>
      </c>
      <c r="R127" s="1">
        <f>'DRE ANTIGA PARCERIA CAIXA'!R128</f>
        <v>-14350.170169999999</v>
      </c>
      <c r="S127" s="1">
        <f>'DRE ANTIGA PARCERIA CAIXA'!S128</f>
        <v>-15065.640950000006</v>
      </c>
      <c r="T127" s="1">
        <f>'DRE ANTIGA PARCERIA CAIXA'!T128</f>
        <v>-16731.554479999999</v>
      </c>
      <c r="U127" s="1">
        <f>'DRE ANTIGA PARCERIA CAIXA'!U128</f>
        <v>-16870.227839999992</v>
      </c>
      <c r="V127" s="1">
        <f>'DRE ANTIGA PARCERIA CAIXA'!V128</f>
        <v>-63017.593439999997</v>
      </c>
      <c r="W127" s="1">
        <f>'DRE ANTIGA PARCERIA CAIXA'!W128</f>
        <v>-17318.273430000005</v>
      </c>
      <c r="X127" s="1">
        <f>'DRE ANTIGA PARCERIA CAIXA'!X128</f>
        <v>-16724.741119999995</v>
      </c>
      <c r="Y127" s="1">
        <f>'DRE ANTIGA PARCERIA CAIXA'!Y128</f>
        <v>-17336.095069999996</v>
      </c>
      <c r="Z127" s="1">
        <f>'DRE ANTIGA PARCERIA CAIXA'!Z128</f>
        <v>-18308.007319999997</v>
      </c>
      <c r="AA127" s="1">
        <f>'DRE ANTIGA PARCERIA CAIXA'!AA128</f>
        <v>-69687.116939999993</v>
      </c>
      <c r="AB127" s="1">
        <f>'DRE ANTIGA PARCERIA CAIXA'!AB128</f>
        <v>-17949.553100000001</v>
      </c>
      <c r="AC127" s="1">
        <f>'DRE ANTIGA PARCERIA CAIXA'!AC128</f>
        <v>-17564.841700000001</v>
      </c>
      <c r="AD127" s="1">
        <f>'DRE ANTIGA PARCERIA CAIXA'!AD128</f>
        <v>-18281.634480000001</v>
      </c>
      <c r="AE127" s="1">
        <f>'DRE ANTIGA PARCERIA CAIXA'!AE128</f>
        <v>-16135</v>
      </c>
      <c r="AF127" s="1">
        <f>'DRE ANTIGA PARCERIA CAIXA'!AF128</f>
        <v>-69931.029280000002</v>
      </c>
      <c r="AG127" s="1">
        <f>'DRE ANTIGA PARCERIA CAIXA'!AG128</f>
        <v>-16272</v>
      </c>
      <c r="AH127" s="1">
        <f>'DRE ANTIGA PARCERIA CAIXA'!AH128</f>
        <v>-11262.862580000001</v>
      </c>
      <c r="AI127" s="1">
        <f>'DRE ANTIGA PARCERIA CAIXA'!AI128</f>
        <v>-13001</v>
      </c>
      <c r="AJ127" s="1">
        <f>'DRE ANTIGA PARCERIA CAIXA'!AJ128</f>
        <v>-2866.3736199999985</v>
      </c>
      <c r="AK127" s="1">
        <f>'DRE ANTIGA PARCERIA CAIXA'!AK128</f>
        <v>-43402.236199999999</v>
      </c>
      <c r="AL127" s="1">
        <f>'DRE ANTIGA PARCERIA CAIXA'!AL128</f>
        <v>0</v>
      </c>
      <c r="AM127" s="1">
        <f>'DRE ANTIGA PARCERIA CAIXA'!AM128</f>
        <v>0</v>
      </c>
      <c r="AN127" s="1">
        <f>'DRE ANTIGA PARCERIA CAIXA'!AN128</f>
        <v>0</v>
      </c>
      <c r="AO127" s="1">
        <f>'DRE ANTIGA PARCERIA CAIXA'!AO128</f>
        <v>0</v>
      </c>
      <c r="AP127" s="1">
        <f>'DRE ANTIGA PARCERIA CAIXA'!AP128</f>
        <v>0</v>
      </c>
      <c r="AQ127" s="1">
        <f>'DRE ANTIGA PARCERIA CAIXA'!AQ128</f>
        <v>0</v>
      </c>
      <c r="AR127" s="1">
        <f>'DRE ANTIGA PARCERIA CAIXA'!AR128</f>
        <v>0</v>
      </c>
      <c r="AS127" s="1">
        <f>'DRE ANTIGA PARCERIA CAIXA'!AS128</f>
        <v>0</v>
      </c>
      <c r="AT127" s="1">
        <f>'DRE ANTIGA PARCERIA CAIXA'!AT128</f>
        <v>0</v>
      </c>
      <c r="AU127" s="1">
        <f>'DRE ANTIGA PARCERIA CAIXA'!AU128</f>
        <v>0</v>
      </c>
      <c r="AV127" s="1">
        <f>'DRE ANTIGA PARCERIA CAIXA'!AV128</f>
        <v>0</v>
      </c>
      <c r="AW127" s="1">
        <f>'DRE ANTIGA PARCERIA CAIXA'!AW128</f>
        <v>0</v>
      </c>
      <c r="AX127" s="1">
        <f>'DRE ANTIGA PARCERIA CAIXA'!AX128</f>
        <v>0</v>
      </c>
      <c r="AY127" s="1">
        <f>'DRE ANTIGA PARCERIA CAIXA'!AY128</f>
        <v>0</v>
      </c>
      <c r="AZ127" s="1">
        <f>'DRE ANTIGA PARCERIA CAIXA'!AZ128</f>
        <v>0</v>
      </c>
      <c r="BA127" s="1">
        <f>'DRE ANTIGA PARCERIA CAIXA'!BA128</f>
        <v>0</v>
      </c>
    </row>
    <row r="128" spans="1:56">
      <c r="B128" t="str">
        <f t="shared" si="88"/>
        <v>CNP Seguros Saúde</v>
      </c>
      <c r="C128" s="1">
        <f>'DRE ANTIGA PARCERIA CAIXA'!C150</f>
        <v>-1719.29297</v>
      </c>
      <c r="D128" s="1">
        <f>'DRE ANTIGA PARCERIA CAIXA'!D150</f>
        <v>-803.76042999999936</v>
      </c>
      <c r="E128" s="1">
        <f>'DRE ANTIGA PARCERIA CAIXA'!E150</f>
        <v>-137.07405000000017</v>
      </c>
      <c r="F128" s="1">
        <f>'DRE ANTIGA PARCERIA CAIXA'!F150</f>
        <v>0.51934000000028391</v>
      </c>
      <c r="G128" s="1">
        <f>'DRE ANTIGA PARCERIA CAIXA'!G150</f>
        <v>-2659.6081099999992</v>
      </c>
      <c r="H128" s="1">
        <f>'DRE ANTIGA PARCERIA CAIXA'!H150</f>
        <v>-586.92907000000002</v>
      </c>
      <c r="I128" s="1">
        <f>'DRE ANTIGA PARCERIA CAIXA'!I150</f>
        <v>-916.93536999999958</v>
      </c>
      <c r="J128" s="1">
        <f>'DRE ANTIGA PARCERIA CAIXA'!J150</f>
        <v>-720.34534000000008</v>
      </c>
      <c r="K128" s="1">
        <f>'DRE ANTIGA PARCERIA CAIXA'!K150</f>
        <v>-807.28072000000066</v>
      </c>
      <c r="L128" s="1">
        <f>'DRE ANTIGA PARCERIA CAIXA'!L150</f>
        <v>-3031.4905000000003</v>
      </c>
      <c r="M128" s="1">
        <f>'DRE ANTIGA PARCERIA CAIXA'!M150</f>
        <v>-1892.9875099999999</v>
      </c>
      <c r="N128" s="1">
        <f>'DRE ANTIGA PARCERIA CAIXA'!N150</f>
        <v>-781.20013999999992</v>
      </c>
      <c r="O128" s="1">
        <f>'DRE ANTIGA PARCERIA CAIXA'!O150</f>
        <v>-577.09911999999986</v>
      </c>
      <c r="P128" s="1">
        <f>'DRE ANTIGA PARCERIA CAIXA'!P150</f>
        <v>-309.61707999999999</v>
      </c>
      <c r="Q128" s="1">
        <f>'DRE ANTIGA PARCERIA CAIXA'!Q150</f>
        <v>-3560.9038499999997</v>
      </c>
      <c r="R128" s="1">
        <f>'DRE ANTIGA PARCERIA CAIXA'!R150</f>
        <v>-204.60762000000003</v>
      </c>
      <c r="S128" s="1">
        <f>'DRE ANTIGA PARCERIA CAIXA'!S150</f>
        <v>-8.8619399999999757</v>
      </c>
      <c r="T128" s="1">
        <f>'DRE ANTIGA PARCERIA CAIXA'!T150</f>
        <v>0</v>
      </c>
      <c r="U128" s="1">
        <f>'DRE ANTIGA PARCERIA CAIXA'!U150</f>
        <v>-30.598709999999983</v>
      </c>
      <c r="V128" s="1">
        <f>'DRE ANTIGA PARCERIA CAIXA'!V150</f>
        <v>-244.06826999999998</v>
      </c>
      <c r="W128" s="1">
        <f>'DRE ANTIGA PARCERIA CAIXA'!W150</f>
        <v>-66.148870000000002</v>
      </c>
      <c r="X128" s="1">
        <f>'DRE ANTIGA PARCERIA CAIXA'!X150</f>
        <v>-166.16336999999999</v>
      </c>
      <c r="Y128" s="1">
        <f>'DRE ANTIGA PARCERIA CAIXA'!Y150</f>
        <v>-17.163420000000031</v>
      </c>
      <c r="Z128" s="1">
        <f>'DRE ANTIGA PARCERIA CAIXA'!Z150</f>
        <v>-9.9409999999999741</v>
      </c>
      <c r="AA128" s="1">
        <f>'DRE ANTIGA PARCERIA CAIXA'!AA150</f>
        <v>-259.41665999999998</v>
      </c>
      <c r="AB128" s="1">
        <f>'DRE ANTIGA PARCERIA CAIXA'!AB150</f>
        <v>-4.7339800000000007</v>
      </c>
      <c r="AC128" s="1">
        <f>'DRE ANTIGA PARCERIA CAIXA'!AC150</f>
        <v>-65.657560000000004</v>
      </c>
      <c r="AD128" s="1">
        <f>'DRE ANTIGA PARCERIA CAIXA'!AD150</f>
        <v>-2.3851999999999975</v>
      </c>
      <c r="AE128" s="1">
        <f>'DRE ANTIGA PARCERIA CAIXA'!AE150</f>
        <v>-1.0000000009313226E-5</v>
      </c>
      <c r="AF128" s="1">
        <f>'DRE ANTIGA PARCERIA CAIXA'!AF150</f>
        <v>-72.776750000000007</v>
      </c>
      <c r="AG128" s="1">
        <f>'DRE ANTIGA PARCERIA CAIXA'!AG150</f>
        <v>-12</v>
      </c>
      <c r="AH128" s="1">
        <f>'DRE ANTIGA PARCERIA CAIXA'!AH150</f>
        <v>-73</v>
      </c>
      <c r="AI128" s="1">
        <f>'DRE ANTIGA PARCERIA CAIXA'!AI150</f>
        <v>-11</v>
      </c>
      <c r="AJ128" s="1">
        <f>'DRE ANTIGA PARCERIA CAIXA'!AJ150</f>
        <v>-94</v>
      </c>
      <c r="AK128" s="1">
        <f>'DRE ANTIGA PARCERIA CAIXA'!AK150</f>
        <v>-190</v>
      </c>
      <c r="AL128" s="1">
        <f>'DRE ANTIGA PARCERIA CAIXA'!AL150</f>
        <v>-39</v>
      </c>
      <c r="AM128" s="1">
        <f>'DRE ANTIGA PARCERIA CAIXA'!AM150</f>
        <v>-68</v>
      </c>
      <c r="AN128" s="1">
        <f>'DRE ANTIGA PARCERIA CAIXA'!AN150</f>
        <v>-11</v>
      </c>
      <c r="AO128" s="1">
        <f>'DRE ANTIGA PARCERIA CAIXA'!AO150</f>
        <v>0</v>
      </c>
      <c r="AP128" s="1">
        <f>'DRE ANTIGA PARCERIA CAIXA'!AP150</f>
        <v>-118</v>
      </c>
      <c r="AQ128" s="1">
        <f>'DRE ANTIGA PARCERIA CAIXA'!AQ150</f>
        <v>-14</v>
      </c>
      <c r="AR128" s="1">
        <f>'DRE ANTIGA PARCERIA CAIXA'!AR150</f>
        <v>-74</v>
      </c>
      <c r="AS128" s="1">
        <f>'DRE ANTIGA PARCERIA CAIXA'!AS150</f>
        <v>-7</v>
      </c>
      <c r="AT128" s="1">
        <f>'DRE ANTIGA PARCERIA CAIXA'!AT150</f>
        <v>-13</v>
      </c>
      <c r="AU128" s="1">
        <f>'DRE ANTIGA PARCERIA CAIXA'!AU150</f>
        <v>-108</v>
      </c>
      <c r="AV128" s="1">
        <f>'DRE ANTIGA PARCERIA CAIXA'!AV150</f>
        <v>-32</v>
      </c>
      <c r="AW128" s="1">
        <f>'DRE ANTIGA PARCERIA CAIXA'!AW150</f>
        <v>-73</v>
      </c>
      <c r="AX128" s="1">
        <f>'DRE ANTIGA PARCERIA CAIXA'!AX150</f>
        <v>-4</v>
      </c>
      <c r="AY128" s="1">
        <f>'DRE ANTIGA PARCERIA CAIXA'!AY150</f>
        <v>-6</v>
      </c>
      <c r="AZ128" s="1">
        <f>'DRE ANTIGA PARCERIA CAIXA'!AZ150</f>
        <v>-115</v>
      </c>
      <c r="BA128" s="1">
        <f>'DRE ANTIGA PARCERIA CAIXA'!BA150</f>
        <v>-14</v>
      </c>
    </row>
    <row r="129" spans="1:53">
      <c r="B129" t="str">
        <f t="shared" si="88"/>
        <v>Companhia de Seguros Previdência do Sul</v>
      </c>
      <c r="C129" s="1">
        <f>'DRE ANTIGA PARCERIA CAIXA'!C180</f>
        <v>0</v>
      </c>
      <c r="D129" s="1">
        <f>'DRE ANTIGA PARCERIA CAIXA'!D180</f>
        <v>0</v>
      </c>
      <c r="E129" s="1">
        <f>'DRE ANTIGA PARCERIA CAIXA'!E180</f>
        <v>0</v>
      </c>
      <c r="F129" s="1">
        <f>'DRE ANTIGA PARCERIA CAIXA'!F180</f>
        <v>0</v>
      </c>
      <c r="G129" s="1">
        <f>'DRE ANTIGA PARCERIA CAIXA'!G180</f>
        <v>0</v>
      </c>
      <c r="H129" s="1">
        <f>'DRE ANTIGA PARCERIA CAIXA'!H180</f>
        <v>0</v>
      </c>
      <c r="I129" s="1">
        <f>'DRE ANTIGA PARCERIA CAIXA'!I180</f>
        <v>0</v>
      </c>
      <c r="J129" s="1">
        <f>'DRE ANTIGA PARCERIA CAIXA'!J180</f>
        <v>0</v>
      </c>
      <c r="K129" s="1">
        <f>'DRE ANTIGA PARCERIA CAIXA'!K180</f>
        <v>0</v>
      </c>
      <c r="L129" s="1">
        <f>'DRE ANTIGA PARCERIA CAIXA'!L180</f>
        <v>0</v>
      </c>
      <c r="M129" s="1">
        <f>'DRE ANTIGA PARCERIA CAIXA'!M180</f>
        <v>-789.9666299999999</v>
      </c>
      <c r="N129" s="1">
        <f>'DRE ANTIGA PARCERIA CAIXA'!N180</f>
        <v>-701.06309999999996</v>
      </c>
      <c r="O129" s="1">
        <f>'DRE ANTIGA PARCERIA CAIXA'!O180</f>
        <v>-712.34263999999985</v>
      </c>
      <c r="P129" s="1">
        <f>'DRE ANTIGA PARCERIA CAIXA'!P180</f>
        <v>-751.36874</v>
      </c>
      <c r="Q129" s="1">
        <f>'DRE ANTIGA PARCERIA CAIXA'!Q180</f>
        <v>-2954.7411099999995</v>
      </c>
      <c r="R129" s="1">
        <f>'DRE ANTIGA PARCERIA CAIXA'!R180</f>
        <v>-744.17595999999992</v>
      </c>
      <c r="S129" s="1">
        <f>'DRE ANTIGA PARCERIA CAIXA'!S180</f>
        <v>-689.74761999999998</v>
      </c>
      <c r="T129" s="1">
        <f>'DRE ANTIGA PARCERIA CAIXA'!T180</f>
        <v>-621.86052000000007</v>
      </c>
      <c r="U129" s="1">
        <f>'DRE ANTIGA PARCERIA CAIXA'!U180</f>
        <v>-594.61811999999998</v>
      </c>
      <c r="V129" s="1">
        <f>'DRE ANTIGA PARCERIA CAIXA'!V180</f>
        <v>-2650.4022199999999</v>
      </c>
      <c r="W129" s="1">
        <f>'DRE ANTIGA PARCERIA CAIXA'!W180</f>
        <v>-611.46149000000003</v>
      </c>
      <c r="X129" s="1">
        <f>'DRE ANTIGA PARCERIA CAIXA'!X180</f>
        <v>-546.26711000000012</v>
      </c>
      <c r="Y129" s="1">
        <f>'DRE ANTIGA PARCERIA CAIXA'!Y180</f>
        <v>-490.40051</v>
      </c>
      <c r="Z129" s="1">
        <f>'DRE ANTIGA PARCERIA CAIXA'!Z180</f>
        <v>-527.03426000000002</v>
      </c>
      <c r="AA129" s="1">
        <f>'DRE ANTIGA PARCERIA CAIXA'!AA180</f>
        <v>-2175.1633700000002</v>
      </c>
      <c r="AB129" s="1">
        <f>'DRE ANTIGA PARCERIA CAIXA'!AB180</f>
        <v>-525.87617</v>
      </c>
      <c r="AC129" s="1">
        <f>'DRE ANTIGA PARCERIA CAIXA'!AC180</f>
        <v>-483.84166999999997</v>
      </c>
      <c r="AD129" s="1">
        <f>'DRE ANTIGA PARCERIA CAIXA'!AD180</f>
        <v>-515.89533999999992</v>
      </c>
      <c r="AE129" s="1">
        <f>'DRE ANTIGA PARCERIA CAIXA'!AE180</f>
        <v>-546.66835000000003</v>
      </c>
      <c r="AF129" s="1">
        <f>'DRE ANTIGA PARCERIA CAIXA'!AF180</f>
        <v>-2072.2815299999997</v>
      </c>
      <c r="AG129" s="1">
        <f>'DRE ANTIGA PARCERIA CAIXA'!AG180</f>
        <v>-825</v>
      </c>
      <c r="AH129" s="1">
        <f>'DRE ANTIGA PARCERIA CAIXA'!AH180</f>
        <v>-445</v>
      </c>
      <c r="AI129" s="1">
        <f>'DRE ANTIGA PARCERIA CAIXA'!AI180</f>
        <v>-556</v>
      </c>
      <c r="AJ129" s="1">
        <f>'DRE ANTIGA PARCERIA CAIXA'!AJ180</f>
        <v>-684</v>
      </c>
      <c r="AK129" s="1">
        <f>'DRE ANTIGA PARCERIA CAIXA'!AK180</f>
        <v>-2510</v>
      </c>
      <c r="AL129" s="1">
        <f>'DRE ANTIGA PARCERIA CAIXA'!AL180</f>
        <v>0</v>
      </c>
      <c r="AM129" s="1">
        <f>'DRE ANTIGA PARCERIA CAIXA'!AM180</f>
        <v>0</v>
      </c>
      <c r="AN129" s="1">
        <f>'DRE ANTIGA PARCERIA CAIXA'!AN180</f>
        <v>0</v>
      </c>
      <c r="AO129" s="1">
        <f>'DRE ANTIGA PARCERIA CAIXA'!AO180</f>
        <v>0</v>
      </c>
      <c r="AP129" s="1">
        <f>'DRE ANTIGA PARCERIA CAIXA'!AP180</f>
        <v>0</v>
      </c>
      <c r="AQ129" s="1">
        <f>'DRE ANTIGA PARCERIA CAIXA'!AQ180</f>
        <v>0</v>
      </c>
      <c r="AR129" s="1">
        <f>'DRE ANTIGA PARCERIA CAIXA'!AR180</f>
        <v>0</v>
      </c>
      <c r="AS129" s="1">
        <f>'DRE ANTIGA PARCERIA CAIXA'!AS180</f>
        <v>0</v>
      </c>
      <c r="AT129" s="1">
        <f>'DRE ANTIGA PARCERIA CAIXA'!AT180</f>
        <v>0</v>
      </c>
      <c r="AU129" s="1">
        <f>'DRE ANTIGA PARCERIA CAIXA'!AU180</f>
        <v>0</v>
      </c>
      <c r="AV129" s="1">
        <f>'DRE ANTIGA PARCERIA CAIXA'!AV180</f>
        <v>0</v>
      </c>
      <c r="AW129" s="1">
        <f>'DRE ANTIGA PARCERIA CAIXA'!AW180</f>
        <v>0</v>
      </c>
      <c r="AX129" s="1">
        <f>'DRE ANTIGA PARCERIA CAIXA'!AX180</f>
        <v>0</v>
      </c>
      <c r="AY129" s="1">
        <f>'DRE ANTIGA PARCERIA CAIXA'!AY180</f>
        <v>0</v>
      </c>
      <c r="AZ129" s="1">
        <f>'DRE ANTIGA PARCERIA CAIXA'!AZ180</f>
        <v>0</v>
      </c>
      <c r="BA129" s="1">
        <f>'DRE ANTIGA PARCERIA CAIXA'!BA180</f>
        <v>0</v>
      </c>
    </row>
    <row r="130" spans="1:53">
      <c r="B130" t="str">
        <f t="shared" si="88"/>
        <v>Odonto Empresas</v>
      </c>
      <c r="C130" s="1">
        <f>'DRE ANTIGA PARCERIA CAIXA'!C201</f>
        <v>-1388.0320300000001</v>
      </c>
      <c r="D130" s="1">
        <f>'DRE ANTIGA PARCERIA CAIXA'!D201</f>
        <v>-1723.1989499999993</v>
      </c>
      <c r="E130" s="1">
        <f>'DRE ANTIGA PARCERIA CAIXA'!E201</f>
        <v>-2095.60257</v>
      </c>
      <c r="F130" s="1">
        <f>'DRE ANTIGA PARCERIA CAIXA'!F201</f>
        <v>-1804.0795699999999</v>
      </c>
      <c r="G130" s="1">
        <f>'DRE ANTIGA PARCERIA CAIXA'!G201</f>
        <v>-7010.9131199999993</v>
      </c>
      <c r="H130" s="1">
        <f>'DRE ANTIGA PARCERIA CAIXA'!H201</f>
        <v>-1399.61824</v>
      </c>
      <c r="I130" s="1">
        <f>'DRE ANTIGA PARCERIA CAIXA'!I201</f>
        <v>-1217.0603199999998</v>
      </c>
      <c r="J130" s="1">
        <f>'DRE ANTIGA PARCERIA CAIXA'!J201</f>
        <v>-1223.2703300000003</v>
      </c>
      <c r="K130" s="1">
        <f>'DRE ANTIGA PARCERIA CAIXA'!K201</f>
        <v>-1125.8949499999985</v>
      </c>
      <c r="L130" s="1">
        <f>'DRE ANTIGA PARCERIA CAIXA'!L201</f>
        <v>-4965.8438399999986</v>
      </c>
      <c r="M130" s="1">
        <f>'DRE ANTIGA PARCERIA CAIXA'!M201</f>
        <v>-1462.8966799999998</v>
      </c>
      <c r="N130" s="1">
        <f>'DRE ANTIGA PARCERIA CAIXA'!N201</f>
        <v>-1412.7437200000008</v>
      </c>
      <c r="O130" s="1">
        <f>'DRE ANTIGA PARCERIA CAIXA'!O201</f>
        <v>-1291.1877199999985</v>
      </c>
      <c r="P130" s="1">
        <f>'DRE ANTIGA PARCERIA CAIXA'!P201</f>
        <v>-1768.8124800000005</v>
      </c>
      <c r="Q130" s="1">
        <f>'DRE ANTIGA PARCERIA CAIXA'!Q201</f>
        <v>-5935.6405999999997</v>
      </c>
      <c r="R130" s="1">
        <f>'DRE ANTIGA PARCERIA CAIXA'!R201</f>
        <v>-1017.7492100000001</v>
      </c>
      <c r="S130" s="1">
        <f>'DRE ANTIGA PARCERIA CAIXA'!S201</f>
        <v>-911.18250000000046</v>
      </c>
      <c r="T130" s="1">
        <f>'DRE ANTIGA PARCERIA CAIXA'!T201</f>
        <v>-853.53037999999947</v>
      </c>
      <c r="U130" s="1">
        <f>'DRE ANTIGA PARCERIA CAIXA'!U201</f>
        <v>-862.56103000000076</v>
      </c>
      <c r="V130" s="1">
        <f>'DRE ANTIGA PARCERIA CAIXA'!V201</f>
        <v>-3645.0231200000007</v>
      </c>
      <c r="W130" s="1">
        <f>'DRE ANTIGA PARCERIA CAIXA'!W201</f>
        <v>-1237.17923</v>
      </c>
      <c r="X130" s="1">
        <f>'DRE ANTIGA PARCERIA CAIXA'!X201</f>
        <v>-879.33839999999987</v>
      </c>
      <c r="Y130" s="1">
        <f>'DRE ANTIGA PARCERIA CAIXA'!Y201</f>
        <v>-3132.2237399999999</v>
      </c>
      <c r="Z130" s="1">
        <f>'DRE ANTIGA PARCERIA CAIXA'!Z201</f>
        <v>-781.8387900000007</v>
      </c>
      <c r="AA130" s="1">
        <f>'DRE ANTIGA PARCERIA CAIXA'!AA201</f>
        <v>-6030.5801600000004</v>
      </c>
      <c r="AB130" s="1">
        <f>'DRE ANTIGA PARCERIA CAIXA'!AB201</f>
        <v>-776.03315999999995</v>
      </c>
      <c r="AC130" s="1">
        <f>'DRE ANTIGA PARCERIA CAIXA'!AC201</f>
        <v>-1078.2984799999999</v>
      </c>
      <c r="AD130" s="1">
        <f>'DRE ANTIGA PARCERIA CAIXA'!AD201</f>
        <v>-687.46640000000025</v>
      </c>
      <c r="AE130" s="1">
        <f>'DRE ANTIGA PARCERIA CAIXA'!AE201</f>
        <v>-731.85462999999993</v>
      </c>
      <c r="AF130" s="1">
        <f>'DRE ANTIGA PARCERIA CAIXA'!AF201</f>
        <v>-3273.6526699999999</v>
      </c>
      <c r="AG130" s="1">
        <f>'DRE ANTIGA PARCERIA CAIXA'!AG201</f>
        <v>-711</v>
      </c>
      <c r="AH130" s="1">
        <f>'DRE ANTIGA PARCERIA CAIXA'!AH201</f>
        <v>-656</v>
      </c>
      <c r="AI130" s="1">
        <f>'DRE ANTIGA PARCERIA CAIXA'!AI201</f>
        <v>-740</v>
      </c>
      <c r="AJ130" s="1">
        <f>'DRE ANTIGA PARCERIA CAIXA'!AJ201</f>
        <v>-442</v>
      </c>
      <c r="AK130" s="1">
        <f>'DRE ANTIGA PARCERIA CAIXA'!AK201</f>
        <v>-2549</v>
      </c>
      <c r="AL130" s="1">
        <f>'DRE ANTIGA PARCERIA CAIXA'!AL201</f>
        <v>0</v>
      </c>
      <c r="AM130" s="1">
        <f>'DRE ANTIGA PARCERIA CAIXA'!AM201</f>
        <v>0</v>
      </c>
      <c r="AN130" s="1">
        <f>'DRE ANTIGA PARCERIA CAIXA'!AN201</f>
        <v>0</v>
      </c>
      <c r="AO130" s="1">
        <f>'DRE ANTIGA PARCERIA CAIXA'!AO201</f>
        <v>0</v>
      </c>
      <c r="AP130" s="1">
        <f>'DRE ANTIGA PARCERIA CAIXA'!AP201</f>
        <v>0</v>
      </c>
      <c r="AQ130" s="1">
        <f>'DRE ANTIGA PARCERIA CAIXA'!AQ201</f>
        <v>0</v>
      </c>
      <c r="AR130" s="1">
        <f>'DRE ANTIGA PARCERIA CAIXA'!AR201</f>
        <v>0</v>
      </c>
      <c r="AS130" s="1">
        <f>'DRE ANTIGA PARCERIA CAIXA'!AS201</f>
        <v>0</v>
      </c>
      <c r="AT130" s="1">
        <f>'DRE ANTIGA PARCERIA CAIXA'!AT201</f>
        <v>0</v>
      </c>
      <c r="AU130" s="1">
        <f>'DRE ANTIGA PARCERIA CAIXA'!AU201</f>
        <v>0</v>
      </c>
      <c r="AV130" s="1">
        <f>'DRE ANTIGA PARCERIA CAIXA'!AV201</f>
        <v>0</v>
      </c>
      <c r="AW130" s="1">
        <f>'DRE ANTIGA PARCERIA CAIXA'!AW201</f>
        <v>0</v>
      </c>
      <c r="AX130" s="1">
        <f>'DRE ANTIGA PARCERIA CAIXA'!AX201</f>
        <v>0</v>
      </c>
      <c r="AY130" s="1">
        <f>'DRE ANTIGA PARCERIA CAIXA'!AY201</f>
        <v>0</v>
      </c>
      <c r="AZ130" s="1">
        <f>'DRE ANTIGA PARCERIA CAIXA'!AZ201</f>
        <v>0</v>
      </c>
      <c r="BA130" s="1">
        <f>'DRE ANTIGA PARCERIA CAIXA'!BA201</f>
        <v>0</v>
      </c>
    </row>
    <row r="131" spans="1:53">
      <c r="B131" t="str">
        <f t="shared" si="88"/>
        <v>Youse Seguradora</v>
      </c>
      <c r="C131" s="1">
        <f>'DRE ANTIGA PARCERIA CAIXA'!C223</f>
        <v>0</v>
      </c>
      <c r="D131" s="1">
        <f>'DRE ANTIGA PARCERIA CAIXA'!D223</f>
        <v>-21.903279999999999</v>
      </c>
      <c r="E131" s="1">
        <f>'DRE ANTIGA PARCERIA CAIXA'!E223</f>
        <v>-63.096700000000013</v>
      </c>
      <c r="F131" s="1">
        <f>'DRE ANTIGA PARCERIA CAIXA'!F223</f>
        <v>-60.440390000000022</v>
      </c>
      <c r="G131" s="1">
        <f>'DRE ANTIGA PARCERIA CAIXA'!G223</f>
        <v>-145.44037000000003</v>
      </c>
      <c r="H131" s="1">
        <f>'DRE ANTIGA PARCERIA CAIXA'!H223</f>
        <v>-57.348669999999998</v>
      </c>
      <c r="I131" s="1">
        <f>'DRE ANTIGA PARCERIA CAIXA'!I223</f>
        <v>-49.936599999999984</v>
      </c>
      <c r="J131" s="1">
        <f>'DRE ANTIGA PARCERIA CAIXA'!J223</f>
        <v>-44.159610000000029</v>
      </c>
      <c r="K131" s="1">
        <f>'DRE ANTIGA PARCERIA CAIXA'!K223</f>
        <v>-35.459179999999975</v>
      </c>
      <c r="L131" s="1">
        <f>'DRE ANTIGA PARCERIA CAIXA'!L223</f>
        <v>-186.90405999999999</v>
      </c>
      <c r="M131" s="1">
        <f>'DRE ANTIGA PARCERIA CAIXA'!M223</f>
        <v>-32.020669999999996</v>
      </c>
      <c r="N131" s="1">
        <f>'DRE ANTIGA PARCERIA CAIXA'!N223</f>
        <v>-118.07704000000004</v>
      </c>
      <c r="O131" s="1">
        <f>'DRE ANTIGA PARCERIA CAIXA'!O223</f>
        <v>-3.8999999995326107E-4</v>
      </c>
      <c r="P131" s="1">
        <f>'DRE ANTIGA PARCERIA CAIXA'!P223</f>
        <v>-43.401910000000015</v>
      </c>
      <c r="Q131" s="1">
        <f>'DRE ANTIGA PARCERIA CAIXA'!Q223</f>
        <v>-193.50001</v>
      </c>
      <c r="R131" s="1">
        <f>'DRE ANTIGA PARCERIA CAIXA'!R223</f>
        <v>-43.401809999999998</v>
      </c>
      <c r="S131" s="1">
        <f>'DRE ANTIGA PARCERIA CAIXA'!S223</f>
        <v>-43.401809999999998</v>
      </c>
      <c r="T131" s="1">
        <f>'DRE ANTIGA PARCERIA CAIXA'!T223</f>
        <v>-47.744770000000017</v>
      </c>
      <c r="U131" s="1">
        <f>'DRE ANTIGA PARCERIA CAIXA'!U223</f>
        <v>-45.571940000000012</v>
      </c>
      <c r="V131" s="1">
        <f>'DRE ANTIGA PARCERIA CAIXA'!V223</f>
        <v>-180.12033000000002</v>
      </c>
      <c r="W131" s="1">
        <f>'DRE ANTIGA PARCERIA CAIXA'!W223</f>
        <v>-45.571940000000005</v>
      </c>
      <c r="X131" s="1">
        <f>'DRE ANTIGA PARCERIA CAIXA'!X223</f>
        <v>-45.571940000000005</v>
      </c>
      <c r="Y131" s="1">
        <f>'DRE ANTIGA PARCERIA CAIXA'!Y223</f>
        <v>-45.577379999999991</v>
      </c>
      <c r="Z131" s="1">
        <f>'DRE ANTIGA PARCERIA CAIXA'!Z223</f>
        <v>-45.571940000000012</v>
      </c>
      <c r="AA131" s="1">
        <f>'DRE ANTIGA PARCERIA CAIXA'!AA223</f>
        <v>-182.29320000000001</v>
      </c>
      <c r="AB131" s="1">
        <f>'DRE ANTIGA PARCERIA CAIXA'!AB223</f>
        <v>-45.571940000000005</v>
      </c>
      <c r="AC131" s="1">
        <f>'DRE ANTIGA PARCERIA CAIXA'!AC223</f>
        <v>-45.571940000000005</v>
      </c>
      <c r="AD131" s="1">
        <f>'DRE ANTIGA PARCERIA CAIXA'!AD223</f>
        <v>-45.571939999999998</v>
      </c>
      <c r="AE131" s="1">
        <f>'DRE ANTIGA PARCERIA CAIXA'!AE223</f>
        <v>-54.458469999999998</v>
      </c>
      <c r="AF131" s="1">
        <f>'DRE ANTIGA PARCERIA CAIXA'!AF223</f>
        <v>-191.17429000000001</v>
      </c>
      <c r="AG131" s="1">
        <f>'DRE ANTIGA PARCERIA CAIXA'!AG223</f>
        <v>-54</v>
      </c>
      <c r="AH131" s="1">
        <f>'DRE ANTIGA PARCERIA CAIXA'!AH223</f>
        <v>-55</v>
      </c>
      <c r="AI131" s="1">
        <f>'DRE ANTIGA PARCERIA CAIXA'!AI223</f>
        <v>-163</v>
      </c>
      <c r="AJ131" s="1">
        <f>'DRE ANTIGA PARCERIA CAIXA'!AJ223</f>
        <v>54</v>
      </c>
      <c r="AK131" s="1">
        <f>'DRE ANTIGA PARCERIA CAIXA'!AK223</f>
        <v>-218</v>
      </c>
      <c r="AL131" s="1">
        <f>'DRE ANTIGA PARCERIA CAIXA'!AL223</f>
        <v>-109</v>
      </c>
      <c r="AM131" s="1">
        <f>'DRE ANTIGA PARCERIA CAIXA'!AM223</f>
        <v>-54</v>
      </c>
      <c r="AN131" s="1">
        <f>'DRE ANTIGA PARCERIA CAIXA'!AN223</f>
        <v>0</v>
      </c>
      <c r="AO131" s="1">
        <f>'DRE ANTIGA PARCERIA CAIXA'!AO223</f>
        <v>-55</v>
      </c>
      <c r="AP131" s="1">
        <f>'DRE ANTIGA PARCERIA CAIXA'!AP223</f>
        <v>-218</v>
      </c>
      <c r="AQ131" s="1">
        <f>'DRE ANTIGA PARCERIA CAIXA'!AQ223</f>
        <v>-63</v>
      </c>
      <c r="AR131" s="1">
        <f>'DRE ANTIGA PARCERIA CAIXA'!AR223</f>
        <v>-63</v>
      </c>
      <c r="AS131" s="1">
        <f>'DRE ANTIGA PARCERIA CAIXA'!AS223</f>
        <v>-63</v>
      </c>
      <c r="AT131" s="1">
        <f>'DRE ANTIGA PARCERIA CAIXA'!AT223</f>
        <v>-63</v>
      </c>
      <c r="AU131" s="1">
        <f>'DRE ANTIGA PARCERIA CAIXA'!AU223</f>
        <v>-252</v>
      </c>
      <c r="AV131" s="1">
        <f>'DRE ANTIGA PARCERIA CAIXA'!AV223</f>
        <v>-276</v>
      </c>
      <c r="AW131" s="1">
        <f>'DRE ANTIGA PARCERIA CAIXA'!AW223</f>
        <v>0</v>
      </c>
      <c r="AX131" s="1">
        <f>'DRE ANTIGA PARCERIA CAIXA'!AX223</f>
        <v>-138</v>
      </c>
      <c r="AY131" s="1">
        <f>'DRE ANTIGA PARCERIA CAIXA'!AY223</f>
        <v>-137</v>
      </c>
      <c r="AZ131" s="1">
        <f>'DRE ANTIGA PARCERIA CAIXA'!AZ223</f>
        <v>-551</v>
      </c>
      <c r="BA131" s="1">
        <f>'DRE ANTIGA PARCERIA CAIXA'!BA223</f>
        <v>-276</v>
      </c>
    </row>
    <row r="132" spans="1:53">
      <c r="B132" t="str">
        <f t="shared" si="88"/>
        <v>CAIXA Assessoria</v>
      </c>
      <c r="C132" s="1">
        <f>'DRE ANTIGA PARCERIA CAIXA'!C245</f>
        <v>-40.178730000000002</v>
      </c>
      <c r="D132" s="1">
        <f>'DRE ANTIGA PARCERIA CAIXA'!D245</f>
        <v>-28.556429999999992</v>
      </c>
      <c r="E132" s="1">
        <f>'DRE ANTIGA PARCERIA CAIXA'!E245</f>
        <v>-37.906299999999987</v>
      </c>
      <c r="F132" s="1">
        <f>'DRE ANTIGA PARCERIA CAIXA'!F245</f>
        <v>-26.097979999999993</v>
      </c>
      <c r="G132" s="1">
        <f>'DRE ANTIGA PARCERIA CAIXA'!G245</f>
        <v>-132.73943999999997</v>
      </c>
      <c r="H132" s="1">
        <f>'DRE ANTIGA PARCERIA CAIXA'!H245</f>
        <v>-44.674169999999997</v>
      </c>
      <c r="I132" s="1">
        <f>'DRE ANTIGA PARCERIA CAIXA'!I245</f>
        <v>-59.759899999999995</v>
      </c>
      <c r="J132" s="1">
        <f>'DRE ANTIGA PARCERIA CAIXA'!J245</f>
        <v>-71.919560000000018</v>
      </c>
      <c r="K132" s="1">
        <f>'DRE ANTIGA PARCERIA CAIXA'!K245</f>
        <v>-207.73866999999996</v>
      </c>
      <c r="L132" s="1">
        <f>'DRE ANTIGA PARCERIA CAIXA'!L245</f>
        <v>-384.09229999999997</v>
      </c>
      <c r="M132" s="1">
        <f>'DRE ANTIGA PARCERIA CAIXA'!M245</f>
        <v>-71.023959999999988</v>
      </c>
      <c r="N132" s="1">
        <f>'DRE ANTIGA PARCERIA CAIXA'!N245</f>
        <v>-346.26936000000001</v>
      </c>
      <c r="O132" s="1">
        <f>'DRE ANTIGA PARCERIA CAIXA'!O245</f>
        <v>-256.15509000000009</v>
      </c>
      <c r="P132" s="1">
        <f>'DRE ANTIGA PARCERIA CAIXA'!P245</f>
        <v>-243.80309</v>
      </c>
      <c r="Q132" s="1">
        <f>'DRE ANTIGA PARCERIA CAIXA'!Q245</f>
        <v>-917.25150000000008</v>
      </c>
      <c r="R132" s="1">
        <f>'DRE ANTIGA PARCERIA CAIXA'!R245</f>
        <v>-204.75183000000001</v>
      </c>
      <c r="S132" s="1">
        <f>'DRE ANTIGA PARCERIA CAIXA'!S245</f>
        <v>-249.07092999999995</v>
      </c>
      <c r="T132" s="1">
        <f>'DRE ANTIGA PARCERIA CAIXA'!T245</f>
        <v>-243.27758000000011</v>
      </c>
      <c r="U132" s="1">
        <f>'DRE ANTIGA PARCERIA CAIXA'!U245</f>
        <v>-257.24614999999994</v>
      </c>
      <c r="V132" s="1">
        <f>'DRE ANTIGA PARCERIA CAIXA'!V245</f>
        <v>-954.34649000000002</v>
      </c>
      <c r="W132" s="1">
        <f>'DRE ANTIGA PARCERIA CAIXA'!W245</f>
        <v>-323.97974999999997</v>
      </c>
      <c r="X132" s="1">
        <f>'DRE ANTIGA PARCERIA CAIXA'!X245</f>
        <v>-357.73946000000001</v>
      </c>
      <c r="Y132" s="1">
        <f>'DRE ANTIGA PARCERIA CAIXA'!Y245</f>
        <v>-383.34087</v>
      </c>
      <c r="Z132" s="1">
        <f>'DRE ANTIGA PARCERIA CAIXA'!Z245</f>
        <v>-396.73551999999995</v>
      </c>
      <c r="AA132" s="1">
        <f>'DRE ANTIGA PARCERIA CAIXA'!AA245</f>
        <v>-1461.7955999999999</v>
      </c>
      <c r="AB132" s="1">
        <f>'DRE ANTIGA PARCERIA CAIXA'!AB245</f>
        <v>-411.33489999999995</v>
      </c>
      <c r="AC132" s="1">
        <f>'DRE ANTIGA PARCERIA CAIXA'!AC245</f>
        <v>-547.05209000000002</v>
      </c>
      <c r="AD132" s="1">
        <f>'DRE ANTIGA PARCERIA CAIXA'!AD245</f>
        <v>-707.83991999999989</v>
      </c>
      <c r="AE132" s="1">
        <f>'DRE ANTIGA PARCERIA CAIXA'!AE245</f>
        <v>-770.64642000000015</v>
      </c>
      <c r="AF132" s="1">
        <f>'DRE ANTIGA PARCERIA CAIXA'!AF245</f>
        <v>-2436.8733299999999</v>
      </c>
      <c r="AG132" s="1">
        <f>'DRE ANTIGA PARCERIA CAIXA'!AG245</f>
        <v>-948</v>
      </c>
      <c r="AH132" s="1">
        <f>'DRE ANTIGA PARCERIA CAIXA'!AH245</f>
        <v>-1311</v>
      </c>
      <c r="AI132" s="1">
        <f>'DRE ANTIGA PARCERIA CAIXA'!AI245</f>
        <v>-2030</v>
      </c>
      <c r="AJ132" s="1">
        <f>'DRE ANTIGA PARCERIA CAIXA'!AJ245</f>
        <v>-307</v>
      </c>
      <c r="AK132" s="1">
        <f>'DRE ANTIGA PARCERIA CAIXA'!AK245</f>
        <v>-4596</v>
      </c>
      <c r="AL132" s="1">
        <f>'DRE ANTIGA PARCERIA CAIXA'!AL245</f>
        <v>-902</v>
      </c>
      <c r="AM132" s="1">
        <f>'DRE ANTIGA PARCERIA CAIXA'!AM245</f>
        <v>-987</v>
      </c>
      <c r="AN132" s="1">
        <f>'DRE ANTIGA PARCERIA CAIXA'!AN245</f>
        <v>-990</v>
      </c>
      <c r="AO132" s="1">
        <f>'DRE ANTIGA PARCERIA CAIXA'!AO245</f>
        <v>-985</v>
      </c>
      <c r="AP132" s="1">
        <f>'DRE ANTIGA PARCERIA CAIXA'!AP245</f>
        <v>-3864</v>
      </c>
      <c r="AQ132" s="1">
        <f>'DRE ANTIGA PARCERIA CAIXA'!AQ245</f>
        <v>-1027</v>
      </c>
      <c r="AR132" s="1">
        <f>'DRE ANTIGA PARCERIA CAIXA'!AR245</f>
        <v>-1249</v>
      </c>
      <c r="AS132" s="1">
        <f>'DRE ANTIGA PARCERIA CAIXA'!AS245</f>
        <v>-1208</v>
      </c>
      <c r="AT132" s="1">
        <f>'DRE ANTIGA PARCERIA CAIXA'!AT245</f>
        <v>-1402</v>
      </c>
      <c r="AU132" s="1">
        <f>'DRE ANTIGA PARCERIA CAIXA'!AU245</f>
        <v>-4886</v>
      </c>
      <c r="AV132" s="1">
        <f>'DRE ANTIGA PARCERIA CAIXA'!AV245</f>
        <v>-1257</v>
      </c>
      <c r="AW132" s="1">
        <f>'DRE ANTIGA PARCERIA CAIXA'!AW245</f>
        <v>-975</v>
      </c>
      <c r="AX132" s="1">
        <f>'DRE ANTIGA PARCERIA CAIXA'!AX245</f>
        <v>-1282</v>
      </c>
      <c r="AY132" s="1">
        <f>'DRE ANTIGA PARCERIA CAIXA'!AY245</f>
        <v>-1295</v>
      </c>
      <c r="AZ132" s="1">
        <f>'DRE ANTIGA PARCERIA CAIXA'!AZ245</f>
        <v>-4809</v>
      </c>
      <c r="BA132" s="1">
        <f>'DRE ANTIGA PARCERIA CAIXA'!BA245</f>
        <v>-1621</v>
      </c>
    </row>
    <row r="133" spans="1:53" s="100" customFormat="1">
      <c r="A133" s="9"/>
      <c r="B133" s="9" t="str">
        <f t="shared" si="88"/>
        <v>Novas Parcerias CAIXA</v>
      </c>
      <c r="C133" s="76">
        <f t="shared" ref="C133:AV133" si="91">SUM(C134:C140)</f>
        <v>0</v>
      </c>
      <c r="D133" s="76">
        <f t="shared" si="91"/>
        <v>0</v>
      </c>
      <c r="E133" s="76">
        <f t="shared" si="91"/>
        <v>0</v>
      </c>
      <c r="F133" s="76">
        <f t="shared" si="91"/>
        <v>0</v>
      </c>
      <c r="G133" s="76">
        <f t="shared" si="91"/>
        <v>0</v>
      </c>
      <c r="H133" s="76">
        <f t="shared" si="91"/>
        <v>0</v>
      </c>
      <c r="I133" s="76">
        <f t="shared" si="91"/>
        <v>0</v>
      </c>
      <c r="J133" s="76">
        <f t="shared" si="91"/>
        <v>0</v>
      </c>
      <c r="K133" s="76">
        <f t="shared" si="91"/>
        <v>0</v>
      </c>
      <c r="L133" s="76">
        <f t="shared" si="91"/>
        <v>0</v>
      </c>
      <c r="M133" s="76">
        <f t="shared" si="91"/>
        <v>0</v>
      </c>
      <c r="N133" s="76">
        <f t="shared" si="91"/>
        <v>0</v>
      </c>
      <c r="O133" s="76">
        <f t="shared" si="91"/>
        <v>0</v>
      </c>
      <c r="P133" s="76">
        <f t="shared" si="91"/>
        <v>0</v>
      </c>
      <c r="Q133" s="76">
        <f t="shared" si="91"/>
        <v>0</v>
      </c>
      <c r="R133" s="76">
        <f t="shared" si="91"/>
        <v>0</v>
      </c>
      <c r="S133" s="76">
        <f t="shared" si="91"/>
        <v>0</v>
      </c>
      <c r="T133" s="76">
        <f t="shared" si="91"/>
        <v>0</v>
      </c>
      <c r="U133" s="76">
        <f t="shared" si="91"/>
        <v>0</v>
      </c>
      <c r="V133" s="76">
        <f t="shared" si="91"/>
        <v>0</v>
      </c>
      <c r="W133" s="76">
        <f t="shared" si="91"/>
        <v>0</v>
      </c>
      <c r="X133" s="76">
        <f t="shared" si="91"/>
        <v>0</v>
      </c>
      <c r="Y133" s="76">
        <f t="shared" si="91"/>
        <v>0</v>
      </c>
      <c r="Z133" s="76">
        <f t="shared" si="91"/>
        <v>-61.421709999999997</v>
      </c>
      <c r="AA133" s="76">
        <f t="shared" si="91"/>
        <v>-61.421709999999997</v>
      </c>
      <c r="AB133" s="76">
        <f t="shared" si="91"/>
        <v>-56447.623299999999</v>
      </c>
      <c r="AC133" s="76">
        <f t="shared" si="91"/>
        <v>-57530.584820000011</v>
      </c>
      <c r="AD133" s="76">
        <f t="shared" si="91"/>
        <v>-62459.912799999962</v>
      </c>
      <c r="AE133" s="76">
        <f t="shared" si="91"/>
        <v>-77841.806230000002</v>
      </c>
      <c r="AF133" s="76">
        <f t="shared" si="91"/>
        <v>-254279.92714999997</v>
      </c>
      <c r="AG133" s="76">
        <f t="shared" si="91"/>
        <v>-81007</v>
      </c>
      <c r="AH133" s="76">
        <f t="shared" si="91"/>
        <v>-88559</v>
      </c>
      <c r="AI133" s="76">
        <f t="shared" si="91"/>
        <v>-98770</v>
      </c>
      <c r="AJ133" s="76">
        <f t="shared" si="91"/>
        <v>-107955</v>
      </c>
      <c r="AK133" s="76">
        <f t="shared" si="91"/>
        <v>-376291</v>
      </c>
      <c r="AL133" s="76">
        <f t="shared" si="91"/>
        <v>-117048</v>
      </c>
      <c r="AM133" s="76">
        <f t="shared" si="91"/>
        <v>-122616</v>
      </c>
      <c r="AN133" s="76">
        <f t="shared" si="91"/>
        <v>-126118</v>
      </c>
      <c r="AO133" s="76">
        <f t="shared" si="91"/>
        <v>-130849</v>
      </c>
      <c r="AP133" s="76">
        <f t="shared" si="91"/>
        <v>-496631</v>
      </c>
      <c r="AQ133" s="76">
        <f t="shared" si="91"/>
        <v>-135113</v>
      </c>
      <c r="AR133" s="76">
        <f t="shared" si="91"/>
        <v>-143172</v>
      </c>
      <c r="AS133" s="76">
        <f t="shared" si="91"/>
        <v>-140782</v>
      </c>
      <c r="AT133" s="76">
        <f t="shared" si="91"/>
        <v>-140055</v>
      </c>
      <c r="AU133" s="76">
        <f t="shared" si="91"/>
        <v>-559122</v>
      </c>
      <c r="AV133" s="76">
        <f t="shared" si="91"/>
        <v>-147551</v>
      </c>
      <c r="AW133" s="76">
        <f>SUM(AW134:AW140)</f>
        <v>-143348</v>
      </c>
      <c r="AX133" s="76">
        <f>SUM(AX134:AX140)</f>
        <v>-147624</v>
      </c>
      <c r="AY133" s="76">
        <f>SUM(AY134:AY140)</f>
        <v>-150050</v>
      </c>
      <c r="AZ133" s="76">
        <f>SUM(AZ134:AZ140)</f>
        <v>-588573</v>
      </c>
      <c r="BA133" s="76">
        <f t="shared" ref="BA133" si="92">SUM(BA134:BA140)</f>
        <v>-143921</v>
      </c>
    </row>
    <row r="134" spans="1:53">
      <c r="B134" t="str">
        <f t="shared" si="88"/>
        <v>XS1 Holding</v>
      </c>
      <c r="C134" s="1">
        <f>'DRE NOVAS PARCERIAS CAIXA'!C$101</f>
        <v>0</v>
      </c>
      <c r="D134" s="1">
        <f>'DRE NOVAS PARCERIAS CAIXA'!D$101</f>
        <v>0</v>
      </c>
      <c r="E134" s="1">
        <f>'DRE NOVAS PARCERIAS CAIXA'!E$101</f>
        <v>0</v>
      </c>
      <c r="F134" s="1">
        <f>'DRE NOVAS PARCERIAS CAIXA'!F$101</f>
        <v>0</v>
      </c>
      <c r="G134" s="1">
        <f>'DRE NOVAS PARCERIAS CAIXA'!G$101</f>
        <v>0</v>
      </c>
      <c r="H134" s="1">
        <f>'DRE NOVAS PARCERIAS CAIXA'!H$101</f>
        <v>0</v>
      </c>
      <c r="I134" s="1">
        <f>'DRE NOVAS PARCERIAS CAIXA'!I$101</f>
        <v>0</v>
      </c>
      <c r="J134" s="1">
        <f>'DRE NOVAS PARCERIAS CAIXA'!J$101</f>
        <v>0</v>
      </c>
      <c r="K134" s="1">
        <f>'DRE NOVAS PARCERIAS CAIXA'!K$101</f>
        <v>0</v>
      </c>
      <c r="L134" s="1">
        <f>'DRE NOVAS PARCERIAS CAIXA'!L$101</f>
        <v>0</v>
      </c>
      <c r="M134" s="1">
        <f>'DRE NOVAS PARCERIAS CAIXA'!M$101</f>
        <v>0</v>
      </c>
      <c r="N134" s="1">
        <f>'DRE NOVAS PARCERIAS CAIXA'!N$101</f>
        <v>0</v>
      </c>
      <c r="O134" s="1">
        <f>'DRE NOVAS PARCERIAS CAIXA'!O$101</f>
        <v>0</v>
      </c>
      <c r="P134" s="1">
        <f>'DRE NOVAS PARCERIAS CAIXA'!P$101</f>
        <v>0</v>
      </c>
      <c r="Q134" s="1">
        <f>'DRE NOVAS PARCERIAS CAIXA'!Q$101</f>
        <v>0</v>
      </c>
      <c r="R134" s="1">
        <f>'DRE NOVAS PARCERIAS CAIXA'!R$101</f>
        <v>0</v>
      </c>
      <c r="S134" s="1">
        <f>'DRE NOVAS PARCERIAS CAIXA'!S$101</f>
        <v>0</v>
      </c>
      <c r="T134" s="1">
        <f>'DRE NOVAS PARCERIAS CAIXA'!T$101</f>
        <v>0</v>
      </c>
      <c r="U134" s="1">
        <f>'DRE NOVAS PARCERIAS CAIXA'!U$101</f>
        <v>0</v>
      </c>
      <c r="V134" s="1">
        <f>'DRE NOVAS PARCERIAS CAIXA'!V$101</f>
        <v>0</v>
      </c>
      <c r="W134" s="1">
        <f>'DRE NOVAS PARCERIAS CAIXA'!W$101</f>
        <v>0</v>
      </c>
      <c r="X134" s="1">
        <f>'DRE NOVAS PARCERIAS CAIXA'!X$101</f>
        <v>0</v>
      </c>
      <c r="Y134" s="1">
        <f>'DRE NOVAS PARCERIAS CAIXA'!Y$101</f>
        <v>0</v>
      </c>
      <c r="Z134" s="1">
        <f>'DRE NOVAS PARCERIAS CAIXA'!Z$101</f>
        <v>-0.14929999999999666</v>
      </c>
      <c r="AA134" s="1">
        <f>'DRE NOVAS PARCERIAS CAIXA'!AA$101</f>
        <v>-0.14929999999999666</v>
      </c>
      <c r="AB134" s="1">
        <f>'DRE NOVAS PARCERIAS CAIXA'!AB$101</f>
        <v>-0.52499999999690772</v>
      </c>
      <c r="AC134" s="1">
        <f>'DRE NOVAS PARCERIAS CAIXA'!AC$101</f>
        <v>-28.700230000011288</v>
      </c>
      <c r="AD134" s="1">
        <f>'DRE NOVAS PARCERIAS CAIXA'!AD$101</f>
        <v>-58.209459999994579</v>
      </c>
      <c r="AE134" s="1">
        <f>'DRE NOVAS PARCERIAS CAIXA'!AE$101</f>
        <v>-6922</v>
      </c>
      <c r="AF134" s="1">
        <f>'DRE NOVAS PARCERIAS CAIXA'!AF$101</f>
        <v>-7009.4346900000028</v>
      </c>
      <c r="AG134" s="1">
        <f>'DRE NOVAS PARCERIAS CAIXA'!AG$101</f>
        <v>-77</v>
      </c>
      <c r="AH134" s="1">
        <f>'DRE NOVAS PARCERIAS CAIXA'!AH$101</f>
        <v>-41</v>
      </c>
      <c r="AI134" s="1">
        <f>'DRE NOVAS PARCERIAS CAIXA'!AI$101</f>
        <v>-52</v>
      </c>
      <c r="AJ134" s="1">
        <f>'DRE NOVAS PARCERIAS CAIXA'!AJ$101</f>
        <v>-40</v>
      </c>
      <c r="AK134" s="1">
        <f>'DRE NOVAS PARCERIAS CAIXA'!AK$101</f>
        <v>-210</v>
      </c>
      <c r="AL134" s="1">
        <f>'DRE NOVAS PARCERIAS CAIXA'!AL$101</f>
        <v>-42</v>
      </c>
      <c r="AM134" s="1">
        <f>'DRE NOVAS PARCERIAS CAIXA'!AM$101</f>
        <v>-74</v>
      </c>
      <c r="AN134" s="1">
        <f>'DRE NOVAS PARCERIAS CAIXA'!AN$101</f>
        <v>-39</v>
      </c>
      <c r="AO134" s="1">
        <f>'DRE NOVAS PARCERIAS CAIXA'!AO$101</f>
        <v>-35</v>
      </c>
      <c r="AP134" s="1">
        <f>'DRE NOVAS PARCERIAS CAIXA'!AP$101</f>
        <v>-190</v>
      </c>
      <c r="AQ134" s="1">
        <f>'DRE NOVAS PARCERIAS CAIXA'!AQ$101</f>
        <v>-81</v>
      </c>
      <c r="AR134" s="1">
        <f>'DRE NOVAS PARCERIAS CAIXA'!AR$101</f>
        <v>-25</v>
      </c>
      <c r="AS134" s="1">
        <f>'DRE NOVAS PARCERIAS CAIXA'!AS$101</f>
        <v>-26</v>
      </c>
      <c r="AT134" s="1">
        <f>'DRE NOVAS PARCERIAS CAIXA'!AT$101</f>
        <v>-57</v>
      </c>
      <c r="AU134" s="1">
        <f>'DRE NOVAS PARCERIAS CAIXA'!AU$101</f>
        <v>-189</v>
      </c>
      <c r="AV134" s="1">
        <f>'DRE NOVAS PARCERIAS CAIXA'!AV$101</f>
        <v>-81</v>
      </c>
      <c r="AW134" s="1">
        <f>'DRE NOVAS PARCERIAS CAIXA'!AW$101</f>
        <v>-74</v>
      </c>
      <c r="AX134" s="1">
        <f>'DRE NOVAS PARCERIAS CAIXA'!AX$101</f>
        <v>-86</v>
      </c>
      <c r="AY134" s="1">
        <f>'DRE NOVAS PARCERIAS CAIXA'!AY$101</f>
        <v>-83</v>
      </c>
      <c r="AZ134" s="1">
        <f>'DRE NOVAS PARCERIAS CAIXA'!AZ$101</f>
        <v>-324</v>
      </c>
      <c r="BA134" s="1">
        <f>'DRE NOVAS PARCERIAS CAIXA'!BA$101</f>
        <v>-81</v>
      </c>
    </row>
    <row r="135" spans="1:53">
      <c r="B135" t="str">
        <f t="shared" si="88"/>
        <v>Caixa Vida &amp; Previdência</v>
      </c>
      <c r="C135" s="1">
        <f>'DRE NOVAS PARCERIAS CAIXA'!C50</f>
        <v>0</v>
      </c>
      <c r="D135" s="1">
        <f>'DRE NOVAS PARCERIAS CAIXA'!D50</f>
        <v>0</v>
      </c>
      <c r="E135" s="1">
        <f>'DRE NOVAS PARCERIAS CAIXA'!E50</f>
        <v>0</v>
      </c>
      <c r="F135" s="1">
        <f>'DRE NOVAS PARCERIAS CAIXA'!F50</f>
        <v>0</v>
      </c>
      <c r="G135" s="1">
        <f>'DRE NOVAS PARCERIAS CAIXA'!G50</f>
        <v>0</v>
      </c>
      <c r="H135" s="1">
        <f>'DRE NOVAS PARCERIAS CAIXA'!H50</f>
        <v>0</v>
      </c>
      <c r="I135" s="1">
        <f>'DRE NOVAS PARCERIAS CAIXA'!I50</f>
        <v>0</v>
      </c>
      <c r="J135" s="1">
        <f>'DRE NOVAS PARCERIAS CAIXA'!J50</f>
        <v>0</v>
      </c>
      <c r="K135" s="1">
        <f>'DRE NOVAS PARCERIAS CAIXA'!K50</f>
        <v>0</v>
      </c>
      <c r="L135" s="1">
        <f>'DRE NOVAS PARCERIAS CAIXA'!L50</f>
        <v>0</v>
      </c>
      <c r="M135" s="1">
        <f>'DRE NOVAS PARCERIAS CAIXA'!M50</f>
        <v>0</v>
      </c>
      <c r="N135" s="1">
        <f>'DRE NOVAS PARCERIAS CAIXA'!N50</f>
        <v>0</v>
      </c>
      <c r="O135" s="1">
        <f>'DRE NOVAS PARCERIAS CAIXA'!O50</f>
        <v>0</v>
      </c>
      <c r="P135" s="1">
        <f>'DRE NOVAS PARCERIAS CAIXA'!P50</f>
        <v>0</v>
      </c>
      <c r="Q135" s="1">
        <f>'DRE NOVAS PARCERIAS CAIXA'!Q50</f>
        <v>0</v>
      </c>
      <c r="R135" s="1">
        <f>'DRE NOVAS PARCERIAS CAIXA'!R50</f>
        <v>0</v>
      </c>
      <c r="S135" s="1">
        <f>'DRE NOVAS PARCERIAS CAIXA'!S50</f>
        <v>0</v>
      </c>
      <c r="T135" s="1">
        <f>'DRE NOVAS PARCERIAS CAIXA'!T50</f>
        <v>0</v>
      </c>
      <c r="U135" s="1">
        <f>'DRE NOVAS PARCERIAS CAIXA'!U50</f>
        <v>0</v>
      </c>
      <c r="V135" s="1">
        <f>'DRE NOVAS PARCERIAS CAIXA'!V50</f>
        <v>0</v>
      </c>
      <c r="W135" s="1">
        <f>'DRE NOVAS PARCERIAS CAIXA'!W50</f>
        <v>0</v>
      </c>
      <c r="X135" s="1">
        <f>'DRE NOVAS PARCERIAS CAIXA'!X50</f>
        <v>0</v>
      </c>
      <c r="Y135" s="1">
        <f>'DRE NOVAS PARCERIAS CAIXA'!Y50</f>
        <v>0</v>
      </c>
      <c r="Z135" s="1">
        <f>'DRE NOVAS PARCERIAS CAIXA'!Z50</f>
        <v>0</v>
      </c>
      <c r="AA135" s="1">
        <f>'DRE NOVAS PARCERIAS CAIXA'!AA50</f>
        <v>0</v>
      </c>
      <c r="AB135" s="1">
        <f>'DRE NOVAS PARCERIAS CAIXA'!AB50</f>
        <v>-54689.177870000007</v>
      </c>
      <c r="AC135" s="1">
        <f>'DRE NOVAS PARCERIAS CAIXA'!AC50</f>
        <v>-51138.765789999998</v>
      </c>
      <c r="AD135" s="1">
        <f>'DRE NOVAS PARCERIAS CAIXA'!AD50</f>
        <v>-48524.068589999966</v>
      </c>
      <c r="AE135" s="1">
        <f>'DRE NOVAS PARCERIAS CAIXA'!AE50</f>
        <v>-50159</v>
      </c>
      <c r="AF135" s="1">
        <f>'DRE NOVAS PARCERIAS CAIXA'!AF50</f>
        <v>-204511.01224999997</v>
      </c>
      <c r="AG135" s="1">
        <f>'DRE NOVAS PARCERIAS CAIXA'!AG50</f>
        <v>-53032</v>
      </c>
      <c r="AH135" s="1">
        <f>'DRE NOVAS PARCERIAS CAIXA'!AH50</f>
        <v>-52585</v>
      </c>
      <c r="AI135" s="1">
        <f>'DRE NOVAS PARCERIAS CAIXA'!AI50</f>
        <v>-52291</v>
      </c>
      <c r="AJ135" s="1">
        <f>'DRE NOVAS PARCERIAS CAIXA'!AJ50</f>
        <v>-52523</v>
      </c>
      <c r="AK135" s="1">
        <f>'DRE NOVAS PARCERIAS CAIXA'!AK50</f>
        <v>-210431</v>
      </c>
      <c r="AL135" s="1">
        <f>'DRE NOVAS PARCERIAS CAIXA'!AL50</f>
        <v>-54519</v>
      </c>
      <c r="AM135" s="1">
        <f>'DRE NOVAS PARCERIAS CAIXA'!AM50</f>
        <v>-53571</v>
      </c>
      <c r="AN135" s="1">
        <f>'DRE NOVAS PARCERIAS CAIXA'!AN50</f>
        <v>-50689</v>
      </c>
      <c r="AO135" s="1">
        <f>'DRE NOVAS PARCERIAS CAIXA'!AO50</f>
        <v>-49881</v>
      </c>
      <c r="AP135" s="1">
        <f>'DRE NOVAS PARCERIAS CAIXA'!AP50</f>
        <v>-208660</v>
      </c>
      <c r="AQ135" s="1">
        <f>'DRE NOVAS PARCERIAS CAIXA'!AQ50</f>
        <v>-49060</v>
      </c>
      <c r="AR135" s="1">
        <f>'DRE NOVAS PARCERIAS CAIXA'!AR50</f>
        <v>-49858</v>
      </c>
      <c r="AS135" s="1">
        <f>'DRE NOVAS PARCERIAS CAIXA'!AS50</f>
        <v>-62370</v>
      </c>
      <c r="AT135" s="1">
        <f>'DRE NOVAS PARCERIAS CAIXA'!AT50</f>
        <v>-79673</v>
      </c>
      <c r="AU135" s="1">
        <f>'DRE NOVAS PARCERIAS CAIXA'!AU50</f>
        <v>-240961</v>
      </c>
      <c r="AV135" s="1">
        <f>'DRE NOVAS PARCERIAS CAIXA'!AV50</f>
        <v>-83185</v>
      </c>
      <c r="AW135" s="1">
        <f>'DRE NOVAS PARCERIAS CAIXA'!AW50</f>
        <v>-84786</v>
      </c>
      <c r="AX135" s="1">
        <f>'DRE NOVAS PARCERIAS CAIXA'!AX50</f>
        <v>-87626</v>
      </c>
      <c r="AY135" s="1">
        <f>'DRE NOVAS PARCERIAS CAIXA'!AY50</f>
        <v>-89926</v>
      </c>
      <c r="AZ135" s="1">
        <f>'DRE NOVAS PARCERIAS CAIXA'!AZ50</f>
        <v>-345523</v>
      </c>
      <c r="BA135" s="1">
        <f>'DRE NOVAS PARCERIAS CAIXA'!BA50</f>
        <v>-84603</v>
      </c>
    </row>
    <row r="136" spans="1:53">
      <c r="B136" t="str">
        <f t="shared" si="88"/>
        <v>XS2 Vida e Previdência</v>
      </c>
      <c r="C136" s="1">
        <f>'DRE NOVAS PARCERIAS CAIXA'!C79</f>
        <v>0</v>
      </c>
      <c r="D136" s="1">
        <f>'DRE NOVAS PARCERIAS CAIXA'!D79</f>
        <v>0</v>
      </c>
      <c r="E136" s="1">
        <f>'DRE NOVAS PARCERIAS CAIXA'!E79</f>
        <v>0</v>
      </c>
      <c r="F136" s="1">
        <f>'DRE NOVAS PARCERIAS CAIXA'!F79</f>
        <v>0</v>
      </c>
      <c r="G136" s="1">
        <f>'DRE NOVAS PARCERIAS CAIXA'!G79</f>
        <v>0</v>
      </c>
      <c r="H136" s="1">
        <f>'DRE NOVAS PARCERIAS CAIXA'!H79</f>
        <v>0</v>
      </c>
      <c r="I136" s="1">
        <f>'DRE NOVAS PARCERIAS CAIXA'!I79</f>
        <v>0</v>
      </c>
      <c r="J136" s="1">
        <f>'DRE NOVAS PARCERIAS CAIXA'!J79</f>
        <v>0</v>
      </c>
      <c r="K136" s="1">
        <f>'DRE NOVAS PARCERIAS CAIXA'!K79</f>
        <v>0</v>
      </c>
      <c r="L136" s="1">
        <f>'DRE NOVAS PARCERIAS CAIXA'!L79</f>
        <v>0</v>
      </c>
      <c r="M136" s="1">
        <f>'DRE NOVAS PARCERIAS CAIXA'!M79</f>
        <v>0</v>
      </c>
      <c r="N136" s="1">
        <f>'DRE NOVAS PARCERIAS CAIXA'!N79</f>
        <v>0</v>
      </c>
      <c r="O136" s="1">
        <f>'DRE NOVAS PARCERIAS CAIXA'!O79</f>
        <v>0</v>
      </c>
      <c r="P136" s="1">
        <f>'DRE NOVAS PARCERIAS CAIXA'!P79</f>
        <v>0</v>
      </c>
      <c r="Q136" s="1">
        <f>'DRE NOVAS PARCERIAS CAIXA'!Q79</f>
        <v>0</v>
      </c>
      <c r="R136" s="1">
        <f>'DRE NOVAS PARCERIAS CAIXA'!R79</f>
        <v>0</v>
      </c>
      <c r="S136" s="1">
        <f>'DRE NOVAS PARCERIAS CAIXA'!S79</f>
        <v>0</v>
      </c>
      <c r="T136" s="1">
        <f>'DRE NOVAS PARCERIAS CAIXA'!T79</f>
        <v>0</v>
      </c>
      <c r="U136" s="1">
        <f>'DRE NOVAS PARCERIAS CAIXA'!U79</f>
        <v>0</v>
      </c>
      <c r="V136" s="1">
        <f>'DRE NOVAS PARCERIAS CAIXA'!V79</f>
        <v>0</v>
      </c>
      <c r="W136" s="1">
        <f>'DRE NOVAS PARCERIAS CAIXA'!W79</f>
        <v>0</v>
      </c>
      <c r="X136" s="1">
        <f>'DRE NOVAS PARCERIAS CAIXA'!X79</f>
        <v>0</v>
      </c>
      <c r="Y136" s="1">
        <f>'DRE NOVAS PARCERIAS CAIXA'!Y79</f>
        <v>0</v>
      </c>
      <c r="Z136" s="1">
        <f>'DRE NOVAS PARCERIAS CAIXA'!Z79</f>
        <v>-25.272410000000001</v>
      </c>
      <c r="AA136" s="1">
        <f>'DRE NOVAS PARCERIAS CAIXA'!AA79</f>
        <v>-25.272410000000001</v>
      </c>
      <c r="AB136" s="1">
        <f>'DRE NOVAS PARCERIAS CAIXA'!AB79</f>
        <v>-1555.4643299999998</v>
      </c>
      <c r="AC136" s="1">
        <f>'DRE NOVAS PARCERIAS CAIXA'!AC79</f>
        <v>-4536.3521600000004</v>
      </c>
      <c r="AD136" s="1">
        <f>'DRE NOVAS PARCERIAS CAIXA'!AD79</f>
        <v>-8547.4487499999996</v>
      </c>
      <c r="AE136" s="1">
        <f>'DRE NOVAS PARCERIAS CAIXA'!AE79</f>
        <v>-12066.026820000001</v>
      </c>
      <c r="AF136" s="1">
        <f>'DRE NOVAS PARCERIAS CAIXA'!AF79</f>
        <v>-26705.29206</v>
      </c>
      <c r="AG136" s="1">
        <f>'DRE NOVAS PARCERIAS CAIXA'!AG79</f>
        <v>-15165</v>
      </c>
      <c r="AH136" s="1">
        <f>'DRE NOVAS PARCERIAS CAIXA'!AH79</f>
        <v>-17361</v>
      </c>
      <c r="AI136" s="1">
        <f>'DRE NOVAS PARCERIAS CAIXA'!AI79</f>
        <v>-20241</v>
      </c>
      <c r="AJ136" s="1">
        <f>'DRE NOVAS PARCERIAS CAIXA'!AJ79</f>
        <v>-23440</v>
      </c>
      <c r="AK136" s="1">
        <f>'DRE NOVAS PARCERIAS CAIXA'!AK79</f>
        <v>-76207</v>
      </c>
      <c r="AL136" s="1">
        <f>'DRE NOVAS PARCERIAS CAIXA'!AL79</f>
        <v>-25434</v>
      </c>
      <c r="AM136" s="1">
        <f>'DRE NOVAS PARCERIAS CAIXA'!AM79</f>
        <v>-28473</v>
      </c>
      <c r="AN136" s="1">
        <f>'DRE NOVAS PARCERIAS CAIXA'!AN79</f>
        <v>-29143</v>
      </c>
      <c r="AO136" s="1">
        <f>'DRE NOVAS PARCERIAS CAIXA'!AO79</f>
        <v>-30623</v>
      </c>
      <c r="AP136" s="1">
        <f>'DRE NOVAS PARCERIAS CAIXA'!AP79</f>
        <v>-113673</v>
      </c>
      <c r="AQ136" s="1">
        <f>'DRE NOVAS PARCERIAS CAIXA'!AQ79</f>
        <v>-31627</v>
      </c>
      <c r="AR136" s="1">
        <f>'DRE NOVAS PARCERIAS CAIXA'!AR79</f>
        <v>-35224</v>
      </c>
      <c r="AS136" s="1">
        <f>'DRE NOVAS PARCERIAS CAIXA'!AS79</f>
        <v>-23202</v>
      </c>
      <c r="AT136" s="1">
        <f>'DRE NOVAS PARCERIAS CAIXA'!AT79</f>
        <v>0</v>
      </c>
      <c r="AU136" s="1">
        <f>'DRE NOVAS PARCERIAS CAIXA'!AU79</f>
        <v>-90053</v>
      </c>
      <c r="AV136" s="1">
        <f>'DRE NOVAS PARCERIAS CAIXA'!AV79</f>
        <v>0</v>
      </c>
      <c r="AW136" s="1">
        <f>'DRE NOVAS PARCERIAS CAIXA'!AW79</f>
        <v>0</v>
      </c>
      <c r="AX136" s="1">
        <f>'DRE NOVAS PARCERIAS CAIXA'!AX79</f>
        <v>0</v>
      </c>
      <c r="AY136" s="1">
        <f>'DRE NOVAS PARCERIAS CAIXA'!AY79</f>
        <v>0</v>
      </c>
      <c r="AZ136" s="1">
        <f>'DRE NOVAS PARCERIAS CAIXA'!AZ79</f>
        <v>0</v>
      </c>
      <c r="BA136" s="1">
        <f>'DRE NOVAS PARCERIAS CAIXA'!BA79</f>
        <v>0</v>
      </c>
    </row>
    <row r="137" spans="1:53">
      <c r="B137" t="str">
        <f t="shared" si="88"/>
        <v>XS3 SEGUROS</v>
      </c>
      <c r="C137" s="1">
        <f>'DRE NOVAS PARCERIAS CAIXA'!C131</f>
        <v>0</v>
      </c>
      <c r="D137" s="1">
        <f>'DRE NOVAS PARCERIAS CAIXA'!D131</f>
        <v>0</v>
      </c>
      <c r="E137" s="1">
        <f>'DRE NOVAS PARCERIAS CAIXA'!E131</f>
        <v>0</v>
      </c>
      <c r="F137" s="1">
        <f>'DRE NOVAS PARCERIAS CAIXA'!F131</f>
        <v>0</v>
      </c>
      <c r="G137" s="1">
        <f>'DRE NOVAS PARCERIAS CAIXA'!G131</f>
        <v>0</v>
      </c>
      <c r="H137" s="1">
        <f>'DRE NOVAS PARCERIAS CAIXA'!H131</f>
        <v>0</v>
      </c>
      <c r="I137" s="1">
        <f>'DRE NOVAS PARCERIAS CAIXA'!I131</f>
        <v>0</v>
      </c>
      <c r="J137" s="1">
        <f>'DRE NOVAS PARCERIAS CAIXA'!J131</f>
        <v>0</v>
      </c>
      <c r="K137" s="1">
        <f>'DRE NOVAS PARCERIAS CAIXA'!K131</f>
        <v>0</v>
      </c>
      <c r="L137" s="1">
        <f>'DRE NOVAS PARCERIAS CAIXA'!L131</f>
        <v>0</v>
      </c>
      <c r="M137" s="1">
        <f>'DRE NOVAS PARCERIAS CAIXA'!M131</f>
        <v>0</v>
      </c>
      <c r="N137" s="1">
        <f>'DRE NOVAS PARCERIAS CAIXA'!N131</f>
        <v>0</v>
      </c>
      <c r="O137" s="1">
        <f>'DRE NOVAS PARCERIAS CAIXA'!O131</f>
        <v>0</v>
      </c>
      <c r="P137" s="1">
        <f>'DRE NOVAS PARCERIAS CAIXA'!P131</f>
        <v>0</v>
      </c>
      <c r="Q137" s="1">
        <f>'DRE NOVAS PARCERIAS CAIXA'!Q131</f>
        <v>0</v>
      </c>
      <c r="R137" s="1">
        <f>'DRE NOVAS PARCERIAS CAIXA'!R131</f>
        <v>0</v>
      </c>
      <c r="S137" s="1">
        <f>'DRE NOVAS PARCERIAS CAIXA'!S131</f>
        <v>0</v>
      </c>
      <c r="T137" s="1">
        <f>'DRE NOVAS PARCERIAS CAIXA'!T131</f>
        <v>0</v>
      </c>
      <c r="U137" s="1">
        <f>'DRE NOVAS PARCERIAS CAIXA'!U131</f>
        <v>0</v>
      </c>
      <c r="V137" s="1">
        <f>'DRE NOVAS PARCERIAS CAIXA'!V131</f>
        <v>0</v>
      </c>
      <c r="W137" s="1">
        <f>'DRE NOVAS PARCERIAS CAIXA'!W131</f>
        <v>0</v>
      </c>
      <c r="X137" s="1">
        <f>'DRE NOVAS PARCERIAS CAIXA'!X131</f>
        <v>0</v>
      </c>
      <c r="Y137" s="1">
        <f>'DRE NOVAS PARCERIAS CAIXA'!Y131</f>
        <v>0</v>
      </c>
      <c r="Z137" s="1">
        <f>'DRE NOVAS PARCERIAS CAIXA'!Z131</f>
        <v>-16</v>
      </c>
      <c r="AA137" s="1">
        <f>'DRE NOVAS PARCERIAS CAIXA'!AA131</f>
        <v>-16</v>
      </c>
      <c r="AB137" s="1">
        <f>'DRE NOVAS PARCERIAS CAIXA'!AB131</f>
        <v>-199.43283</v>
      </c>
      <c r="AC137" s="1">
        <f>'DRE NOVAS PARCERIAS CAIXA'!AC131</f>
        <v>-1749.2623000000001</v>
      </c>
      <c r="AD137" s="1">
        <f>'DRE NOVAS PARCERIAS CAIXA'!AD131</f>
        <v>-4099.5048499999994</v>
      </c>
      <c r="AE137" s="1">
        <f>'DRE NOVAS PARCERIAS CAIXA'!AE131</f>
        <v>-6412</v>
      </c>
      <c r="AF137" s="1">
        <f>'DRE NOVAS PARCERIAS CAIXA'!AF131</f>
        <v>-12460.199979999999</v>
      </c>
      <c r="AG137" s="1">
        <f>'DRE NOVAS PARCERIAS CAIXA'!AG131</f>
        <v>-8286</v>
      </c>
      <c r="AH137" s="1">
        <f>'DRE NOVAS PARCERIAS CAIXA'!AH131</f>
        <v>-9814</v>
      </c>
      <c r="AI137" s="1">
        <f>'DRE NOVAS PARCERIAS CAIXA'!AI131</f>
        <v>-11594</v>
      </c>
      <c r="AJ137" s="1">
        <f>'DRE NOVAS PARCERIAS CAIXA'!AJ131</f>
        <v>-13274</v>
      </c>
      <c r="AK137" s="1">
        <f>'DRE NOVAS PARCERIAS CAIXA'!AK131</f>
        <v>-42968</v>
      </c>
      <c r="AL137" s="1">
        <f>'DRE NOVAS PARCERIAS CAIXA'!AL131</f>
        <v>-14691</v>
      </c>
      <c r="AM137" s="1">
        <f>'DRE NOVAS PARCERIAS CAIXA'!AM131</f>
        <v>-16277</v>
      </c>
      <c r="AN137" s="1">
        <f>'DRE NOVAS PARCERIAS CAIXA'!AN131</f>
        <v>-17597</v>
      </c>
      <c r="AO137" s="1">
        <f>'DRE NOVAS PARCERIAS CAIXA'!AO131</f>
        <v>-18371</v>
      </c>
      <c r="AP137" s="1">
        <f>'DRE NOVAS PARCERIAS CAIXA'!AP131</f>
        <v>-66936</v>
      </c>
      <c r="AQ137" s="1">
        <f>'DRE NOVAS PARCERIAS CAIXA'!AQ131</f>
        <v>-19907</v>
      </c>
      <c r="AR137" s="1">
        <f>'DRE NOVAS PARCERIAS CAIXA'!AR131</f>
        <v>-20647</v>
      </c>
      <c r="AS137" s="1">
        <f>'DRE NOVAS PARCERIAS CAIXA'!AS131</f>
        <v>-22169</v>
      </c>
      <c r="AT137" s="1">
        <f>'DRE NOVAS PARCERIAS CAIXA'!AT131</f>
        <v>-25341</v>
      </c>
      <c r="AU137" s="1">
        <f>'DRE NOVAS PARCERIAS CAIXA'!AU131</f>
        <v>-88064</v>
      </c>
      <c r="AV137" s="1">
        <f>'DRE NOVAS PARCERIAS CAIXA'!AV131</f>
        <v>-26599</v>
      </c>
      <c r="AW137" s="1">
        <f>'DRE NOVAS PARCERIAS CAIXA'!AW131</f>
        <v>-28531</v>
      </c>
      <c r="AX137" s="1">
        <f>'DRE NOVAS PARCERIAS CAIXA'!AX131</f>
        <v>-32197</v>
      </c>
      <c r="AY137" s="1">
        <f>'DRE NOVAS PARCERIAS CAIXA'!AY131</f>
        <v>-33600</v>
      </c>
      <c r="AZ137" s="1">
        <f>'DRE NOVAS PARCERIAS CAIXA'!AZ131</f>
        <v>-120927</v>
      </c>
      <c r="BA137" s="1">
        <f>'DRE NOVAS PARCERIAS CAIXA'!BA131</f>
        <v>-34977</v>
      </c>
    </row>
    <row r="138" spans="1:53">
      <c r="B138" t="str">
        <f t="shared" si="88"/>
        <v>XS4 Capitalização</v>
      </c>
      <c r="C138" s="1">
        <f>'DRE NOVAS PARCERIAS CAIXA'!C161</f>
        <v>0</v>
      </c>
      <c r="D138" s="1">
        <f>'DRE NOVAS PARCERIAS CAIXA'!D161</f>
        <v>0</v>
      </c>
      <c r="E138" s="1">
        <f>'DRE NOVAS PARCERIAS CAIXA'!E161</f>
        <v>0</v>
      </c>
      <c r="F138" s="1">
        <f>'DRE NOVAS PARCERIAS CAIXA'!F161</f>
        <v>0</v>
      </c>
      <c r="G138" s="1">
        <f>'DRE NOVAS PARCERIAS CAIXA'!G161</f>
        <v>0</v>
      </c>
      <c r="H138" s="1">
        <f>'DRE NOVAS PARCERIAS CAIXA'!H161</f>
        <v>0</v>
      </c>
      <c r="I138" s="1">
        <f>'DRE NOVAS PARCERIAS CAIXA'!I161</f>
        <v>0</v>
      </c>
      <c r="J138" s="1">
        <f>'DRE NOVAS PARCERIAS CAIXA'!J161</f>
        <v>0</v>
      </c>
      <c r="K138" s="1">
        <f>'DRE NOVAS PARCERIAS CAIXA'!K161</f>
        <v>0</v>
      </c>
      <c r="L138" s="1">
        <f>'DRE NOVAS PARCERIAS CAIXA'!L161</f>
        <v>0</v>
      </c>
      <c r="M138" s="1">
        <f>'DRE NOVAS PARCERIAS CAIXA'!M161</f>
        <v>0</v>
      </c>
      <c r="N138" s="1">
        <f>'DRE NOVAS PARCERIAS CAIXA'!N161</f>
        <v>0</v>
      </c>
      <c r="O138" s="1">
        <f>'DRE NOVAS PARCERIAS CAIXA'!O161</f>
        <v>0</v>
      </c>
      <c r="P138" s="1">
        <f>'DRE NOVAS PARCERIAS CAIXA'!P161</f>
        <v>0</v>
      </c>
      <c r="Q138" s="1">
        <f>'DRE NOVAS PARCERIAS CAIXA'!Q161</f>
        <v>0</v>
      </c>
      <c r="R138" s="1">
        <f>'DRE NOVAS PARCERIAS CAIXA'!R161</f>
        <v>0</v>
      </c>
      <c r="S138" s="1">
        <f>'DRE NOVAS PARCERIAS CAIXA'!S161</f>
        <v>0</v>
      </c>
      <c r="T138" s="1">
        <f>'DRE NOVAS PARCERIAS CAIXA'!T161</f>
        <v>0</v>
      </c>
      <c r="U138" s="1">
        <f>'DRE NOVAS PARCERIAS CAIXA'!U161</f>
        <v>0</v>
      </c>
      <c r="V138" s="1">
        <f>'DRE NOVAS PARCERIAS CAIXA'!V161</f>
        <v>0</v>
      </c>
      <c r="W138" s="1">
        <f>'DRE NOVAS PARCERIAS CAIXA'!W161</f>
        <v>0</v>
      </c>
      <c r="X138" s="1">
        <f>'DRE NOVAS PARCERIAS CAIXA'!X161</f>
        <v>0</v>
      </c>
      <c r="Y138" s="1">
        <f>'DRE NOVAS PARCERIAS CAIXA'!Y161</f>
        <v>0</v>
      </c>
      <c r="Z138" s="1">
        <f>'DRE NOVAS PARCERIAS CAIXA'!Z161</f>
        <v>-18</v>
      </c>
      <c r="AA138" s="1">
        <f>'DRE NOVAS PARCERIAS CAIXA'!AA161</f>
        <v>-18</v>
      </c>
      <c r="AB138" s="1">
        <f>'DRE NOVAS PARCERIAS CAIXA'!AB161</f>
        <v>-3.0232700000000001</v>
      </c>
      <c r="AC138" s="1">
        <f>'DRE NOVAS PARCERIAS CAIXA'!AC161</f>
        <v>-34.381720000000001</v>
      </c>
      <c r="AD138" s="1">
        <f>'DRE NOVAS PARCERIAS CAIXA'!AD161</f>
        <v>-1149.34096</v>
      </c>
      <c r="AE138" s="1">
        <f>'DRE NOVAS PARCERIAS CAIXA'!AE161</f>
        <v>-1695.7794099999999</v>
      </c>
      <c r="AF138" s="1">
        <f>'DRE NOVAS PARCERIAS CAIXA'!AF161</f>
        <v>-2882.5253599999996</v>
      </c>
      <c r="AG138" s="1">
        <f>'DRE NOVAS PARCERIAS CAIXA'!AG161</f>
        <v>-2011</v>
      </c>
      <c r="AH138" s="1">
        <f>'DRE NOVAS PARCERIAS CAIXA'!AH161</f>
        <v>-3260</v>
      </c>
      <c r="AI138" s="1">
        <f>'DRE NOVAS PARCERIAS CAIXA'!AI161</f>
        <v>-4760</v>
      </c>
      <c r="AJ138" s="1">
        <f>'DRE NOVAS PARCERIAS CAIXA'!AJ161</f>
        <v>-4368</v>
      </c>
      <c r="AK138" s="1">
        <f>'DRE NOVAS PARCERIAS CAIXA'!AK161</f>
        <v>-14399</v>
      </c>
      <c r="AL138" s="1">
        <f>'DRE NOVAS PARCERIAS CAIXA'!AL161</f>
        <v>-5526</v>
      </c>
      <c r="AM138" s="1">
        <f>'DRE NOVAS PARCERIAS CAIXA'!AM161</f>
        <v>-5349</v>
      </c>
      <c r="AN138" s="1">
        <f>'DRE NOVAS PARCERIAS CAIXA'!AN161</f>
        <v>-6575</v>
      </c>
      <c r="AO138" s="1">
        <f>'DRE NOVAS PARCERIAS CAIXA'!AO161</f>
        <v>-6528</v>
      </c>
      <c r="AP138" s="1">
        <f>'DRE NOVAS PARCERIAS CAIXA'!AP161</f>
        <v>-23978</v>
      </c>
      <c r="AQ138" s="1">
        <f>'DRE NOVAS PARCERIAS CAIXA'!AQ161</f>
        <v>-6407</v>
      </c>
      <c r="AR138" s="1">
        <f>'DRE NOVAS PARCERIAS CAIXA'!AR161</f>
        <v>-6556</v>
      </c>
      <c r="AS138" s="1">
        <f>'DRE NOVAS PARCERIAS CAIXA'!AS161</f>
        <v>-7156</v>
      </c>
      <c r="AT138" s="1">
        <f>'DRE NOVAS PARCERIAS CAIXA'!AT161</f>
        <v>-7374</v>
      </c>
      <c r="AU138" s="1">
        <f>'DRE NOVAS PARCERIAS CAIXA'!AU161</f>
        <v>-27493</v>
      </c>
      <c r="AV138" s="1">
        <f>'DRE NOVAS PARCERIAS CAIXA'!AV161</f>
        <v>-7762</v>
      </c>
      <c r="AW138" s="1">
        <f>'DRE NOVAS PARCERIAS CAIXA'!AW161</f>
        <v>-7843</v>
      </c>
      <c r="AX138" s="1">
        <f>'DRE NOVAS PARCERIAS CAIXA'!AX161</f>
        <v>-8406</v>
      </c>
      <c r="AY138" s="1">
        <f>'DRE NOVAS PARCERIAS CAIXA'!AY161</f>
        <v>-8640</v>
      </c>
      <c r="AZ138" s="1">
        <f>'DRE NOVAS PARCERIAS CAIXA'!AZ161</f>
        <v>-32651</v>
      </c>
      <c r="BA138" s="1">
        <f>'DRE NOVAS PARCERIAS CAIXA'!BA161</f>
        <v>-9066</v>
      </c>
    </row>
    <row r="139" spans="1:53">
      <c r="B139" t="str">
        <f t="shared" si="88"/>
        <v>XS5 Consórcio</v>
      </c>
      <c r="C139" s="1">
        <f>'DRE NOVAS PARCERIAS CAIXA'!C185</f>
        <v>0</v>
      </c>
      <c r="D139" s="1">
        <f>'DRE NOVAS PARCERIAS CAIXA'!D185</f>
        <v>0</v>
      </c>
      <c r="E139" s="1">
        <f>'DRE NOVAS PARCERIAS CAIXA'!E185</f>
        <v>0</v>
      </c>
      <c r="F139" s="1">
        <f>'DRE NOVAS PARCERIAS CAIXA'!F185</f>
        <v>0</v>
      </c>
      <c r="G139" s="1">
        <f>'DRE NOVAS PARCERIAS CAIXA'!G185</f>
        <v>0</v>
      </c>
      <c r="H139" s="1">
        <f>'DRE NOVAS PARCERIAS CAIXA'!H185</f>
        <v>0</v>
      </c>
      <c r="I139" s="1">
        <f>'DRE NOVAS PARCERIAS CAIXA'!I185</f>
        <v>0</v>
      </c>
      <c r="J139" s="1">
        <f>'DRE NOVAS PARCERIAS CAIXA'!J185</f>
        <v>0</v>
      </c>
      <c r="K139" s="1">
        <f>'DRE NOVAS PARCERIAS CAIXA'!K185</f>
        <v>0</v>
      </c>
      <c r="L139" s="1">
        <f>'DRE NOVAS PARCERIAS CAIXA'!L185</f>
        <v>0</v>
      </c>
      <c r="M139" s="1">
        <f>'DRE NOVAS PARCERIAS CAIXA'!M185</f>
        <v>0</v>
      </c>
      <c r="N139" s="1">
        <f>'DRE NOVAS PARCERIAS CAIXA'!N185</f>
        <v>0</v>
      </c>
      <c r="O139" s="1">
        <f>'DRE NOVAS PARCERIAS CAIXA'!O185</f>
        <v>0</v>
      </c>
      <c r="P139" s="1">
        <f>'DRE NOVAS PARCERIAS CAIXA'!P185</f>
        <v>0</v>
      </c>
      <c r="Q139" s="1">
        <f>'DRE NOVAS PARCERIAS CAIXA'!Q185</f>
        <v>0</v>
      </c>
      <c r="R139" s="1">
        <f>'DRE NOVAS PARCERIAS CAIXA'!R185</f>
        <v>0</v>
      </c>
      <c r="S139" s="1">
        <f>'DRE NOVAS PARCERIAS CAIXA'!S185</f>
        <v>0</v>
      </c>
      <c r="T139" s="1">
        <f>'DRE NOVAS PARCERIAS CAIXA'!T185</f>
        <v>0</v>
      </c>
      <c r="U139" s="1">
        <f>'DRE NOVAS PARCERIAS CAIXA'!U185</f>
        <v>0</v>
      </c>
      <c r="V139" s="1">
        <f>'DRE NOVAS PARCERIAS CAIXA'!V185</f>
        <v>0</v>
      </c>
      <c r="W139" s="1">
        <f>'DRE NOVAS PARCERIAS CAIXA'!W185</f>
        <v>0</v>
      </c>
      <c r="X139" s="1">
        <f>'DRE NOVAS PARCERIAS CAIXA'!X185</f>
        <v>0</v>
      </c>
      <c r="Y139" s="1">
        <f>'DRE NOVAS PARCERIAS CAIXA'!Y185</f>
        <v>0</v>
      </c>
      <c r="Z139" s="1">
        <f>'DRE NOVAS PARCERIAS CAIXA'!Z185</f>
        <v>0</v>
      </c>
      <c r="AA139" s="1">
        <f>'DRE NOVAS PARCERIAS CAIXA'!AA185</f>
        <v>0</v>
      </c>
      <c r="AB139" s="1">
        <f>'DRE NOVAS PARCERIAS CAIXA'!AB185</f>
        <v>0</v>
      </c>
      <c r="AC139" s="1">
        <f>'DRE NOVAS PARCERIAS CAIXA'!AC185</f>
        <v>-43.122620000000005</v>
      </c>
      <c r="AD139" s="1">
        <f>'DRE NOVAS PARCERIAS CAIXA'!AD185</f>
        <v>-81.340190000000007</v>
      </c>
      <c r="AE139" s="1">
        <f>'DRE NOVAS PARCERIAS CAIXA'!AE185</f>
        <v>-587</v>
      </c>
      <c r="AF139" s="1">
        <f>'DRE NOVAS PARCERIAS CAIXA'!AF185</f>
        <v>-711.46280999999999</v>
      </c>
      <c r="AG139" s="1">
        <f>'DRE NOVAS PARCERIAS CAIXA'!AG185</f>
        <v>-2436</v>
      </c>
      <c r="AH139" s="1">
        <f>'DRE NOVAS PARCERIAS CAIXA'!AH185</f>
        <v>-5498</v>
      </c>
      <c r="AI139" s="1">
        <f>'DRE NOVAS PARCERIAS CAIXA'!AI185</f>
        <v>-9832</v>
      </c>
      <c r="AJ139" s="1">
        <f>'DRE NOVAS PARCERIAS CAIXA'!AJ185</f>
        <v>-14310</v>
      </c>
      <c r="AK139" s="1">
        <f>'DRE NOVAS PARCERIAS CAIXA'!AK185</f>
        <v>-32076</v>
      </c>
      <c r="AL139" s="1">
        <f>'DRE NOVAS PARCERIAS CAIXA'!AL185</f>
        <v>-16836</v>
      </c>
      <c r="AM139" s="1">
        <f>'DRE NOVAS PARCERIAS CAIXA'!AM185</f>
        <v>-18872</v>
      </c>
      <c r="AN139" s="1">
        <f>'DRE NOVAS PARCERIAS CAIXA'!AN185</f>
        <v>-22075</v>
      </c>
      <c r="AO139" s="1">
        <f>'DRE NOVAS PARCERIAS CAIXA'!AO185</f>
        <v>-25411</v>
      </c>
      <c r="AP139" s="1">
        <f>'DRE NOVAS PARCERIAS CAIXA'!AP185</f>
        <v>-83194</v>
      </c>
      <c r="AQ139" s="1">
        <f>'DRE NOVAS PARCERIAS CAIXA'!AQ185</f>
        <v>-28031</v>
      </c>
      <c r="AR139" s="1">
        <f>'DRE NOVAS PARCERIAS CAIXA'!AR185</f>
        <v>-30862</v>
      </c>
      <c r="AS139" s="1">
        <f>'DRE NOVAS PARCERIAS CAIXA'!AS185</f>
        <v>-25859</v>
      </c>
      <c r="AT139" s="1">
        <f>'DRE NOVAS PARCERIAS CAIXA'!AT185</f>
        <v>-27610</v>
      </c>
      <c r="AU139" s="1">
        <f>'DRE NOVAS PARCERIAS CAIXA'!AU185</f>
        <v>-112362</v>
      </c>
      <c r="AV139" s="1">
        <f>'DRE NOVAS PARCERIAS CAIXA'!AV185</f>
        <v>-29924</v>
      </c>
      <c r="AW139" s="1">
        <f>'DRE NOVAS PARCERIAS CAIXA'!AW185</f>
        <v>-22114</v>
      </c>
      <c r="AX139" s="1">
        <f>'DRE NOVAS PARCERIAS CAIXA'!AX185</f>
        <v>-19309</v>
      </c>
      <c r="AY139" s="1">
        <f>'DRE NOVAS PARCERIAS CAIXA'!AY185</f>
        <v>-17801</v>
      </c>
      <c r="AZ139" s="1">
        <f>'DRE NOVAS PARCERIAS CAIXA'!AZ185</f>
        <v>-89148</v>
      </c>
      <c r="BA139" s="1">
        <f>'DRE NOVAS PARCERIAS CAIXA'!BA185</f>
        <v>-15194</v>
      </c>
    </row>
    <row r="140" spans="1:53">
      <c r="B140" t="str">
        <f t="shared" si="88"/>
        <v>XS6 Assistência</v>
      </c>
      <c r="C140" s="1">
        <f>'DRE NOVAS PARCERIAS CAIXA'!C210</f>
        <v>0</v>
      </c>
      <c r="D140" s="1">
        <f>'DRE NOVAS PARCERIAS CAIXA'!D210</f>
        <v>0</v>
      </c>
      <c r="E140" s="1">
        <f>'DRE NOVAS PARCERIAS CAIXA'!E210</f>
        <v>0</v>
      </c>
      <c r="F140" s="1">
        <f>'DRE NOVAS PARCERIAS CAIXA'!F210</f>
        <v>0</v>
      </c>
      <c r="G140" s="1">
        <f>'DRE NOVAS PARCERIAS CAIXA'!G210</f>
        <v>0</v>
      </c>
      <c r="H140" s="1">
        <f>'DRE NOVAS PARCERIAS CAIXA'!H210</f>
        <v>0</v>
      </c>
      <c r="I140" s="1">
        <f>'DRE NOVAS PARCERIAS CAIXA'!I210</f>
        <v>0</v>
      </c>
      <c r="J140" s="1">
        <f>'DRE NOVAS PARCERIAS CAIXA'!J210</f>
        <v>0</v>
      </c>
      <c r="K140" s="1">
        <f>'DRE NOVAS PARCERIAS CAIXA'!K210</f>
        <v>0</v>
      </c>
      <c r="L140" s="1">
        <f>'DRE NOVAS PARCERIAS CAIXA'!L210</f>
        <v>0</v>
      </c>
      <c r="M140" s="1">
        <f>'DRE NOVAS PARCERIAS CAIXA'!M210</f>
        <v>0</v>
      </c>
      <c r="N140" s="1">
        <f>'DRE NOVAS PARCERIAS CAIXA'!N210</f>
        <v>0</v>
      </c>
      <c r="O140" s="1">
        <f>'DRE NOVAS PARCERIAS CAIXA'!O210</f>
        <v>0</v>
      </c>
      <c r="P140" s="1">
        <f>'DRE NOVAS PARCERIAS CAIXA'!P210</f>
        <v>0</v>
      </c>
      <c r="Q140" s="1">
        <f>'DRE NOVAS PARCERIAS CAIXA'!Q210</f>
        <v>0</v>
      </c>
      <c r="R140" s="1">
        <f>'DRE NOVAS PARCERIAS CAIXA'!R210</f>
        <v>0</v>
      </c>
      <c r="S140" s="1">
        <f>'DRE NOVAS PARCERIAS CAIXA'!S210</f>
        <v>0</v>
      </c>
      <c r="T140" s="1">
        <f>'DRE NOVAS PARCERIAS CAIXA'!T210</f>
        <v>0</v>
      </c>
      <c r="U140" s="1">
        <f>'DRE NOVAS PARCERIAS CAIXA'!U210</f>
        <v>0</v>
      </c>
      <c r="V140" s="1">
        <f>'DRE NOVAS PARCERIAS CAIXA'!V210</f>
        <v>0</v>
      </c>
      <c r="W140" s="1">
        <f>'DRE NOVAS PARCERIAS CAIXA'!W210</f>
        <v>0</v>
      </c>
      <c r="X140" s="1">
        <f>'DRE NOVAS PARCERIAS CAIXA'!X210</f>
        <v>0</v>
      </c>
      <c r="Y140" s="1">
        <f>'DRE NOVAS PARCERIAS CAIXA'!Y210</f>
        <v>0</v>
      </c>
      <c r="Z140" s="1">
        <f>'DRE NOVAS PARCERIAS CAIXA'!Z210</f>
        <v>-2</v>
      </c>
      <c r="AA140" s="1">
        <f>'DRE NOVAS PARCERIAS CAIXA'!AA210</f>
        <v>-2</v>
      </c>
      <c r="AB140" s="1">
        <f>'DRE NOVAS PARCERIAS CAIXA'!AB210</f>
        <v>0</v>
      </c>
      <c r="AC140" s="1">
        <f>'DRE NOVAS PARCERIAS CAIXA'!AC210</f>
        <v>0</v>
      </c>
      <c r="AD140" s="1">
        <f>'DRE NOVAS PARCERIAS CAIXA'!AD210</f>
        <v>0</v>
      </c>
      <c r="AE140" s="1">
        <f>'DRE NOVAS PARCERIAS CAIXA'!AE210</f>
        <v>0</v>
      </c>
      <c r="AF140" s="1">
        <f>'DRE NOVAS PARCERIAS CAIXA'!AF210</f>
        <v>0</v>
      </c>
      <c r="AG140" s="1">
        <f>'DRE NOVAS PARCERIAS CAIXA'!AG210</f>
        <v>0</v>
      </c>
      <c r="AH140" s="1">
        <f>'DRE NOVAS PARCERIAS CAIXA'!AH210</f>
        <v>0</v>
      </c>
      <c r="AI140" s="1">
        <f>'DRE NOVAS PARCERIAS CAIXA'!AI210</f>
        <v>0</v>
      </c>
      <c r="AJ140" s="1">
        <f>'DRE NOVAS PARCERIAS CAIXA'!AJ210</f>
        <v>0</v>
      </c>
      <c r="AK140" s="1">
        <f>'DRE NOVAS PARCERIAS CAIXA'!AK210</f>
        <v>0</v>
      </c>
      <c r="AL140" s="1">
        <f>'DRE NOVAS PARCERIAS CAIXA'!AL210</f>
        <v>0</v>
      </c>
      <c r="AM140" s="1">
        <f>'DRE NOVAS PARCERIAS CAIXA'!AM210</f>
        <v>0</v>
      </c>
      <c r="AN140" s="1">
        <f>'DRE NOVAS PARCERIAS CAIXA'!AN210</f>
        <v>0</v>
      </c>
      <c r="AO140" s="1">
        <f>'DRE NOVAS PARCERIAS CAIXA'!AO210</f>
        <v>0</v>
      </c>
      <c r="AP140" s="1">
        <f>'DRE NOVAS PARCERIAS CAIXA'!AP210</f>
        <v>0</v>
      </c>
      <c r="AQ140" s="1">
        <f>'DRE NOVAS PARCERIAS CAIXA'!AQ210</f>
        <v>0</v>
      </c>
      <c r="AR140" s="1">
        <f>'DRE NOVAS PARCERIAS CAIXA'!AR210</f>
        <v>0</v>
      </c>
      <c r="AS140" s="1">
        <f>'DRE NOVAS PARCERIAS CAIXA'!AS210</f>
        <v>0</v>
      </c>
      <c r="AT140" s="1">
        <f>'DRE NOVAS PARCERIAS CAIXA'!AT210</f>
        <v>0</v>
      </c>
      <c r="AU140" s="1">
        <f>'DRE NOVAS PARCERIAS CAIXA'!AU210</f>
        <v>0</v>
      </c>
      <c r="AV140" s="1">
        <f>'DRE NOVAS PARCERIAS CAIXA'!AV210</f>
        <v>0</v>
      </c>
      <c r="AW140" s="1">
        <f>'DRE NOVAS PARCERIAS CAIXA'!AW210</f>
        <v>0</v>
      </c>
      <c r="AX140" s="1">
        <f>'DRE NOVAS PARCERIAS CAIXA'!AX210</f>
        <v>0</v>
      </c>
      <c r="AY140" s="1">
        <f>'DRE NOVAS PARCERIAS CAIXA'!AY210</f>
        <v>0</v>
      </c>
      <c r="AZ140" s="1">
        <f>'DRE NOVAS PARCERIAS CAIXA'!AZ210</f>
        <v>0</v>
      </c>
      <c r="BA140" s="1">
        <f>'DRE NOVAS PARCERIAS CAIXA'!BA210</f>
        <v>0</v>
      </c>
    </row>
    <row r="141" spans="1:53" s="100" customFormat="1">
      <c r="A141" s="9"/>
      <c r="B141" s="9" t="str">
        <f t="shared" si="88"/>
        <v>Parcerias Banco PAN</v>
      </c>
      <c r="C141" s="160">
        <f t="shared" ref="C141:AV141" si="93">SUM(C142:C143)</f>
        <v>-5842</v>
      </c>
      <c r="D141" s="160">
        <f t="shared" si="93"/>
        <v>-5993</v>
      </c>
      <c r="E141" s="160">
        <f t="shared" si="93"/>
        <v>-5565</v>
      </c>
      <c r="F141" s="160">
        <f t="shared" si="93"/>
        <v>-6309</v>
      </c>
      <c r="G141" s="160">
        <f t="shared" si="93"/>
        <v>-23709</v>
      </c>
      <c r="H141" s="160">
        <f t="shared" si="93"/>
        <v>-4909.9291999999996</v>
      </c>
      <c r="I141" s="160">
        <f t="shared" si="93"/>
        <v>-4855.1894400000001</v>
      </c>
      <c r="J141" s="160">
        <f t="shared" si="93"/>
        <v>-5245.0165500000003</v>
      </c>
      <c r="K141" s="160">
        <f t="shared" si="93"/>
        <v>-4322.4570899999999</v>
      </c>
      <c r="L141" s="160">
        <f t="shared" si="93"/>
        <v>-19332.592280000001</v>
      </c>
      <c r="M141" s="160">
        <f t="shared" si="93"/>
        <v>-583.84290999999996</v>
      </c>
      <c r="N141" s="160">
        <f t="shared" si="93"/>
        <v>-4978.97102</v>
      </c>
      <c r="O141" s="160">
        <f t="shared" si="93"/>
        <v>-5439.4675200000001</v>
      </c>
      <c r="P141" s="160">
        <f t="shared" si="93"/>
        <v>-5074.7383200000004</v>
      </c>
      <c r="Q141" s="160">
        <f t="shared" si="93"/>
        <v>-16077.019770000001</v>
      </c>
      <c r="R141" s="160">
        <f t="shared" si="93"/>
        <v>-4818.1427700000004</v>
      </c>
      <c r="S141" s="160">
        <f t="shared" si="93"/>
        <v>-6000.6950999999999</v>
      </c>
      <c r="T141" s="160">
        <f t="shared" si="93"/>
        <v>-6672.1621299999997</v>
      </c>
      <c r="U141" s="160">
        <f t="shared" si="93"/>
        <v>-6318.2524000000003</v>
      </c>
      <c r="V141" s="160">
        <f t="shared" si="93"/>
        <v>-23809.252400000001</v>
      </c>
      <c r="W141" s="160">
        <f t="shared" si="93"/>
        <v>-6061</v>
      </c>
      <c r="X141" s="160">
        <f t="shared" si="93"/>
        <v>-5479.3948300000002</v>
      </c>
      <c r="Y141" s="160">
        <f t="shared" si="93"/>
        <v>-6365</v>
      </c>
      <c r="Z141" s="160">
        <f t="shared" si="93"/>
        <v>-5933</v>
      </c>
      <c r="AA141" s="160">
        <f t="shared" si="93"/>
        <v>-23838.394830000001</v>
      </c>
      <c r="AB141" s="160">
        <f t="shared" si="93"/>
        <v>-5436</v>
      </c>
      <c r="AC141" s="160">
        <f t="shared" si="93"/>
        <v>-7236</v>
      </c>
      <c r="AD141" s="160">
        <f t="shared" si="93"/>
        <v>-7666.6070900000004</v>
      </c>
      <c r="AE141" s="160">
        <f t="shared" si="93"/>
        <v>-6079</v>
      </c>
      <c r="AF141" s="160">
        <f t="shared" si="93"/>
        <v>-26417.607090000001</v>
      </c>
      <c r="AG141" s="160">
        <f t="shared" si="93"/>
        <v>-10662</v>
      </c>
      <c r="AH141" s="160">
        <f t="shared" si="93"/>
        <v>-10208</v>
      </c>
      <c r="AI141" s="160">
        <f t="shared" si="93"/>
        <v>-12162</v>
      </c>
      <c r="AJ141" s="160">
        <f t="shared" si="93"/>
        <v>-12321</v>
      </c>
      <c r="AK141" s="160">
        <f t="shared" si="93"/>
        <v>-45353</v>
      </c>
      <c r="AL141" s="160">
        <f t="shared" si="93"/>
        <v>-13398</v>
      </c>
      <c r="AM141" s="160">
        <f t="shared" si="93"/>
        <v>-14442</v>
      </c>
      <c r="AN141" s="160">
        <f t="shared" si="93"/>
        <v>-14546</v>
      </c>
      <c r="AO141" s="160">
        <f t="shared" si="93"/>
        <v>-13710.656999999999</v>
      </c>
      <c r="AP141" s="160">
        <f t="shared" si="93"/>
        <v>-56096.656999999999</v>
      </c>
      <c r="AQ141" s="160">
        <f t="shared" si="93"/>
        <v>-16587.919999999998</v>
      </c>
      <c r="AR141" s="160">
        <f t="shared" si="93"/>
        <v>-15132.171</v>
      </c>
      <c r="AS141" s="160">
        <f t="shared" si="93"/>
        <v>-17378.063999999998</v>
      </c>
      <c r="AT141" s="160">
        <f t="shared" si="93"/>
        <v>-18711.136999999999</v>
      </c>
      <c r="AU141" s="160">
        <f t="shared" si="93"/>
        <v>-67809.292000000001</v>
      </c>
      <c r="AV141" s="160">
        <f t="shared" si="93"/>
        <v>-18978.508999999998</v>
      </c>
      <c r="AW141" s="160">
        <f>SUM(AW142:AW143)</f>
        <v>-19591.386999999999</v>
      </c>
      <c r="AX141" s="160">
        <f>SUM(AX142:AX143)</f>
        <v>-19489.638999999999</v>
      </c>
      <c r="AY141" s="160">
        <f>SUM(AY142:AY143)</f>
        <v>-20748.278999999999</v>
      </c>
      <c r="AZ141" s="160">
        <f>SUM(AZ142:AZ143)</f>
        <v>-78807.813999999998</v>
      </c>
      <c r="BA141" s="160">
        <f t="shared" ref="BA141" si="94">SUM(BA142:BA143)</f>
        <v>-23087.026000000002</v>
      </c>
    </row>
    <row r="142" spans="1:53">
      <c r="B142" t="str">
        <f t="shared" si="88"/>
        <v>Too Seguros</v>
      </c>
      <c r="C142" s="1">
        <f>'DRE PARCERIAS BANCO PAN'!C18</f>
        <v>-5842</v>
      </c>
      <c r="D142" s="1">
        <f>'DRE PARCERIAS BANCO PAN'!D18</f>
        <v>-4845</v>
      </c>
      <c r="E142" s="1">
        <f>'DRE PARCERIAS BANCO PAN'!E18</f>
        <v>-5047</v>
      </c>
      <c r="F142" s="1">
        <f>'DRE PARCERIAS BANCO PAN'!F18</f>
        <v>-5667</v>
      </c>
      <c r="G142" s="1">
        <f>'DRE PARCERIAS BANCO PAN'!G18</f>
        <v>-21401</v>
      </c>
      <c r="H142" s="1">
        <f>'DRE PARCERIAS BANCO PAN'!H18</f>
        <v>-4870</v>
      </c>
      <c r="I142" s="1">
        <f>'DRE PARCERIAS BANCO PAN'!I18</f>
        <v>-4845</v>
      </c>
      <c r="J142" s="1">
        <f>'DRE PARCERIAS BANCO PAN'!J18</f>
        <v>-5238</v>
      </c>
      <c r="K142" s="1">
        <f>'DRE PARCERIAS BANCO PAN'!K18</f>
        <v>-4317</v>
      </c>
      <c r="L142" s="1">
        <f>'DRE PARCERIAS BANCO PAN'!L18</f>
        <v>-19270</v>
      </c>
      <c r="M142" s="1">
        <f>'DRE PARCERIAS BANCO PAN'!M18</f>
        <v>-578</v>
      </c>
      <c r="N142" s="1">
        <f>'DRE PARCERIAS BANCO PAN'!N18</f>
        <v>-4971</v>
      </c>
      <c r="O142" s="1">
        <f>'DRE PARCERIAS BANCO PAN'!O18</f>
        <v>-5415</v>
      </c>
      <c r="P142" s="1">
        <f>'DRE PARCERIAS BANCO PAN'!P18</f>
        <v>-5058</v>
      </c>
      <c r="Q142" s="1">
        <f>'DRE PARCERIAS BANCO PAN'!Q18</f>
        <v>-16022</v>
      </c>
      <c r="R142" s="1">
        <f>'DRE PARCERIAS BANCO PAN'!R18</f>
        <v>-4802</v>
      </c>
      <c r="S142" s="1">
        <f>'DRE PARCERIAS BANCO PAN'!S18</f>
        <v>-5985</v>
      </c>
      <c r="T142" s="1">
        <f>'DRE PARCERIAS BANCO PAN'!T18</f>
        <v>-6661</v>
      </c>
      <c r="U142" s="1">
        <f>'DRE PARCERIAS BANCO PAN'!U18</f>
        <v>-6308</v>
      </c>
      <c r="V142" s="1">
        <f>'DRE PARCERIAS BANCO PAN'!V18</f>
        <v>-23756</v>
      </c>
      <c r="W142" s="1">
        <f>'DRE PARCERIAS BANCO PAN'!W18</f>
        <v>-6051</v>
      </c>
      <c r="X142" s="1">
        <f>'DRE PARCERIAS BANCO PAN'!X18</f>
        <v>-5467</v>
      </c>
      <c r="Y142" s="1">
        <f>'DRE PARCERIAS BANCO PAN'!Y18</f>
        <v>-6354</v>
      </c>
      <c r="Z142" s="1">
        <f>'DRE PARCERIAS BANCO PAN'!Z18</f>
        <v>-5927</v>
      </c>
      <c r="AA142" s="1">
        <f>'DRE PARCERIAS BANCO PAN'!AA18</f>
        <v>-23799</v>
      </c>
      <c r="AB142" s="1">
        <f>'DRE PARCERIAS BANCO PAN'!AB18</f>
        <v>-5430</v>
      </c>
      <c r="AC142" s="1">
        <f>'DRE PARCERIAS BANCO PAN'!AC18</f>
        <v>-7228</v>
      </c>
      <c r="AD142" s="1">
        <f>'DRE PARCERIAS BANCO PAN'!AD18</f>
        <v>-7658</v>
      </c>
      <c r="AE142" s="1">
        <f>'DRE PARCERIAS BANCO PAN'!AE18</f>
        <v>-6071</v>
      </c>
      <c r="AF142" s="1">
        <f>'DRE PARCERIAS BANCO PAN'!AF18</f>
        <v>-26387</v>
      </c>
      <c r="AG142" s="1">
        <f>'DRE PARCERIAS BANCO PAN'!AG18</f>
        <v>-10655</v>
      </c>
      <c r="AH142" s="1">
        <f>'DRE PARCERIAS BANCO PAN'!AH18</f>
        <v>-10175</v>
      </c>
      <c r="AI142" s="1">
        <f>'DRE PARCERIAS BANCO PAN'!AI18</f>
        <v>-12142</v>
      </c>
      <c r="AJ142" s="1">
        <f>'DRE PARCERIAS BANCO PAN'!AJ18</f>
        <v>-12308</v>
      </c>
      <c r="AK142" s="1">
        <f>'DRE PARCERIAS BANCO PAN'!AK18</f>
        <v>-45280</v>
      </c>
      <c r="AL142" s="1">
        <f>'DRE PARCERIAS BANCO PAN'!AL18</f>
        <v>-13375</v>
      </c>
      <c r="AM142" s="1">
        <f>'DRE PARCERIAS BANCO PAN'!AM18</f>
        <v>-14393</v>
      </c>
      <c r="AN142" s="1">
        <f>'DRE PARCERIAS BANCO PAN'!AN18</f>
        <v>-14525</v>
      </c>
      <c r="AO142" s="1">
        <f>'DRE PARCERIAS BANCO PAN'!AO18</f>
        <v>-13691</v>
      </c>
      <c r="AP142" s="1">
        <f>'DRE PARCERIAS BANCO PAN'!AP18</f>
        <v>-55984</v>
      </c>
      <c r="AQ142" s="1">
        <f>'DRE PARCERIAS BANCO PAN'!AQ18</f>
        <v>-16578</v>
      </c>
      <c r="AR142" s="1">
        <f>'DRE PARCERIAS BANCO PAN'!AR18</f>
        <v>-15114</v>
      </c>
      <c r="AS142" s="1">
        <f>'DRE PARCERIAS BANCO PAN'!AS18</f>
        <v>-17364</v>
      </c>
      <c r="AT142" s="1">
        <f>'DRE PARCERIAS BANCO PAN'!AT18</f>
        <v>-18688</v>
      </c>
      <c r="AU142" s="1">
        <f>'DRE PARCERIAS BANCO PAN'!AU18</f>
        <v>-67744</v>
      </c>
      <c r="AV142" s="1">
        <f>'DRE PARCERIAS BANCO PAN'!AV18</f>
        <v>-18972</v>
      </c>
      <c r="AW142" s="1">
        <f>'DRE PARCERIAS BANCO PAN'!AW18</f>
        <v>-19585</v>
      </c>
      <c r="AX142" s="1">
        <f>'DRE PARCERIAS BANCO PAN'!AX18</f>
        <v>-19484</v>
      </c>
      <c r="AY142" s="1">
        <f>'DRE PARCERIAS BANCO PAN'!AY18</f>
        <v>-20750</v>
      </c>
      <c r="AZ142" s="1">
        <f>'DRE PARCERIAS BANCO PAN'!AZ18</f>
        <v>-78791</v>
      </c>
      <c r="BA142" s="1">
        <f>'DRE PARCERIAS BANCO PAN'!BA18</f>
        <v>-23080</v>
      </c>
    </row>
    <row r="143" spans="1:53">
      <c r="B143" t="str">
        <f t="shared" si="88"/>
        <v>PAN Corretora</v>
      </c>
      <c r="C143" s="1">
        <f>'DRE PARCERIAS BANCO PAN'!C35</f>
        <v>0</v>
      </c>
      <c r="D143" s="1">
        <f>'DRE PARCERIAS BANCO PAN'!D35</f>
        <v>-1148</v>
      </c>
      <c r="E143" s="1">
        <f>'DRE PARCERIAS BANCO PAN'!E35</f>
        <v>-518</v>
      </c>
      <c r="F143" s="1">
        <f>'DRE PARCERIAS BANCO PAN'!F35</f>
        <v>-642</v>
      </c>
      <c r="G143" s="1">
        <f>'DRE PARCERIAS BANCO PAN'!G35</f>
        <v>-2308</v>
      </c>
      <c r="H143" s="1">
        <f>'DRE PARCERIAS BANCO PAN'!H35</f>
        <v>-39.929199999999994</v>
      </c>
      <c r="I143" s="1">
        <f>'DRE PARCERIAS BANCO PAN'!I35</f>
        <v>-10.189440000000005</v>
      </c>
      <c r="J143" s="1">
        <f>'DRE PARCERIAS BANCO PAN'!J35</f>
        <v>-7.0165500000000023</v>
      </c>
      <c r="K143" s="1">
        <f>'DRE PARCERIAS BANCO PAN'!K35</f>
        <v>-5.4570900000000009</v>
      </c>
      <c r="L143" s="1">
        <f>'DRE PARCERIAS BANCO PAN'!L35</f>
        <v>-62.592280000000002</v>
      </c>
      <c r="M143" s="1">
        <f>'DRE PARCERIAS BANCO PAN'!M35</f>
        <v>-5.8429099999999998</v>
      </c>
      <c r="N143" s="1">
        <f>'DRE PARCERIAS BANCO PAN'!N35</f>
        <v>-7.9710199999999993</v>
      </c>
      <c r="O143" s="1">
        <f>'DRE PARCERIAS BANCO PAN'!O35</f>
        <v>-24.46752</v>
      </c>
      <c r="P143" s="1">
        <f>'DRE PARCERIAS BANCO PAN'!P35</f>
        <v>-16.738320000000002</v>
      </c>
      <c r="Q143" s="1">
        <f>'DRE PARCERIAS BANCO PAN'!Q35</f>
        <v>-55.019770000000001</v>
      </c>
      <c r="R143" s="1">
        <f>'DRE PARCERIAS BANCO PAN'!R35</f>
        <v>-16.142769999999999</v>
      </c>
      <c r="S143" s="1">
        <f>'DRE PARCERIAS BANCO PAN'!S35</f>
        <v>-15.6951</v>
      </c>
      <c r="T143" s="1">
        <f>'DRE PARCERIAS BANCO PAN'!T35</f>
        <v>-11.162130000000001</v>
      </c>
      <c r="U143" s="1">
        <f>'DRE PARCERIAS BANCO PAN'!U35</f>
        <v>-10.252400000000009</v>
      </c>
      <c r="V143" s="1">
        <f>'DRE PARCERIAS BANCO PAN'!V35</f>
        <v>-53.252400000000009</v>
      </c>
      <c r="W143" s="1">
        <f>'DRE PARCERIAS BANCO PAN'!W35</f>
        <v>-10</v>
      </c>
      <c r="X143" s="1">
        <f>'DRE PARCERIAS BANCO PAN'!X35</f>
        <v>-12.394830000000002</v>
      </c>
      <c r="Y143" s="1">
        <f>'DRE PARCERIAS BANCO PAN'!Y35</f>
        <v>-11</v>
      </c>
      <c r="Z143" s="1">
        <f>'DRE PARCERIAS BANCO PAN'!Z35</f>
        <v>-6</v>
      </c>
      <c r="AA143" s="1">
        <f>'DRE PARCERIAS BANCO PAN'!AA35</f>
        <v>-39.394829999999999</v>
      </c>
      <c r="AB143" s="1">
        <f>'DRE PARCERIAS BANCO PAN'!AB35</f>
        <v>-6</v>
      </c>
      <c r="AC143" s="1">
        <f>'DRE PARCERIAS BANCO PAN'!AC35</f>
        <v>-8</v>
      </c>
      <c r="AD143" s="1">
        <f>'DRE PARCERIAS BANCO PAN'!AD35</f>
        <v>-8.6070899999999995</v>
      </c>
      <c r="AE143" s="1">
        <f>'DRE PARCERIAS BANCO PAN'!AE35</f>
        <v>-8</v>
      </c>
      <c r="AF143" s="1">
        <f>'DRE PARCERIAS BANCO PAN'!AF35</f>
        <v>-30.607089999999999</v>
      </c>
      <c r="AG143" s="1">
        <f>'DRE PARCERIAS BANCO PAN'!AG35</f>
        <v>-7</v>
      </c>
      <c r="AH143" s="1">
        <f>'DRE PARCERIAS BANCO PAN'!AH35</f>
        <v>-33</v>
      </c>
      <c r="AI143" s="1">
        <f>'DRE PARCERIAS BANCO PAN'!AI35</f>
        <v>-20</v>
      </c>
      <c r="AJ143" s="1">
        <f>'DRE PARCERIAS BANCO PAN'!AJ35</f>
        <v>-13</v>
      </c>
      <c r="AK143" s="1">
        <f>'DRE PARCERIAS BANCO PAN'!AK35</f>
        <v>-73</v>
      </c>
      <c r="AL143" s="1">
        <f>'DRE PARCERIAS BANCO PAN'!AL35</f>
        <v>-23</v>
      </c>
      <c r="AM143" s="1">
        <f>'DRE PARCERIAS BANCO PAN'!AM35</f>
        <v>-49</v>
      </c>
      <c r="AN143" s="1">
        <f>'DRE PARCERIAS BANCO PAN'!AN35</f>
        <v>-21</v>
      </c>
      <c r="AO143" s="1">
        <f>'DRE PARCERIAS BANCO PAN'!AO35</f>
        <v>-19.656999999999996</v>
      </c>
      <c r="AP143" s="1">
        <f>'DRE PARCERIAS BANCO PAN'!AP35</f>
        <v>-112.657</v>
      </c>
      <c r="AQ143" s="1">
        <f>'DRE PARCERIAS BANCO PAN'!AQ35</f>
        <v>-9.92</v>
      </c>
      <c r="AR143" s="1">
        <f>'DRE PARCERIAS BANCO PAN'!AR35</f>
        <v>-18.170999999999999</v>
      </c>
      <c r="AS143" s="1">
        <f>'DRE PARCERIAS BANCO PAN'!AS35</f>
        <v>-14.064</v>
      </c>
      <c r="AT143" s="1">
        <f>'DRE PARCERIAS BANCO PAN'!AT35</f>
        <v>-23.137</v>
      </c>
      <c r="AU143" s="1">
        <f>'DRE PARCERIAS BANCO PAN'!AU35</f>
        <v>-65.292000000000002</v>
      </c>
      <c r="AV143" s="1">
        <f>'DRE PARCERIAS BANCO PAN'!AV35</f>
        <v>-6.5090000000000003</v>
      </c>
      <c r="AW143" s="1">
        <f>'DRE PARCERIAS BANCO PAN'!AW35</f>
        <v>-6.3870000000000005</v>
      </c>
      <c r="AX143" s="1">
        <f>'DRE PARCERIAS BANCO PAN'!AX35</f>
        <v>-5.6389999999999993</v>
      </c>
      <c r="AY143" s="1">
        <f>'DRE PARCERIAS BANCO PAN'!AY35</f>
        <v>1.7210000000000001</v>
      </c>
      <c r="AZ143" s="1">
        <f>'DRE PARCERIAS BANCO PAN'!AZ35</f>
        <v>-16.814</v>
      </c>
      <c r="BA143" s="1">
        <f>'DRE PARCERIAS BANCO PAN'!BA35</f>
        <v>-7.0259999999999998</v>
      </c>
    </row>
    <row r="144" spans="1:53" s="100" customFormat="1">
      <c r="A144" s="9"/>
      <c r="B144" s="9" t="str">
        <f t="shared" si="88"/>
        <v>Holding + Corretora</v>
      </c>
      <c r="C144" s="76">
        <f t="shared" ref="C144:AV144" si="95">SUM(C145:C147)</f>
        <v>-10236</v>
      </c>
      <c r="D144" s="76">
        <f t="shared" si="95"/>
        <v>-9201</v>
      </c>
      <c r="E144" s="76">
        <f t="shared" si="95"/>
        <v>-11298</v>
      </c>
      <c r="F144" s="76">
        <f t="shared" si="95"/>
        <v>-11358</v>
      </c>
      <c r="G144" s="76">
        <f t="shared" si="95"/>
        <v>-42093</v>
      </c>
      <c r="H144" s="76">
        <f t="shared" si="95"/>
        <v>-14341.066120000001</v>
      </c>
      <c r="I144" s="76">
        <f t="shared" si="95"/>
        <v>-13100.862879999999</v>
      </c>
      <c r="J144" s="76">
        <f t="shared" si="95"/>
        <v>-13727.869769999994</v>
      </c>
      <c r="K144" s="76">
        <f t="shared" si="95"/>
        <v>-13909.481050000006</v>
      </c>
      <c r="L144" s="76">
        <f t="shared" si="95"/>
        <v>-55079.279819999996</v>
      </c>
      <c r="M144" s="76">
        <f t="shared" si="95"/>
        <v>-19959.096559999998</v>
      </c>
      <c r="N144" s="76">
        <f t="shared" si="95"/>
        <v>-15503.619029999994</v>
      </c>
      <c r="O144" s="76">
        <f t="shared" si="95"/>
        <v>-14948.997260000004</v>
      </c>
      <c r="P144" s="76">
        <f t="shared" si="95"/>
        <v>-19378.655770000012</v>
      </c>
      <c r="Q144" s="76">
        <f t="shared" si="95"/>
        <v>-69790.368620000008</v>
      </c>
      <c r="R144" s="76">
        <f t="shared" si="95"/>
        <v>-17576</v>
      </c>
      <c r="S144" s="76">
        <f t="shared" si="95"/>
        <v>-19145</v>
      </c>
      <c r="T144" s="76">
        <f t="shared" si="95"/>
        <v>-19808</v>
      </c>
      <c r="U144" s="76">
        <f t="shared" si="95"/>
        <v>-12485.037850000008</v>
      </c>
      <c r="V144" s="76">
        <f t="shared" si="95"/>
        <v>-69014.037850000008</v>
      </c>
      <c r="W144" s="76">
        <f t="shared" si="95"/>
        <v>-13691</v>
      </c>
      <c r="X144" s="76">
        <f t="shared" si="95"/>
        <v>-16342</v>
      </c>
      <c r="Y144" s="76">
        <f t="shared" si="95"/>
        <v>-31540</v>
      </c>
      <c r="Z144" s="76">
        <f t="shared" si="95"/>
        <v>-23099</v>
      </c>
      <c r="AA144" s="76">
        <f t="shared" si="95"/>
        <v>-84672</v>
      </c>
      <c r="AB144" s="76">
        <f t="shared" si="95"/>
        <v>-21071</v>
      </c>
      <c r="AC144" s="76">
        <f t="shared" si="95"/>
        <v>-24622.721720000001</v>
      </c>
      <c r="AD144" s="76">
        <f t="shared" si="95"/>
        <v>-40930.164420000001</v>
      </c>
      <c r="AE144" s="76">
        <f t="shared" si="95"/>
        <v>-42065.817999999999</v>
      </c>
      <c r="AF144" s="76">
        <f t="shared" si="95"/>
        <v>-128689.70414</v>
      </c>
      <c r="AG144" s="76">
        <f t="shared" si="95"/>
        <v>-39869</v>
      </c>
      <c r="AH144" s="76">
        <f t="shared" si="95"/>
        <v>-50050</v>
      </c>
      <c r="AI144" s="76">
        <f t="shared" si="95"/>
        <v>-64949</v>
      </c>
      <c r="AJ144" s="76">
        <f t="shared" si="95"/>
        <v>-51941</v>
      </c>
      <c r="AK144" s="76">
        <f t="shared" si="95"/>
        <v>-206809</v>
      </c>
      <c r="AL144" s="76">
        <f t="shared" si="95"/>
        <v>-58331</v>
      </c>
      <c r="AM144" s="76">
        <f t="shared" si="95"/>
        <v>-59834</v>
      </c>
      <c r="AN144" s="76">
        <f t="shared" si="95"/>
        <v>-63422</v>
      </c>
      <c r="AO144" s="76">
        <f t="shared" si="95"/>
        <v>-65583</v>
      </c>
      <c r="AP144" s="76">
        <f t="shared" si="95"/>
        <v>-247170</v>
      </c>
      <c r="AQ144" s="76">
        <f t="shared" si="95"/>
        <v>-66646.492829999988</v>
      </c>
      <c r="AR144" s="76">
        <f t="shared" si="95"/>
        <v>-66957</v>
      </c>
      <c r="AS144" s="76">
        <f t="shared" si="95"/>
        <v>-70589.122901900002</v>
      </c>
      <c r="AT144" s="76">
        <f t="shared" si="95"/>
        <v>-81424.585249999989</v>
      </c>
      <c r="AU144" s="76">
        <f t="shared" si="95"/>
        <v>-285617.20098190004</v>
      </c>
      <c r="AV144" s="76">
        <f t="shared" si="95"/>
        <v>-77378.76311</v>
      </c>
      <c r="AW144" s="76">
        <f>SUM(AW145:AW147)</f>
        <v>-73568.684959999955</v>
      </c>
      <c r="AX144" s="76">
        <f>SUM(AX145:AX147)</f>
        <v>-79807.775279999987</v>
      </c>
      <c r="AY144" s="76">
        <f>SUM(AY145:AY147)</f>
        <v>-78651.238620000004</v>
      </c>
      <c r="AZ144" s="76">
        <f>SUM(AZ145:AZ147)</f>
        <v>-309406.46196999995</v>
      </c>
      <c r="BA144" s="76">
        <f t="shared" ref="BA144" si="96">SUM(BA145:BA147)</f>
        <v>-78332.044609999939</v>
      </c>
    </row>
    <row r="145" spans="1:56">
      <c r="B145" t="str">
        <f t="shared" si="88"/>
        <v>BDF</v>
      </c>
      <c r="C145" s="1">
        <f>'DRE NEGÓCIOS DE DISTRIBUIÇÃO'!C8</f>
        <v>-10236</v>
      </c>
      <c r="D145" s="1">
        <f>'DRE NEGÓCIOS DE DISTRIBUIÇÃO'!D8</f>
        <v>-9201</v>
      </c>
      <c r="E145" s="1">
        <f>'DRE NEGÓCIOS DE DISTRIBUIÇÃO'!E8</f>
        <v>-11298</v>
      </c>
      <c r="F145" s="1">
        <f>'DRE NEGÓCIOS DE DISTRIBUIÇÃO'!F8</f>
        <v>-11358</v>
      </c>
      <c r="G145" s="1">
        <f>'DRE NEGÓCIOS DE DISTRIBUIÇÃO'!G8</f>
        <v>-42093</v>
      </c>
      <c r="H145" s="1">
        <f>'DRE NEGÓCIOS DE DISTRIBUIÇÃO'!H8</f>
        <v>-14341.066120000001</v>
      </c>
      <c r="I145" s="1">
        <f>'DRE NEGÓCIOS DE DISTRIBUIÇÃO'!I8</f>
        <v>-13100.862879999999</v>
      </c>
      <c r="J145" s="1">
        <f>'DRE NEGÓCIOS DE DISTRIBUIÇÃO'!J8</f>
        <v>-13727.869769999994</v>
      </c>
      <c r="K145" s="1">
        <f>'DRE NEGÓCIOS DE DISTRIBUIÇÃO'!K8</f>
        <v>-11542.481050000006</v>
      </c>
      <c r="L145" s="1">
        <f>'DRE NEGÓCIOS DE DISTRIBUIÇÃO'!L8</f>
        <v>-52712.279819999996</v>
      </c>
      <c r="M145" s="1">
        <f>'DRE NEGÓCIOS DE DISTRIBUIÇÃO'!M8</f>
        <v>-19953.096559999998</v>
      </c>
      <c r="N145" s="1">
        <f>'DRE NEGÓCIOS DE DISTRIBUIÇÃO'!N8</f>
        <v>-15502.619029999994</v>
      </c>
      <c r="O145" s="1">
        <f>'DRE NEGÓCIOS DE DISTRIBUIÇÃO'!O8</f>
        <v>-14914.997260000004</v>
      </c>
      <c r="P145" s="1">
        <f>'DRE NEGÓCIOS DE DISTRIBUIÇÃO'!P8</f>
        <v>-17269.655770000012</v>
      </c>
      <c r="Q145" s="1">
        <f>'DRE NEGÓCIOS DE DISTRIBUIÇÃO'!Q8</f>
        <v>-67640.368620000008</v>
      </c>
      <c r="R145" s="1">
        <f>'DRE NEGÓCIOS DE DISTRIBUIÇÃO'!R8</f>
        <v>-17532</v>
      </c>
      <c r="S145" s="1">
        <f>'DRE NEGÓCIOS DE DISTRIBUIÇÃO'!S8</f>
        <v>-18115</v>
      </c>
      <c r="T145" s="1">
        <f>'DRE NEGÓCIOS DE DISTRIBUIÇÃO'!T8</f>
        <v>-19342</v>
      </c>
      <c r="U145" s="1">
        <f>'DRE NEGÓCIOS DE DISTRIBUIÇÃO'!U8</f>
        <v>-12115.037850000008</v>
      </c>
      <c r="V145" s="1">
        <f>'DRE NEGÓCIOS DE DISTRIBUIÇÃO'!V8</f>
        <v>-67104.037850000008</v>
      </c>
      <c r="W145" s="1">
        <f>'DRE NEGÓCIOS DE DISTRIBUIÇÃO'!W8</f>
        <v>-13301</v>
      </c>
      <c r="X145" s="1">
        <f>'DRE NEGÓCIOS DE DISTRIBUIÇÃO'!X8</f>
        <v>-15986</v>
      </c>
      <c r="Y145" s="1">
        <f>'DRE NEGÓCIOS DE DISTRIBUIÇÃO'!Y8</f>
        <v>-31220</v>
      </c>
      <c r="Z145" s="1">
        <f>'DRE NEGÓCIOS DE DISTRIBUIÇÃO'!Z8</f>
        <v>-22827</v>
      </c>
      <c r="AA145" s="1">
        <f>'DRE NEGÓCIOS DE DISTRIBUIÇÃO'!AA8</f>
        <v>-83334</v>
      </c>
      <c r="AB145" s="1">
        <f>'DRE NEGÓCIOS DE DISTRIBUIÇÃO'!AB8</f>
        <v>-7332</v>
      </c>
      <c r="AC145" s="1">
        <f>'DRE NEGÓCIOS DE DISTRIBUIÇÃO'!AC8</f>
        <v>-4911.7217199999996</v>
      </c>
      <c r="AD145" s="1">
        <f>'DRE NEGÓCIOS DE DISTRIBUIÇÃO'!AD8</f>
        <v>-4222.9824199999985</v>
      </c>
      <c r="AE145" s="1">
        <f>'DRE NEGÓCIOS DE DISTRIBUIÇÃO'!AE8</f>
        <v>-1721</v>
      </c>
      <c r="AF145" s="1">
        <f>'DRE NEGÓCIOS DE DISTRIBUIÇÃO'!AF8</f>
        <v>-18187.704139999998</v>
      </c>
      <c r="AG145" s="1">
        <f>'DRE NEGÓCIOS DE DISTRIBUIÇÃO'!AG8</f>
        <v>-5152</v>
      </c>
      <c r="AH145" s="1">
        <f>'DRE NEGÓCIOS DE DISTRIBUIÇÃO'!AH8</f>
        <v>-3606</v>
      </c>
      <c r="AI145" s="1">
        <f>'DRE NEGÓCIOS DE DISTRIBUIÇÃO'!AI8</f>
        <v>-3509</v>
      </c>
      <c r="AJ145" s="1">
        <f>'DRE NEGÓCIOS DE DISTRIBUIÇÃO'!AJ8</f>
        <v>-4125</v>
      </c>
      <c r="AK145" s="1">
        <f>'DRE NEGÓCIOS DE DISTRIBUIÇÃO'!AK8</f>
        <v>-16392</v>
      </c>
      <c r="AL145" s="1">
        <f>'DRE NEGÓCIOS DE DISTRIBUIÇÃO'!AL8</f>
        <v>-4469</v>
      </c>
      <c r="AM145" s="1">
        <f>'DRE NEGÓCIOS DE DISTRIBUIÇÃO'!AM8</f>
        <v>-4613</v>
      </c>
      <c r="AN145" s="1">
        <f>'DRE NEGÓCIOS DE DISTRIBUIÇÃO'!AN8</f>
        <v>-4137</v>
      </c>
      <c r="AO145" s="1">
        <f>'DRE NEGÓCIOS DE DISTRIBUIÇÃO'!AO8</f>
        <v>-4536</v>
      </c>
      <c r="AP145" s="1">
        <f>'DRE NEGÓCIOS DE DISTRIBUIÇÃO'!AP8</f>
        <v>-17755</v>
      </c>
      <c r="AQ145" s="1">
        <f>'DRE NEGÓCIOS DE DISTRIBUIÇÃO'!AQ8</f>
        <v>-5150.6064000000006</v>
      </c>
      <c r="AR145" s="1">
        <f>'DRE NEGÓCIOS DE DISTRIBUIÇÃO'!AR8</f>
        <v>-4572</v>
      </c>
      <c r="AS145" s="1">
        <f>'DRE NEGÓCIOS DE DISTRIBUIÇÃO'!AS8</f>
        <v>-4647.1229019000002</v>
      </c>
      <c r="AT145" s="1">
        <f>'DRE NEGÓCIOS DE DISTRIBUIÇÃO'!AT8</f>
        <v>-8012</v>
      </c>
      <c r="AU145" s="1">
        <f>'DRE NEGÓCIOS DE DISTRIBUIÇÃO'!AU8</f>
        <v>-22381.729301899999</v>
      </c>
      <c r="AV145" s="1">
        <f>'DRE NEGÓCIOS DE DISTRIBUIÇÃO'!AV8</f>
        <v>-6844.8950100000002</v>
      </c>
      <c r="AW145" s="1">
        <f>'DRE NEGÓCIOS DE DISTRIBUIÇÃO'!AW8</f>
        <v>-5244.3588600000003</v>
      </c>
      <c r="AX145" s="1">
        <f>'DRE NEGÓCIOS DE DISTRIBUIÇÃO'!AX8</f>
        <v>-5378.4252500000002</v>
      </c>
      <c r="AY145" s="1">
        <f>'DRE NEGÓCIOS DE DISTRIBUIÇÃO'!AY8</f>
        <v>-7374.1541900000093</v>
      </c>
      <c r="AZ145" s="1">
        <f>'DRE NEGÓCIOS DE DISTRIBUIÇÃO'!AZ8</f>
        <v>-24841.833310000009</v>
      </c>
      <c r="BA145" s="1">
        <f>'DRE NEGÓCIOS DE DISTRIBUIÇÃO'!BA8</f>
        <v>-4825.0793700000004</v>
      </c>
    </row>
    <row r="146" spans="1:56">
      <c r="B146" t="str">
        <f t="shared" si="88"/>
        <v>Caixa Seguridade Corretagem de Seguros</v>
      </c>
      <c r="C146" s="1">
        <f>'DRE NEGÓCIOS DE DISTRIBUIÇÃO'!C27</f>
        <v>0</v>
      </c>
      <c r="D146" s="1">
        <f>'DRE NEGÓCIOS DE DISTRIBUIÇÃO'!D27</f>
        <v>0</v>
      </c>
      <c r="E146" s="1">
        <f>'DRE NEGÓCIOS DE DISTRIBUIÇÃO'!E27</f>
        <v>0</v>
      </c>
      <c r="F146" s="1">
        <f>'DRE NEGÓCIOS DE DISTRIBUIÇÃO'!F27</f>
        <v>0</v>
      </c>
      <c r="G146" s="1">
        <f>'DRE NEGÓCIOS DE DISTRIBUIÇÃO'!G27</f>
        <v>0</v>
      </c>
      <c r="H146" s="1">
        <f>'DRE NEGÓCIOS DE DISTRIBUIÇÃO'!H27</f>
        <v>0</v>
      </c>
      <c r="I146" s="1">
        <f>'DRE NEGÓCIOS DE DISTRIBUIÇÃO'!I27</f>
        <v>0</v>
      </c>
      <c r="J146" s="1">
        <f>'DRE NEGÓCIOS DE DISTRIBUIÇÃO'!J27</f>
        <v>0</v>
      </c>
      <c r="K146" s="1">
        <f>'DRE NEGÓCIOS DE DISTRIBUIÇÃO'!K27</f>
        <v>0</v>
      </c>
      <c r="L146" s="1">
        <f>'DRE NEGÓCIOS DE DISTRIBUIÇÃO'!L27</f>
        <v>0</v>
      </c>
      <c r="M146" s="1">
        <f>'DRE NEGÓCIOS DE DISTRIBUIÇÃO'!M27</f>
        <v>0</v>
      </c>
      <c r="N146" s="1">
        <f>'DRE NEGÓCIOS DE DISTRIBUIÇÃO'!N27</f>
        <v>0</v>
      </c>
      <c r="O146" s="1">
        <f>'DRE NEGÓCIOS DE DISTRIBUIÇÃO'!O27</f>
        <v>0</v>
      </c>
      <c r="P146" s="1">
        <f>'DRE NEGÓCIOS DE DISTRIBUIÇÃO'!P27</f>
        <v>0</v>
      </c>
      <c r="Q146" s="1">
        <f>'DRE NEGÓCIOS DE DISTRIBUIÇÃO'!Q27</f>
        <v>0</v>
      </c>
      <c r="R146" s="1">
        <f>'DRE NEGÓCIOS DE DISTRIBUIÇÃO'!R27</f>
        <v>0</v>
      </c>
      <c r="S146" s="1">
        <f>'DRE NEGÓCIOS DE DISTRIBUIÇÃO'!S27</f>
        <v>0</v>
      </c>
      <c r="T146" s="1">
        <f>'DRE NEGÓCIOS DE DISTRIBUIÇÃO'!T27</f>
        <v>0</v>
      </c>
      <c r="U146" s="1">
        <f>'DRE NEGÓCIOS DE DISTRIBUIÇÃO'!U27</f>
        <v>0</v>
      </c>
      <c r="V146" s="1">
        <f>'DRE NEGÓCIOS DE DISTRIBUIÇÃO'!V27</f>
        <v>0</v>
      </c>
      <c r="W146" s="1">
        <f>'DRE NEGÓCIOS DE DISTRIBUIÇÃO'!W27</f>
        <v>0</v>
      </c>
      <c r="X146" s="1">
        <f>'DRE NEGÓCIOS DE DISTRIBUIÇÃO'!X27</f>
        <v>0</v>
      </c>
      <c r="Y146" s="1">
        <f>'DRE NEGÓCIOS DE DISTRIBUIÇÃO'!Y27</f>
        <v>0</v>
      </c>
      <c r="Z146" s="1">
        <f>'DRE NEGÓCIOS DE DISTRIBUIÇÃO'!Z27</f>
        <v>-3</v>
      </c>
      <c r="AA146" s="1">
        <f>'DRE NEGÓCIOS DE DISTRIBUIÇÃO'!AA27</f>
        <v>-3</v>
      </c>
      <c r="AB146" s="1">
        <f>'DRE NEGÓCIOS DE DISTRIBUIÇÃO'!AB27</f>
        <v>-13458</v>
      </c>
      <c r="AC146" s="1">
        <f>'DRE NEGÓCIOS DE DISTRIBUIÇÃO'!AC27</f>
        <v>-19410</v>
      </c>
      <c r="AD146" s="1">
        <f>'DRE NEGÓCIOS DE DISTRIBUIÇÃO'!AD27</f>
        <v>-36391.182000000001</v>
      </c>
      <c r="AE146" s="1">
        <f>'DRE NEGÓCIOS DE DISTRIBUIÇÃO'!AE27</f>
        <v>-39997.817999999999</v>
      </c>
      <c r="AF146" s="1">
        <f>'DRE NEGÓCIOS DE DISTRIBUIÇÃO'!AF27</f>
        <v>-109257</v>
      </c>
      <c r="AG146" s="1">
        <f>'DRE NEGÓCIOS DE DISTRIBUIÇÃO'!AG27</f>
        <v>-34275</v>
      </c>
      <c r="AH146" s="1">
        <f>'DRE NEGÓCIOS DE DISTRIBUIÇÃO'!AH27</f>
        <v>-45926</v>
      </c>
      <c r="AI146" s="1">
        <f>'DRE NEGÓCIOS DE DISTRIBUIÇÃO'!AI27</f>
        <v>-60877</v>
      </c>
      <c r="AJ146" s="1">
        <f>'DRE NEGÓCIOS DE DISTRIBUIÇÃO'!AJ27</f>
        <v>-47374</v>
      </c>
      <c r="AK146" s="1">
        <f>'DRE NEGÓCIOS DE DISTRIBUIÇÃO'!AK27</f>
        <v>-188452</v>
      </c>
      <c r="AL146" s="1">
        <f>'DRE NEGÓCIOS DE DISTRIBUIÇÃO'!AL27</f>
        <v>-53196</v>
      </c>
      <c r="AM146" s="1">
        <f>'DRE NEGÓCIOS DE DISTRIBUIÇÃO'!AM27</f>
        <v>-54536</v>
      </c>
      <c r="AN146" s="1">
        <f>'DRE NEGÓCIOS DE DISTRIBUIÇÃO'!AN27</f>
        <v>-58743</v>
      </c>
      <c r="AO146" s="1">
        <f>'DRE NEGÓCIOS DE DISTRIBUIÇÃO'!AO27</f>
        <v>-60490</v>
      </c>
      <c r="AP146" s="1">
        <f>'DRE NEGÓCIOS DE DISTRIBUIÇÃO'!AP27</f>
        <v>-226965</v>
      </c>
      <c r="AQ146" s="1">
        <f>'DRE NEGÓCIOS DE DISTRIBUIÇÃO'!AQ27</f>
        <v>-60826.492829999996</v>
      </c>
      <c r="AR146" s="1">
        <f>'DRE NEGÓCIOS DE DISTRIBUIÇÃO'!AR27</f>
        <v>-61809</v>
      </c>
      <c r="AS146" s="1">
        <f>'DRE NEGÓCIOS DE DISTRIBUIÇÃO'!AS27</f>
        <v>-65345</v>
      </c>
      <c r="AT146" s="1">
        <f>'DRE NEGÓCIOS DE DISTRIBUIÇÃO'!AT27</f>
        <v>-72841</v>
      </c>
      <c r="AU146" s="1">
        <f>'DRE NEGÓCIOS DE DISTRIBUIÇÃO'!AU27</f>
        <v>-260821.49283</v>
      </c>
      <c r="AV146" s="1">
        <f>'DRE NEGÓCIOS DE DISTRIBUIÇÃO'!AV27</f>
        <v>-69748.868099999992</v>
      </c>
      <c r="AW146" s="1">
        <f>'DRE NEGÓCIOS DE DISTRIBUIÇÃO'!AW27</f>
        <v>-67575.326099999962</v>
      </c>
      <c r="AX146" s="1">
        <f>'DRE NEGÓCIOS DE DISTRIBUIÇÃO'!AX27</f>
        <v>-73797.775279999987</v>
      </c>
      <c r="AY146" s="1">
        <f>'DRE NEGÓCIOS DE DISTRIBUIÇÃO'!AY27</f>
        <v>-70638.084430000003</v>
      </c>
      <c r="AZ146" s="1">
        <f>'DRE NEGÓCIOS DE DISTRIBUIÇÃO'!AZ27</f>
        <v>-281760.05390999996</v>
      </c>
      <c r="BA146" s="1">
        <f>'DRE NEGÓCIOS DE DISTRIBUIÇÃO'!BA27</f>
        <v>-72625.965239999932</v>
      </c>
    </row>
    <row r="147" spans="1:56">
      <c r="B147" t="s">
        <v>554</v>
      </c>
      <c r="C147" s="1">
        <f>SUM('DRE HOLDING SEGURIDADE'!C$8,'DRE HOLDING SEGURIDADE'!C$25)</f>
        <v>0</v>
      </c>
      <c r="D147" s="1">
        <f>SUM('DRE HOLDING SEGURIDADE'!D$8,'DRE HOLDING SEGURIDADE'!D$25)</f>
        <v>0</v>
      </c>
      <c r="E147" s="1">
        <f>SUM('DRE HOLDING SEGURIDADE'!E$8,'DRE HOLDING SEGURIDADE'!E$25)</f>
        <v>0</v>
      </c>
      <c r="F147" s="1">
        <f>SUM('DRE HOLDING SEGURIDADE'!F$8,'DRE HOLDING SEGURIDADE'!F$25)</f>
        <v>0</v>
      </c>
      <c r="G147" s="1">
        <f>SUM('DRE HOLDING SEGURIDADE'!G$8,'DRE HOLDING SEGURIDADE'!G$25)</f>
        <v>0</v>
      </c>
      <c r="H147" s="1">
        <f>SUM('DRE HOLDING SEGURIDADE'!H$8,'DRE HOLDING SEGURIDADE'!H$25)</f>
        <v>0</v>
      </c>
      <c r="I147" s="1">
        <f>SUM('DRE HOLDING SEGURIDADE'!I$8,'DRE HOLDING SEGURIDADE'!I$25)</f>
        <v>0</v>
      </c>
      <c r="J147" s="1">
        <f>SUM('DRE HOLDING SEGURIDADE'!J$8,'DRE HOLDING SEGURIDADE'!J$25)</f>
        <v>0</v>
      </c>
      <c r="K147" s="1">
        <f>SUM('DRE HOLDING SEGURIDADE'!K$8,'DRE HOLDING SEGURIDADE'!K$25)</f>
        <v>-2367</v>
      </c>
      <c r="L147" s="1">
        <f>SUM('DRE HOLDING SEGURIDADE'!L$8,'DRE HOLDING SEGURIDADE'!L$25)</f>
        <v>-2367</v>
      </c>
      <c r="M147" s="1">
        <f>SUM('DRE HOLDING SEGURIDADE'!M$8,'DRE HOLDING SEGURIDADE'!M$25)</f>
        <v>-6</v>
      </c>
      <c r="N147" s="1">
        <f>SUM('DRE HOLDING SEGURIDADE'!N$8,'DRE HOLDING SEGURIDADE'!N$25)</f>
        <v>-1</v>
      </c>
      <c r="O147" s="1">
        <f>SUM('DRE HOLDING SEGURIDADE'!O$8,'DRE HOLDING SEGURIDADE'!O$25)</f>
        <v>-34</v>
      </c>
      <c r="P147" s="1">
        <f>SUM('DRE HOLDING SEGURIDADE'!P$8,'DRE HOLDING SEGURIDADE'!P$25)</f>
        <v>-2109</v>
      </c>
      <c r="Q147" s="1">
        <f>SUM('DRE HOLDING SEGURIDADE'!Q$8,'DRE HOLDING SEGURIDADE'!Q$25)</f>
        <v>-2150</v>
      </c>
      <c r="R147" s="1">
        <f>SUM('DRE HOLDING SEGURIDADE'!R$8,'DRE HOLDING SEGURIDADE'!R$25)</f>
        <v>-44</v>
      </c>
      <c r="S147" s="1">
        <f>SUM('DRE HOLDING SEGURIDADE'!S$8,'DRE HOLDING SEGURIDADE'!S$25)</f>
        <v>-1030</v>
      </c>
      <c r="T147" s="1">
        <f>SUM('DRE HOLDING SEGURIDADE'!T$8,'DRE HOLDING SEGURIDADE'!T$25)</f>
        <v>-466</v>
      </c>
      <c r="U147" s="1">
        <f>SUM('DRE HOLDING SEGURIDADE'!U$8,'DRE HOLDING SEGURIDADE'!U$25)</f>
        <v>-370</v>
      </c>
      <c r="V147" s="1">
        <f>SUM('DRE HOLDING SEGURIDADE'!V$8,'DRE HOLDING SEGURIDADE'!V$25)</f>
        <v>-1910</v>
      </c>
      <c r="W147" s="1">
        <f>SUM('DRE HOLDING SEGURIDADE'!W$8,'DRE HOLDING SEGURIDADE'!W$25)</f>
        <v>-390</v>
      </c>
      <c r="X147" s="1">
        <f>SUM('DRE HOLDING SEGURIDADE'!X$8,'DRE HOLDING SEGURIDADE'!X$25)</f>
        <v>-356</v>
      </c>
      <c r="Y147" s="1">
        <f>SUM('DRE HOLDING SEGURIDADE'!Y$8,'DRE HOLDING SEGURIDADE'!Y$25)</f>
        <v>-320</v>
      </c>
      <c r="Z147" s="1">
        <f>SUM('DRE HOLDING SEGURIDADE'!Z$8,'DRE HOLDING SEGURIDADE'!Z$25)</f>
        <v>-269</v>
      </c>
      <c r="AA147" s="1">
        <f>SUM('DRE HOLDING SEGURIDADE'!AA$8,'DRE HOLDING SEGURIDADE'!AA$25)</f>
        <v>-1335</v>
      </c>
      <c r="AB147" s="1">
        <f>SUM('DRE HOLDING SEGURIDADE'!AB$8,'DRE HOLDING SEGURIDADE'!AB$25)</f>
        <v>-281</v>
      </c>
      <c r="AC147" s="1">
        <f>SUM('DRE HOLDING SEGURIDADE'!AC$8,'DRE HOLDING SEGURIDADE'!AC$25)</f>
        <v>-301</v>
      </c>
      <c r="AD147" s="1">
        <f>SUM('DRE HOLDING SEGURIDADE'!AD$8,'DRE HOLDING SEGURIDADE'!AD$25)</f>
        <v>-316</v>
      </c>
      <c r="AE147" s="1">
        <f>SUM('DRE HOLDING SEGURIDADE'!AE$8,'DRE HOLDING SEGURIDADE'!AE$25)</f>
        <v>-347</v>
      </c>
      <c r="AF147" s="1">
        <f>SUM('DRE HOLDING SEGURIDADE'!AF$8,'DRE HOLDING SEGURIDADE'!AF$25)</f>
        <v>-1245</v>
      </c>
      <c r="AG147" s="1">
        <f>SUM('DRE HOLDING SEGURIDADE'!AG$8,'DRE HOLDING SEGURIDADE'!AG$25)</f>
        <v>-442</v>
      </c>
      <c r="AH147" s="1">
        <f>SUM('DRE HOLDING SEGURIDADE'!AH$8,'DRE HOLDING SEGURIDADE'!AH$25)</f>
        <v>-518</v>
      </c>
      <c r="AI147" s="1">
        <f>SUM('DRE HOLDING SEGURIDADE'!AI$8,'DRE HOLDING SEGURIDADE'!AI$25)</f>
        <v>-563</v>
      </c>
      <c r="AJ147" s="1">
        <f>SUM('DRE HOLDING SEGURIDADE'!AJ$8,'DRE HOLDING SEGURIDADE'!AJ$25)</f>
        <v>-442</v>
      </c>
      <c r="AK147" s="1">
        <f>SUM('DRE HOLDING SEGURIDADE'!AK$8,'DRE HOLDING SEGURIDADE'!AK$25)</f>
        <v>-1965</v>
      </c>
      <c r="AL147" s="1">
        <f>SUM('DRE HOLDING SEGURIDADE'!AL$8,'DRE HOLDING SEGURIDADE'!AL$25)</f>
        <v>-666</v>
      </c>
      <c r="AM147" s="1">
        <f>SUM('DRE HOLDING SEGURIDADE'!AM$8,'DRE HOLDING SEGURIDADE'!AM$25)</f>
        <v>-685</v>
      </c>
      <c r="AN147" s="1">
        <f>SUM('DRE HOLDING SEGURIDADE'!AN$8,'DRE HOLDING SEGURIDADE'!AN$25)</f>
        <v>-542</v>
      </c>
      <c r="AO147" s="1">
        <f>SUM('DRE HOLDING SEGURIDADE'!AO$8,'DRE HOLDING SEGURIDADE'!AO$25)</f>
        <v>-557</v>
      </c>
      <c r="AP147" s="1">
        <f>SUM('DRE HOLDING SEGURIDADE'!AP$8,'DRE HOLDING SEGURIDADE'!AP$25)</f>
        <v>-2450</v>
      </c>
      <c r="AQ147" s="1">
        <f>SUM('DRE HOLDING SEGURIDADE'!AQ$8,'DRE HOLDING SEGURIDADE'!AQ$25)</f>
        <v>-669.39359999999942</v>
      </c>
      <c r="AR147" s="1">
        <f>SUM('DRE HOLDING SEGURIDADE'!AR$8,'DRE HOLDING SEGURIDADE'!AR$25)</f>
        <v>-576</v>
      </c>
      <c r="AS147" s="1">
        <f>SUM('DRE HOLDING SEGURIDADE'!AS$8,'DRE HOLDING SEGURIDADE'!AS$25)</f>
        <v>-597</v>
      </c>
      <c r="AT147" s="1">
        <f>SUM('DRE HOLDING SEGURIDADE'!AT$8,'DRE HOLDING SEGURIDADE'!AT$25)</f>
        <v>-571.58524999999463</v>
      </c>
      <c r="AU147" s="1">
        <f>SUM('DRE HOLDING SEGURIDADE'!AU$8,'DRE HOLDING SEGURIDADE'!AU$25)</f>
        <v>-2413.9788499999941</v>
      </c>
      <c r="AV147" s="1">
        <f>SUM('DRE HOLDING SEGURIDADE'!AV$8,'DRE HOLDING SEGURIDADE'!AV$25)</f>
        <v>-785</v>
      </c>
      <c r="AW147" s="1">
        <f>SUM('DRE HOLDING SEGURIDADE'!AW$8,'DRE HOLDING SEGURIDADE'!AW$25)</f>
        <v>-749</v>
      </c>
      <c r="AX147" s="1">
        <f>SUM('DRE HOLDING SEGURIDADE'!AX$8,'DRE HOLDING SEGURIDADE'!AX$25)</f>
        <v>-631.57474999999977</v>
      </c>
      <c r="AY147" s="1">
        <f>SUM('DRE HOLDING SEGURIDADE'!AY$8,'DRE HOLDING SEGURIDADE'!AY$25)</f>
        <v>-638.99999999999091</v>
      </c>
      <c r="AZ147" s="1">
        <f>SUM('DRE HOLDING SEGURIDADE'!AZ$8,'DRE HOLDING SEGURIDADE'!AZ$25)</f>
        <v>-2804.5747499999907</v>
      </c>
      <c r="BA147" s="1">
        <f>SUM('DRE HOLDING SEGURIDADE'!BA$8,'DRE HOLDING SEGURIDADE'!BA$25)</f>
        <v>-881</v>
      </c>
    </row>
    <row r="148" spans="1:56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</row>
    <row r="149" spans="1:56">
      <c r="A149" s="9"/>
      <c r="B149" s="9" t="s">
        <v>547</v>
      </c>
      <c r="C149" s="76">
        <f t="shared" ref="C149:AV149" si="97">C150+C156</f>
        <v>-97741.161110000001</v>
      </c>
      <c r="D149" s="76">
        <f t="shared" si="97"/>
        <v>-98270.945810000005</v>
      </c>
      <c r="E149" s="76">
        <f t="shared" si="97"/>
        <v>-100323.54809999999</v>
      </c>
      <c r="F149" s="76">
        <f t="shared" si="97"/>
        <v>-101914.71401999996</v>
      </c>
      <c r="G149" s="76">
        <f t="shared" si="97"/>
        <v>-398250.36903999996</v>
      </c>
      <c r="H149" s="76">
        <f t="shared" si="97"/>
        <v>-111333.37797999999</v>
      </c>
      <c r="I149" s="76">
        <f t="shared" si="97"/>
        <v>-104312.93842000002</v>
      </c>
      <c r="J149" s="76">
        <f t="shared" si="97"/>
        <v>-105305.22673999995</v>
      </c>
      <c r="K149" s="76">
        <f t="shared" si="97"/>
        <v>-32489.579769999971</v>
      </c>
      <c r="L149" s="76">
        <f t="shared" si="97"/>
        <v>-353441.12290999998</v>
      </c>
      <c r="M149" s="76">
        <f t="shared" si="97"/>
        <v>-116053.13284000001</v>
      </c>
      <c r="N149" s="76">
        <f t="shared" si="97"/>
        <v>-115945.34138</v>
      </c>
      <c r="O149" s="76">
        <f t="shared" si="97"/>
        <v>-153487.41548</v>
      </c>
      <c r="P149" s="76">
        <f t="shared" si="97"/>
        <v>-105959.66928</v>
      </c>
      <c r="Q149" s="76">
        <f t="shared" si="97"/>
        <v>-491445.55898000009</v>
      </c>
      <c r="R149" s="76">
        <f t="shared" si="97"/>
        <v>-117953.65023999999</v>
      </c>
      <c r="S149" s="76">
        <f t="shared" si="97"/>
        <v>-125597.44865999999</v>
      </c>
      <c r="T149" s="76">
        <f t="shared" si="97"/>
        <v>-134023.12048999997</v>
      </c>
      <c r="U149" s="76">
        <f t="shared" si="97"/>
        <v>-124313.33785000001</v>
      </c>
      <c r="V149" s="76">
        <f t="shared" si="97"/>
        <v>-501887.55723999999</v>
      </c>
      <c r="W149" s="76">
        <f t="shared" si="97"/>
        <v>-131623.04755000002</v>
      </c>
      <c r="X149" s="76">
        <f t="shared" si="97"/>
        <v>-136618.77848000001</v>
      </c>
      <c r="Y149" s="76">
        <f t="shared" si="97"/>
        <v>-142957.40266999998</v>
      </c>
      <c r="Z149" s="76">
        <f t="shared" si="97"/>
        <v>-144105.77088999999</v>
      </c>
      <c r="AA149" s="76">
        <f t="shared" si="97"/>
        <v>-555304.99959000002</v>
      </c>
      <c r="AB149" s="76">
        <f t="shared" si="97"/>
        <v>-138876.00936999999</v>
      </c>
      <c r="AC149" s="76">
        <f t="shared" si="97"/>
        <v>-135895.90419</v>
      </c>
      <c r="AD149" s="76">
        <f t="shared" si="97"/>
        <v>-161312.21196999995</v>
      </c>
      <c r="AE149" s="76">
        <f t="shared" si="97"/>
        <v>-174775.47975</v>
      </c>
      <c r="AF149" s="76">
        <f t="shared" si="97"/>
        <v>-610859.6052799999</v>
      </c>
      <c r="AG149" s="76">
        <f t="shared" si="97"/>
        <v>-179273</v>
      </c>
      <c r="AH149" s="76">
        <f t="shared" si="97"/>
        <v>-192226.86258000002</v>
      </c>
      <c r="AI149" s="76">
        <f t="shared" si="97"/>
        <v>-222716</v>
      </c>
      <c r="AJ149" s="76">
        <f t="shared" si="97"/>
        <v>-207576.37362</v>
      </c>
      <c r="AK149" s="76">
        <f t="shared" si="97"/>
        <v>-801792.23619999993</v>
      </c>
      <c r="AL149" s="76">
        <f t="shared" si="97"/>
        <v>-220287</v>
      </c>
      <c r="AM149" s="76">
        <f t="shared" si="97"/>
        <v>-226416</v>
      </c>
      <c r="AN149" s="76">
        <f t="shared" si="97"/>
        <v>-232748</v>
      </c>
      <c r="AO149" s="76">
        <f t="shared" si="97"/>
        <v>-239018.65700000001</v>
      </c>
      <c r="AP149" s="76">
        <f t="shared" si="97"/>
        <v>-918469.65700000001</v>
      </c>
      <c r="AQ149" s="76">
        <f t="shared" si="97"/>
        <v>-246536.41282999999</v>
      </c>
      <c r="AR149" s="76">
        <f t="shared" si="97"/>
        <v>-248524.171</v>
      </c>
      <c r="AS149" s="76">
        <f t="shared" si="97"/>
        <v>-250800.18690189999</v>
      </c>
      <c r="AT149" s="76">
        <f t="shared" si="97"/>
        <v>-274457.72224999999</v>
      </c>
      <c r="AU149" s="76">
        <f t="shared" si="97"/>
        <v>-1020318.4929819001</v>
      </c>
      <c r="AV149" s="76">
        <f t="shared" si="97"/>
        <v>-272676.27211000002</v>
      </c>
      <c r="AW149" s="76">
        <f>AW150+AW156</f>
        <v>-264654.07195999997</v>
      </c>
      <c r="AX149" s="76">
        <f>AX150+AX156</f>
        <v>-274429.41428000003</v>
      </c>
      <c r="AY149" s="76">
        <f>AY150+AY156</f>
        <v>-276512.51762</v>
      </c>
      <c r="AZ149" s="76">
        <f>AZ150+AZ156</f>
        <v>-1088272.2759699998</v>
      </c>
      <c r="BA149" s="76">
        <f t="shared" ref="BA149" si="98">BA150+BA156</f>
        <v>-277087.07060999994</v>
      </c>
    </row>
    <row r="150" spans="1:56" s="100" customFormat="1">
      <c r="A150" s="2"/>
      <c r="B150" s="2" t="s">
        <v>549</v>
      </c>
      <c r="C150" s="3">
        <f t="shared" ref="C150:AU150" si="99">SUM(C152:C155)</f>
        <v>-91899.161110000001</v>
      </c>
      <c r="D150" s="3">
        <f t="shared" si="99"/>
        <v>-92277.945810000005</v>
      </c>
      <c r="E150" s="3">
        <f t="shared" si="99"/>
        <v>-94758.548099999985</v>
      </c>
      <c r="F150" s="3">
        <f t="shared" si="99"/>
        <v>-95605.714019999956</v>
      </c>
      <c r="G150" s="3">
        <f t="shared" si="99"/>
        <v>-374541.36903999996</v>
      </c>
      <c r="H150" s="3">
        <f t="shared" si="99"/>
        <v>-106423.44877999999</v>
      </c>
      <c r="I150" s="3">
        <f t="shared" si="99"/>
        <v>-99457.748980000018</v>
      </c>
      <c r="J150" s="3">
        <f t="shared" si="99"/>
        <v>-100060.21018999995</v>
      </c>
      <c r="K150" s="3">
        <f t="shared" si="99"/>
        <v>-28167.122679999971</v>
      </c>
      <c r="L150" s="3">
        <f t="shared" si="99"/>
        <v>-334108.53062999999</v>
      </c>
      <c r="M150" s="3">
        <f t="shared" si="99"/>
        <v>-115469.28993</v>
      </c>
      <c r="N150" s="3">
        <f t="shared" si="99"/>
        <v>-110966.37036</v>
      </c>
      <c r="O150" s="3">
        <f t="shared" si="99"/>
        <v>-148047.94795999999</v>
      </c>
      <c r="P150" s="3">
        <f t="shared" si="99"/>
        <v>-100884.93096</v>
      </c>
      <c r="Q150" s="3">
        <f t="shared" si="99"/>
        <v>-475368.53921000008</v>
      </c>
      <c r="R150" s="3">
        <f t="shared" si="99"/>
        <v>-113135.50746999998</v>
      </c>
      <c r="S150" s="3">
        <f t="shared" si="99"/>
        <v>-119596.75356</v>
      </c>
      <c r="T150" s="3">
        <f t="shared" si="99"/>
        <v>-127350.95835999996</v>
      </c>
      <c r="U150" s="3">
        <f t="shared" si="99"/>
        <v>-117995.08545000001</v>
      </c>
      <c r="V150" s="3">
        <f t="shared" si="99"/>
        <v>-478078.30484</v>
      </c>
      <c r="W150" s="3">
        <f t="shared" si="99"/>
        <v>-125562.04755</v>
      </c>
      <c r="X150" s="3">
        <f t="shared" si="99"/>
        <v>-131139.38365</v>
      </c>
      <c r="Y150" s="3">
        <f t="shared" si="99"/>
        <v>-136592.40266999998</v>
      </c>
      <c r="Z150" s="3">
        <f t="shared" si="99"/>
        <v>-138172.77088999999</v>
      </c>
      <c r="AA150" s="3">
        <f t="shared" si="99"/>
        <v>-531466.60476000002</v>
      </c>
      <c r="AB150" s="3">
        <f t="shared" si="99"/>
        <v>-133440.00936999999</v>
      </c>
      <c r="AC150" s="3">
        <f t="shared" si="99"/>
        <v>-128659.90419</v>
      </c>
      <c r="AD150" s="3">
        <f t="shared" si="99"/>
        <v>-153645.60487999994</v>
      </c>
      <c r="AE150" s="3">
        <f t="shared" si="99"/>
        <v>-168696.47975</v>
      </c>
      <c r="AF150" s="3">
        <f t="shared" si="99"/>
        <v>-584441.99818999995</v>
      </c>
      <c r="AG150" s="3">
        <f t="shared" si="99"/>
        <v>-168611</v>
      </c>
      <c r="AH150" s="3">
        <f t="shared" si="99"/>
        <v>-182018.86258000002</v>
      </c>
      <c r="AI150" s="3">
        <f t="shared" si="99"/>
        <v>-210554</v>
      </c>
      <c r="AJ150" s="3">
        <f t="shared" si="99"/>
        <v>-195255.37362</v>
      </c>
      <c r="AK150" s="3">
        <f t="shared" si="99"/>
        <v>-756439.23619999993</v>
      </c>
      <c r="AL150" s="3">
        <f t="shared" si="99"/>
        <v>-206889</v>
      </c>
      <c r="AM150" s="3">
        <f t="shared" si="99"/>
        <v>-211974</v>
      </c>
      <c r="AN150" s="3">
        <f t="shared" si="99"/>
        <v>-218202</v>
      </c>
      <c r="AO150" s="3">
        <f t="shared" si="99"/>
        <v>-225308</v>
      </c>
      <c r="AP150" s="3">
        <f t="shared" si="99"/>
        <v>-862373</v>
      </c>
      <c r="AQ150" s="3">
        <f t="shared" si="99"/>
        <v>-229948.49283</v>
      </c>
      <c r="AR150" s="3">
        <f t="shared" si="99"/>
        <v>-233392</v>
      </c>
      <c r="AS150" s="3">
        <f t="shared" si="99"/>
        <v>-233422.1229019</v>
      </c>
      <c r="AT150" s="3">
        <f t="shared" si="99"/>
        <v>-255746.58525</v>
      </c>
      <c r="AU150" s="3">
        <f t="shared" si="99"/>
        <v>-952509.2009819001</v>
      </c>
      <c r="AV150" s="3">
        <f t="shared" ref="AV150" si="100">SUM(AV152:AV155)</f>
        <v>-253697.76311</v>
      </c>
      <c r="AW150" s="3">
        <f>SUM(AW152:AW155)</f>
        <v>-245062.68495999996</v>
      </c>
      <c r="AX150" s="3">
        <f>SUM(AX152:AX155)</f>
        <v>-254939.77528</v>
      </c>
      <c r="AY150" s="3">
        <f>SUM(AY152:AY155)</f>
        <v>-255764.23862000002</v>
      </c>
      <c r="AZ150" s="3">
        <f>SUM(AZ152:AZ155)</f>
        <v>-1009464.4619699999</v>
      </c>
      <c r="BA150" s="3">
        <f t="shared" ref="BA150" si="101">SUM(BA152:BA155)</f>
        <v>-254000.04460999992</v>
      </c>
    </row>
    <row r="151" spans="1:56">
      <c r="B151" s="11" t="s">
        <v>462</v>
      </c>
      <c r="C151" s="8">
        <f t="shared" ref="C151:AV151" si="102">C152+C153</f>
        <v>-81663.161110000001</v>
      </c>
      <c r="D151" s="8">
        <f t="shared" si="102"/>
        <v>-83076.945810000005</v>
      </c>
      <c r="E151" s="8">
        <f t="shared" si="102"/>
        <v>-83460.548099999985</v>
      </c>
      <c r="F151" s="8">
        <f t="shared" si="102"/>
        <v>-84247.714019999956</v>
      </c>
      <c r="G151" s="8">
        <f t="shared" si="102"/>
        <v>-332448.36903999996</v>
      </c>
      <c r="H151" s="8">
        <f t="shared" si="102"/>
        <v>-92082.382659999988</v>
      </c>
      <c r="I151" s="8">
        <f t="shared" si="102"/>
        <v>-86356.886100000018</v>
      </c>
      <c r="J151" s="8">
        <f t="shared" si="102"/>
        <v>-86332.340419999964</v>
      </c>
      <c r="K151" s="8">
        <f t="shared" si="102"/>
        <v>-14257.641629999966</v>
      </c>
      <c r="L151" s="8">
        <f t="shared" si="102"/>
        <v>-279029.25081</v>
      </c>
      <c r="M151" s="8">
        <f t="shared" si="102"/>
        <v>-95510.193370000008</v>
      </c>
      <c r="N151" s="8">
        <f t="shared" si="102"/>
        <v>-95462.751329999999</v>
      </c>
      <c r="O151" s="8">
        <f t="shared" si="102"/>
        <v>-133098.95069999999</v>
      </c>
      <c r="P151" s="8">
        <f t="shared" si="102"/>
        <v>-81506.275189999986</v>
      </c>
      <c r="Q151" s="8">
        <f t="shared" si="102"/>
        <v>-405578.17059000005</v>
      </c>
      <c r="R151" s="8">
        <f t="shared" si="102"/>
        <v>-95559.507469999982</v>
      </c>
      <c r="S151" s="8">
        <f t="shared" si="102"/>
        <v>-100451.75356</v>
      </c>
      <c r="T151" s="8">
        <f t="shared" si="102"/>
        <v>-107542.95835999996</v>
      </c>
      <c r="U151" s="8">
        <f t="shared" si="102"/>
        <v>-105510.04760000001</v>
      </c>
      <c r="V151" s="8">
        <f t="shared" si="102"/>
        <v>-409064.26698999997</v>
      </c>
      <c r="W151" s="8">
        <f t="shared" si="102"/>
        <v>-111871.04755</v>
      </c>
      <c r="X151" s="8">
        <f t="shared" si="102"/>
        <v>-114797.38365</v>
      </c>
      <c r="Y151" s="8">
        <f t="shared" si="102"/>
        <v>-105052.40266999997</v>
      </c>
      <c r="Z151" s="8">
        <f t="shared" si="102"/>
        <v>-115012.34918</v>
      </c>
      <c r="AA151" s="8">
        <f t="shared" si="102"/>
        <v>-446733.18304999999</v>
      </c>
      <c r="AB151" s="8">
        <f t="shared" si="102"/>
        <v>-55921.38607</v>
      </c>
      <c r="AC151" s="8">
        <f t="shared" si="102"/>
        <v>-46506.597649999989</v>
      </c>
      <c r="AD151" s="8">
        <f t="shared" si="102"/>
        <v>-50255.52766</v>
      </c>
      <c r="AE151" s="8">
        <f t="shared" si="102"/>
        <v>-48788.855519999997</v>
      </c>
      <c r="AF151" s="8">
        <f t="shared" si="102"/>
        <v>-201472.36689999999</v>
      </c>
      <c r="AG151" s="8">
        <f t="shared" si="102"/>
        <v>-47735</v>
      </c>
      <c r="AH151" s="8">
        <f t="shared" si="102"/>
        <v>-43409.862580000001</v>
      </c>
      <c r="AI151" s="8">
        <f t="shared" si="102"/>
        <v>-46835</v>
      </c>
      <c r="AJ151" s="8">
        <f t="shared" si="102"/>
        <v>-35359.373619999998</v>
      </c>
      <c r="AK151" s="8">
        <f t="shared" si="102"/>
        <v>-173339.23619999998</v>
      </c>
      <c r="AL151" s="8">
        <f t="shared" si="102"/>
        <v>-31510</v>
      </c>
      <c r="AM151" s="8">
        <f t="shared" si="102"/>
        <v>-29524</v>
      </c>
      <c r="AN151" s="8">
        <f t="shared" si="102"/>
        <v>-28662</v>
      </c>
      <c r="AO151" s="8">
        <f t="shared" si="102"/>
        <v>-28876</v>
      </c>
      <c r="AP151" s="8">
        <f t="shared" si="102"/>
        <v>-118572</v>
      </c>
      <c r="AQ151" s="8">
        <f t="shared" si="102"/>
        <v>-28189</v>
      </c>
      <c r="AR151" s="8">
        <f t="shared" si="102"/>
        <v>-23263</v>
      </c>
      <c r="AS151" s="8">
        <f t="shared" si="102"/>
        <v>-22051</v>
      </c>
      <c r="AT151" s="8">
        <f t="shared" si="102"/>
        <v>-34267</v>
      </c>
      <c r="AU151" s="8">
        <f t="shared" si="102"/>
        <v>-107770</v>
      </c>
      <c r="AV151" s="8">
        <f t="shared" si="102"/>
        <v>-28768</v>
      </c>
      <c r="AW151" s="8">
        <f>AW152+AW153</f>
        <v>-28146</v>
      </c>
      <c r="AX151" s="8">
        <f>AX152+AX153</f>
        <v>-27508</v>
      </c>
      <c r="AY151" s="8">
        <f>AY152+AY153</f>
        <v>-27063</v>
      </c>
      <c r="AZ151" s="8">
        <f>AZ152+AZ153</f>
        <v>-111485</v>
      </c>
      <c r="BA151" s="8">
        <f t="shared" ref="BA151" si="103">BA152+BA153</f>
        <v>-31747</v>
      </c>
    </row>
    <row r="152" spans="1:56">
      <c r="B152" s="231" t="s">
        <v>581</v>
      </c>
      <c r="C152" s="1">
        <f t="shared" ref="C152:AU152" si="104">SUM(C124:C127)+(C123*(SUM(C124:C127)/SUM(C124:C132)))</f>
        <v>-78406.21608423283</v>
      </c>
      <c r="D152" s="1">
        <f t="shared" si="104"/>
        <v>-80382.08787220197</v>
      </c>
      <c r="E152" s="1">
        <f t="shared" si="104"/>
        <v>-81016.25297772896</v>
      </c>
      <c r="F152" s="1">
        <f t="shared" si="104"/>
        <v>-82300.58400148715</v>
      </c>
      <c r="G152" s="1">
        <f t="shared" si="104"/>
        <v>-322107.45909682766</v>
      </c>
      <c r="H152" s="1">
        <f t="shared" si="104"/>
        <v>-89955.007549752045</v>
      </c>
      <c r="I152" s="1">
        <f t="shared" si="104"/>
        <v>-84047.402538019815</v>
      </c>
      <c r="J152" s="1">
        <f t="shared" si="104"/>
        <v>-84211.84870416834</v>
      </c>
      <c r="K152" s="1">
        <f t="shared" si="104"/>
        <v>-11783.026677476582</v>
      </c>
      <c r="L152" s="1">
        <f t="shared" si="104"/>
        <v>-270197.14561389701</v>
      </c>
      <c r="M152" s="1">
        <f t="shared" si="104"/>
        <v>-91188.267178121299</v>
      </c>
      <c r="N152" s="1">
        <f t="shared" si="104"/>
        <v>-92030.187265982138</v>
      </c>
      <c r="O152" s="1">
        <f t="shared" si="104"/>
        <v>-130230.42449232374</v>
      </c>
      <c r="P152" s="1">
        <f t="shared" si="104"/>
        <v>-78336.665116378426</v>
      </c>
      <c r="Q152" s="1">
        <f t="shared" si="104"/>
        <v>-391796.08649752155</v>
      </c>
      <c r="R152" s="1">
        <f t="shared" si="104"/>
        <v>-93320.821270897388</v>
      </c>
      <c r="S152" s="1">
        <f t="shared" si="104"/>
        <v>-98512.379437257783</v>
      </c>
      <c r="T152" s="1">
        <f t="shared" si="104"/>
        <v>-105737.1335640852</v>
      </c>
      <c r="U152" s="1">
        <f t="shared" si="104"/>
        <v>-103697.49729786377</v>
      </c>
      <c r="V152" s="1">
        <f t="shared" si="104"/>
        <v>-401265.01132632414</v>
      </c>
      <c r="W152" s="1">
        <f t="shared" si="104"/>
        <v>-109542.92600425005</v>
      </c>
      <c r="X152" s="1">
        <f t="shared" si="104"/>
        <v>-112752.1264987613</v>
      </c>
      <c r="Y152" s="1">
        <f t="shared" si="104"/>
        <v>-100891.16973264187</v>
      </c>
      <c r="Z152" s="1">
        <f t="shared" si="104"/>
        <v>-113231.11814420619</v>
      </c>
      <c r="AA152" s="1">
        <f t="shared" si="104"/>
        <v>-436426.57423197152</v>
      </c>
      <c r="AB152" s="1">
        <f t="shared" si="104"/>
        <v>-54121.046956500541</v>
      </c>
      <c r="AC152" s="1">
        <f t="shared" si="104"/>
        <v>-44261.813805470207</v>
      </c>
      <c r="AD152" s="1">
        <f t="shared" si="104"/>
        <v>-48240.777884977084</v>
      </c>
      <c r="AE152" s="1">
        <f t="shared" si="104"/>
        <v>-46645.480254562382</v>
      </c>
      <c r="AF152" s="1">
        <f t="shared" si="104"/>
        <v>-193265.15450685218</v>
      </c>
      <c r="AG152" s="1">
        <f t="shared" si="104"/>
        <v>-45214.829192546582</v>
      </c>
      <c r="AH152" s="1">
        <f t="shared" si="104"/>
        <v>-40888.276432549494</v>
      </c>
      <c r="AI152" s="1">
        <f t="shared" si="104"/>
        <v>-43276.727446383607</v>
      </c>
      <c r="AJ152" s="1">
        <f t="shared" si="104"/>
        <v>-33760.633365198417</v>
      </c>
      <c r="AK152" s="1">
        <f t="shared" si="104"/>
        <v>-163119.04718432701</v>
      </c>
      <c r="AL152" s="1">
        <f t="shared" si="104"/>
        <v>-30427.394718759202</v>
      </c>
      <c r="AM152" s="1">
        <f t="shared" si="104"/>
        <v>-28401.695345170356</v>
      </c>
      <c r="AN152" s="1">
        <f t="shared" si="104"/>
        <v>-27592.889029661648</v>
      </c>
      <c r="AO152" s="1">
        <f t="shared" si="104"/>
        <v>-27773.053033641838</v>
      </c>
      <c r="AP152" s="1">
        <f t="shared" si="104"/>
        <v>-114195.84203727625</v>
      </c>
      <c r="AQ152" s="1">
        <f t="shared" si="104"/>
        <v>-27064.820684174403</v>
      </c>
      <c r="AR152" s="1">
        <f t="shared" si="104"/>
        <v>-21853.737444818391</v>
      </c>
      <c r="AS152" s="1">
        <f t="shared" si="104"/>
        <v>-20732.705664967019</v>
      </c>
      <c r="AT152" s="1">
        <f t="shared" si="104"/>
        <v>-32735.826495752335</v>
      </c>
      <c r="AU152" s="1">
        <f t="shared" si="104"/>
        <v>-102386.42587796145</v>
      </c>
      <c r="AV152" s="1">
        <f t="shared" ref="AV152" si="105">SUM(AV124:AV127)+(AV123*(SUM(AV124:AV127)/SUM(AV124:AV132)))</f>
        <v>-27162.253513089378</v>
      </c>
      <c r="AW152" s="1">
        <f>SUM(AW124:AW127)+(AW123*(SUM(AW124:AW127)/SUM(AW124:AW132)))</f>
        <v>-27047.537705284325</v>
      </c>
      <c r="AX152" s="1">
        <f>SUM(AX124:AX127)+(AX123*(SUM(AX124:AX127)/SUM(AX124:AX132)))</f>
        <v>-25991.198760890609</v>
      </c>
      <c r="AY152" s="1">
        <f>SUM(AY124:AY127)+(AY123*(SUM(AY124:AY127)/SUM(AY124:AY132)))</f>
        <v>-25570.742091337859</v>
      </c>
      <c r="AZ152" s="1">
        <f>SUM(AZ124:AZ127)+(AZ123*(SUM(AZ124:AZ127)/SUM(AZ124:AZ132)))</f>
        <v>-105769.56037267663</v>
      </c>
      <c r="BA152" s="1">
        <f t="shared" ref="BA152" si="106">SUM(BA124:BA127)+(BA123*(SUM(BA124:BA127)/SUM(BA124:BA132)))</f>
        <v>-29747.642070920116</v>
      </c>
    </row>
    <row r="153" spans="1:56">
      <c r="B153" s="231" t="s">
        <v>582</v>
      </c>
      <c r="C153" s="1">
        <f t="shared" ref="C153:AU153" si="107">SUM(C128:C132)+(C123*(SUM(C128:C132)/SUM(C124:C132)))</f>
        <v>-3256.9450257671738</v>
      </c>
      <c r="D153" s="1">
        <f t="shared" si="107"/>
        <v>-2694.8579377980313</v>
      </c>
      <c r="E153" s="1">
        <f t="shared" si="107"/>
        <v>-2444.2951222710285</v>
      </c>
      <c r="F153" s="1">
        <f t="shared" si="107"/>
        <v>-1947.1300185128098</v>
      </c>
      <c r="G153" s="1">
        <f t="shared" si="107"/>
        <v>-10340.909943172323</v>
      </c>
      <c r="H153" s="1">
        <f t="shared" si="107"/>
        <v>-2127.3751102479423</v>
      </c>
      <c r="I153" s="1">
        <f t="shared" si="107"/>
        <v>-2309.4835619802079</v>
      </c>
      <c r="J153" s="1">
        <f t="shared" si="107"/>
        <v>-2120.4917158316262</v>
      </c>
      <c r="K153" s="1">
        <f t="shared" si="107"/>
        <v>-2474.6149525233841</v>
      </c>
      <c r="L153" s="1">
        <f t="shared" si="107"/>
        <v>-8832.1051961029771</v>
      </c>
      <c r="M153" s="1">
        <f t="shared" si="107"/>
        <v>-4321.9261918787088</v>
      </c>
      <c r="N153" s="1">
        <f t="shared" si="107"/>
        <v>-3432.564064017859</v>
      </c>
      <c r="O153" s="1">
        <f t="shared" si="107"/>
        <v>-2868.5262076762479</v>
      </c>
      <c r="P153" s="1">
        <f t="shared" si="107"/>
        <v>-3169.610073621554</v>
      </c>
      <c r="Q153" s="1">
        <f t="shared" si="107"/>
        <v>-13782.084092478492</v>
      </c>
      <c r="R153" s="1">
        <f t="shared" si="107"/>
        <v>-2238.6861991025989</v>
      </c>
      <c r="S153" s="1">
        <f t="shared" si="107"/>
        <v>-1939.3741227422206</v>
      </c>
      <c r="T153" s="1">
        <f t="shared" si="107"/>
        <v>-1805.8247959147593</v>
      </c>
      <c r="U153" s="1">
        <f t="shared" si="107"/>
        <v>-1812.5503021362358</v>
      </c>
      <c r="V153" s="1">
        <f t="shared" si="107"/>
        <v>-7799.2556636758454</v>
      </c>
      <c r="W153" s="1">
        <f t="shared" si="107"/>
        <v>-2328.1215457499497</v>
      </c>
      <c r="X153" s="1">
        <f t="shared" si="107"/>
        <v>-2045.257151238703</v>
      </c>
      <c r="Y153" s="1">
        <f t="shared" si="107"/>
        <v>-4161.2329373581051</v>
      </c>
      <c r="Z153" s="1">
        <f t="shared" si="107"/>
        <v>-1781.2310357938161</v>
      </c>
      <c r="AA153" s="1">
        <f t="shared" si="107"/>
        <v>-10306.60881802847</v>
      </c>
      <c r="AB153" s="1">
        <f t="shared" si="107"/>
        <v>-1800.339113499459</v>
      </c>
      <c r="AC153" s="1">
        <f t="shared" si="107"/>
        <v>-2244.7838445297816</v>
      </c>
      <c r="AD153" s="1">
        <f t="shared" si="107"/>
        <v>-2014.7497750229138</v>
      </c>
      <c r="AE153" s="1">
        <f t="shared" si="107"/>
        <v>-2143.375265437614</v>
      </c>
      <c r="AF153" s="1">
        <f t="shared" si="107"/>
        <v>-8207.2123931478145</v>
      </c>
      <c r="AG153" s="1">
        <f t="shared" si="107"/>
        <v>-2520.1708074534163</v>
      </c>
      <c r="AH153" s="1">
        <f t="shared" si="107"/>
        <v>-2521.5861474505086</v>
      </c>
      <c r="AI153" s="1">
        <f t="shared" si="107"/>
        <v>-3558.272553616393</v>
      </c>
      <c r="AJ153" s="1">
        <f t="shared" si="107"/>
        <v>-1598.7402548015839</v>
      </c>
      <c r="AK153" s="1">
        <f t="shared" si="107"/>
        <v>-10220.189015672981</v>
      </c>
      <c r="AL153" s="1">
        <f t="shared" si="107"/>
        <v>-1082.605281240797</v>
      </c>
      <c r="AM153" s="1">
        <f t="shared" si="107"/>
        <v>-1122.3046548296429</v>
      </c>
      <c r="AN153" s="1">
        <f t="shared" si="107"/>
        <v>-1069.1109703383515</v>
      </c>
      <c r="AO153" s="1">
        <f t="shared" si="107"/>
        <v>-1102.9469663581608</v>
      </c>
      <c r="AP153" s="1">
        <f t="shared" si="107"/>
        <v>-4376.1579627237497</v>
      </c>
      <c r="AQ153" s="1">
        <f t="shared" si="107"/>
        <v>-1124.1793158255969</v>
      </c>
      <c r="AR153" s="1">
        <f t="shared" si="107"/>
        <v>-1409.2625551816077</v>
      </c>
      <c r="AS153" s="1">
        <f t="shared" si="107"/>
        <v>-1318.2943350329795</v>
      </c>
      <c r="AT153" s="1">
        <f t="shared" si="107"/>
        <v>-1531.1735042476646</v>
      </c>
      <c r="AU153" s="1">
        <f t="shared" si="107"/>
        <v>-5383.5741220385462</v>
      </c>
      <c r="AV153" s="1">
        <f t="shared" ref="AV153" si="108">SUM(AV128:AV132)+(AV123*(SUM(AV128:AV132)/SUM(AV124:AV132)))</f>
        <v>-1605.7464869106213</v>
      </c>
      <c r="AW153" s="1">
        <f>SUM(AW128:AW132)+(AW123*(SUM(AW128:AW132)/SUM(AW124:AW132)))</f>
        <v>-1098.4622947156743</v>
      </c>
      <c r="AX153" s="1">
        <f>SUM(AX128:AX132)+(AX123*(SUM(AX128:AX132)/SUM(AX124:AX132)))</f>
        <v>-1516.8012391093901</v>
      </c>
      <c r="AY153" s="1">
        <f>SUM(AY128:AY132)+(AY123*(SUM(AY128:AY132)/SUM(AY124:AY132)))</f>
        <v>-1492.257908662142</v>
      </c>
      <c r="AZ153" s="1">
        <f>SUM(AZ128:AZ132)+(AZ123*(SUM(AZ128:AZ132)/SUM(AZ124:AZ132)))</f>
        <v>-5715.439627323377</v>
      </c>
      <c r="BA153" s="1">
        <f t="shared" ref="BA153" si="109">SUM(BA128:BA132)+(BA123*(SUM(BA128:BA132)/SUM(BA124:BA132)))</f>
        <v>-1999.3579290798839</v>
      </c>
    </row>
    <row r="154" spans="1:56">
      <c r="B154" s="11" t="s">
        <v>446</v>
      </c>
      <c r="C154" s="1">
        <f t="shared" ref="C154:AV154" si="110">C133</f>
        <v>0</v>
      </c>
      <c r="D154" s="1">
        <f t="shared" si="110"/>
        <v>0</v>
      </c>
      <c r="E154" s="1">
        <f t="shared" si="110"/>
        <v>0</v>
      </c>
      <c r="F154" s="1">
        <f t="shared" si="110"/>
        <v>0</v>
      </c>
      <c r="G154" s="1">
        <f t="shared" si="110"/>
        <v>0</v>
      </c>
      <c r="H154" s="1">
        <f t="shared" si="110"/>
        <v>0</v>
      </c>
      <c r="I154" s="1">
        <f t="shared" si="110"/>
        <v>0</v>
      </c>
      <c r="J154" s="1">
        <f t="shared" si="110"/>
        <v>0</v>
      </c>
      <c r="K154" s="1">
        <f t="shared" si="110"/>
        <v>0</v>
      </c>
      <c r="L154" s="1">
        <f t="shared" si="110"/>
        <v>0</v>
      </c>
      <c r="M154" s="1">
        <f t="shared" si="110"/>
        <v>0</v>
      </c>
      <c r="N154" s="1">
        <f t="shared" si="110"/>
        <v>0</v>
      </c>
      <c r="O154" s="1">
        <f t="shared" si="110"/>
        <v>0</v>
      </c>
      <c r="P154" s="1">
        <f t="shared" si="110"/>
        <v>0</v>
      </c>
      <c r="Q154" s="1">
        <f t="shared" si="110"/>
        <v>0</v>
      </c>
      <c r="R154" s="1">
        <f t="shared" si="110"/>
        <v>0</v>
      </c>
      <c r="S154" s="1">
        <f t="shared" si="110"/>
        <v>0</v>
      </c>
      <c r="T154" s="1">
        <f t="shared" si="110"/>
        <v>0</v>
      </c>
      <c r="U154" s="1">
        <f t="shared" si="110"/>
        <v>0</v>
      </c>
      <c r="V154" s="1">
        <f t="shared" si="110"/>
        <v>0</v>
      </c>
      <c r="W154" s="1">
        <f t="shared" si="110"/>
        <v>0</v>
      </c>
      <c r="X154" s="1">
        <f t="shared" si="110"/>
        <v>0</v>
      </c>
      <c r="Y154" s="1">
        <f t="shared" si="110"/>
        <v>0</v>
      </c>
      <c r="Z154" s="1">
        <f t="shared" si="110"/>
        <v>-61.421709999999997</v>
      </c>
      <c r="AA154" s="1">
        <f t="shared" si="110"/>
        <v>-61.421709999999997</v>
      </c>
      <c r="AB154" s="1">
        <f t="shared" si="110"/>
        <v>-56447.623299999999</v>
      </c>
      <c r="AC154" s="1">
        <f t="shared" si="110"/>
        <v>-57530.584820000011</v>
      </c>
      <c r="AD154" s="1">
        <f t="shared" si="110"/>
        <v>-62459.912799999962</v>
      </c>
      <c r="AE154" s="1">
        <f t="shared" si="110"/>
        <v>-77841.806230000002</v>
      </c>
      <c r="AF154" s="1">
        <f t="shared" si="110"/>
        <v>-254279.92714999997</v>
      </c>
      <c r="AG154" s="1">
        <f t="shared" si="110"/>
        <v>-81007</v>
      </c>
      <c r="AH154" s="1">
        <f t="shared" si="110"/>
        <v>-88559</v>
      </c>
      <c r="AI154" s="1">
        <f t="shared" si="110"/>
        <v>-98770</v>
      </c>
      <c r="AJ154" s="1">
        <f t="shared" si="110"/>
        <v>-107955</v>
      </c>
      <c r="AK154" s="1">
        <f t="shared" si="110"/>
        <v>-376291</v>
      </c>
      <c r="AL154" s="1">
        <f t="shared" si="110"/>
        <v>-117048</v>
      </c>
      <c r="AM154" s="1">
        <f t="shared" si="110"/>
        <v>-122616</v>
      </c>
      <c r="AN154" s="1">
        <f t="shared" si="110"/>
        <v>-126118</v>
      </c>
      <c r="AO154" s="1">
        <f t="shared" si="110"/>
        <v>-130849</v>
      </c>
      <c r="AP154" s="1">
        <f t="shared" si="110"/>
        <v>-496631</v>
      </c>
      <c r="AQ154" s="1">
        <f t="shared" si="110"/>
        <v>-135113</v>
      </c>
      <c r="AR154" s="1">
        <f t="shared" si="110"/>
        <v>-143172</v>
      </c>
      <c r="AS154" s="1">
        <f t="shared" si="110"/>
        <v>-140782</v>
      </c>
      <c r="AT154" s="1">
        <f t="shared" si="110"/>
        <v>-140055</v>
      </c>
      <c r="AU154" s="1">
        <f t="shared" si="110"/>
        <v>-559122</v>
      </c>
      <c r="AV154" s="1">
        <f t="shared" si="110"/>
        <v>-147551</v>
      </c>
      <c r="AW154" s="1">
        <f>AW133</f>
        <v>-143348</v>
      </c>
      <c r="AX154" s="1">
        <f>AX133</f>
        <v>-147624</v>
      </c>
      <c r="AY154" s="1">
        <f>AY133</f>
        <v>-150050</v>
      </c>
      <c r="AZ154" s="1">
        <f>AZ133</f>
        <v>-588573</v>
      </c>
      <c r="BA154" s="1">
        <f t="shared" ref="BA154" si="111">BA133</f>
        <v>-143921</v>
      </c>
    </row>
    <row r="155" spans="1:56">
      <c r="B155" s="11" t="s">
        <v>554</v>
      </c>
      <c r="C155" s="1">
        <f t="shared" ref="C155:AV155" si="112">C144</f>
        <v>-10236</v>
      </c>
      <c r="D155" s="1">
        <f t="shared" si="112"/>
        <v>-9201</v>
      </c>
      <c r="E155" s="1">
        <f t="shared" si="112"/>
        <v>-11298</v>
      </c>
      <c r="F155" s="1">
        <f t="shared" si="112"/>
        <v>-11358</v>
      </c>
      <c r="G155" s="1">
        <f t="shared" si="112"/>
        <v>-42093</v>
      </c>
      <c r="H155" s="1">
        <f t="shared" si="112"/>
        <v>-14341.066120000001</v>
      </c>
      <c r="I155" s="1">
        <f t="shared" si="112"/>
        <v>-13100.862879999999</v>
      </c>
      <c r="J155" s="1">
        <f t="shared" si="112"/>
        <v>-13727.869769999994</v>
      </c>
      <c r="K155" s="1">
        <f t="shared" si="112"/>
        <v>-13909.481050000006</v>
      </c>
      <c r="L155" s="1">
        <f t="shared" si="112"/>
        <v>-55079.279819999996</v>
      </c>
      <c r="M155" s="1">
        <f t="shared" si="112"/>
        <v>-19959.096559999998</v>
      </c>
      <c r="N155" s="1">
        <f t="shared" si="112"/>
        <v>-15503.619029999994</v>
      </c>
      <c r="O155" s="1">
        <f t="shared" si="112"/>
        <v>-14948.997260000004</v>
      </c>
      <c r="P155" s="1">
        <f t="shared" si="112"/>
        <v>-19378.655770000012</v>
      </c>
      <c r="Q155" s="1">
        <f t="shared" si="112"/>
        <v>-69790.368620000008</v>
      </c>
      <c r="R155" s="1">
        <f t="shared" si="112"/>
        <v>-17576</v>
      </c>
      <c r="S155" s="1">
        <f t="shared" si="112"/>
        <v>-19145</v>
      </c>
      <c r="T155" s="1">
        <f t="shared" si="112"/>
        <v>-19808</v>
      </c>
      <c r="U155" s="1">
        <f t="shared" si="112"/>
        <v>-12485.037850000008</v>
      </c>
      <c r="V155" s="1">
        <f t="shared" si="112"/>
        <v>-69014.037850000008</v>
      </c>
      <c r="W155" s="1">
        <f t="shared" si="112"/>
        <v>-13691</v>
      </c>
      <c r="X155" s="1">
        <f t="shared" si="112"/>
        <v>-16342</v>
      </c>
      <c r="Y155" s="1">
        <f t="shared" si="112"/>
        <v>-31540</v>
      </c>
      <c r="Z155" s="1">
        <f t="shared" si="112"/>
        <v>-23099</v>
      </c>
      <c r="AA155" s="1">
        <f t="shared" si="112"/>
        <v>-84672</v>
      </c>
      <c r="AB155" s="1">
        <f t="shared" si="112"/>
        <v>-21071</v>
      </c>
      <c r="AC155" s="1">
        <f t="shared" si="112"/>
        <v>-24622.721720000001</v>
      </c>
      <c r="AD155" s="1">
        <f t="shared" si="112"/>
        <v>-40930.164420000001</v>
      </c>
      <c r="AE155" s="1">
        <f t="shared" si="112"/>
        <v>-42065.817999999999</v>
      </c>
      <c r="AF155" s="1">
        <f t="shared" si="112"/>
        <v>-128689.70414</v>
      </c>
      <c r="AG155" s="1">
        <f t="shared" si="112"/>
        <v>-39869</v>
      </c>
      <c r="AH155" s="1">
        <f t="shared" si="112"/>
        <v>-50050</v>
      </c>
      <c r="AI155" s="1">
        <f t="shared" si="112"/>
        <v>-64949</v>
      </c>
      <c r="AJ155" s="1">
        <f t="shared" si="112"/>
        <v>-51941</v>
      </c>
      <c r="AK155" s="1">
        <f t="shared" si="112"/>
        <v>-206809</v>
      </c>
      <c r="AL155" s="1">
        <f t="shared" si="112"/>
        <v>-58331</v>
      </c>
      <c r="AM155" s="1">
        <f t="shared" si="112"/>
        <v>-59834</v>
      </c>
      <c r="AN155" s="1">
        <f t="shared" si="112"/>
        <v>-63422</v>
      </c>
      <c r="AO155" s="1">
        <f t="shared" si="112"/>
        <v>-65583</v>
      </c>
      <c r="AP155" s="1">
        <f t="shared" si="112"/>
        <v>-247170</v>
      </c>
      <c r="AQ155" s="1">
        <f t="shared" si="112"/>
        <v>-66646.492829999988</v>
      </c>
      <c r="AR155" s="1">
        <f t="shared" si="112"/>
        <v>-66957</v>
      </c>
      <c r="AS155" s="1">
        <f t="shared" si="112"/>
        <v>-70589.122901900002</v>
      </c>
      <c r="AT155" s="1">
        <f t="shared" si="112"/>
        <v>-81424.585249999989</v>
      </c>
      <c r="AU155" s="1">
        <f t="shared" si="112"/>
        <v>-285617.20098190004</v>
      </c>
      <c r="AV155" s="1">
        <f t="shared" si="112"/>
        <v>-77378.76311</v>
      </c>
      <c r="AW155" s="1">
        <f>AW144</f>
        <v>-73568.684959999955</v>
      </c>
      <c r="AX155" s="1">
        <f>AX144</f>
        <v>-79807.775279999987</v>
      </c>
      <c r="AY155" s="1">
        <f>AY144</f>
        <v>-78651.238620000004</v>
      </c>
      <c r="AZ155" s="1">
        <f>AZ144</f>
        <v>-309406.46196999995</v>
      </c>
      <c r="BA155" s="1">
        <f t="shared" ref="BA155" si="113">BA144</f>
        <v>-78332.044609999939</v>
      </c>
    </row>
    <row r="156" spans="1:56" s="100" customFormat="1">
      <c r="A156" s="2"/>
      <c r="B156" s="2" t="s">
        <v>555</v>
      </c>
      <c r="C156" s="3">
        <f t="shared" ref="C156:AV156" si="114">C141</f>
        <v>-5842</v>
      </c>
      <c r="D156" s="3">
        <f t="shared" si="114"/>
        <v>-5993</v>
      </c>
      <c r="E156" s="3">
        <f t="shared" si="114"/>
        <v>-5565</v>
      </c>
      <c r="F156" s="3">
        <f t="shared" si="114"/>
        <v>-6309</v>
      </c>
      <c r="G156" s="3">
        <f t="shared" si="114"/>
        <v>-23709</v>
      </c>
      <c r="H156" s="3">
        <f t="shared" si="114"/>
        <v>-4909.9291999999996</v>
      </c>
      <c r="I156" s="3">
        <f t="shared" si="114"/>
        <v>-4855.1894400000001</v>
      </c>
      <c r="J156" s="3">
        <f t="shared" si="114"/>
        <v>-5245.0165500000003</v>
      </c>
      <c r="K156" s="3">
        <f t="shared" si="114"/>
        <v>-4322.4570899999999</v>
      </c>
      <c r="L156" s="3">
        <f t="shared" si="114"/>
        <v>-19332.592280000001</v>
      </c>
      <c r="M156" s="3">
        <f t="shared" si="114"/>
        <v>-583.84290999999996</v>
      </c>
      <c r="N156" s="3">
        <f t="shared" si="114"/>
        <v>-4978.97102</v>
      </c>
      <c r="O156" s="3">
        <f t="shared" si="114"/>
        <v>-5439.4675200000001</v>
      </c>
      <c r="P156" s="3">
        <f t="shared" si="114"/>
        <v>-5074.7383200000004</v>
      </c>
      <c r="Q156" s="3">
        <f t="shared" si="114"/>
        <v>-16077.019770000001</v>
      </c>
      <c r="R156" s="3">
        <f t="shared" si="114"/>
        <v>-4818.1427700000004</v>
      </c>
      <c r="S156" s="3">
        <f t="shared" si="114"/>
        <v>-6000.6950999999999</v>
      </c>
      <c r="T156" s="3">
        <f t="shared" si="114"/>
        <v>-6672.1621299999997</v>
      </c>
      <c r="U156" s="3">
        <f t="shared" si="114"/>
        <v>-6318.2524000000003</v>
      </c>
      <c r="V156" s="3">
        <f t="shared" si="114"/>
        <v>-23809.252400000001</v>
      </c>
      <c r="W156" s="3">
        <f t="shared" si="114"/>
        <v>-6061</v>
      </c>
      <c r="X156" s="3">
        <f t="shared" si="114"/>
        <v>-5479.3948300000002</v>
      </c>
      <c r="Y156" s="3">
        <f t="shared" si="114"/>
        <v>-6365</v>
      </c>
      <c r="Z156" s="3">
        <f t="shared" si="114"/>
        <v>-5933</v>
      </c>
      <c r="AA156" s="3">
        <f t="shared" si="114"/>
        <v>-23838.394830000001</v>
      </c>
      <c r="AB156" s="3">
        <f t="shared" si="114"/>
        <v>-5436</v>
      </c>
      <c r="AC156" s="3">
        <f t="shared" si="114"/>
        <v>-7236</v>
      </c>
      <c r="AD156" s="3">
        <f t="shared" si="114"/>
        <v>-7666.6070900000004</v>
      </c>
      <c r="AE156" s="3">
        <f t="shared" si="114"/>
        <v>-6079</v>
      </c>
      <c r="AF156" s="3">
        <f t="shared" si="114"/>
        <v>-26417.607090000001</v>
      </c>
      <c r="AG156" s="3">
        <f t="shared" si="114"/>
        <v>-10662</v>
      </c>
      <c r="AH156" s="3">
        <f t="shared" si="114"/>
        <v>-10208</v>
      </c>
      <c r="AI156" s="3">
        <f t="shared" si="114"/>
        <v>-12162</v>
      </c>
      <c r="AJ156" s="3">
        <f t="shared" si="114"/>
        <v>-12321</v>
      </c>
      <c r="AK156" s="3">
        <f t="shared" si="114"/>
        <v>-45353</v>
      </c>
      <c r="AL156" s="3">
        <f t="shared" si="114"/>
        <v>-13398</v>
      </c>
      <c r="AM156" s="3">
        <f t="shared" si="114"/>
        <v>-14442</v>
      </c>
      <c r="AN156" s="3">
        <f t="shared" si="114"/>
        <v>-14546</v>
      </c>
      <c r="AO156" s="3">
        <f t="shared" si="114"/>
        <v>-13710.656999999999</v>
      </c>
      <c r="AP156" s="3">
        <f t="shared" si="114"/>
        <v>-56096.656999999999</v>
      </c>
      <c r="AQ156" s="3">
        <f t="shared" si="114"/>
        <v>-16587.919999999998</v>
      </c>
      <c r="AR156" s="3">
        <f t="shared" si="114"/>
        <v>-15132.171</v>
      </c>
      <c r="AS156" s="3">
        <f t="shared" si="114"/>
        <v>-17378.063999999998</v>
      </c>
      <c r="AT156" s="3">
        <f t="shared" si="114"/>
        <v>-18711.136999999999</v>
      </c>
      <c r="AU156" s="3">
        <f t="shared" si="114"/>
        <v>-67809.292000000001</v>
      </c>
      <c r="AV156" s="3">
        <f t="shared" si="114"/>
        <v>-18978.508999999998</v>
      </c>
      <c r="AW156" s="3">
        <f>AW141</f>
        <v>-19591.386999999999</v>
      </c>
      <c r="AX156" s="3">
        <f>AX141</f>
        <v>-19489.638999999999</v>
      </c>
      <c r="AY156" s="3">
        <f>AY141</f>
        <v>-20748.278999999999</v>
      </c>
      <c r="AZ156" s="3">
        <f>AZ141</f>
        <v>-78807.813999999998</v>
      </c>
      <c r="BA156" s="3">
        <f t="shared" ref="BA156" si="115">BA141</f>
        <v>-23087.026000000002</v>
      </c>
    </row>
    <row r="158" spans="1:56">
      <c r="C158" s="173">
        <v>0</v>
      </c>
      <c r="D158" s="173">
        <v>0</v>
      </c>
      <c r="E158" s="173">
        <v>0</v>
      </c>
      <c r="F158" s="173">
        <v>0</v>
      </c>
      <c r="G158" s="173">
        <v>0</v>
      </c>
      <c r="H158" s="173">
        <v>0</v>
      </c>
      <c r="I158" s="173">
        <v>0</v>
      </c>
      <c r="J158" s="173">
        <v>0</v>
      </c>
      <c r="K158" s="173">
        <v>0</v>
      </c>
      <c r="L158" s="173">
        <v>0</v>
      </c>
      <c r="M158" s="173">
        <v>0</v>
      </c>
      <c r="N158" s="173">
        <v>0</v>
      </c>
      <c r="O158" s="173">
        <v>0</v>
      </c>
      <c r="P158" s="173">
        <v>0</v>
      </c>
      <c r="Q158" s="173">
        <v>0</v>
      </c>
      <c r="R158" s="173">
        <v>0</v>
      </c>
      <c r="S158" s="173">
        <v>0</v>
      </c>
      <c r="T158" s="173">
        <v>0</v>
      </c>
      <c r="U158" s="173">
        <v>0</v>
      </c>
      <c r="V158" s="173">
        <v>0</v>
      </c>
      <c r="W158" s="173">
        <v>0</v>
      </c>
      <c r="X158" s="173">
        <v>0</v>
      </c>
      <c r="Y158" s="173">
        <v>0</v>
      </c>
      <c r="Z158" s="173">
        <v>0</v>
      </c>
      <c r="AA158" s="173">
        <v>0</v>
      </c>
      <c r="AB158" s="173">
        <v>0</v>
      </c>
      <c r="AC158" s="173">
        <v>0</v>
      </c>
      <c r="AD158" s="173">
        <v>0</v>
      </c>
      <c r="AE158" s="173">
        <v>0</v>
      </c>
      <c r="AF158" s="173">
        <v>0</v>
      </c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>
        <f>AP149-SUM(AP144,AP141,AP133,AP122)</f>
        <v>0</v>
      </c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</row>
    <row r="159" spans="1:56" s="100" customFormat="1">
      <c r="A159" s="28"/>
      <c r="B159" s="624" t="s">
        <v>584</v>
      </c>
      <c r="C159" s="624" t="s">
        <v>224</v>
      </c>
      <c r="D159" s="624" t="s">
        <v>225</v>
      </c>
      <c r="E159" s="624" t="s">
        <v>226</v>
      </c>
      <c r="F159" s="624" t="s">
        <v>227</v>
      </c>
      <c r="G159" s="624">
        <v>2016</v>
      </c>
      <c r="H159" s="624" t="s">
        <v>228</v>
      </c>
      <c r="I159" s="624" t="s">
        <v>229</v>
      </c>
      <c r="J159" s="624" t="s">
        <v>230</v>
      </c>
      <c r="K159" s="624" t="s">
        <v>231</v>
      </c>
      <c r="L159" s="624">
        <v>2017</v>
      </c>
      <c r="M159" s="624" t="s">
        <v>232</v>
      </c>
      <c r="N159" s="624" t="s">
        <v>233</v>
      </c>
      <c r="O159" s="624" t="s">
        <v>234</v>
      </c>
      <c r="P159" s="624" t="s">
        <v>235</v>
      </c>
      <c r="Q159" s="624">
        <v>2018</v>
      </c>
      <c r="R159" s="624" t="s">
        <v>236</v>
      </c>
      <c r="S159" s="624" t="s">
        <v>237</v>
      </c>
      <c r="T159" s="624" t="s">
        <v>238</v>
      </c>
      <c r="U159" s="624" t="s">
        <v>239</v>
      </c>
      <c r="V159" s="624">
        <v>2019</v>
      </c>
      <c r="W159" s="624" t="s">
        <v>240</v>
      </c>
      <c r="X159" s="624" t="s">
        <v>241</v>
      </c>
      <c r="Y159" s="624" t="s">
        <v>242</v>
      </c>
      <c r="Z159" s="624" t="s">
        <v>243</v>
      </c>
      <c r="AA159" s="624">
        <v>2020</v>
      </c>
      <c r="AB159" s="624" t="s">
        <v>244</v>
      </c>
      <c r="AC159" s="624" t="s">
        <v>245</v>
      </c>
      <c r="AD159" s="624" t="s">
        <v>246</v>
      </c>
      <c r="AE159" s="624" t="s">
        <v>247</v>
      </c>
      <c r="AF159" s="624">
        <v>2021</v>
      </c>
      <c r="AG159" s="624" t="s">
        <v>248</v>
      </c>
      <c r="AH159" s="624" t="s">
        <v>249</v>
      </c>
      <c r="AI159" s="624" t="s">
        <v>250</v>
      </c>
      <c r="AJ159" s="624" t="s">
        <v>215</v>
      </c>
      <c r="AK159" s="624">
        <v>2022</v>
      </c>
      <c r="AL159" s="624" t="s">
        <v>252</v>
      </c>
      <c r="AM159" s="624" t="s">
        <v>253</v>
      </c>
      <c r="AN159" s="624" t="s">
        <v>254</v>
      </c>
      <c r="AO159" s="624" t="s">
        <v>219</v>
      </c>
      <c r="AP159" s="624">
        <v>2023</v>
      </c>
      <c r="AQ159" s="624" t="s">
        <v>223</v>
      </c>
      <c r="AR159" s="624" t="s">
        <v>256</v>
      </c>
      <c r="AS159" s="624" t="s">
        <v>357</v>
      </c>
      <c r="AT159" s="624" t="s">
        <v>358</v>
      </c>
      <c r="AU159" s="624">
        <v>2024</v>
      </c>
      <c r="AV159" s="624" t="s">
        <v>359</v>
      </c>
      <c r="AW159" s="624" t="s">
        <v>1115</v>
      </c>
      <c r="AX159" s="624" t="s">
        <v>1116</v>
      </c>
      <c r="AY159" s="624" t="s">
        <v>1117</v>
      </c>
      <c r="AZ159" s="782">
        <v>2025</v>
      </c>
      <c r="BA159" s="783" t="s">
        <v>1124</v>
      </c>
      <c r="BD159" s="773"/>
    </row>
    <row r="160" spans="1:56" s="100" customFormat="1">
      <c r="A160" s="9"/>
      <c r="B160" s="9" t="str">
        <f t="shared" ref="B160:B184" si="116">B8</f>
        <v>Antiga Parceria CAIXA</v>
      </c>
      <c r="C160" s="160">
        <f t="shared" ref="C160:AV160" si="117">SUM(C161:C170)</f>
        <v>-989245.14217000012</v>
      </c>
      <c r="D160" s="160">
        <f t="shared" si="117"/>
        <v>-1122675.8864099989</v>
      </c>
      <c r="E160" s="160">
        <f t="shared" si="117"/>
        <v>-1072777.0932400015</v>
      </c>
      <c r="F160" s="160">
        <f t="shared" si="117"/>
        <v>-1123973.1169199971</v>
      </c>
      <c r="G160" s="160">
        <f t="shared" si="117"/>
        <v>-4308671.2387399971</v>
      </c>
      <c r="H160" s="160">
        <f t="shared" si="117"/>
        <v>-1229197.4961900001</v>
      </c>
      <c r="I160" s="160">
        <f t="shared" si="117"/>
        <v>-1219772.7472500012</v>
      </c>
      <c r="J160" s="160">
        <f t="shared" si="117"/>
        <v>-1341867.012129999</v>
      </c>
      <c r="K160" s="160">
        <f t="shared" si="117"/>
        <v>-1115655.0920200008</v>
      </c>
      <c r="L160" s="160">
        <f t="shared" si="117"/>
        <v>-4906492.3475900013</v>
      </c>
      <c r="M160" s="160">
        <f t="shared" si="117"/>
        <v>-1282131.8317799997</v>
      </c>
      <c r="N160" s="160">
        <f t="shared" si="117"/>
        <v>-1255150.6433800005</v>
      </c>
      <c r="O160" s="160">
        <f t="shared" si="117"/>
        <v>-1628221.3425099996</v>
      </c>
      <c r="P160" s="160">
        <f t="shared" si="117"/>
        <v>-1142254.0322599998</v>
      </c>
      <c r="Q160" s="160">
        <f t="shared" si="117"/>
        <v>-5307757.8499299986</v>
      </c>
      <c r="R160" s="160">
        <f t="shared" si="117"/>
        <v>-1268618.8526000006</v>
      </c>
      <c r="S160" s="160">
        <f t="shared" si="117"/>
        <v>-1156337.0763600001</v>
      </c>
      <c r="T160" s="160">
        <f t="shared" si="117"/>
        <v>-1271086.7401800007</v>
      </c>
      <c r="U160" s="160">
        <f t="shared" si="117"/>
        <v>-1194875.3534299997</v>
      </c>
      <c r="V160" s="160">
        <f t="shared" si="117"/>
        <v>-4890918.02257</v>
      </c>
      <c r="W160" s="160">
        <f t="shared" si="117"/>
        <v>-1322627.3312499998</v>
      </c>
      <c r="X160" s="160">
        <f t="shared" si="117"/>
        <v>-1257059.1249299999</v>
      </c>
      <c r="Y160" s="160">
        <f t="shared" si="117"/>
        <v>-1420556.1288099999</v>
      </c>
      <c r="Z160" s="160">
        <f t="shared" si="117"/>
        <v>-1463583.0462800006</v>
      </c>
      <c r="AA160" s="160">
        <f t="shared" si="117"/>
        <v>-5463825.6312700016</v>
      </c>
      <c r="AB160" s="160">
        <f t="shared" si="117"/>
        <v>-779313.49108999956</v>
      </c>
      <c r="AC160" s="160">
        <f t="shared" si="117"/>
        <v>-788939.26285000006</v>
      </c>
      <c r="AD160" s="160">
        <f t="shared" si="117"/>
        <v>-774989.46394000016</v>
      </c>
      <c r="AE160" s="160">
        <f t="shared" si="117"/>
        <v>-641197.99282000016</v>
      </c>
      <c r="AF160" s="160">
        <f t="shared" si="117"/>
        <v>-2984440.2107000002</v>
      </c>
      <c r="AG160" s="160">
        <f t="shared" si="117"/>
        <v>-633246.03110000002</v>
      </c>
      <c r="AH160" s="160">
        <f t="shared" si="117"/>
        <v>-591100.90875000018</v>
      </c>
      <c r="AI160" s="160">
        <f t="shared" si="117"/>
        <v>-657026</v>
      </c>
      <c r="AJ160" s="160">
        <f t="shared" si="117"/>
        <v>-645236.22027999978</v>
      </c>
      <c r="AK160" s="160">
        <f t="shared" si="117"/>
        <v>-2526609.1601299997</v>
      </c>
      <c r="AL160" s="160">
        <f t="shared" si="117"/>
        <v>-474322</v>
      </c>
      <c r="AM160" s="160">
        <f t="shared" si="117"/>
        <v>-440147</v>
      </c>
      <c r="AN160" s="160">
        <f t="shared" si="117"/>
        <v>-441760</v>
      </c>
      <c r="AO160" s="160">
        <f t="shared" si="117"/>
        <v>-418704</v>
      </c>
      <c r="AP160" s="160">
        <f t="shared" si="117"/>
        <v>-1774933</v>
      </c>
      <c r="AQ160" s="160">
        <f t="shared" si="117"/>
        <v>-435015.49400000001</v>
      </c>
      <c r="AR160" s="160">
        <f t="shared" si="117"/>
        <v>-518335</v>
      </c>
      <c r="AS160" s="160">
        <f t="shared" si="117"/>
        <v>-448833</v>
      </c>
      <c r="AT160" s="160">
        <f t="shared" si="117"/>
        <v>-432056</v>
      </c>
      <c r="AU160" s="160">
        <f t="shared" si="117"/>
        <v>-1834239.4939999999</v>
      </c>
      <c r="AV160" s="160">
        <f t="shared" si="117"/>
        <v>-492389.36700000003</v>
      </c>
      <c r="AW160" s="160">
        <f>SUM(AW161:AW170)</f>
        <v>-434735.50600000005</v>
      </c>
      <c r="AX160" s="160">
        <f>SUM(AX161:AX170)</f>
        <v>-462400</v>
      </c>
      <c r="AY160" s="160">
        <f>SUM(AY161:AY170)</f>
        <v>-457833</v>
      </c>
      <c r="AZ160" s="160">
        <f>SUM(AZ161:AZ170)</f>
        <v>-1847357.8730000001</v>
      </c>
      <c r="BA160" s="160">
        <f t="shared" ref="BA160" si="118">SUM(BA161:BA170)</f>
        <v>-445861</v>
      </c>
    </row>
    <row r="161" spans="1:59">
      <c r="B161" t="str">
        <f t="shared" si="116"/>
        <v>CNP SEGUROS HOLDING</v>
      </c>
      <c r="C161" s="1">
        <f>SUM('DRE ANTIGA PARCERIA CAIXA'!C264,'DRE ANTIGA PARCERIA CAIXA'!C266:C267)</f>
        <v>-5503.3252300000004</v>
      </c>
      <c r="D161" s="1">
        <f>SUM('DRE ANTIGA PARCERIA CAIXA'!D264,'DRE ANTIGA PARCERIA CAIXA'!D266:D267)</f>
        <v>-6443.1523100000013</v>
      </c>
      <c r="E161" s="1">
        <f>SUM('DRE ANTIGA PARCERIA CAIXA'!E264,'DRE ANTIGA PARCERIA CAIXA'!E266:E267)</f>
        <v>-5233.6496799999977</v>
      </c>
      <c r="F161" s="1">
        <f>SUM('DRE ANTIGA PARCERIA CAIXA'!F264,'DRE ANTIGA PARCERIA CAIXA'!F266:F267)</f>
        <v>-3876.0436499999951</v>
      </c>
      <c r="G161" s="1">
        <f>SUM('DRE ANTIGA PARCERIA CAIXA'!G264,'DRE ANTIGA PARCERIA CAIXA'!G266:G267)</f>
        <v>-21056.170869999994</v>
      </c>
      <c r="H161" s="1">
        <f>SUM('DRE ANTIGA PARCERIA CAIXA'!H264,'DRE ANTIGA PARCERIA CAIXA'!H266:H267)</f>
        <v>-3621.9398600000004</v>
      </c>
      <c r="I161" s="1">
        <f>SUM('DRE ANTIGA PARCERIA CAIXA'!I264,'DRE ANTIGA PARCERIA CAIXA'!I266:I267)</f>
        <v>-6121.4002099999998</v>
      </c>
      <c r="J161" s="1">
        <f>SUM('DRE ANTIGA PARCERIA CAIXA'!J264,'DRE ANTIGA PARCERIA CAIXA'!J266:J267)</f>
        <v>-4874.4078899999995</v>
      </c>
      <c r="K161" s="1">
        <f>SUM('DRE ANTIGA PARCERIA CAIXA'!K264,'DRE ANTIGA PARCERIA CAIXA'!K266:K267)</f>
        <v>-3390.2800500000003</v>
      </c>
      <c r="L161" s="1">
        <f>SUM('DRE ANTIGA PARCERIA CAIXA'!L264,'DRE ANTIGA PARCERIA CAIXA'!L266:L267)</f>
        <v>-18008.028010000002</v>
      </c>
      <c r="M161" s="1">
        <f>SUM('DRE ANTIGA PARCERIA CAIXA'!M264,'DRE ANTIGA PARCERIA CAIXA'!M266:M267)</f>
        <v>-4290.1661199999999</v>
      </c>
      <c r="N161" s="1">
        <f>SUM('DRE ANTIGA PARCERIA CAIXA'!N264,'DRE ANTIGA PARCERIA CAIXA'!N266:N267)</f>
        <v>-7638.0981300000021</v>
      </c>
      <c r="O161" s="1">
        <f>SUM('DRE ANTIGA PARCERIA CAIXA'!O264,'DRE ANTIGA PARCERIA CAIXA'!O266:O267)</f>
        <v>-15479.684729999979</v>
      </c>
      <c r="P161" s="1">
        <f>SUM('DRE ANTIGA PARCERIA CAIXA'!P264,'DRE ANTIGA PARCERIA CAIXA'!P266:P267)</f>
        <v>-6424.8711000000158</v>
      </c>
      <c r="Q161" s="1">
        <f>SUM('DRE ANTIGA PARCERIA CAIXA'!Q264,'DRE ANTIGA PARCERIA CAIXA'!Q266:Q267)</f>
        <v>-33832.820079999998</v>
      </c>
      <c r="R161" s="1">
        <f>SUM('DRE ANTIGA PARCERIA CAIXA'!R264,'DRE ANTIGA PARCERIA CAIXA'!R266:R267)</f>
        <v>-3973.2389299999995</v>
      </c>
      <c r="S161" s="1">
        <f>SUM('DRE ANTIGA PARCERIA CAIXA'!S264,'DRE ANTIGA PARCERIA CAIXA'!S266:S267)</f>
        <v>-6554.1796299999996</v>
      </c>
      <c r="T161" s="1">
        <f>SUM('DRE ANTIGA PARCERIA CAIXA'!T264,'DRE ANTIGA PARCERIA CAIXA'!T266:T267)</f>
        <v>-6394.5826200000056</v>
      </c>
      <c r="U161" s="1">
        <f>SUM('DRE ANTIGA PARCERIA CAIXA'!U264,'DRE ANTIGA PARCERIA CAIXA'!U266:U267)</f>
        <v>-10402.131130000005</v>
      </c>
      <c r="V161" s="1">
        <f>SUM('DRE ANTIGA PARCERIA CAIXA'!V264,'DRE ANTIGA PARCERIA CAIXA'!V266:V267)</f>
        <v>-27324.132310000008</v>
      </c>
      <c r="W161" s="1">
        <f>SUM('DRE ANTIGA PARCERIA CAIXA'!W264,'DRE ANTIGA PARCERIA CAIXA'!W266:W267)</f>
        <v>-5508.3005999999987</v>
      </c>
      <c r="X161" s="1">
        <f>SUM('DRE ANTIGA PARCERIA CAIXA'!X264,'DRE ANTIGA PARCERIA CAIXA'!X266:X267)</f>
        <v>-8710.9749500000016</v>
      </c>
      <c r="Y161" s="1">
        <f>SUM('DRE ANTIGA PARCERIA CAIXA'!Y264,'DRE ANTIGA PARCERIA CAIXA'!Y266:Y267)</f>
        <v>-6682.9437000000007</v>
      </c>
      <c r="Z161" s="1">
        <f>SUM('DRE ANTIGA PARCERIA CAIXA'!Z264,'DRE ANTIGA PARCERIA CAIXA'!Z266:Z267)</f>
        <v>-7598.0296500000013</v>
      </c>
      <c r="AA161" s="1">
        <f>SUM('DRE ANTIGA PARCERIA CAIXA'!AA264,'DRE ANTIGA PARCERIA CAIXA'!AA266:AA267)</f>
        <v>-28500.248900000002</v>
      </c>
      <c r="AB161" s="1">
        <f>SUM('DRE ANTIGA PARCERIA CAIXA'!AB264,'DRE ANTIGA PARCERIA CAIXA'!AB266:AB267)</f>
        <v>-21417.440429999995</v>
      </c>
      <c r="AC161" s="1">
        <f>SUM('DRE ANTIGA PARCERIA CAIXA'!AC264,'DRE ANTIGA PARCERIA CAIXA'!AC266:AC267)</f>
        <v>-23987.638810000008</v>
      </c>
      <c r="AD161" s="1">
        <f>SUM('DRE ANTIGA PARCERIA CAIXA'!AD264,'DRE ANTIGA PARCERIA CAIXA'!AD266:AD267)</f>
        <v>-28981.400700000002</v>
      </c>
      <c r="AE161" s="1">
        <f>SUM('DRE ANTIGA PARCERIA CAIXA'!AE264,'DRE ANTIGA PARCERIA CAIXA'!AE266:AE267)</f>
        <v>-12072.127269999977</v>
      </c>
      <c r="AF161" s="1">
        <f>SUM('DRE ANTIGA PARCERIA CAIXA'!AF264,'DRE ANTIGA PARCERIA CAIXA'!AF266:AF267)</f>
        <v>-86458.607209999987</v>
      </c>
      <c r="AG161" s="1">
        <f>SUM('DRE ANTIGA PARCERIA CAIXA'!AG264,'DRE ANTIGA PARCERIA CAIXA'!AG266:AG267)</f>
        <v>-4837</v>
      </c>
      <c r="AH161" s="1">
        <f>SUM('DRE ANTIGA PARCERIA CAIXA'!AH264,'DRE ANTIGA PARCERIA CAIXA'!AH266:AH267)</f>
        <v>-7585</v>
      </c>
      <c r="AI161" s="1">
        <f>SUM('DRE ANTIGA PARCERIA CAIXA'!AI264,'DRE ANTIGA PARCERIA CAIXA'!AI266:AI267)</f>
        <v>-12742</v>
      </c>
      <c r="AJ161" s="1">
        <f>SUM('DRE ANTIGA PARCERIA CAIXA'!AJ264,'DRE ANTIGA PARCERIA CAIXA'!AJ266:AJ267)</f>
        <v>-11588</v>
      </c>
      <c r="AK161" s="1">
        <f>SUM('DRE ANTIGA PARCERIA CAIXA'!AK264,'DRE ANTIGA PARCERIA CAIXA'!AK266:AK267)</f>
        <v>-36752</v>
      </c>
      <c r="AL161" s="1">
        <f>SUM('DRE ANTIGA PARCERIA CAIXA'!AL264,'DRE ANTIGA PARCERIA CAIXA'!AL266:AL267)</f>
        <v>-4584</v>
      </c>
      <c r="AM161" s="1">
        <f>SUM('DRE ANTIGA PARCERIA CAIXA'!AM264,'DRE ANTIGA PARCERIA CAIXA'!AM266:AM267)</f>
        <v>-4429</v>
      </c>
      <c r="AN161" s="1">
        <f>SUM('DRE ANTIGA PARCERIA CAIXA'!AN264,'DRE ANTIGA PARCERIA CAIXA'!AN266:AN267)</f>
        <v>-7120</v>
      </c>
      <c r="AO161" s="1">
        <f>SUM('DRE ANTIGA PARCERIA CAIXA'!AO264,'DRE ANTIGA PARCERIA CAIXA'!AO266:AO267)</f>
        <v>-3524</v>
      </c>
      <c r="AP161" s="1">
        <f>SUM('DRE ANTIGA PARCERIA CAIXA'!AP264,'DRE ANTIGA PARCERIA CAIXA'!AP266:AP267)</f>
        <v>-19657</v>
      </c>
      <c r="AQ161" s="1">
        <f>SUM('DRE ANTIGA PARCERIA CAIXA'!AQ264,'DRE ANTIGA PARCERIA CAIXA'!AQ266:AQ267)</f>
        <v>-2363</v>
      </c>
      <c r="AR161" s="1">
        <f>SUM('DRE ANTIGA PARCERIA CAIXA'!AR264,'DRE ANTIGA PARCERIA CAIXA'!AR266:AR267)</f>
        <v>-1436</v>
      </c>
      <c r="AS161" s="1">
        <f>SUM('DRE ANTIGA PARCERIA CAIXA'!AS264,'DRE ANTIGA PARCERIA CAIXA'!AS266:AS267)</f>
        <v>-1729</v>
      </c>
      <c r="AT161" s="1">
        <f>SUM('DRE ANTIGA PARCERIA CAIXA'!AT264,'DRE ANTIGA PARCERIA CAIXA'!AT266:AT267)</f>
        <v>-2844</v>
      </c>
      <c r="AU161" s="1">
        <f>SUM('DRE ANTIGA PARCERIA CAIXA'!AU264,'DRE ANTIGA PARCERIA CAIXA'!AU266:AU267)</f>
        <v>-8372</v>
      </c>
      <c r="AV161" s="1">
        <f>SUM('DRE ANTIGA PARCERIA CAIXA'!AV264,'DRE ANTIGA PARCERIA CAIXA'!AV266:AV267)</f>
        <v>-4470</v>
      </c>
      <c r="AW161" s="1">
        <f>SUM('DRE ANTIGA PARCERIA CAIXA'!AW264,'DRE ANTIGA PARCERIA CAIXA'!AW266:AW267)</f>
        <v>-3350</v>
      </c>
      <c r="AX161" s="1">
        <f>SUM('DRE ANTIGA PARCERIA CAIXA'!AX264,'DRE ANTIGA PARCERIA CAIXA'!AX266:AX267)</f>
        <v>-2984</v>
      </c>
      <c r="AY161" s="1">
        <f>SUM('DRE ANTIGA PARCERIA CAIXA'!AY264,'DRE ANTIGA PARCERIA CAIXA'!AY266:AY267)</f>
        <v>-2522</v>
      </c>
      <c r="AZ161" s="1">
        <f>SUM('DRE ANTIGA PARCERIA CAIXA'!AZ264,'DRE ANTIGA PARCERIA CAIXA'!AZ266:AZ267)</f>
        <v>-13326</v>
      </c>
      <c r="BA161" s="1">
        <f>SUM('DRE ANTIGA PARCERIA CAIXA'!BA264,'DRE ANTIGA PARCERIA CAIXA'!BA266:BA267)</f>
        <v>-1349</v>
      </c>
    </row>
    <row r="162" spans="1:59">
      <c r="B162" t="str">
        <f t="shared" si="116"/>
        <v>CNP Seguradora</v>
      </c>
      <c r="C162" s="1">
        <f>SUM('DRE ANTIGA PARCERIA CAIXA'!C33:C37,'DRE ANTIGA PARCERIA CAIXA'!C39:C40)</f>
        <v>-660933.68531000009</v>
      </c>
      <c r="D162" s="1">
        <f>SUM('DRE ANTIGA PARCERIA CAIXA'!D33:D37,'DRE ANTIGA PARCERIA CAIXA'!D39:D40)</f>
        <v>-715889.26267000008</v>
      </c>
      <c r="E162" s="1">
        <f>SUM('DRE ANTIGA PARCERIA CAIXA'!E33:E37,'DRE ANTIGA PARCERIA CAIXA'!E39:E40)</f>
        <v>-636802.62997000013</v>
      </c>
      <c r="F162" s="1">
        <f>SUM('DRE ANTIGA PARCERIA CAIXA'!F33:F37,'DRE ANTIGA PARCERIA CAIXA'!F39:F40)</f>
        <v>-742979.40659000014</v>
      </c>
      <c r="G162" s="1">
        <f>SUM('DRE ANTIGA PARCERIA CAIXA'!G33:G37,'DRE ANTIGA PARCERIA CAIXA'!G39:G40)</f>
        <v>-2756604.984540001</v>
      </c>
      <c r="H162" s="1">
        <f>SUM('DRE ANTIGA PARCERIA CAIXA'!H33:H37,'DRE ANTIGA PARCERIA CAIXA'!H39:H40)</f>
        <v>-824182.56031000009</v>
      </c>
      <c r="I162" s="1">
        <f>SUM('DRE ANTIGA PARCERIA CAIXA'!I33:I37,'DRE ANTIGA PARCERIA CAIXA'!I39:I40)</f>
        <v>-826855.51346000016</v>
      </c>
      <c r="J162" s="1">
        <f>SUM('DRE ANTIGA PARCERIA CAIXA'!J33:J37,'DRE ANTIGA PARCERIA CAIXA'!J39:J40)</f>
        <v>-959972.37250000006</v>
      </c>
      <c r="K162" s="1">
        <f>SUM('DRE ANTIGA PARCERIA CAIXA'!K33:K37,'DRE ANTIGA PARCERIA CAIXA'!K39:K40)</f>
        <v>-808353.29585000023</v>
      </c>
      <c r="L162" s="1">
        <f>SUM('DRE ANTIGA PARCERIA CAIXA'!L33:L37,'DRE ANTIGA PARCERIA CAIXA'!L39:L40)</f>
        <v>-3419363.7421200001</v>
      </c>
      <c r="M162" s="1">
        <f>SUM('DRE ANTIGA PARCERIA CAIXA'!M33:M37,'DRE ANTIGA PARCERIA CAIXA'!M39:M40)</f>
        <v>-927816.27880999958</v>
      </c>
      <c r="N162" s="1">
        <f>SUM('DRE ANTIGA PARCERIA CAIXA'!N33:N37,'DRE ANTIGA PARCERIA CAIXA'!N39:N40)</f>
        <v>-871324.15944000008</v>
      </c>
      <c r="O162" s="1">
        <f>SUM('DRE ANTIGA PARCERIA CAIXA'!O33:O37,'DRE ANTIGA PARCERIA CAIXA'!O39:O40)</f>
        <v>-1228794.7297100001</v>
      </c>
      <c r="P162" s="1">
        <f>SUM('DRE ANTIGA PARCERIA CAIXA'!P33:P37,'DRE ANTIGA PARCERIA CAIXA'!P39:P40)</f>
        <v>-756342.99946000031</v>
      </c>
      <c r="Q162" s="1">
        <f>SUM('DRE ANTIGA PARCERIA CAIXA'!Q33:Q37,'DRE ANTIGA PARCERIA CAIXA'!Q39:Q40)</f>
        <v>-3784278.1674199994</v>
      </c>
      <c r="R162" s="1">
        <f>SUM('DRE ANTIGA PARCERIA CAIXA'!R33:R37,'DRE ANTIGA PARCERIA CAIXA'!R39:R40)</f>
        <v>-938823.38950000028</v>
      </c>
      <c r="S162" s="1">
        <f>SUM('DRE ANTIGA PARCERIA CAIXA'!S33:S37,'DRE ANTIGA PARCERIA CAIXA'!S39:S40)</f>
        <v>-806280.74661000038</v>
      </c>
      <c r="T162" s="1">
        <f>SUM('DRE ANTIGA PARCERIA CAIXA'!T33:T37,'DRE ANTIGA PARCERIA CAIXA'!T39:T40)</f>
        <v>-934146.84003000031</v>
      </c>
      <c r="U162" s="1">
        <f>SUM('DRE ANTIGA PARCERIA CAIXA'!U33:U37,'DRE ANTIGA PARCERIA CAIXA'!U39:U40)</f>
        <v>-771610.27584999998</v>
      </c>
      <c r="V162" s="1">
        <f>SUM('DRE ANTIGA PARCERIA CAIXA'!V33:V37,'DRE ANTIGA PARCERIA CAIXA'!V39:V40)</f>
        <v>-3450861.2519900007</v>
      </c>
      <c r="W162" s="1">
        <f>SUM('DRE ANTIGA PARCERIA CAIXA'!W33:W37,'DRE ANTIGA PARCERIA CAIXA'!W39:W40)</f>
        <v>-978153.04807999986</v>
      </c>
      <c r="X162" s="1">
        <f>SUM('DRE ANTIGA PARCERIA CAIXA'!X33:X37,'DRE ANTIGA PARCERIA CAIXA'!X39:X40)</f>
        <v>-949074.0486699997</v>
      </c>
      <c r="Y162" s="1">
        <f>SUM('DRE ANTIGA PARCERIA CAIXA'!Y33:Y37,'DRE ANTIGA PARCERIA CAIXA'!Y39:Y40)</f>
        <v>-612672.23097999976</v>
      </c>
      <c r="Z162" s="1">
        <f>SUM('DRE ANTIGA PARCERIA CAIXA'!Z33:Z37,'DRE ANTIGA PARCERIA CAIXA'!Z39:Z40)</f>
        <v>-588298.0011900001</v>
      </c>
      <c r="AA162" s="1">
        <f>SUM('DRE ANTIGA PARCERIA CAIXA'!AA33:AA37,'DRE ANTIGA PARCERIA CAIXA'!AA39:AA40)</f>
        <v>-3128197.3289199998</v>
      </c>
      <c r="AB162" s="1">
        <f>SUM('DRE ANTIGA PARCERIA CAIXA'!AB33:AB37,'DRE ANTIGA PARCERIA CAIXA'!AB39:AB40)</f>
        <v>-563050.11620999966</v>
      </c>
      <c r="AC162" s="1">
        <f>SUM('DRE ANTIGA PARCERIA CAIXA'!AC33:AC37,'DRE ANTIGA PARCERIA CAIXA'!AC39:AC40)</f>
        <v>-581435.46683000028</v>
      </c>
      <c r="AD162" s="1">
        <f>SUM('DRE ANTIGA PARCERIA CAIXA'!AD33:AD37,'DRE ANTIGA PARCERIA CAIXA'!AD39:AD40)</f>
        <v>-578669.78301999986</v>
      </c>
      <c r="AE162" s="1">
        <f>SUM('DRE ANTIGA PARCERIA CAIXA'!AE33:AE37,'DRE ANTIGA PARCERIA CAIXA'!AE39:AE40)</f>
        <v>-460831.19688000006</v>
      </c>
      <c r="AF162" s="1">
        <f>SUM('DRE ANTIGA PARCERIA CAIXA'!AF33:AF37,'DRE ANTIGA PARCERIA CAIXA'!AF39:AF40)</f>
        <v>-2183986.5629400001</v>
      </c>
      <c r="AG162" s="1">
        <f>SUM('DRE ANTIGA PARCERIA CAIXA'!AG33:AG37,'DRE ANTIGA PARCERIA CAIXA'!AG39:AG40)</f>
        <v>-474886</v>
      </c>
      <c r="AH162" s="1">
        <f>SUM('DRE ANTIGA PARCERIA CAIXA'!AH33:AH37,'DRE ANTIGA PARCERIA CAIXA'!AH39:AH40)</f>
        <v>-489073</v>
      </c>
      <c r="AI162" s="1">
        <f>SUM('DRE ANTIGA PARCERIA CAIXA'!AI33:AI37,'DRE ANTIGA PARCERIA CAIXA'!AI39:AI40)</f>
        <v>-467451</v>
      </c>
      <c r="AJ162" s="1">
        <f>SUM('DRE ANTIGA PARCERIA CAIXA'!AJ33:AJ37,'DRE ANTIGA PARCERIA CAIXA'!AJ39:AJ40)</f>
        <v>-557902</v>
      </c>
      <c r="AK162" s="1">
        <f>SUM('DRE ANTIGA PARCERIA CAIXA'!AK33:AK37,'DRE ANTIGA PARCERIA CAIXA'!AK39:AK40)</f>
        <v>-1989312</v>
      </c>
      <c r="AL162" s="1">
        <f>SUM('DRE ANTIGA PARCERIA CAIXA'!AL33:AL37,'DRE ANTIGA PARCERIA CAIXA'!AL39:AL40)</f>
        <v>-469304</v>
      </c>
      <c r="AM162" s="1">
        <f>SUM('DRE ANTIGA PARCERIA CAIXA'!AM33:AM37,'DRE ANTIGA PARCERIA CAIXA'!AM39:AM40)</f>
        <v>-438275</v>
      </c>
      <c r="AN162" s="1">
        <f>SUM('DRE ANTIGA PARCERIA CAIXA'!AN33:AN37,'DRE ANTIGA PARCERIA CAIXA'!AN39:AN40)</f>
        <v>-431334</v>
      </c>
      <c r="AO162" s="1">
        <f>SUM('DRE ANTIGA PARCERIA CAIXA'!AO33:AO37,'DRE ANTIGA PARCERIA CAIXA'!AO39:AO40)</f>
        <v>-410181</v>
      </c>
      <c r="AP162" s="1">
        <f>SUM('DRE ANTIGA PARCERIA CAIXA'!AP33:AP37,'DRE ANTIGA PARCERIA CAIXA'!AP39:AP40)</f>
        <v>-1749094</v>
      </c>
      <c r="AQ162" s="1">
        <f>SUM('DRE ANTIGA PARCERIA CAIXA'!AQ33:AQ37,'DRE ANTIGA PARCERIA CAIXA'!AQ39:AQ40)</f>
        <v>-428901.49400000001</v>
      </c>
      <c r="AR162" s="1">
        <f>SUM('DRE ANTIGA PARCERIA CAIXA'!AR33:AR37,'DRE ANTIGA PARCERIA CAIXA'!AR39:AR40)</f>
        <v>-512424</v>
      </c>
      <c r="AS162" s="1">
        <f>SUM('DRE ANTIGA PARCERIA CAIXA'!AS33:AS37,'DRE ANTIGA PARCERIA CAIXA'!AS39:AS40)</f>
        <v>-441755</v>
      </c>
      <c r="AT162" s="1">
        <f>SUM('DRE ANTIGA PARCERIA CAIXA'!AT33:AT37,'DRE ANTIGA PARCERIA CAIXA'!AT39:AT40)</f>
        <v>-427467</v>
      </c>
      <c r="AU162" s="1">
        <f>SUM('DRE ANTIGA PARCERIA CAIXA'!AU33:AU37,'DRE ANTIGA PARCERIA CAIXA'!AU39:AU40)</f>
        <v>-1810547.4939999999</v>
      </c>
      <c r="AV162" s="1">
        <f>SUM('DRE ANTIGA PARCERIA CAIXA'!AV33:AV37,'DRE ANTIGA PARCERIA CAIXA'!AV39:AV40)</f>
        <v>-480876.36700000003</v>
      </c>
      <c r="AW162" s="1">
        <f>SUM('DRE ANTIGA PARCERIA CAIXA'!AW33:AW37,'DRE ANTIGA PARCERIA CAIXA'!AW39:AW40)</f>
        <v>-425433.50600000005</v>
      </c>
      <c r="AX162" s="1">
        <f>SUM('DRE ANTIGA PARCERIA CAIXA'!AX33:AX37,'DRE ANTIGA PARCERIA CAIXA'!AX39:AX40)</f>
        <v>-456090</v>
      </c>
      <c r="AY162" s="1">
        <f>SUM('DRE ANTIGA PARCERIA CAIXA'!AY33:AY37,'DRE ANTIGA PARCERIA CAIXA'!AY39:AY40)</f>
        <v>-451210</v>
      </c>
      <c r="AZ162" s="1">
        <f>SUM('DRE ANTIGA PARCERIA CAIXA'!AZ33:AZ37,'DRE ANTIGA PARCERIA CAIXA'!AZ39:AZ40)</f>
        <v>-1813609.8730000001</v>
      </c>
      <c r="BA162" s="1">
        <f>SUM('DRE ANTIGA PARCERIA CAIXA'!BA33:BA37,'DRE ANTIGA PARCERIA CAIXA'!BA39:BA40)</f>
        <v>-444415</v>
      </c>
    </row>
    <row r="163" spans="1:59">
      <c r="B163" t="str">
        <f t="shared" si="116"/>
        <v>CNP Vida &amp; Previdência</v>
      </c>
      <c r="C163" s="1">
        <f>SUM('DRE ANTIGA PARCERIA CAIXA'!C63:C66,'DRE ANTIGA PARCERIA CAIXA'!C72:C75,'DRE ANTIGA PARCERIA CAIXA'!C77:C78)</f>
        <v>-66412.287110000005</v>
      </c>
      <c r="D163" s="1">
        <f>SUM('DRE ANTIGA PARCERIA CAIXA'!D63:D66,'DRE ANTIGA PARCERIA CAIXA'!D72:D75,'DRE ANTIGA PARCERIA CAIXA'!D77:D78)</f>
        <v>-68040.911369999987</v>
      </c>
      <c r="E163" s="1">
        <f>SUM('DRE ANTIGA PARCERIA CAIXA'!E63:E66,'DRE ANTIGA PARCERIA CAIXA'!E72:E75,'DRE ANTIGA PARCERIA CAIXA'!E77:E78)</f>
        <v>-76735.478170000017</v>
      </c>
      <c r="F163" s="1">
        <f>SUM('DRE ANTIGA PARCERIA CAIXA'!F63:F66,'DRE ANTIGA PARCERIA CAIXA'!F72:F75,'DRE ANTIGA PARCERIA CAIXA'!F77:F78)</f>
        <v>-86603.686279999965</v>
      </c>
      <c r="G163" s="1">
        <f>SUM('DRE ANTIGA PARCERIA CAIXA'!G63:G66,'DRE ANTIGA PARCERIA CAIXA'!G72:G75,'DRE ANTIGA PARCERIA CAIXA'!G77:G78)</f>
        <v>-297792.36292999994</v>
      </c>
      <c r="H163" s="1">
        <f>SUM('DRE ANTIGA PARCERIA CAIXA'!H63:H66,'DRE ANTIGA PARCERIA CAIXA'!H72:H75,'DRE ANTIGA PARCERIA CAIXA'!H77:H78)</f>
        <v>-92180.052179999999</v>
      </c>
      <c r="I163" s="1">
        <f>SUM('DRE ANTIGA PARCERIA CAIXA'!I63:I66,'DRE ANTIGA PARCERIA CAIXA'!I72:I75,'DRE ANTIGA PARCERIA CAIXA'!I77:I78)</f>
        <v>-86896.699170000007</v>
      </c>
      <c r="J163" s="1">
        <f>SUM('DRE ANTIGA PARCERIA CAIXA'!J63:J66,'DRE ANTIGA PARCERIA CAIXA'!J72:J75,'DRE ANTIGA PARCERIA CAIXA'!J77:J78)</f>
        <v>-99092.808179999993</v>
      </c>
      <c r="K163" s="1">
        <f>SUM('DRE ANTIGA PARCERIA CAIXA'!K63:K66,'DRE ANTIGA PARCERIA CAIXA'!K72:K75,'DRE ANTIGA PARCERIA CAIXA'!K77:K78)</f>
        <v>-46424.367619999968</v>
      </c>
      <c r="L163" s="1">
        <f>SUM('DRE ANTIGA PARCERIA CAIXA'!L63:L66,'DRE ANTIGA PARCERIA CAIXA'!L72:L75,'DRE ANTIGA PARCERIA CAIXA'!L77:L78)</f>
        <v>-324593.92715</v>
      </c>
      <c r="M163" s="1">
        <f>SUM('DRE ANTIGA PARCERIA CAIXA'!M63:M66,'DRE ANTIGA PARCERIA CAIXA'!M72:M75,'DRE ANTIGA PARCERIA CAIXA'!M77:M78)</f>
        <v>-61973.499349999984</v>
      </c>
      <c r="N163" s="1">
        <f>SUM('DRE ANTIGA PARCERIA CAIXA'!N63:N66,'DRE ANTIGA PARCERIA CAIXA'!N72:N75,'DRE ANTIGA PARCERIA CAIXA'!N77:N78)</f>
        <v>-102421.83383</v>
      </c>
      <c r="O163" s="1">
        <f>SUM('DRE ANTIGA PARCERIA CAIXA'!O63:O66,'DRE ANTIGA PARCERIA CAIXA'!O72:O75,'DRE ANTIGA PARCERIA CAIXA'!O77:O78)</f>
        <v>-101309.18939999997</v>
      </c>
      <c r="P163" s="1">
        <f>SUM('DRE ANTIGA PARCERIA CAIXA'!P63:P66,'DRE ANTIGA PARCERIA CAIXA'!P72:P75,'DRE ANTIGA PARCERIA CAIXA'!P77:P78)</f>
        <v>-112358.99417000002</v>
      </c>
      <c r="Q163" s="1">
        <f>SUM('DRE ANTIGA PARCERIA CAIXA'!Q63:Q66,'DRE ANTIGA PARCERIA CAIXA'!Q72:Q75,'DRE ANTIGA PARCERIA CAIXA'!Q77:Q78)</f>
        <v>-378063.51675000001</v>
      </c>
      <c r="R163" s="1">
        <f>SUM('DRE ANTIGA PARCERIA CAIXA'!R63:R66,'DRE ANTIGA PARCERIA CAIXA'!R72:R75,'DRE ANTIGA PARCERIA CAIXA'!R77:R78)</f>
        <v>-96015.201269999947</v>
      </c>
      <c r="S163" s="1">
        <f>SUM('DRE ANTIGA PARCERIA CAIXA'!S63:S66,'DRE ANTIGA PARCERIA CAIXA'!S72:S75,'DRE ANTIGA PARCERIA CAIXA'!S77:S78)</f>
        <v>-101768.97017000002</v>
      </c>
      <c r="T163" s="1">
        <f>SUM('DRE ANTIGA PARCERIA CAIXA'!T63:T66,'DRE ANTIGA PARCERIA CAIXA'!T72:T75,'DRE ANTIGA PARCERIA CAIXA'!T77:T78)</f>
        <v>-113650.49624000001</v>
      </c>
      <c r="U163" s="1">
        <f>SUM('DRE ANTIGA PARCERIA CAIXA'!U63:U66,'DRE ANTIGA PARCERIA CAIXA'!U72:U75,'DRE ANTIGA PARCERIA CAIXA'!U77:U78)</f>
        <v>-131103.42080999998</v>
      </c>
      <c r="V163" s="1">
        <f>SUM('DRE ANTIGA PARCERIA CAIXA'!V63:V66,'DRE ANTIGA PARCERIA CAIXA'!V72:V75,'DRE ANTIGA PARCERIA CAIXA'!V77:V78)</f>
        <v>-442538.08848999999</v>
      </c>
      <c r="W163" s="1">
        <f>SUM('DRE ANTIGA PARCERIA CAIXA'!W63:W66,'DRE ANTIGA PARCERIA CAIXA'!W72:W75,'DRE ANTIGA PARCERIA CAIXA'!W77:W78)</f>
        <v>-104667.40384000001</v>
      </c>
      <c r="X163" s="1">
        <f>SUM('DRE ANTIGA PARCERIA CAIXA'!X63:X66,'DRE ANTIGA PARCERIA CAIXA'!X72:X75,'DRE ANTIGA PARCERIA CAIXA'!X77:X78)</f>
        <v>-95498.120260000112</v>
      </c>
      <c r="Y163" s="1">
        <f>SUM('DRE ANTIGA PARCERIA CAIXA'!Y63:Y66,'DRE ANTIGA PARCERIA CAIXA'!Y72:Y75,'DRE ANTIGA PARCERIA CAIXA'!Y77:Y78)</f>
        <v>-585684.65389000019</v>
      </c>
      <c r="Z163" s="1">
        <f>SUM('DRE ANTIGA PARCERIA CAIXA'!Z63:Z66,'DRE ANTIGA PARCERIA CAIXA'!Z72:Z75,'DRE ANTIGA PARCERIA CAIXA'!Z77:Z78)</f>
        <v>-645542.44837000011</v>
      </c>
      <c r="AA163" s="1">
        <f>SUM('DRE ANTIGA PARCERIA CAIXA'!AA63:AA66,'DRE ANTIGA PARCERIA CAIXA'!AA72:AA75,'DRE ANTIGA PARCERIA CAIXA'!AA77:AA78)</f>
        <v>-1431392.6263600003</v>
      </c>
      <c r="AB163" s="1">
        <f>SUM('DRE ANTIGA PARCERIA CAIXA'!AB63:AB66,'DRE ANTIGA PARCERIA CAIXA'!AB72:AB75,'DRE ANTIGA PARCERIA CAIXA'!AB77:AB78)</f>
        <v>0</v>
      </c>
      <c r="AC163" s="1">
        <f>SUM('DRE ANTIGA PARCERIA CAIXA'!AC63:AC66,'DRE ANTIGA PARCERIA CAIXA'!AC72:AC75,'DRE ANTIGA PARCERIA CAIXA'!AC77:AC78)</f>
        <v>0</v>
      </c>
      <c r="AD163" s="1">
        <f>SUM('DRE ANTIGA PARCERIA CAIXA'!AD63:AD66,'DRE ANTIGA PARCERIA CAIXA'!AD72:AD75,'DRE ANTIGA PARCERIA CAIXA'!AD77:AD78)</f>
        <v>0</v>
      </c>
      <c r="AE163" s="1">
        <f>SUM('DRE ANTIGA PARCERIA CAIXA'!AE63:AE66,'DRE ANTIGA PARCERIA CAIXA'!AE72:AE75,'DRE ANTIGA PARCERIA CAIXA'!AE77:AE78)</f>
        <v>0</v>
      </c>
      <c r="AF163" s="1">
        <f>SUM('DRE ANTIGA PARCERIA CAIXA'!AF63:AF66,'DRE ANTIGA PARCERIA CAIXA'!AF72:AF75,'DRE ANTIGA PARCERIA CAIXA'!AF77:AF78)</f>
        <v>0</v>
      </c>
      <c r="AG163" s="1">
        <f>SUM('DRE ANTIGA PARCERIA CAIXA'!AG63:AG66,'DRE ANTIGA PARCERIA CAIXA'!AG72:AG75,'DRE ANTIGA PARCERIA CAIXA'!AG77:AG78)</f>
        <v>0</v>
      </c>
      <c r="AH163" s="1">
        <f>SUM('DRE ANTIGA PARCERIA CAIXA'!AH63:AH66,'DRE ANTIGA PARCERIA CAIXA'!AH72:AH75,'DRE ANTIGA PARCERIA CAIXA'!AH77:AH78)</f>
        <v>0</v>
      </c>
      <c r="AI163" s="1">
        <f>SUM('DRE ANTIGA PARCERIA CAIXA'!AI63:AI66,'DRE ANTIGA PARCERIA CAIXA'!AI72:AI75,'DRE ANTIGA PARCERIA CAIXA'!AI77:AI78)</f>
        <v>0</v>
      </c>
      <c r="AJ163" s="1">
        <f>SUM('DRE ANTIGA PARCERIA CAIXA'!AJ63:AJ66,'DRE ANTIGA PARCERIA CAIXA'!AJ72:AJ75,'DRE ANTIGA PARCERIA CAIXA'!AJ77:AJ78)</f>
        <v>0</v>
      </c>
      <c r="AK163" s="1">
        <f>SUM('DRE ANTIGA PARCERIA CAIXA'!AK63:AK66,'DRE ANTIGA PARCERIA CAIXA'!AK72:AK75,'DRE ANTIGA PARCERIA CAIXA'!AK77:AK78)</f>
        <v>0</v>
      </c>
      <c r="AL163" s="1">
        <f>SUM('DRE ANTIGA PARCERIA CAIXA'!AL63:AL66,'DRE ANTIGA PARCERIA CAIXA'!AL72:AL75,'DRE ANTIGA PARCERIA CAIXA'!AL77:AL78)</f>
        <v>0</v>
      </c>
      <c r="AM163" s="1">
        <f>SUM('DRE ANTIGA PARCERIA CAIXA'!AM63:AM66,'DRE ANTIGA PARCERIA CAIXA'!AM72:AM75,'DRE ANTIGA PARCERIA CAIXA'!AM77:AM78)</f>
        <v>0</v>
      </c>
      <c r="AN163" s="1">
        <f>SUM('DRE ANTIGA PARCERIA CAIXA'!AN63:AN66,'DRE ANTIGA PARCERIA CAIXA'!AN72:AN75,'DRE ANTIGA PARCERIA CAIXA'!AN77:AN78)</f>
        <v>0</v>
      </c>
      <c r="AO163" s="1">
        <f>SUM('DRE ANTIGA PARCERIA CAIXA'!AO63:AO66,'DRE ANTIGA PARCERIA CAIXA'!AO72:AO75,'DRE ANTIGA PARCERIA CAIXA'!AO77:AO78)</f>
        <v>0</v>
      </c>
      <c r="AP163" s="1">
        <f>SUM('DRE ANTIGA PARCERIA CAIXA'!AP63:AP66,'DRE ANTIGA PARCERIA CAIXA'!AP72:AP75,'DRE ANTIGA PARCERIA CAIXA'!AP77:AP78)</f>
        <v>0</v>
      </c>
      <c r="AQ163" s="1">
        <f>SUM('DRE ANTIGA PARCERIA CAIXA'!AQ63:AQ66,'DRE ANTIGA PARCERIA CAIXA'!AQ72:AQ75,'DRE ANTIGA PARCERIA CAIXA'!AQ77:AQ78)</f>
        <v>0</v>
      </c>
      <c r="AR163" s="1">
        <f>SUM('DRE ANTIGA PARCERIA CAIXA'!AR63:AR66,'DRE ANTIGA PARCERIA CAIXA'!AR72:AR75,'DRE ANTIGA PARCERIA CAIXA'!AR77:AR78)</f>
        <v>0</v>
      </c>
      <c r="AS163" s="1">
        <f>SUM('DRE ANTIGA PARCERIA CAIXA'!AS63:AS66,'DRE ANTIGA PARCERIA CAIXA'!AS72:AS75,'DRE ANTIGA PARCERIA CAIXA'!AS77:AS78)</f>
        <v>0</v>
      </c>
      <c r="AT163" s="1">
        <f>SUM('DRE ANTIGA PARCERIA CAIXA'!AT63:AT66,'DRE ANTIGA PARCERIA CAIXA'!AT72:AT75,'DRE ANTIGA PARCERIA CAIXA'!AT77:AT78)</f>
        <v>0</v>
      </c>
      <c r="AU163" s="1">
        <f>SUM('DRE ANTIGA PARCERIA CAIXA'!AU63:AU66,'DRE ANTIGA PARCERIA CAIXA'!AU72:AU75,'DRE ANTIGA PARCERIA CAIXA'!AU77:AU78)</f>
        <v>0</v>
      </c>
      <c r="AV163" s="1">
        <f>SUM('DRE ANTIGA PARCERIA CAIXA'!AV63:AV66,'DRE ANTIGA PARCERIA CAIXA'!AV72:AV75,'DRE ANTIGA PARCERIA CAIXA'!AV77:AV78)</f>
        <v>0</v>
      </c>
      <c r="AW163" s="1">
        <f>SUM('DRE ANTIGA PARCERIA CAIXA'!AW63:AW66,'DRE ANTIGA PARCERIA CAIXA'!AW72:AW75,'DRE ANTIGA PARCERIA CAIXA'!AW77:AW78)</f>
        <v>0</v>
      </c>
      <c r="AX163" s="1">
        <f>SUM('DRE ANTIGA PARCERIA CAIXA'!AX63:AX66,'DRE ANTIGA PARCERIA CAIXA'!AX72:AX75,'DRE ANTIGA PARCERIA CAIXA'!AX77:AX78)</f>
        <v>0</v>
      </c>
      <c r="AY163" s="1">
        <f>SUM('DRE ANTIGA PARCERIA CAIXA'!AY63:AY66,'DRE ANTIGA PARCERIA CAIXA'!AY72:AY75,'DRE ANTIGA PARCERIA CAIXA'!AY77:AY78)</f>
        <v>0</v>
      </c>
      <c r="AZ163" s="1">
        <f>SUM('DRE ANTIGA PARCERIA CAIXA'!AZ63:AZ66,'DRE ANTIGA PARCERIA CAIXA'!AZ72:AZ75,'DRE ANTIGA PARCERIA CAIXA'!AZ77:AZ78)</f>
        <v>0</v>
      </c>
      <c r="BA163" s="1">
        <f>SUM('DRE ANTIGA PARCERIA CAIXA'!BA63:BA66,'DRE ANTIGA PARCERIA CAIXA'!BA72:BA75,'DRE ANTIGA PARCERIA CAIXA'!BA77:BA78)</f>
        <v>0</v>
      </c>
    </row>
    <row r="164" spans="1:59">
      <c r="B164" t="str">
        <f t="shared" si="116"/>
        <v>CNP Capitalização</v>
      </c>
      <c r="C164" s="1">
        <f>SUM('DRE ANTIGA PARCERIA CAIXA'!C100:C103,'DRE ANTIGA PARCERIA CAIXA'!C105:C106)</f>
        <v>-32020.656800000004</v>
      </c>
      <c r="D164" s="1">
        <f>SUM('DRE ANTIGA PARCERIA CAIXA'!D100:D103,'DRE ANTIGA PARCERIA CAIXA'!D105:D106)</f>
        <v>-29007.521609999996</v>
      </c>
      <c r="E164" s="1">
        <f>SUM('DRE ANTIGA PARCERIA CAIXA'!E100:E103,'DRE ANTIGA PARCERIA CAIXA'!E105:E106)</f>
        <v>-25264.271990000005</v>
      </c>
      <c r="F164" s="1">
        <f>SUM('DRE ANTIGA PARCERIA CAIXA'!F100:F103,'DRE ANTIGA PARCERIA CAIXA'!F105:F106)</f>
        <v>-52449.440750000009</v>
      </c>
      <c r="G164" s="1">
        <f>SUM('DRE ANTIGA PARCERIA CAIXA'!G100:G103,'DRE ANTIGA PARCERIA CAIXA'!G105:G106)</f>
        <v>-138741.89114999998</v>
      </c>
      <c r="H164" s="1">
        <f>SUM('DRE ANTIGA PARCERIA CAIXA'!H100:H103,'DRE ANTIGA PARCERIA CAIXA'!H105:H106)</f>
        <v>-47520.887320000002</v>
      </c>
      <c r="I164" s="1">
        <f>SUM('DRE ANTIGA PARCERIA CAIXA'!I100:I103,'DRE ANTIGA PARCERIA CAIXA'!I105:I106)</f>
        <v>-45458.173119999999</v>
      </c>
      <c r="J164" s="1">
        <f>SUM('DRE ANTIGA PARCERIA CAIXA'!J100:J103,'DRE ANTIGA PARCERIA CAIXA'!J105:J106)</f>
        <v>-40229.968699999998</v>
      </c>
      <c r="K164" s="1">
        <f>SUM('DRE ANTIGA PARCERIA CAIXA'!K100:K103,'DRE ANTIGA PARCERIA CAIXA'!K105:K106)</f>
        <v>-44084.37945</v>
      </c>
      <c r="L164" s="1">
        <f>SUM('DRE ANTIGA PARCERIA CAIXA'!L100:L103,'DRE ANTIGA PARCERIA CAIXA'!L105:L106)</f>
        <v>-177293.40859000001</v>
      </c>
      <c r="M164" s="1">
        <f>SUM('DRE ANTIGA PARCERIA CAIXA'!M100:M103,'DRE ANTIGA PARCERIA CAIXA'!M105:M106)</f>
        <v>-38814.860359999991</v>
      </c>
      <c r="N164" s="1">
        <f>SUM('DRE ANTIGA PARCERIA CAIXA'!N100:N103,'DRE ANTIGA PARCERIA CAIXA'!N105:N106)</f>
        <v>-37964.835870000003</v>
      </c>
      <c r="O164" s="1">
        <f>SUM('DRE ANTIGA PARCERIA CAIXA'!O100:O103,'DRE ANTIGA PARCERIA CAIXA'!O105:O106)</f>
        <v>-38946.089019999992</v>
      </c>
      <c r="P164" s="1">
        <f>SUM('DRE ANTIGA PARCERIA CAIXA'!P100:P103,'DRE ANTIGA PARCERIA CAIXA'!P105:P106)</f>
        <v>-52569.169510000014</v>
      </c>
      <c r="Q164" s="1">
        <f>SUM('DRE ANTIGA PARCERIA CAIXA'!Q100:Q103,'DRE ANTIGA PARCERIA CAIXA'!Q105:Q106)</f>
        <v>-168294.95475999999</v>
      </c>
      <c r="R164" s="1">
        <f>SUM('DRE ANTIGA PARCERIA CAIXA'!R100:R103,'DRE ANTIGA PARCERIA CAIXA'!R105:R106)</f>
        <v>-39356.050660000001</v>
      </c>
      <c r="S164" s="1">
        <f>SUM('DRE ANTIGA PARCERIA CAIXA'!S100:S103,'DRE ANTIGA PARCERIA CAIXA'!S105:S106)</f>
        <v>-52470.717029999993</v>
      </c>
      <c r="T164" s="1">
        <f>SUM('DRE ANTIGA PARCERIA CAIXA'!T100:T103,'DRE ANTIGA PARCERIA CAIXA'!T105:T106)</f>
        <v>-22093.666499999992</v>
      </c>
      <c r="U164" s="1">
        <f>SUM('DRE ANTIGA PARCERIA CAIXA'!U100:U103,'DRE ANTIGA PARCERIA CAIXA'!U105:U106)</f>
        <v>-55483.507020000005</v>
      </c>
      <c r="V164" s="1">
        <f>SUM('DRE ANTIGA PARCERIA CAIXA'!V100:V103,'DRE ANTIGA PARCERIA CAIXA'!V105:V106)</f>
        <v>-169403.94120999999</v>
      </c>
      <c r="W164" s="1">
        <f>SUM('DRE ANTIGA PARCERIA CAIXA'!W100:W103,'DRE ANTIGA PARCERIA CAIXA'!W105:W106)</f>
        <v>-60593.467019999982</v>
      </c>
      <c r="X164" s="1">
        <f>SUM('DRE ANTIGA PARCERIA CAIXA'!X100:X103,'DRE ANTIGA PARCERIA CAIXA'!X105:X106)</f>
        <v>-38507.183620000011</v>
      </c>
      <c r="Y164" s="1">
        <f>SUM('DRE ANTIGA PARCERIA CAIXA'!Y100:Y103,'DRE ANTIGA PARCERIA CAIXA'!Y105:Y106)</f>
        <v>-38923.818630000009</v>
      </c>
      <c r="Z164" s="1">
        <f>SUM('DRE ANTIGA PARCERIA CAIXA'!Z100:Z103,'DRE ANTIGA PARCERIA CAIXA'!Z105:Z106)</f>
        <v>-42649.831810000018</v>
      </c>
      <c r="AA164" s="1">
        <f>SUM('DRE ANTIGA PARCERIA CAIXA'!AA100:AA103,'DRE ANTIGA PARCERIA CAIXA'!AA105:AA106)</f>
        <v>-180674.30108</v>
      </c>
      <c r="AB164" s="1">
        <f>SUM('DRE ANTIGA PARCERIA CAIXA'!AB100:AB103,'DRE ANTIGA PARCERIA CAIXA'!AB105:AB106)</f>
        <v>-28143.48705</v>
      </c>
      <c r="AC164" s="1">
        <f>SUM('DRE ANTIGA PARCERIA CAIXA'!AC100:AC103,'DRE ANTIGA PARCERIA CAIXA'!AC105:AC106)</f>
        <v>-26820.263459999991</v>
      </c>
      <c r="AD164" s="1">
        <f>SUM('DRE ANTIGA PARCERIA CAIXA'!AD100:AD103,'DRE ANTIGA PARCERIA CAIXA'!AD105:AD106)</f>
        <v>-20462.142110000004</v>
      </c>
      <c r="AE164" s="1">
        <f>SUM('DRE ANTIGA PARCERIA CAIXA'!AE100:AE103,'DRE ANTIGA PARCERIA CAIXA'!AE105:AE106)</f>
        <v>-20439.723440000005</v>
      </c>
      <c r="AF164" s="1">
        <f>SUM('DRE ANTIGA PARCERIA CAIXA'!AF100:AF103,'DRE ANTIGA PARCERIA CAIXA'!AF105:AF106)</f>
        <v>-95865.61606</v>
      </c>
      <c r="AG164" s="1">
        <f>SUM('DRE ANTIGA PARCERIA CAIXA'!AG100:AG103,'DRE ANTIGA PARCERIA CAIXA'!AG105:AG106)</f>
        <v>-11797</v>
      </c>
      <c r="AH164" s="1">
        <f>SUM('DRE ANTIGA PARCERIA CAIXA'!AH100:AH103,'DRE ANTIGA PARCERIA CAIXA'!AH105:AH106)</f>
        <v>-13290</v>
      </c>
      <c r="AI164" s="1">
        <f>SUM('DRE ANTIGA PARCERIA CAIXA'!AI100:AI103,'DRE ANTIGA PARCERIA CAIXA'!AI105:AI106)</f>
        <v>-14659</v>
      </c>
      <c r="AJ164" s="1">
        <f>SUM('DRE ANTIGA PARCERIA CAIXA'!AJ100:AJ103,'DRE ANTIGA PARCERIA CAIXA'!AJ105:AJ106)</f>
        <v>-3564</v>
      </c>
      <c r="AK164" s="1">
        <f>SUM('DRE ANTIGA PARCERIA CAIXA'!AK100:AK103,'DRE ANTIGA PARCERIA CAIXA'!AK105:AK106)</f>
        <v>-43310</v>
      </c>
      <c r="AL164" s="1">
        <f>SUM('DRE ANTIGA PARCERIA CAIXA'!AL100:AL103,'DRE ANTIGA PARCERIA CAIXA'!AL105:AL106)</f>
        <v>0</v>
      </c>
      <c r="AM164" s="1">
        <f>SUM('DRE ANTIGA PARCERIA CAIXA'!AM100:AM103,'DRE ANTIGA PARCERIA CAIXA'!AM105:AM106)</f>
        <v>0</v>
      </c>
      <c r="AN164" s="1">
        <f>SUM('DRE ANTIGA PARCERIA CAIXA'!AN100:AN103,'DRE ANTIGA PARCERIA CAIXA'!AN105:AN106)</f>
        <v>0</v>
      </c>
      <c r="AO164" s="1">
        <f>SUM('DRE ANTIGA PARCERIA CAIXA'!AO100:AO103,'DRE ANTIGA PARCERIA CAIXA'!AO105:AO106)</f>
        <v>0</v>
      </c>
      <c r="AP164" s="1">
        <f>SUM('DRE ANTIGA PARCERIA CAIXA'!AP100:AP103,'DRE ANTIGA PARCERIA CAIXA'!AP105:AP106)</f>
        <v>0</v>
      </c>
      <c r="AQ164" s="1">
        <f>SUM('DRE ANTIGA PARCERIA CAIXA'!AQ100:AQ103,'DRE ANTIGA PARCERIA CAIXA'!AQ105:AQ106)</f>
        <v>0</v>
      </c>
      <c r="AR164" s="1">
        <f>SUM('DRE ANTIGA PARCERIA CAIXA'!AR100:AR103,'DRE ANTIGA PARCERIA CAIXA'!AR105:AR106)</f>
        <v>0</v>
      </c>
      <c r="AS164" s="1">
        <f>SUM('DRE ANTIGA PARCERIA CAIXA'!AS100:AS103,'DRE ANTIGA PARCERIA CAIXA'!AS105:AS106)</f>
        <v>0</v>
      </c>
      <c r="AT164" s="1">
        <f>SUM('DRE ANTIGA PARCERIA CAIXA'!AT100:AT103,'DRE ANTIGA PARCERIA CAIXA'!AT105:AT106)</f>
        <v>0</v>
      </c>
      <c r="AU164" s="1">
        <f>SUM('DRE ANTIGA PARCERIA CAIXA'!AU100:AU103,'DRE ANTIGA PARCERIA CAIXA'!AU105:AU106)</f>
        <v>0</v>
      </c>
      <c r="AV164" s="1">
        <f>SUM('DRE ANTIGA PARCERIA CAIXA'!AV100:AV103,'DRE ANTIGA PARCERIA CAIXA'!AV105:AV106)</f>
        <v>0</v>
      </c>
      <c r="AW164" s="1">
        <f>SUM('DRE ANTIGA PARCERIA CAIXA'!AW100:AW103,'DRE ANTIGA PARCERIA CAIXA'!AW105:AW106)</f>
        <v>0</v>
      </c>
      <c r="AX164" s="1">
        <f>SUM('DRE ANTIGA PARCERIA CAIXA'!AX100:AX103,'DRE ANTIGA PARCERIA CAIXA'!AX105:AX106)</f>
        <v>0</v>
      </c>
      <c r="AY164" s="1">
        <f>SUM('DRE ANTIGA PARCERIA CAIXA'!AY100:AY103,'DRE ANTIGA PARCERIA CAIXA'!AY105:AY106)</f>
        <v>0</v>
      </c>
      <c r="AZ164" s="1">
        <f>SUM('DRE ANTIGA PARCERIA CAIXA'!AZ100:AZ103,'DRE ANTIGA PARCERIA CAIXA'!AZ105:AZ106)</f>
        <v>0</v>
      </c>
      <c r="BA164" s="1">
        <f>SUM('DRE ANTIGA PARCERIA CAIXA'!BA100:BA103,'DRE ANTIGA PARCERIA CAIXA'!BA105:BA106)</f>
        <v>0</v>
      </c>
    </row>
    <row r="165" spans="1:59">
      <c r="B165" t="str">
        <f t="shared" si="116"/>
        <v>CNP Consórcio</v>
      </c>
      <c r="C165" s="1">
        <f>SUM('DRE ANTIGA PARCERIA CAIXA'!C125,'DRE ANTIGA PARCERIA CAIXA'!C127:C128)</f>
        <v>-74106.955679999999</v>
      </c>
      <c r="D165" s="1">
        <f>SUM('DRE ANTIGA PARCERIA CAIXA'!D125,'DRE ANTIGA PARCERIA CAIXA'!D127:D128)</f>
        <v>-70766.404050000041</v>
      </c>
      <c r="E165" s="1">
        <f>SUM('DRE ANTIGA PARCERIA CAIXA'!E125,'DRE ANTIGA PARCERIA CAIXA'!E127:E128)</f>
        <v>-73414.839640000035</v>
      </c>
      <c r="F165" s="1">
        <f>SUM('DRE ANTIGA PARCERIA CAIXA'!F125,'DRE ANTIGA PARCERIA CAIXA'!F127:F128)</f>
        <v>-84529.484580000135</v>
      </c>
      <c r="G165" s="1">
        <f>SUM('DRE ANTIGA PARCERIA CAIXA'!G125,'DRE ANTIGA PARCERIA CAIXA'!G127:G128)</f>
        <v>-302817.68395000021</v>
      </c>
      <c r="H165" s="1">
        <f>SUM('DRE ANTIGA PARCERIA CAIXA'!H125,'DRE ANTIGA PARCERIA CAIXA'!H127:H128)</f>
        <v>-86980.882910000044</v>
      </c>
      <c r="I165" s="1">
        <f>SUM('DRE ANTIGA PARCERIA CAIXA'!I125,'DRE ANTIGA PARCERIA CAIXA'!I127:I128)</f>
        <v>-90722.232109999983</v>
      </c>
      <c r="J165" s="1">
        <f>SUM('DRE ANTIGA PARCERIA CAIXA'!J125,'DRE ANTIGA PARCERIA CAIXA'!J127:J128)</f>
        <v>-95112.183810000119</v>
      </c>
      <c r="K165" s="1">
        <f>SUM('DRE ANTIGA PARCERIA CAIXA'!K125,'DRE ANTIGA PARCERIA CAIXA'!K127:K128)</f>
        <v>-100979.68789999983</v>
      </c>
      <c r="L165" s="1">
        <f>SUM('DRE ANTIGA PARCERIA CAIXA'!L125,'DRE ANTIGA PARCERIA CAIXA'!L127:L128)</f>
        <v>-373794.98673</v>
      </c>
      <c r="M165" s="1">
        <f>SUM('DRE ANTIGA PARCERIA CAIXA'!M125,'DRE ANTIGA PARCERIA CAIXA'!M127:M128)</f>
        <v>-93655.633170000045</v>
      </c>
      <c r="N165" s="1">
        <f>SUM('DRE ANTIGA PARCERIA CAIXA'!N125,'DRE ANTIGA PARCERIA CAIXA'!N127:N128)</f>
        <v>-94686.598389999956</v>
      </c>
      <c r="O165" s="1">
        <f>SUM('DRE ANTIGA PARCERIA CAIXA'!O125,'DRE ANTIGA PARCERIA CAIXA'!O127:O128)</f>
        <v>-98033.065039999958</v>
      </c>
      <c r="P165" s="1">
        <f>SUM('DRE ANTIGA PARCERIA CAIXA'!P125,'DRE ANTIGA PARCERIA CAIXA'!P127:P128)</f>
        <v>-99187.589290000062</v>
      </c>
      <c r="Q165" s="1">
        <f>SUM('DRE ANTIGA PARCERIA CAIXA'!Q125,'DRE ANTIGA PARCERIA CAIXA'!Q127:Q128)</f>
        <v>-385562.88589000003</v>
      </c>
      <c r="R165" s="1">
        <f>SUM('DRE ANTIGA PARCERIA CAIXA'!R125,'DRE ANTIGA PARCERIA CAIXA'!R127:R128)</f>
        <v>-91041.371150000006</v>
      </c>
      <c r="S165" s="1">
        <f>SUM('DRE ANTIGA PARCERIA CAIXA'!S125,'DRE ANTIGA PARCERIA CAIXA'!S127:S128)</f>
        <v>-111932.76909999986</v>
      </c>
      <c r="T165" s="1">
        <f>SUM('DRE ANTIGA PARCERIA CAIXA'!T125,'DRE ANTIGA PARCERIA CAIXA'!T127:T128)</f>
        <v>-128332.05275000024</v>
      </c>
      <c r="U165" s="1">
        <f>SUM('DRE ANTIGA PARCERIA CAIXA'!U125,'DRE ANTIGA PARCERIA CAIXA'!U127:U128)</f>
        <v>-149376.77037999971</v>
      </c>
      <c r="V165" s="1">
        <f>SUM('DRE ANTIGA PARCERIA CAIXA'!V125,'DRE ANTIGA PARCERIA CAIXA'!V127:V128)</f>
        <v>-480682.96337999986</v>
      </c>
      <c r="W165" s="1">
        <f>SUM('DRE ANTIGA PARCERIA CAIXA'!W125,'DRE ANTIGA PARCERIA CAIXA'!W127:W128)</f>
        <v>-122941.33180999997</v>
      </c>
      <c r="X165" s="1">
        <f>SUM('DRE ANTIGA PARCERIA CAIXA'!X125,'DRE ANTIGA PARCERIA CAIXA'!X127:X128)</f>
        <v>-108105.64226999995</v>
      </c>
      <c r="Y165" s="1">
        <f>SUM('DRE ANTIGA PARCERIA CAIXA'!Y125,'DRE ANTIGA PARCERIA CAIXA'!Y127:Y128)</f>
        <v>-121462.13813999991</v>
      </c>
      <c r="Z165" s="1">
        <f>SUM('DRE ANTIGA PARCERIA CAIXA'!Z125,'DRE ANTIGA PARCERIA CAIXA'!Z127:Z128)</f>
        <v>-127221.34021000026</v>
      </c>
      <c r="AA165" s="1">
        <f>SUM('DRE ANTIGA PARCERIA CAIXA'!AA125,'DRE ANTIGA PARCERIA CAIXA'!AA127:AA128)</f>
        <v>-479730.45243000006</v>
      </c>
      <c r="AB165" s="1">
        <f>SUM('DRE ANTIGA PARCERIA CAIXA'!AB125,'DRE ANTIGA PARCERIA CAIXA'!AB127:AB128)</f>
        <v>-121501.60220000002</v>
      </c>
      <c r="AC165" s="1">
        <f>SUM('DRE ANTIGA PARCERIA CAIXA'!AC125,'DRE ANTIGA PARCERIA CAIXA'!AC127:AC128)</f>
        <v>-112317.93377999966</v>
      </c>
      <c r="AD165" s="1">
        <f>SUM('DRE ANTIGA PARCERIA CAIXA'!AD125,'DRE ANTIGA PARCERIA CAIXA'!AD127:AD128)</f>
        <v>-102576.8917500003</v>
      </c>
      <c r="AE165" s="1">
        <f>SUM('DRE ANTIGA PARCERIA CAIXA'!AE125,'DRE ANTIGA PARCERIA CAIXA'!AE127:AE128)</f>
        <v>-100956</v>
      </c>
      <c r="AF165" s="1">
        <f>SUM('DRE ANTIGA PARCERIA CAIXA'!AF125,'DRE ANTIGA PARCERIA CAIXA'!AF127:AF128)</f>
        <v>-437352.42773</v>
      </c>
      <c r="AG165" s="1">
        <f>SUM('DRE ANTIGA PARCERIA CAIXA'!AG125,'DRE ANTIGA PARCERIA CAIXA'!AG127:AG128)</f>
        <v>-93856</v>
      </c>
      <c r="AH165" s="1">
        <f>SUM('DRE ANTIGA PARCERIA CAIXA'!AH125,'DRE ANTIGA PARCERIA CAIXA'!AH127:AH128)</f>
        <v>-33417.908750000213</v>
      </c>
      <c r="AI165" s="1">
        <f>SUM('DRE ANTIGA PARCERIA CAIXA'!AI125,'DRE ANTIGA PARCERIA CAIXA'!AI127:AI128)</f>
        <v>-118527</v>
      </c>
      <c r="AJ165" s="1">
        <f>SUM('DRE ANTIGA PARCERIA CAIXA'!AJ125,'DRE ANTIGA PARCERIA CAIXA'!AJ127:AJ128)</f>
        <v>-28186.220279999819</v>
      </c>
      <c r="AK165" s="1">
        <f>SUM('DRE ANTIGA PARCERIA CAIXA'!AK125,'DRE ANTIGA PARCERIA CAIXA'!AK127:AK128)</f>
        <v>-273987.12903000001</v>
      </c>
      <c r="AL165" s="1">
        <f>SUM('DRE ANTIGA PARCERIA CAIXA'!AL125,'DRE ANTIGA PARCERIA CAIXA'!AL127:AL128)</f>
        <v>0</v>
      </c>
      <c r="AM165" s="1">
        <f>SUM('DRE ANTIGA PARCERIA CAIXA'!AM125,'DRE ANTIGA PARCERIA CAIXA'!AM127:AM128)</f>
        <v>0</v>
      </c>
      <c r="AN165" s="1">
        <f>SUM('DRE ANTIGA PARCERIA CAIXA'!AN125,'DRE ANTIGA PARCERIA CAIXA'!AN127:AN128)</f>
        <v>0</v>
      </c>
      <c r="AO165" s="1">
        <f>SUM('DRE ANTIGA PARCERIA CAIXA'!AO125,'DRE ANTIGA PARCERIA CAIXA'!AO127:AO128)</f>
        <v>0</v>
      </c>
      <c r="AP165" s="1">
        <f>SUM('DRE ANTIGA PARCERIA CAIXA'!AP125,'DRE ANTIGA PARCERIA CAIXA'!AP127:AP128)</f>
        <v>0</v>
      </c>
      <c r="AQ165" s="1">
        <f>SUM('DRE ANTIGA PARCERIA CAIXA'!AQ125,'DRE ANTIGA PARCERIA CAIXA'!AQ127:AQ128)</f>
        <v>0</v>
      </c>
      <c r="AR165" s="1">
        <f>SUM('DRE ANTIGA PARCERIA CAIXA'!AR125,'DRE ANTIGA PARCERIA CAIXA'!AR127:AR128)</f>
        <v>0</v>
      </c>
      <c r="AS165" s="1">
        <f>SUM('DRE ANTIGA PARCERIA CAIXA'!AS125,'DRE ANTIGA PARCERIA CAIXA'!AS127:AS128)</f>
        <v>0</v>
      </c>
      <c r="AT165" s="1">
        <f>SUM('DRE ANTIGA PARCERIA CAIXA'!AT125,'DRE ANTIGA PARCERIA CAIXA'!AT127:AT128)</f>
        <v>0</v>
      </c>
      <c r="AU165" s="1">
        <f>SUM('DRE ANTIGA PARCERIA CAIXA'!AU125,'DRE ANTIGA PARCERIA CAIXA'!AU127:AU128)</f>
        <v>0</v>
      </c>
      <c r="AV165" s="1">
        <f>SUM('DRE ANTIGA PARCERIA CAIXA'!AV125,'DRE ANTIGA PARCERIA CAIXA'!AV127:AV128)</f>
        <v>0</v>
      </c>
      <c r="AW165" s="1">
        <f>SUM('DRE ANTIGA PARCERIA CAIXA'!AW125,'DRE ANTIGA PARCERIA CAIXA'!AW127:AW128)</f>
        <v>0</v>
      </c>
      <c r="AX165" s="1">
        <f>SUM('DRE ANTIGA PARCERIA CAIXA'!AX125,'DRE ANTIGA PARCERIA CAIXA'!AX127:AX128)</f>
        <v>0</v>
      </c>
      <c r="AY165" s="1">
        <f>SUM('DRE ANTIGA PARCERIA CAIXA'!AY125,'DRE ANTIGA PARCERIA CAIXA'!AY127:AY128)</f>
        <v>0</v>
      </c>
      <c r="AZ165" s="1">
        <f>SUM('DRE ANTIGA PARCERIA CAIXA'!AZ125,'DRE ANTIGA PARCERIA CAIXA'!AZ127:AZ128)</f>
        <v>0</v>
      </c>
      <c r="BA165" s="1">
        <f>SUM('DRE ANTIGA PARCERIA CAIXA'!BA125,'DRE ANTIGA PARCERIA CAIXA'!BA127:BA128)</f>
        <v>0</v>
      </c>
    </row>
    <row r="166" spans="1:59">
      <c r="B166" t="str">
        <f t="shared" si="116"/>
        <v>CNP Seguros Saúde</v>
      </c>
      <c r="C166" s="1">
        <f>SUM('DRE ANTIGA PARCERIA CAIXA'!C147,'DRE ANTIGA PARCERIA CAIXA'!C149:C150)</f>
        <v>-129714.84820000002</v>
      </c>
      <c r="D166" s="1">
        <f>SUM('DRE ANTIGA PARCERIA CAIXA'!D147,'DRE ANTIGA PARCERIA CAIXA'!D149:D150)</f>
        <v>-210368.62429999892</v>
      </c>
      <c r="E166" s="1">
        <f>SUM('DRE ANTIGA PARCERIA CAIXA'!E147,'DRE ANTIGA PARCERIA CAIXA'!E149:E150)</f>
        <v>-233869.9083100014</v>
      </c>
      <c r="F166" s="1">
        <f>SUM('DRE ANTIGA PARCERIA CAIXA'!F147,'DRE ANTIGA PARCERIA CAIXA'!F149:F150)</f>
        <v>-130063.16280999652</v>
      </c>
      <c r="G166" s="1">
        <f>SUM('DRE ANTIGA PARCERIA CAIXA'!G147,'DRE ANTIGA PARCERIA CAIXA'!G149:G150)</f>
        <v>-704016.54361999687</v>
      </c>
      <c r="H166" s="1">
        <f>SUM('DRE ANTIGA PARCERIA CAIXA'!H147,'DRE ANTIGA PARCERIA CAIXA'!H149:H150)</f>
        <v>-154142.22921000002</v>
      </c>
      <c r="I166" s="1">
        <f>SUM('DRE ANTIGA PARCERIA CAIXA'!I147,'DRE ANTIGA PARCERIA CAIXA'!I149:I150)</f>
        <v>-141403.82187000083</v>
      </c>
      <c r="J166" s="1">
        <f>SUM('DRE ANTIGA PARCERIA CAIXA'!J147,'DRE ANTIGA PARCERIA CAIXA'!J149:J150)</f>
        <v>-120073.17952999873</v>
      </c>
      <c r="K166" s="1">
        <f>SUM('DRE ANTIGA PARCERIA CAIXA'!K147,'DRE ANTIGA PARCERIA CAIXA'!K149:K150)</f>
        <v>-90973.841550000987</v>
      </c>
      <c r="L166" s="1">
        <f>SUM('DRE ANTIGA PARCERIA CAIXA'!L147,'DRE ANTIGA PARCERIA CAIXA'!L149:L150)</f>
        <v>-506593.07216000056</v>
      </c>
      <c r="M166" s="1">
        <f>SUM('DRE ANTIGA PARCERIA CAIXA'!M147,'DRE ANTIGA PARCERIA CAIXA'!M149:M150)</f>
        <v>-92672.635149999944</v>
      </c>
      <c r="N166" s="1">
        <f>SUM('DRE ANTIGA PARCERIA CAIXA'!N147,'DRE ANTIGA PARCERIA CAIXA'!N149:N150)</f>
        <v>-76859.245040000416</v>
      </c>
      <c r="O166" s="1">
        <f>SUM('DRE ANTIGA PARCERIA CAIXA'!O147,'DRE ANTIGA PARCERIA CAIXA'!O149:O150)</f>
        <v>-81757.025689999675</v>
      </c>
      <c r="P166" s="1">
        <f>SUM('DRE ANTIGA PARCERIA CAIXA'!P147,'DRE ANTIGA PARCERIA CAIXA'!P149:P150)</f>
        <v>-48968.45869999945</v>
      </c>
      <c r="Q166" s="1">
        <f>SUM('DRE ANTIGA PARCERIA CAIXA'!Q147,'DRE ANTIGA PARCERIA CAIXA'!Q149:Q150)</f>
        <v>-300257.36457999947</v>
      </c>
      <c r="R166" s="1">
        <f>SUM('DRE ANTIGA PARCERIA CAIXA'!R147,'DRE ANTIGA PARCERIA CAIXA'!R149:R150)</f>
        <v>-31684.178060000031</v>
      </c>
      <c r="S166" s="1">
        <f>SUM('DRE ANTIGA PARCERIA CAIXA'!S147,'DRE ANTIGA PARCERIA CAIXA'!S149:S150)</f>
        <v>-8443.8694999999607</v>
      </c>
      <c r="T166" s="1">
        <f>SUM('DRE ANTIGA PARCERIA CAIXA'!T147,'DRE ANTIGA PARCERIA CAIXA'!T149:T150)</f>
        <v>-7179.3380599999964</v>
      </c>
      <c r="U166" s="1">
        <f>SUM('DRE ANTIGA PARCERIA CAIXA'!U147,'DRE ANTIGA PARCERIA CAIXA'!U149:U150)</f>
        <v>-8481.2590699999691</v>
      </c>
      <c r="V166" s="1">
        <f>SUM('DRE ANTIGA PARCERIA CAIXA'!V147,'DRE ANTIGA PARCERIA CAIXA'!V149:V150)</f>
        <v>-55788.644689999965</v>
      </c>
      <c r="W166" s="1">
        <f>SUM('DRE ANTIGA PARCERIA CAIXA'!W147,'DRE ANTIGA PARCERIA CAIXA'!W149:W150)</f>
        <v>4264.4435299999968</v>
      </c>
      <c r="X166" s="1">
        <f>SUM('DRE ANTIGA PARCERIA CAIXA'!X147,'DRE ANTIGA PARCERIA CAIXA'!X149:X150)</f>
        <v>-11743.990609999999</v>
      </c>
      <c r="Y166" s="1">
        <f>SUM('DRE ANTIGA PARCERIA CAIXA'!Y147,'DRE ANTIGA PARCERIA CAIXA'!Y149:Y150)</f>
        <v>-3248.7008200000028</v>
      </c>
      <c r="Z166" s="1">
        <f>SUM('DRE ANTIGA PARCERIA CAIXA'!Z147,'DRE ANTIGA PARCERIA CAIXA'!Z149:Z150)</f>
        <v>-3099.8472800000009</v>
      </c>
      <c r="AA166" s="1">
        <f>SUM('DRE ANTIGA PARCERIA CAIXA'!AA147,'DRE ANTIGA PARCERIA CAIXA'!AA149:AA150)</f>
        <v>-13828.095180000006</v>
      </c>
      <c r="AB166" s="1">
        <f>SUM('DRE ANTIGA PARCERIA CAIXA'!AB147,'DRE ANTIGA PARCERIA CAIXA'!AB149:AB150)</f>
        <v>-2024.3806099999979</v>
      </c>
      <c r="AC166" s="1">
        <f>SUM('DRE ANTIGA PARCERIA CAIXA'!AC147,'DRE ANTIGA PARCERIA CAIXA'!AC149:AC150)</f>
        <v>-2523.0924100000011</v>
      </c>
      <c r="AD166" s="1">
        <f>SUM('DRE ANTIGA PARCERIA CAIXA'!AD147,'DRE ANTIGA PARCERIA CAIXA'!AD149:AD150)</f>
        <v>2357.4199999999992</v>
      </c>
      <c r="AE166" s="1">
        <f>SUM('DRE ANTIGA PARCERIA CAIXA'!AE147,'DRE ANTIGA PARCERIA CAIXA'!AE149:AE150)</f>
        <v>-345.68683000000823</v>
      </c>
      <c r="AF166" s="1">
        <f>SUM('DRE ANTIGA PARCERIA CAIXA'!AF147,'DRE ANTIGA PARCERIA CAIXA'!AF149:AF150)</f>
        <v>-2535.7398500000081</v>
      </c>
      <c r="AG166" s="1">
        <f>SUM('DRE ANTIGA PARCERIA CAIXA'!AG147,'DRE ANTIGA PARCERIA CAIXA'!AG149:AG150)</f>
        <v>-3703</v>
      </c>
      <c r="AH166" s="1">
        <f>SUM('DRE ANTIGA PARCERIA CAIXA'!AH147,'DRE ANTIGA PARCERIA CAIXA'!AH149:AH150)</f>
        <v>-5768</v>
      </c>
      <c r="AI166" s="1">
        <f>SUM('DRE ANTIGA PARCERIA CAIXA'!AI147,'DRE ANTIGA PARCERIA CAIXA'!AI149:AI150)</f>
        <v>4485</v>
      </c>
      <c r="AJ166" s="1">
        <f>SUM('DRE ANTIGA PARCERIA CAIXA'!AJ147,'DRE ANTIGA PARCERIA CAIXA'!AJ149:AJ150)</f>
        <v>-4906</v>
      </c>
      <c r="AK166" s="1">
        <f>SUM('DRE ANTIGA PARCERIA CAIXA'!AK147,'DRE ANTIGA PARCERIA CAIXA'!AK149:AK150)</f>
        <v>-9892</v>
      </c>
      <c r="AL166" s="1">
        <f>SUM('DRE ANTIGA PARCERIA CAIXA'!AL147,'DRE ANTIGA PARCERIA CAIXA'!AL149:AL150)</f>
        <v>1232</v>
      </c>
      <c r="AM166" s="1">
        <f>SUM('DRE ANTIGA PARCERIA CAIXA'!AM147,'DRE ANTIGA PARCERIA CAIXA'!AM149:AM150)</f>
        <v>4437</v>
      </c>
      <c r="AN166" s="1">
        <f>SUM('DRE ANTIGA PARCERIA CAIXA'!AN147,'DRE ANTIGA PARCERIA CAIXA'!AN149:AN150)</f>
        <v>-1583</v>
      </c>
      <c r="AO166" s="1">
        <f>SUM('DRE ANTIGA PARCERIA CAIXA'!AO147,'DRE ANTIGA PARCERIA CAIXA'!AO149:AO150)</f>
        <v>-3446</v>
      </c>
      <c r="AP166" s="1">
        <f>SUM('DRE ANTIGA PARCERIA CAIXA'!AP147,'DRE ANTIGA PARCERIA CAIXA'!AP149:AP150)</f>
        <v>640</v>
      </c>
      <c r="AQ166" s="1">
        <f>SUM('DRE ANTIGA PARCERIA CAIXA'!AQ147,'DRE ANTIGA PARCERIA CAIXA'!AQ149:AQ150)</f>
        <v>-1797</v>
      </c>
      <c r="AR166" s="1">
        <f>SUM('DRE ANTIGA PARCERIA CAIXA'!AR147,'DRE ANTIGA PARCERIA CAIXA'!AR149:AR150)</f>
        <v>-1843</v>
      </c>
      <c r="AS166" s="1">
        <f>SUM('DRE ANTIGA PARCERIA CAIXA'!AS147,'DRE ANTIGA PARCERIA CAIXA'!AS149:AS150)</f>
        <v>-3530</v>
      </c>
      <c r="AT166" s="1">
        <f>SUM('DRE ANTIGA PARCERIA CAIXA'!AT147,'DRE ANTIGA PARCERIA CAIXA'!AT149:AT150)</f>
        <v>10</v>
      </c>
      <c r="AU166" s="1">
        <f>SUM('DRE ANTIGA PARCERIA CAIXA'!AU147,'DRE ANTIGA PARCERIA CAIXA'!AU149:AU150)</f>
        <v>-7160</v>
      </c>
      <c r="AV166" s="1">
        <f>SUM('DRE ANTIGA PARCERIA CAIXA'!AV147,'DRE ANTIGA PARCERIA CAIXA'!AV149:AV150)</f>
        <v>-4515</v>
      </c>
      <c r="AW166" s="1">
        <f>SUM('DRE ANTIGA PARCERIA CAIXA'!AW147,'DRE ANTIGA PARCERIA CAIXA'!AW149:AW150)</f>
        <v>-4105</v>
      </c>
      <c r="AX166" s="1">
        <f>SUM('DRE ANTIGA PARCERIA CAIXA'!AX147,'DRE ANTIGA PARCERIA CAIXA'!AX149:AX150)</f>
        <v>-1311</v>
      </c>
      <c r="AY166" s="1">
        <f>SUM('DRE ANTIGA PARCERIA CAIXA'!AY147,'DRE ANTIGA PARCERIA CAIXA'!AY149:AY150)</f>
        <v>-1475</v>
      </c>
      <c r="AZ166" s="1">
        <f>SUM('DRE ANTIGA PARCERIA CAIXA'!AZ147,'DRE ANTIGA PARCERIA CAIXA'!AZ149:AZ150)</f>
        <v>-11406</v>
      </c>
      <c r="BA166" s="1">
        <f>SUM('DRE ANTIGA PARCERIA CAIXA'!BA147,'DRE ANTIGA PARCERIA CAIXA'!BA149:BA150)</f>
        <v>1325</v>
      </c>
      <c r="BG166" s="779"/>
    </row>
    <row r="167" spans="1:59">
      <c r="B167" t="str">
        <f t="shared" si="116"/>
        <v>Companhia de Seguros Previdência do Sul</v>
      </c>
      <c r="C167" s="1">
        <f>SUM('DRE ANTIGA PARCERIA CAIXA'!C175,'DRE ANTIGA PARCERIA CAIXA'!C179:C180)</f>
        <v>0</v>
      </c>
      <c r="D167" s="1">
        <f>SUM('DRE ANTIGA PARCERIA CAIXA'!D175,'DRE ANTIGA PARCERIA CAIXA'!D179:D180)</f>
        <v>0</v>
      </c>
      <c r="E167" s="1">
        <f>SUM('DRE ANTIGA PARCERIA CAIXA'!E175,'DRE ANTIGA PARCERIA CAIXA'!E179:E180)</f>
        <v>0</v>
      </c>
      <c r="F167" s="1">
        <f>SUM('DRE ANTIGA PARCERIA CAIXA'!F175,'DRE ANTIGA PARCERIA CAIXA'!F179:F180)</f>
        <v>0</v>
      </c>
      <c r="G167" s="1">
        <f>SUM('DRE ANTIGA PARCERIA CAIXA'!G175,'DRE ANTIGA PARCERIA CAIXA'!G179:G180)</f>
        <v>0</v>
      </c>
      <c r="H167" s="1">
        <f>SUM('DRE ANTIGA PARCERIA CAIXA'!H175,'DRE ANTIGA PARCERIA CAIXA'!H179:H180)</f>
        <v>0</v>
      </c>
      <c r="I167" s="1">
        <f>SUM('DRE ANTIGA PARCERIA CAIXA'!I175,'DRE ANTIGA PARCERIA CAIXA'!I179:I180)</f>
        <v>0</v>
      </c>
      <c r="J167" s="1">
        <f>SUM('DRE ANTIGA PARCERIA CAIXA'!J175,'DRE ANTIGA PARCERIA CAIXA'!J179:J180)</f>
        <v>0</v>
      </c>
      <c r="K167" s="1">
        <f>SUM('DRE ANTIGA PARCERIA CAIXA'!K175,'DRE ANTIGA PARCERIA CAIXA'!K179:K180)</f>
        <v>0</v>
      </c>
      <c r="L167" s="1">
        <f>SUM('DRE ANTIGA PARCERIA CAIXA'!L175,'DRE ANTIGA PARCERIA CAIXA'!L179:L180)</f>
        <v>0</v>
      </c>
      <c r="M167" s="1">
        <f>SUM('DRE ANTIGA PARCERIA CAIXA'!M175,'DRE ANTIGA PARCERIA CAIXA'!M179:M180)</f>
        <v>-40435.231720000003</v>
      </c>
      <c r="N167" s="1">
        <f>SUM('DRE ANTIGA PARCERIA CAIXA'!N175,'DRE ANTIGA PARCERIA CAIXA'!N179:N180)</f>
        <v>-40442.926060000005</v>
      </c>
      <c r="O167" s="1">
        <f>SUM('DRE ANTIGA PARCERIA CAIXA'!O175,'DRE ANTIGA PARCERIA CAIXA'!O179:O180)</f>
        <v>-41016.63597000001</v>
      </c>
      <c r="P167" s="1">
        <f>SUM('DRE ANTIGA PARCERIA CAIXA'!P175,'DRE ANTIGA PARCERIA CAIXA'!P179:P180)</f>
        <v>-43611.345310000012</v>
      </c>
      <c r="Q167" s="1">
        <f>SUM('DRE ANTIGA PARCERIA CAIXA'!Q175,'DRE ANTIGA PARCERIA CAIXA'!Q179:Q180)</f>
        <v>-165506.13906000002</v>
      </c>
      <c r="R167" s="1">
        <f>SUM('DRE ANTIGA PARCERIA CAIXA'!R175,'DRE ANTIGA PARCERIA CAIXA'!R179:R180)</f>
        <v>-46858.683649999999</v>
      </c>
      <c r="S167" s="1">
        <f>SUM('DRE ANTIGA PARCERIA CAIXA'!S175,'DRE ANTIGA PARCERIA CAIXA'!S179:S180)</f>
        <v>-46648.775440000012</v>
      </c>
      <c r="T167" s="1">
        <f>SUM('DRE ANTIGA PARCERIA CAIXA'!T175,'DRE ANTIGA PARCERIA CAIXA'!T179:T180)</f>
        <v>-38660.527829999999</v>
      </c>
      <c r="U167" s="1">
        <f>SUM('DRE ANTIGA PARCERIA CAIXA'!U175,'DRE ANTIGA PARCERIA CAIXA'!U179:U180)</f>
        <v>-39972.936010000005</v>
      </c>
      <c r="V167" s="1">
        <f>SUM('DRE ANTIGA PARCERIA CAIXA'!V175,'DRE ANTIGA PARCERIA CAIXA'!V179:V180)</f>
        <v>-172140.92293</v>
      </c>
      <c r="W167" s="1">
        <f>SUM('DRE ANTIGA PARCERIA CAIXA'!W175,'DRE ANTIGA PARCERIA CAIXA'!W179:W180)</f>
        <v>-37075.230490000002</v>
      </c>
      <c r="X167" s="1">
        <f>SUM('DRE ANTIGA PARCERIA CAIXA'!X175,'DRE ANTIGA PARCERIA CAIXA'!X179:X180)</f>
        <v>-31997.046510000007</v>
      </c>
      <c r="Y167" s="1">
        <f>SUM('DRE ANTIGA PARCERIA CAIXA'!Y175,'DRE ANTIGA PARCERIA CAIXA'!Y179:Y180)</f>
        <v>-33923.17424</v>
      </c>
      <c r="Z167" s="1">
        <f>SUM('DRE ANTIGA PARCERIA CAIXA'!Z175,'DRE ANTIGA PARCERIA CAIXA'!Z179:Z180)</f>
        <v>-32995.233289999996</v>
      </c>
      <c r="AA167" s="1">
        <f>SUM('DRE ANTIGA PARCERIA CAIXA'!AA175,'DRE ANTIGA PARCERIA CAIXA'!AA179:AA180)</f>
        <v>-135990.68453</v>
      </c>
      <c r="AB167" s="1">
        <f>SUM('DRE ANTIGA PARCERIA CAIXA'!AB175,'DRE ANTIGA PARCERIA CAIXA'!AB179:AB180)</f>
        <v>-27453.226500000008</v>
      </c>
      <c r="AC167" s="1">
        <f>SUM('DRE ANTIGA PARCERIA CAIXA'!AC175,'DRE ANTIGA PARCERIA CAIXA'!AC179:AC180)</f>
        <v>-27960.128560000005</v>
      </c>
      <c r="AD167" s="1">
        <f>SUM('DRE ANTIGA PARCERIA CAIXA'!AD175,'DRE ANTIGA PARCERIA CAIXA'!AD179:AD180)</f>
        <v>-31565.073789999995</v>
      </c>
      <c r="AE167" s="1">
        <f>SUM('DRE ANTIGA PARCERIA CAIXA'!AE175,'DRE ANTIGA PARCERIA CAIXA'!AE179:AE180)</f>
        <v>-30675.340239999998</v>
      </c>
      <c r="AF167" s="1">
        <f>SUM('DRE ANTIGA PARCERIA CAIXA'!AF175,'DRE ANTIGA PARCERIA CAIXA'!AF179:AF180)</f>
        <v>-117653.76909</v>
      </c>
      <c r="AG167" s="1">
        <f>SUM('DRE ANTIGA PARCERIA CAIXA'!AG175,'DRE ANTIGA PARCERIA CAIXA'!AG179:AG180)</f>
        <v>-28388.031099999997</v>
      </c>
      <c r="AH167" s="1">
        <f>SUM('DRE ANTIGA PARCERIA CAIXA'!AH175,'DRE ANTIGA PARCERIA CAIXA'!AH179:AH180)</f>
        <v>-24044</v>
      </c>
      <c r="AI167" s="1">
        <f>SUM('DRE ANTIGA PARCERIA CAIXA'!AI175,'DRE ANTIGA PARCERIA CAIXA'!AI179:AI180)</f>
        <v>-28051</v>
      </c>
      <c r="AJ167" s="1">
        <f>SUM('DRE ANTIGA PARCERIA CAIXA'!AJ175,'DRE ANTIGA PARCERIA CAIXA'!AJ179:AJ180)</f>
        <v>-28699</v>
      </c>
      <c r="AK167" s="1">
        <f>SUM('DRE ANTIGA PARCERIA CAIXA'!AK175,'DRE ANTIGA PARCERIA CAIXA'!AK179:AK180)</f>
        <v>-109182.03109999999</v>
      </c>
      <c r="AL167" s="1">
        <f>SUM('DRE ANTIGA PARCERIA CAIXA'!AL175,'DRE ANTIGA PARCERIA CAIXA'!AL179:AL180)</f>
        <v>0</v>
      </c>
      <c r="AM167" s="1">
        <f>SUM('DRE ANTIGA PARCERIA CAIXA'!AM175,'DRE ANTIGA PARCERIA CAIXA'!AM179:AM180)</f>
        <v>0</v>
      </c>
      <c r="AN167" s="1">
        <f>SUM('DRE ANTIGA PARCERIA CAIXA'!AN175,'DRE ANTIGA PARCERIA CAIXA'!AN179:AN180)</f>
        <v>0</v>
      </c>
      <c r="AO167" s="1">
        <f>SUM('DRE ANTIGA PARCERIA CAIXA'!AO175,'DRE ANTIGA PARCERIA CAIXA'!AO179:AO180)</f>
        <v>0</v>
      </c>
      <c r="AP167" s="1">
        <f>SUM('DRE ANTIGA PARCERIA CAIXA'!AP175,'DRE ANTIGA PARCERIA CAIXA'!AP179:AP180)</f>
        <v>0</v>
      </c>
      <c r="AQ167" s="1">
        <f>SUM('DRE ANTIGA PARCERIA CAIXA'!AQ175,'DRE ANTIGA PARCERIA CAIXA'!AQ179:AQ180)</f>
        <v>0</v>
      </c>
      <c r="AR167" s="1">
        <f>SUM('DRE ANTIGA PARCERIA CAIXA'!AR175,'DRE ANTIGA PARCERIA CAIXA'!AR179:AR180)</f>
        <v>0</v>
      </c>
      <c r="AS167" s="1">
        <f>SUM('DRE ANTIGA PARCERIA CAIXA'!AS175,'DRE ANTIGA PARCERIA CAIXA'!AS179:AS180)</f>
        <v>0</v>
      </c>
      <c r="AT167" s="1">
        <f>SUM('DRE ANTIGA PARCERIA CAIXA'!AT175,'DRE ANTIGA PARCERIA CAIXA'!AT179:AT180)</f>
        <v>0</v>
      </c>
      <c r="AU167" s="1">
        <f>SUM('DRE ANTIGA PARCERIA CAIXA'!AU175,'DRE ANTIGA PARCERIA CAIXA'!AU179:AU180)</f>
        <v>0</v>
      </c>
      <c r="AV167" s="1">
        <f>SUM('DRE ANTIGA PARCERIA CAIXA'!AV175,'DRE ANTIGA PARCERIA CAIXA'!AV179:AV180)</f>
        <v>0</v>
      </c>
      <c r="AW167" s="1">
        <f>SUM('DRE ANTIGA PARCERIA CAIXA'!AW175,'DRE ANTIGA PARCERIA CAIXA'!AW179:AW180)</f>
        <v>0</v>
      </c>
      <c r="AX167" s="1">
        <f>SUM('DRE ANTIGA PARCERIA CAIXA'!AX175,'DRE ANTIGA PARCERIA CAIXA'!AX179:AX180)</f>
        <v>0</v>
      </c>
      <c r="AY167" s="1">
        <f>SUM('DRE ANTIGA PARCERIA CAIXA'!AY175,'DRE ANTIGA PARCERIA CAIXA'!AY179:AY180)</f>
        <v>0</v>
      </c>
      <c r="AZ167" s="1">
        <f>SUM('DRE ANTIGA PARCERIA CAIXA'!AZ175,'DRE ANTIGA PARCERIA CAIXA'!AZ179:AZ180)</f>
        <v>0</v>
      </c>
      <c r="BA167" s="1">
        <f>SUM('DRE ANTIGA PARCERIA CAIXA'!BA175,'DRE ANTIGA PARCERIA CAIXA'!BA179:BA180)</f>
        <v>0</v>
      </c>
    </row>
    <row r="168" spans="1:59">
      <c r="B168" t="str">
        <f t="shared" si="116"/>
        <v>Odonto Empresas</v>
      </c>
      <c r="C168" s="1">
        <f>SUM('DRE ANTIGA PARCERIA CAIXA'!C198,'DRE ANTIGA PARCERIA CAIXA'!C200:C201)</f>
        <v>-20353.323630000003</v>
      </c>
      <c r="D168" s="1">
        <f>SUM('DRE ANTIGA PARCERIA CAIXA'!D198,'DRE ANTIGA PARCERIA CAIXA'!D200:D201)</f>
        <v>-21871.699989999994</v>
      </c>
      <c r="E168" s="1">
        <f>SUM('DRE ANTIGA PARCERIA CAIXA'!E198,'DRE ANTIGA PARCERIA CAIXA'!E200:E201)</f>
        <v>-21091.847810000003</v>
      </c>
      <c r="F168" s="1">
        <f>SUM('DRE ANTIGA PARCERIA CAIXA'!F198,'DRE ANTIGA PARCERIA CAIXA'!F200:F201)</f>
        <v>-23196.526319999983</v>
      </c>
      <c r="G168" s="1">
        <f>SUM('DRE ANTIGA PARCERIA CAIXA'!G198,'DRE ANTIGA PARCERIA CAIXA'!G200:G201)</f>
        <v>-86513.397749999975</v>
      </c>
      <c r="H168" s="1">
        <f>SUM('DRE ANTIGA PARCERIA CAIXA'!H198,'DRE ANTIGA PARCERIA CAIXA'!H200:H201)</f>
        <v>-20322.584719999999</v>
      </c>
      <c r="I168" s="1">
        <f>SUM('DRE ANTIGA PARCERIA CAIXA'!I198,'DRE ANTIGA PARCERIA CAIXA'!I200:I201)</f>
        <v>-21934.716620000003</v>
      </c>
      <c r="J168" s="1">
        <f>SUM('DRE ANTIGA PARCERIA CAIXA'!J198,'DRE ANTIGA PARCERIA CAIXA'!J200:J201)</f>
        <v>-22211.930039999985</v>
      </c>
      <c r="K168" s="1">
        <f>SUM('DRE ANTIGA PARCERIA CAIXA'!K198,'DRE ANTIGA PARCERIA CAIXA'!K200:K201)</f>
        <v>-21018.224979999995</v>
      </c>
      <c r="L168" s="1">
        <f>SUM('DRE ANTIGA PARCERIA CAIXA'!L198,'DRE ANTIGA PARCERIA CAIXA'!L200:L201)</f>
        <v>-85487.456359999982</v>
      </c>
      <c r="M168" s="1">
        <f>SUM('DRE ANTIGA PARCERIA CAIXA'!M198,'DRE ANTIGA PARCERIA CAIXA'!M200:M201)</f>
        <v>-22259.196130000004</v>
      </c>
      <c r="N168" s="1">
        <f>SUM('DRE ANTIGA PARCERIA CAIXA'!N198,'DRE ANTIGA PARCERIA CAIXA'!N200:N201)</f>
        <v>-23125.556</v>
      </c>
      <c r="O168" s="1">
        <f>SUM('DRE ANTIGA PARCERIA CAIXA'!O198,'DRE ANTIGA PARCERIA CAIXA'!O200:O201)</f>
        <v>-22415.298469999998</v>
      </c>
      <c r="P168" s="1">
        <f>SUM('DRE ANTIGA PARCERIA CAIXA'!P198,'DRE ANTIGA PARCERIA CAIXA'!P200:P201)</f>
        <v>-22364.125240000008</v>
      </c>
      <c r="Q168" s="1">
        <f>SUM('DRE ANTIGA PARCERIA CAIXA'!Q198,'DRE ANTIGA PARCERIA CAIXA'!Q200:Q201)</f>
        <v>-90164.175840000011</v>
      </c>
      <c r="R168" s="1">
        <f>SUM('DRE ANTIGA PARCERIA CAIXA'!R198,'DRE ANTIGA PARCERIA CAIXA'!R200:R201)</f>
        <v>-20131.668550000006</v>
      </c>
      <c r="S168" s="1">
        <f>SUM('DRE ANTIGA PARCERIA CAIXA'!S198,'DRE ANTIGA PARCERIA CAIXA'!S200:S201)</f>
        <v>-21467.144979999979</v>
      </c>
      <c r="T168" s="1">
        <f>SUM('DRE ANTIGA PARCERIA CAIXA'!T198,'DRE ANTIGA PARCERIA CAIXA'!T200:T201)</f>
        <v>-20197.960080000001</v>
      </c>
      <c r="U168" s="1">
        <f>SUM('DRE ANTIGA PARCERIA CAIXA'!U198,'DRE ANTIGA PARCERIA CAIXA'!U200:U201)</f>
        <v>-27899.840900000025</v>
      </c>
      <c r="V168" s="1">
        <f>SUM('DRE ANTIGA PARCERIA CAIXA'!V198,'DRE ANTIGA PARCERIA CAIXA'!V200:V201)</f>
        <v>-89696.614510000014</v>
      </c>
      <c r="W168" s="1">
        <f>SUM('DRE ANTIGA PARCERIA CAIXA'!W198,'DRE ANTIGA PARCERIA CAIXA'!W200:W201)</f>
        <v>-17300.666589999997</v>
      </c>
      <c r="X168" s="1">
        <f>SUM('DRE ANTIGA PARCERIA CAIXA'!X198,'DRE ANTIGA PARCERIA CAIXA'!X200:X201)</f>
        <v>-12707.611570000001</v>
      </c>
      <c r="Y168" s="1">
        <f>SUM('DRE ANTIGA PARCERIA CAIXA'!Y198,'DRE ANTIGA PARCERIA CAIXA'!Y200:Y201)</f>
        <v>-16977.142920000002</v>
      </c>
      <c r="Z168" s="1">
        <f>SUM('DRE ANTIGA PARCERIA CAIXA'!Z198,'DRE ANTIGA PARCERIA CAIXA'!Z200:Z201)</f>
        <v>-15388.146670000016</v>
      </c>
      <c r="AA168" s="1">
        <f>SUM('DRE ANTIGA PARCERIA CAIXA'!AA198,'DRE ANTIGA PARCERIA CAIXA'!AA200:AA201)</f>
        <v>-62373.567750000017</v>
      </c>
      <c r="AB168" s="1">
        <f>SUM('DRE ANTIGA PARCERIA CAIXA'!AB198,'DRE ANTIGA PARCERIA CAIXA'!AB200:AB201)</f>
        <v>-14686.116889999994</v>
      </c>
      <c r="AC168" s="1">
        <f>SUM('DRE ANTIGA PARCERIA CAIXA'!AC198,'DRE ANTIGA PARCERIA CAIXA'!AC200:AC201)</f>
        <v>-12750.051510000007</v>
      </c>
      <c r="AD168" s="1">
        <f>SUM('DRE ANTIGA PARCERIA CAIXA'!AD198,'DRE ANTIGA PARCERIA CAIXA'!AD200:AD201)</f>
        <v>-13778.157919999998</v>
      </c>
      <c r="AE168" s="1">
        <f>SUM('DRE ANTIGA PARCERIA CAIXA'!AE198,'DRE ANTIGA PARCERIA CAIXA'!AE200:AE201)</f>
        <v>-14523.052770000037</v>
      </c>
      <c r="AF168" s="1">
        <f>SUM('DRE ANTIGA PARCERIA CAIXA'!AF198,'DRE ANTIGA PARCERIA CAIXA'!AF200:AF201)</f>
        <v>-55737.379090000039</v>
      </c>
      <c r="AG168" s="1">
        <f>SUM('DRE ANTIGA PARCERIA CAIXA'!AG198,'DRE ANTIGA PARCERIA CAIXA'!AG200:AG201)</f>
        <v>-14037</v>
      </c>
      <c r="AH168" s="1">
        <f>SUM('DRE ANTIGA PARCERIA CAIXA'!AH198,'DRE ANTIGA PARCERIA CAIXA'!AH200:AH201)</f>
        <v>-16169</v>
      </c>
      <c r="AI168" s="1">
        <f>SUM('DRE ANTIGA PARCERIA CAIXA'!AI198,'DRE ANTIGA PARCERIA CAIXA'!AI200:AI201)</f>
        <v>-16302</v>
      </c>
      <c r="AJ168" s="1">
        <f>SUM('DRE ANTIGA PARCERIA CAIXA'!AJ198,'DRE ANTIGA PARCERIA CAIXA'!AJ200:AJ201)</f>
        <v>-10594</v>
      </c>
      <c r="AK168" s="1">
        <f>SUM('DRE ANTIGA PARCERIA CAIXA'!AK198,'DRE ANTIGA PARCERIA CAIXA'!AK200:AK201)</f>
        <v>-57102</v>
      </c>
      <c r="AL168" s="1">
        <f>SUM('DRE ANTIGA PARCERIA CAIXA'!AL198,'DRE ANTIGA PARCERIA CAIXA'!AL200:AL201)</f>
        <v>0</v>
      </c>
      <c r="AM168" s="1">
        <f>SUM('DRE ANTIGA PARCERIA CAIXA'!AM198,'DRE ANTIGA PARCERIA CAIXA'!AM200:AM201)</f>
        <v>0</v>
      </c>
      <c r="AN168" s="1">
        <f>SUM('DRE ANTIGA PARCERIA CAIXA'!AN198,'DRE ANTIGA PARCERIA CAIXA'!AN200:AN201)</f>
        <v>0</v>
      </c>
      <c r="AO168" s="1">
        <f>SUM('DRE ANTIGA PARCERIA CAIXA'!AO198,'DRE ANTIGA PARCERIA CAIXA'!AO200:AO201)</f>
        <v>0</v>
      </c>
      <c r="AP168" s="1">
        <f>SUM('DRE ANTIGA PARCERIA CAIXA'!AP198,'DRE ANTIGA PARCERIA CAIXA'!AP200:AP201)</f>
        <v>0</v>
      </c>
      <c r="AQ168" s="1">
        <f>SUM('DRE ANTIGA PARCERIA CAIXA'!AQ198,'DRE ANTIGA PARCERIA CAIXA'!AQ200:AQ201)</f>
        <v>0</v>
      </c>
      <c r="AR168" s="1">
        <f>SUM('DRE ANTIGA PARCERIA CAIXA'!AR198,'DRE ANTIGA PARCERIA CAIXA'!AR200:AR201)</f>
        <v>0</v>
      </c>
      <c r="AS168" s="1">
        <f>SUM('DRE ANTIGA PARCERIA CAIXA'!AS198,'DRE ANTIGA PARCERIA CAIXA'!AS200:AS201)</f>
        <v>0</v>
      </c>
      <c r="AT168" s="1">
        <f>SUM('DRE ANTIGA PARCERIA CAIXA'!AT198,'DRE ANTIGA PARCERIA CAIXA'!AT200:AT201)</f>
        <v>0</v>
      </c>
      <c r="AU168" s="1">
        <f>SUM('DRE ANTIGA PARCERIA CAIXA'!AU198,'DRE ANTIGA PARCERIA CAIXA'!AU200:AU201)</f>
        <v>0</v>
      </c>
      <c r="AV168" s="1">
        <f>SUM('DRE ANTIGA PARCERIA CAIXA'!AV198,'DRE ANTIGA PARCERIA CAIXA'!AV200:AV201)</f>
        <v>0</v>
      </c>
      <c r="AW168" s="1">
        <f>SUM('DRE ANTIGA PARCERIA CAIXA'!AW198,'DRE ANTIGA PARCERIA CAIXA'!AW200:AW201)</f>
        <v>0</v>
      </c>
      <c r="AX168" s="1">
        <f>SUM('DRE ANTIGA PARCERIA CAIXA'!AX198,'DRE ANTIGA PARCERIA CAIXA'!AX200:AX201)</f>
        <v>0</v>
      </c>
      <c r="AY168" s="1">
        <f>SUM('DRE ANTIGA PARCERIA CAIXA'!AY198,'DRE ANTIGA PARCERIA CAIXA'!AY200:AY201)</f>
        <v>0</v>
      </c>
      <c r="AZ168" s="1">
        <f>SUM('DRE ANTIGA PARCERIA CAIXA'!AZ198,'DRE ANTIGA PARCERIA CAIXA'!AZ200:AZ201)</f>
        <v>0</v>
      </c>
      <c r="BA168" s="1">
        <f>SUM('DRE ANTIGA PARCERIA CAIXA'!BA198,'DRE ANTIGA PARCERIA CAIXA'!BA200:BA201)</f>
        <v>0</v>
      </c>
    </row>
    <row r="169" spans="1:59">
      <c r="B169" t="str">
        <f t="shared" si="116"/>
        <v>Youse Seguradora</v>
      </c>
      <c r="C169" s="1">
        <f>SUM('DRE ANTIGA PARCERIA CAIXA'!C220,'DRE ANTIGA PARCERIA CAIXA'!C222:C223)</f>
        <v>0</v>
      </c>
      <c r="D169" s="1">
        <f>SUM('DRE ANTIGA PARCERIA CAIXA'!D220,'DRE ANTIGA PARCERIA CAIXA'!D222:D223)</f>
        <v>-21.94511</v>
      </c>
      <c r="E169" s="1">
        <f>SUM('DRE ANTIGA PARCERIA CAIXA'!E220,'DRE ANTIGA PARCERIA CAIXA'!E222:E223)</f>
        <v>-63.178650000000012</v>
      </c>
      <c r="F169" s="1">
        <f>SUM('DRE ANTIGA PARCERIA CAIXA'!F220,'DRE ANTIGA PARCERIA CAIXA'!F222:F223)</f>
        <v>-60.537590000000023</v>
      </c>
      <c r="G169" s="1">
        <f>SUM('DRE ANTIGA PARCERIA CAIXA'!G220,'DRE ANTIGA PARCERIA CAIXA'!G222:G223)</f>
        <v>-145.66135000000003</v>
      </c>
      <c r="H169" s="1">
        <f>SUM('DRE ANTIGA PARCERIA CAIXA'!H220,'DRE ANTIGA PARCERIA CAIXA'!H222:H223)</f>
        <v>-57.811579999999999</v>
      </c>
      <c r="I169" s="1">
        <f>SUM('DRE ANTIGA PARCERIA CAIXA'!I220,'DRE ANTIGA PARCERIA CAIXA'!I222:I223)</f>
        <v>-50.057399999999987</v>
      </c>
      <c r="J169" s="1">
        <f>SUM('DRE ANTIGA PARCERIA CAIXA'!J220,'DRE ANTIGA PARCERIA CAIXA'!J222:J223)</f>
        <v>-44.818650000000027</v>
      </c>
      <c r="K169" s="1">
        <f>SUM('DRE ANTIGA PARCERIA CAIXA'!K220,'DRE ANTIGA PARCERIA CAIXA'!K222:K223)</f>
        <v>-35.593579999999974</v>
      </c>
      <c r="L169" s="1">
        <f>SUM('DRE ANTIGA PARCERIA CAIXA'!L220,'DRE ANTIGA PARCERIA CAIXA'!L222:L223)</f>
        <v>-188.28120999999999</v>
      </c>
      <c r="M169" s="1">
        <f>SUM('DRE ANTIGA PARCERIA CAIXA'!M220,'DRE ANTIGA PARCERIA CAIXA'!M222:M223)</f>
        <v>-32.142369999999993</v>
      </c>
      <c r="N169" s="1">
        <f>SUM('DRE ANTIGA PARCERIA CAIXA'!N220,'DRE ANTIGA PARCERIA CAIXA'!N222:N223)</f>
        <v>-118.48924000000004</v>
      </c>
      <c r="O169" s="1">
        <f>SUM('DRE ANTIGA PARCERIA CAIXA'!O220,'DRE ANTIGA PARCERIA CAIXA'!O222:O223)</f>
        <v>-19.123059999999953</v>
      </c>
      <c r="P169" s="1">
        <f>SUM('DRE ANTIGA PARCERIA CAIXA'!P220,'DRE ANTIGA PARCERIA CAIXA'!P222:P223)</f>
        <v>-73.586250000000021</v>
      </c>
      <c r="Q169" s="1">
        <f>SUM('DRE ANTIGA PARCERIA CAIXA'!Q220,'DRE ANTIGA PARCERIA CAIXA'!Q222:Q223)</f>
        <v>-243.34092000000001</v>
      </c>
      <c r="R169" s="1">
        <f>SUM('DRE ANTIGA PARCERIA CAIXA'!R220,'DRE ANTIGA PARCERIA CAIXA'!R222:R223)</f>
        <v>-435.52900000000005</v>
      </c>
      <c r="S169" s="1">
        <f>SUM('DRE ANTIGA PARCERIA CAIXA'!S220,'DRE ANTIGA PARCERIA CAIXA'!S222:S223)</f>
        <v>-373.91931000000017</v>
      </c>
      <c r="T169" s="1">
        <f>SUM('DRE ANTIGA PARCERIA CAIXA'!T220,'DRE ANTIGA PARCERIA CAIXA'!T222:T223)</f>
        <v>-113.36367999999993</v>
      </c>
      <c r="U169" s="1">
        <f>SUM('DRE ANTIGA PARCERIA CAIXA'!U220,'DRE ANTIGA PARCERIA CAIXA'!U222:U223)</f>
        <v>-186.62926999999999</v>
      </c>
      <c r="V169" s="1">
        <f>SUM('DRE ANTIGA PARCERIA CAIXA'!V220,'DRE ANTIGA PARCERIA CAIXA'!V222:V223)</f>
        <v>-1109.4412600000001</v>
      </c>
      <c r="W169" s="1">
        <f>SUM('DRE ANTIGA PARCERIA CAIXA'!W220,'DRE ANTIGA PARCERIA CAIXA'!W222:W223)</f>
        <v>-242.94575999999998</v>
      </c>
      <c r="X169" s="1">
        <f>SUM('DRE ANTIGA PARCERIA CAIXA'!X220,'DRE ANTIGA PARCERIA CAIXA'!X222:X223)</f>
        <v>-202.10271999999995</v>
      </c>
      <c r="Y169" s="1">
        <f>SUM('DRE ANTIGA PARCERIA CAIXA'!Y220,'DRE ANTIGA PARCERIA CAIXA'!Y222:Y223)</f>
        <v>-212.78789000000017</v>
      </c>
      <c r="Z169" s="1">
        <f>SUM('DRE ANTIGA PARCERIA CAIXA'!Z220,'DRE ANTIGA PARCERIA CAIXA'!Z222:Z223)</f>
        <v>-203.06377999999992</v>
      </c>
      <c r="AA169" s="1">
        <f>SUM('DRE ANTIGA PARCERIA CAIXA'!AA220,'DRE ANTIGA PARCERIA CAIXA'!AA222:AA223)</f>
        <v>-860.90014999999994</v>
      </c>
      <c r="AB169" s="1">
        <f>SUM('DRE ANTIGA PARCERIA CAIXA'!AB220,'DRE ANTIGA PARCERIA CAIXA'!AB222:AB223)</f>
        <v>-246.79531999999998</v>
      </c>
      <c r="AC169" s="1">
        <f>SUM('DRE ANTIGA PARCERIA CAIXA'!AC220,'DRE ANTIGA PARCERIA CAIXA'!AC222:AC223)</f>
        <v>-409.20310999999992</v>
      </c>
      <c r="AD169" s="1">
        <f>SUM('DRE ANTIGA PARCERIA CAIXA'!AD220,'DRE ANTIGA PARCERIA CAIXA'!AD222:AD223)</f>
        <v>-440.16234000000003</v>
      </c>
      <c r="AE169" s="1">
        <f>SUM('DRE ANTIGA PARCERIA CAIXA'!AE220,'DRE ANTIGA PARCERIA CAIXA'!AE222:AE223)</f>
        <v>-396.10196999999954</v>
      </c>
      <c r="AF169" s="1">
        <f>SUM('DRE ANTIGA PARCERIA CAIXA'!AF220,'DRE ANTIGA PARCERIA CAIXA'!AF222:AF223)</f>
        <v>-1492.2627399999994</v>
      </c>
      <c r="AG169" s="1">
        <f>SUM('DRE ANTIGA PARCERIA CAIXA'!AG220,'DRE ANTIGA PARCERIA CAIXA'!AG222:AG223)</f>
        <v>-238</v>
      </c>
      <c r="AH169" s="1">
        <f>SUM('DRE ANTIGA PARCERIA CAIXA'!AH220,'DRE ANTIGA PARCERIA CAIXA'!AH222:AH223)</f>
        <v>-293</v>
      </c>
      <c r="AI169" s="1">
        <f>SUM('DRE ANTIGA PARCERIA CAIXA'!AI220,'DRE ANTIGA PARCERIA CAIXA'!AI222:AI223)</f>
        <v>-518</v>
      </c>
      <c r="AJ169" s="1">
        <f>SUM('DRE ANTIGA PARCERIA CAIXA'!AJ220,'DRE ANTIGA PARCERIA CAIXA'!AJ222:AJ223)</f>
        <v>97</v>
      </c>
      <c r="AK169" s="1">
        <f>SUM('DRE ANTIGA PARCERIA CAIXA'!AK220,'DRE ANTIGA PARCERIA CAIXA'!AK222:AK223)</f>
        <v>-952</v>
      </c>
      <c r="AL169" s="1">
        <f>SUM('DRE ANTIGA PARCERIA CAIXA'!AL220,'DRE ANTIGA PARCERIA CAIXA'!AL222:AL223)</f>
        <v>-254</v>
      </c>
      <c r="AM169" s="1">
        <f>SUM('DRE ANTIGA PARCERIA CAIXA'!AM220,'DRE ANTIGA PARCERIA CAIXA'!AM222:AM223)</f>
        <v>-211</v>
      </c>
      <c r="AN169" s="1">
        <f>SUM('DRE ANTIGA PARCERIA CAIXA'!AN220,'DRE ANTIGA PARCERIA CAIXA'!AN222:AN223)</f>
        <v>-65</v>
      </c>
      <c r="AO169" s="1">
        <f>SUM('DRE ANTIGA PARCERIA CAIXA'!AO220,'DRE ANTIGA PARCERIA CAIXA'!AO222:AO223)</f>
        <v>-138</v>
      </c>
      <c r="AP169" s="1">
        <f>SUM('DRE ANTIGA PARCERIA CAIXA'!AP220,'DRE ANTIGA PARCERIA CAIXA'!AP222:AP223)</f>
        <v>-668</v>
      </c>
      <c r="AQ169" s="1">
        <f>SUM('DRE ANTIGA PARCERIA CAIXA'!AQ220,'DRE ANTIGA PARCERIA CAIXA'!AQ222:AQ223)</f>
        <v>-202</v>
      </c>
      <c r="AR169" s="1">
        <f>SUM('DRE ANTIGA PARCERIA CAIXA'!AR220,'DRE ANTIGA PARCERIA CAIXA'!AR222:AR223)</f>
        <v>-171</v>
      </c>
      <c r="AS169" s="1">
        <f>SUM('DRE ANTIGA PARCERIA CAIXA'!AS220,'DRE ANTIGA PARCERIA CAIXA'!AS222:AS223)</f>
        <v>-185</v>
      </c>
      <c r="AT169" s="1">
        <f>SUM('DRE ANTIGA PARCERIA CAIXA'!AT220,'DRE ANTIGA PARCERIA CAIXA'!AT222:AT223)</f>
        <v>-81</v>
      </c>
      <c r="AU169" s="1">
        <f>SUM('DRE ANTIGA PARCERIA CAIXA'!AU220,'DRE ANTIGA PARCERIA CAIXA'!AU222:AU223)</f>
        <v>-639</v>
      </c>
      <c r="AV169" s="1">
        <f>SUM('DRE ANTIGA PARCERIA CAIXA'!AV220,'DRE ANTIGA PARCERIA CAIXA'!AV222:AV223)</f>
        <v>-425</v>
      </c>
      <c r="AW169" s="1">
        <f>SUM('DRE ANTIGA PARCERIA CAIXA'!AW220,'DRE ANTIGA PARCERIA CAIXA'!AW222:AW223)</f>
        <v>-95</v>
      </c>
      <c r="AX169" s="1">
        <f>SUM('DRE ANTIGA PARCERIA CAIXA'!AX220,'DRE ANTIGA PARCERIA CAIXA'!AX222:AX223)</f>
        <v>-212</v>
      </c>
      <c r="AY169" s="1">
        <f>SUM('DRE ANTIGA PARCERIA CAIXA'!AY220,'DRE ANTIGA PARCERIA CAIXA'!AY222:AY223)</f>
        <v>-738</v>
      </c>
      <c r="AZ169" s="1">
        <f>SUM('DRE ANTIGA PARCERIA CAIXA'!AZ220,'DRE ANTIGA PARCERIA CAIXA'!AZ222:AZ223)</f>
        <v>-1470</v>
      </c>
      <c r="BA169" s="1">
        <f>SUM('DRE ANTIGA PARCERIA CAIXA'!BA220,'DRE ANTIGA PARCERIA CAIXA'!BA222:BA223)</f>
        <v>-168</v>
      </c>
    </row>
    <row r="170" spans="1:59">
      <c r="B170" t="str">
        <f t="shared" si="116"/>
        <v>CAIXA Assessoria</v>
      </c>
      <c r="C170" s="1">
        <f>SUM('DRE ANTIGA PARCERIA CAIXA'!C242,'DRE ANTIGA PARCERIA CAIXA'!C244:C245)</f>
        <v>-200.06021000000001</v>
      </c>
      <c r="D170" s="1">
        <f>SUM('DRE ANTIGA PARCERIA CAIXA'!D242,'DRE ANTIGA PARCERIA CAIXA'!D244:D245)</f>
        <v>-266.36500000000001</v>
      </c>
      <c r="E170" s="1">
        <f>SUM('DRE ANTIGA PARCERIA CAIXA'!E242,'DRE ANTIGA PARCERIA CAIXA'!E244:E245)</f>
        <v>-301.28901999999994</v>
      </c>
      <c r="F170" s="1">
        <f>SUM('DRE ANTIGA PARCERIA CAIXA'!F242,'DRE ANTIGA PARCERIA CAIXA'!F244:F245)</f>
        <v>-214.82834999999989</v>
      </c>
      <c r="G170" s="1">
        <f>SUM('DRE ANTIGA PARCERIA CAIXA'!G242,'DRE ANTIGA PARCERIA CAIXA'!G244:G245)</f>
        <v>-982.54257999999982</v>
      </c>
      <c r="H170" s="1">
        <f>SUM('DRE ANTIGA PARCERIA CAIXA'!H242,'DRE ANTIGA PARCERIA CAIXA'!H244:H245)</f>
        <v>-188.54810000000001</v>
      </c>
      <c r="I170" s="1">
        <f>SUM('DRE ANTIGA PARCERIA CAIXA'!I242,'DRE ANTIGA PARCERIA CAIXA'!I244:I245)</f>
        <v>-330.13328999999999</v>
      </c>
      <c r="J170" s="1">
        <f>SUM('DRE ANTIGA PARCERIA CAIXA'!J242,'DRE ANTIGA PARCERIA CAIXA'!J244:J245)</f>
        <v>-255.34283000000002</v>
      </c>
      <c r="K170" s="1">
        <f>SUM('DRE ANTIGA PARCERIA CAIXA'!K242,'DRE ANTIGA PARCERIA CAIXA'!K244:K245)</f>
        <v>-395.42104000000018</v>
      </c>
      <c r="L170" s="1">
        <f>SUM('DRE ANTIGA PARCERIA CAIXA'!L242,'DRE ANTIGA PARCERIA CAIXA'!L244:L245)</f>
        <v>-1169.4452600000002</v>
      </c>
      <c r="M170" s="1">
        <f>SUM('DRE ANTIGA PARCERIA CAIXA'!M242,'DRE ANTIGA PARCERIA CAIXA'!M244:M245)</f>
        <v>-182.18859999999998</v>
      </c>
      <c r="N170" s="1">
        <f>SUM('DRE ANTIGA PARCERIA CAIXA'!N242,'DRE ANTIGA PARCERIA CAIXA'!N244:N245)</f>
        <v>-568.90138000000002</v>
      </c>
      <c r="O170" s="1">
        <f>SUM('DRE ANTIGA PARCERIA CAIXA'!O242,'DRE ANTIGA PARCERIA CAIXA'!O244:O245)</f>
        <v>-450.50142000000017</v>
      </c>
      <c r="P170" s="1">
        <f>SUM('DRE ANTIGA PARCERIA CAIXA'!P242,'DRE ANTIGA PARCERIA CAIXA'!P244:P245)</f>
        <v>-352.89323000000013</v>
      </c>
      <c r="Q170" s="1">
        <f>SUM('DRE ANTIGA PARCERIA CAIXA'!Q242,'DRE ANTIGA PARCERIA CAIXA'!Q244:Q245)</f>
        <v>-1554.4846300000004</v>
      </c>
      <c r="R170" s="1">
        <f>SUM('DRE ANTIGA PARCERIA CAIXA'!R242,'DRE ANTIGA PARCERIA CAIXA'!R244:R245)</f>
        <v>-299.54183</v>
      </c>
      <c r="S170" s="1">
        <f>SUM('DRE ANTIGA PARCERIA CAIXA'!S242,'DRE ANTIGA PARCERIA CAIXA'!S244:S245)</f>
        <v>-395.98459000000003</v>
      </c>
      <c r="T170" s="1">
        <f>SUM('DRE ANTIGA PARCERIA CAIXA'!T242,'DRE ANTIGA PARCERIA CAIXA'!T244:T245)</f>
        <v>-317.91239000000007</v>
      </c>
      <c r="U170" s="1">
        <f>SUM('DRE ANTIGA PARCERIA CAIXA'!U242,'DRE ANTIGA PARCERIA CAIXA'!U244:U245)</f>
        <v>-358.58299</v>
      </c>
      <c r="V170" s="1">
        <f>SUM('DRE ANTIGA PARCERIA CAIXA'!V242,'DRE ANTIGA PARCERIA CAIXA'!V244:V245)</f>
        <v>-1372.0218</v>
      </c>
      <c r="W170" s="1">
        <f>SUM('DRE ANTIGA PARCERIA CAIXA'!W242,'DRE ANTIGA PARCERIA CAIXA'!W244:W245)</f>
        <v>-409.38058999999998</v>
      </c>
      <c r="X170" s="1">
        <f>SUM('DRE ANTIGA PARCERIA CAIXA'!X242,'DRE ANTIGA PARCERIA CAIXA'!X244:X245)</f>
        <v>-512.40374999999995</v>
      </c>
      <c r="Y170" s="1">
        <f>SUM('DRE ANTIGA PARCERIA CAIXA'!Y242,'DRE ANTIGA PARCERIA CAIXA'!Y244:Y245)</f>
        <v>-768.5376</v>
      </c>
      <c r="Z170" s="1">
        <f>SUM('DRE ANTIGA PARCERIA CAIXA'!Z242,'DRE ANTIGA PARCERIA CAIXA'!Z244:Z245)</f>
        <v>-587.10402999999997</v>
      </c>
      <c r="AA170" s="1">
        <f>SUM('DRE ANTIGA PARCERIA CAIXA'!AA242,'DRE ANTIGA PARCERIA CAIXA'!AA244:AA245)</f>
        <v>-2277.4259699999998</v>
      </c>
      <c r="AB170" s="1">
        <f>SUM('DRE ANTIGA PARCERIA CAIXA'!AB242,'DRE ANTIGA PARCERIA CAIXA'!AB244:AB245)</f>
        <v>-790.32587999999998</v>
      </c>
      <c r="AC170" s="1">
        <f>SUM('DRE ANTIGA PARCERIA CAIXA'!AC242,'DRE ANTIGA PARCERIA CAIXA'!AC244:AC245)</f>
        <v>-735.48437999999999</v>
      </c>
      <c r="AD170" s="1">
        <f>SUM('DRE ANTIGA PARCERIA CAIXA'!AD242,'DRE ANTIGA PARCERIA CAIXA'!AD244:AD245)</f>
        <v>-873.27230999999983</v>
      </c>
      <c r="AE170" s="1">
        <f>SUM('DRE ANTIGA PARCERIA CAIXA'!AE242,'DRE ANTIGA PARCERIA CAIXA'!AE244:AE245)</f>
        <v>-958.76342000000022</v>
      </c>
      <c r="AF170" s="1">
        <f>SUM('DRE ANTIGA PARCERIA CAIXA'!AF242,'DRE ANTIGA PARCERIA CAIXA'!AF244:AF245)</f>
        <v>-3357.8459899999998</v>
      </c>
      <c r="AG170" s="1">
        <f>SUM('DRE ANTIGA PARCERIA CAIXA'!AG242,'DRE ANTIGA PARCERIA CAIXA'!AG244:AG245)</f>
        <v>-1504</v>
      </c>
      <c r="AH170" s="1">
        <f>SUM('DRE ANTIGA PARCERIA CAIXA'!AH242,'DRE ANTIGA PARCERIA CAIXA'!AH244:AH245)</f>
        <v>-1461</v>
      </c>
      <c r="AI170" s="1">
        <f>SUM('DRE ANTIGA PARCERIA CAIXA'!AI242,'DRE ANTIGA PARCERIA CAIXA'!AI244:AI245)</f>
        <v>-3261</v>
      </c>
      <c r="AJ170" s="1">
        <f>SUM('DRE ANTIGA PARCERIA CAIXA'!AJ242,'DRE ANTIGA PARCERIA CAIXA'!AJ244:AJ245)</f>
        <v>106</v>
      </c>
      <c r="AK170" s="1">
        <f>SUM('DRE ANTIGA PARCERIA CAIXA'!AK242,'DRE ANTIGA PARCERIA CAIXA'!AK244:AK245)</f>
        <v>-6120</v>
      </c>
      <c r="AL170" s="1">
        <f>SUM('DRE ANTIGA PARCERIA CAIXA'!AL242,'DRE ANTIGA PARCERIA CAIXA'!AL244:AL245)</f>
        <v>-1412</v>
      </c>
      <c r="AM170" s="1">
        <f>SUM('DRE ANTIGA PARCERIA CAIXA'!AM242,'DRE ANTIGA PARCERIA CAIXA'!AM244:AM245)</f>
        <v>-1669</v>
      </c>
      <c r="AN170" s="1">
        <f>SUM('DRE ANTIGA PARCERIA CAIXA'!AN242,'DRE ANTIGA PARCERIA CAIXA'!AN244:AN245)</f>
        <v>-1658</v>
      </c>
      <c r="AO170" s="1">
        <f>SUM('DRE ANTIGA PARCERIA CAIXA'!AO242,'DRE ANTIGA PARCERIA CAIXA'!AO244:AO245)</f>
        <v>-1415</v>
      </c>
      <c r="AP170" s="1">
        <f>SUM('DRE ANTIGA PARCERIA CAIXA'!AP242,'DRE ANTIGA PARCERIA CAIXA'!AP244:AP245)</f>
        <v>-6154</v>
      </c>
      <c r="AQ170" s="1">
        <f>SUM('DRE ANTIGA PARCERIA CAIXA'!AQ242,'DRE ANTIGA PARCERIA CAIXA'!AQ244:AQ245)</f>
        <v>-1752</v>
      </c>
      <c r="AR170" s="1">
        <f>SUM('DRE ANTIGA PARCERIA CAIXA'!AR242,'DRE ANTIGA PARCERIA CAIXA'!AR244:AR245)</f>
        <v>-2461</v>
      </c>
      <c r="AS170" s="1">
        <f>SUM('DRE ANTIGA PARCERIA CAIXA'!AS242,'DRE ANTIGA PARCERIA CAIXA'!AS244:AS245)</f>
        <v>-1634</v>
      </c>
      <c r="AT170" s="1">
        <f>SUM('DRE ANTIGA PARCERIA CAIXA'!AT242,'DRE ANTIGA PARCERIA CAIXA'!AT244:AT245)</f>
        <v>-1674</v>
      </c>
      <c r="AU170" s="1">
        <f>SUM('DRE ANTIGA PARCERIA CAIXA'!AU242,'DRE ANTIGA PARCERIA CAIXA'!AU244:AU245)</f>
        <v>-7521</v>
      </c>
      <c r="AV170" s="1">
        <f>SUM('DRE ANTIGA PARCERIA CAIXA'!AV242,'DRE ANTIGA PARCERIA CAIXA'!AV244:AV245)</f>
        <v>-2103</v>
      </c>
      <c r="AW170" s="1">
        <f>SUM('DRE ANTIGA PARCERIA CAIXA'!AW242,'DRE ANTIGA PARCERIA CAIXA'!AW244:AW245)</f>
        <v>-1752</v>
      </c>
      <c r="AX170" s="1">
        <f>SUM('DRE ANTIGA PARCERIA CAIXA'!AX242,'DRE ANTIGA PARCERIA CAIXA'!AX244:AX245)</f>
        <v>-1803</v>
      </c>
      <c r="AY170" s="1">
        <f>SUM('DRE ANTIGA PARCERIA CAIXA'!AY242,'DRE ANTIGA PARCERIA CAIXA'!AY244:AY245)</f>
        <v>-1888</v>
      </c>
      <c r="AZ170" s="1">
        <f>SUM('DRE ANTIGA PARCERIA CAIXA'!AZ242,'DRE ANTIGA PARCERIA CAIXA'!AZ244:AZ245)</f>
        <v>-7546</v>
      </c>
      <c r="BA170" s="1">
        <f>SUM('DRE ANTIGA PARCERIA CAIXA'!BA242,'DRE ANTIGA PARCERIA CAIXA'!BA244:BA245)</f>
        <v>-1254</v>
      </c>
    </row>
    <row r="171" spans="1:59" s="100" customFormat="1">
      <c r="A171" s="9"/>
      <c r="B171" s="9" t="str">
        <f t="shared" si="116"/>
        <v>Novas Parcerias CAIXA</v>
      </c>
      <c r="C171" s="160">
        <f t="shared" ref="C171:AU171" si="119">SUM(C172:C178)</f>
        <v>0</v>
      </c>
      <c r="D171" s="160">
        <f t="shared" si="119"/>
        <v>0</v>
      </c>
      <c r="E171" s="160">
        <f t="shared" si="119"/>
        <v>0</v>
      </c>
      <c r="F171" s="160">
        <f t="shared" si="119"/>
        <v>0</v>
      </c>
      <c r="G171" s="160">
        <f t="shared" si="119"/>
        <v>0</v>
      </c>
      <c r="H171" s="160">
        <f t="shared" si="119"/>
        <v>0</v>
      </c>
      <c r="I171" s="160">
        <f t="shared" si="119"/>
        <v>0</v>
      </c>
      <c r="J171" s="160">
        <f t="shared" si="119"/>
        <v>0</v>
      </c>
      <c r="K171" s="160">
        <f t="shared" si="119"/>
        <v>0</v>
      </c>
      <c r="L171" s="160">
        <f t="shared" si="119"/>
        <v>0</v>
      </c>
      <c r="M171" s="160">
        <f t="shared" si="119"/>
        <v>0</v>
      </c>
      <c r="N171" s="160">
        <f t="shared" si="119"/>
        <v>0</v>
      </c>
      <c r="O171" s="160">
        <f t="shared" si="119"/>
        <v>0</v>
      </c>
      <c r="P171" s="160">
        <f t="shared" si="119"/>
        <v>0</v>
      </c>
      <c r="Q171" s="160">
        <f t="shared" si="119"/>
        <v>0</v>
      </c>
      <c r="R171" s="160">
        <f t="shared" si="119"/>
        <v>0</v>
      </c>
      <c r="S171" s="160">
        <f t="shared" si="119"/>
        <v>0</v>
      </c>
      <c r="T171" s="160">
        <f t="shared" si="119"/>
        <v>0</v>
      </c>
      <c r="U171" s="160">
        <f t="shared" si="119"/>
        <v>0</v>
      </c>
      <c r="V171" s="160">
        <f t="shared" si="119"/>
        <v>0</v>
      </c>
      <c r="W171" s="160">
        <f t="shared" si="119"/>
        <v>0</v>
      </c>
      <c r="X171" s="160">
        <f t="shared" si="119"/>
        <v>0</v>
      </c>
      <c r="Y171" s="160">
        <f t="shared" si="119"/>
        <v>0</v>
      </c>
      <c r="Z171" s="160">
        <f t="shared" si="119"/>
        <v>-189.99610000000001</v>
      </c>
      <c r="AA171" s="160">
        <f t="shared" si="119"/>
        <v>-189.99610000000001</v>
      </c>
      <c r="AB171" s="160">
        <f t="shared" si="119"/>
        <v>-810477.25659521576</v>
      </c>
      <c r="AC171" s="160">
        <f t="shared" si="119"/>
        <v>-847990.9887847841</v>
      </c>
      <c r="AD171" s="160">
        <f t="shared" si="119"/>
        <v>-898357.32164999971</v>
      </c>
      <c r="AE171" s="160">
        <f t="shared" si="119"/>
        <v>-972923.01468999998</v>
      </c>
      <c r="AF171" s="160">
        <f t="shared" si="119"/>
        <v>-3529748.5817199997</v>
      </c>
      <c r="AG171" s="160">
        <f t="shared" si="119"/>
        <v>-1085362</v>
      </c>
      <c r="AH171" s="160">
        <f t="shared" si="119"/>
        <v>-1014394</v>
      </c>
      <c r="AI171" s="160">
        <f t="shared" si="119"/>
        <v>-1177418</v>
      </c>
      <c r="AJ171" s="160">
        <f t="shared" si="119"/>
        <v>-1169565</v>
      </c>
      <c r="AK171" s="160">
        <f t="shared" si="119"/>
        <v>-4446739</v>
      </c>
      <c r="AL171" s="160">
        <f t="shared" si="119"/>
        <v>-1202159.7590000001</v>
      </c>
      <c r="AM171" s="160">
        <f t="shared" si="119"/>
        <v>-1179520</v>
      </c>
      <c r="AN171" s="160">
        <f t="shared" si="119"/>
        <v>-1225060</v>
      </c>
      <c r="AO171" s="160">
        <f t="shared" si="119"/>
        <v>-1385426</v>
      </c>
      <c r="AP171" s="160">
        <f t="shared" si="119"/>
        <v>-4992165.7589999996</v>
      </c>
      <c r="AQ171" s="160">
        <f t="shared" si="119"/>
        <v>-1294316.44</v>
      </c>
      <c r="AR171" s="160">
        <f t="shared" si="119"/>
        <v>-1760661</v>
      </c>
      <c r="AS171" s="160">
        <f t="shared" si="119"/>
        <v>-1443389</v>
      </c>
      <c r="AT171" s="160">
        <f t="shared" si="119"/>
        <v>-1523585</v>
      </c>
      <c r="AU171" s="160">
        <f t="shared" si="119"/>
        <v>-6021951.4399999995</v>
      </c>
      <c r="AV171" s="160">
        <f t="shared" ref="AV171" si="120">SUM(AV172:AV178)</f>
        <v>-1501430.412</v>
      </c>
      <c r="AW171" s="160">
        <f>SUM(AW172:AW178)</f>
        <v>-1539729.4820000001</v>
      </c>
      <c r="AX171" s="160">
        <f>SUM(AX172:AX178)</f>
        <v>-1593806.682</v>
      </c>
      <c r="AY171" s="160">
        <f>SUM(AY172:AY178)</f>
        <v>-1648590.6200899999</v>
      </c>
      <c r="AZ171" s="160">
        <f>SUM(AZ172:AZ178)</f>
        <v>-6283557.1960900007</v>
      </c>
      <c r="BA171" s="160">
        <f t="shared" ref="BA171" si="121">SUM(BA172:BA178)</f>
        <v>-1540728</v>
      </c>
      <c r="BC171" s="780"/>
    </row>
    <row r="172" spans="1:59">
      <c r="B172" t="str">
        <f t="shared" si="116"/>
        <v>XS1 Holding</v>
      </c>
      <c r="C172" s="1">
        <f t="shared" ref="C172:AH172" si="122">C134+C96</f>
        <v>0</v>
      </c>
      <c r="D172" s="1">
        <f t="shared" si="122"/>
        <v>0</v>
      </c>
      <c r="E172" s="1">
        <f t="shared" si="122"/>
        <v>0</v>
      </c>
      <c r="F172" s="1">
        <f t="shared" si="122"/>
        <v>0</v>
      </c>
      <c r="G172" s="1">
        <f t="shared" si="122"/>
        <v>0</v>
      </c>
      <c r="H172" s="1">
        <f t="shared" si="122"/>
        <v>0</v>
      </c>
      <c r="I172" s="1">
        <f t="shared" si="122"/>
        <v>0</v>
      </c>
      <c r="J172" s="1">
        <f t="shared" si="122"/>
        <v>0</v>
      </c>
      <c r="K172" s="1">
        <f t="shared" si="122"/>
        <v>0</v>
      </c>
      <c r="L172" s="1">
        <f t="shared" si="122"/>
        <v>0</v>
      </c>
      <c r="M172" s="1">
        <f t="shared" si="122"/>
        <v>0</v>
      </c>
      <c r="N172" s="1">
        <f t="shared" si="122"/>
        <v>0</v>
      </c>
      <c r="O172" s="1">
        <f t="shared" si="122"/>
        <v>0</v>
      </c>
      <c r="P172" s="1">
        <f t="shared" si="122"/>
        <v>0</v>
      </c>
      <c r="Q172" s="1">
        <f t="shared" si="122"/>
        <v>0</v>
      </c>
      <c r="R172" s="1">
        <f t="shared" si="122"/>
        <v>0</v>
      </c>
      <c r="S172" s="1">
        <f t="shared" si="122"/>
        <v>0</v>
      </c>
      <c r="T172" s="1">
        <f t="shared" si="122"/>
        <v>0</v>
      </c>
      <c r="U172" s="1">
        <f t="shared" si="122"/>
        <v>0</v>
      </c>
      <c r="V172" s="1">
        <f t="shared" si="122"/>
        <v>0</v>
      </c>
      <c r="W172" s="1">
        <f t="shared" si="122"/>
        <v>0</v>
      </c>
      <c r="X172" s="1">
        <f t="shared" si="122"/>
        <v>0</v>
      </c>
      <c r="Y172" s="1">
        <f t="shared" si="122"/>
        <v>0</v>
      </c>
      <c r="Z172" s="1">
        <f t="shared" si="122"/>
        <v>-70.840599999999995</v>
      </c>
      <c r="AA172" s="1">
        <f t="shared" si="122"/>
        <v>-70.840599999999995</v>
      </c>
      <c r="AB172" s="1">
        <f t="shared" si="122"/>
        <v>3573.531244784067</v>
      </c>
      <c r="AC172" s="1">
        <f t="shared" si="122"/>
        <v>-8148.5061047840518</v>
      </c>
      <c r="AD172" s="1">
        <f t="shared" si="122"/>
        <v>-818.86325000000579</v>
      </c>
      <c r="AE172" s="1">
        <f t="shared" si="122"/>
        <v>-7678</v>
      </c>
      <c r="AF172" s="1">
        <f t="shared" si="122"/>
        <v>-13071.83810999999</v>
      </c>
      <c r="AG172" s="1">
        <f t="shared" si="122"/>
        <v>-2555</v>
      </c>
      <c r="AH172" s="1">
        <f t="shared" si="122"/>
        <v>-4176</v>
      </c>
      <c r="AI172" s="1">
        <f t="shared" ref="AI172:BA172" si="123">AI134+AI96</f>
        <v>13782</v>
      </c>
      <c r="AJ172" s="1">
        <f t="shared" si="123"/>
        <v>3072</v>
      </c>
      <c r="AK172" s="1">
        <f t="shared" si="123"/>
        <v>10123</v>
      </c>
      <c r="AL172" s="1">
        <f t="shared" si="123"/>
        <v>-3431</v>
      </c>
      <c r="AM172" s="1">
        <f t="shared" si="123"/>
        <v>-6069</v>
      </c>
      <c r="AN172" s="1">
        <f t="shared" si="123"/>
        <v>8141</v>
      </c>
      <c r="AO172" s="1">
        <f t="shared" si="123"/>
        <v>-38129</v>
      </c>
      <c r="AP172" s="1">
        <f t="shared" si="123"/>
        <v>-39488</v>
      </c>
      <c r="AQ172" s="1">
        <f t="shared" si="123"/>
        <v>-13271</v>
      </c>
      <c r="AR172" s="1">
        <f t="shared" si="123"/>
        <v>-17924</v>
      </c>
      <c r="AS172" s="1">
        <f t="shared" si="123"/>
        <v>-14069</v>
      </c>
      <c r="AT172" s="1">
        <f t="shared" si="123"/>
        <v>-22267</v>
      </c>
      <c r="AU172" s="1">
        <f t="shared" si="123"/>
        <v>-67531</v>
      </c>
      <c r="AV172" s="1">
        <f t="shared" si="123"/>
        <v>-17982</v>
      </c>
      <c r="AW172" s="1">
        <f t="shared" si="123"/>
        <v>-16433</v>
      </c>
      <c r="AX172" s="1">
        <f t="shared" si="123"/>
        <v>-16398</v>
      </c>
      <c r="AY172" s="1">
        <f t="shared" si="123"/>
        <v>-6135</v>
      </c>
      <c r="AZ172" s="1">
        <f t="shared" si="123"/>
        <v>-56948</v>
      </c>
      <c r="BA172" s="1">
        <f t="shared" si="123"/>
        <v>-13851</v>
      </c>
      <c r="BC172" s="780"/>
    </row>
    <row r="173" spans="1:59">
      <c r="B173" t="str">
        <f t="shared" si="116"/>
        <v>Caixa Vida &amp; Previdência</v>
      </c>
      <c r="C173" s="1">
        <f>SUM('DRE NOVAS PARCERIAS CAIXA'!C35:C38,'DRE NOVAS PARCERIAS CAIXA'!C44:C47,'DRE NOVAS PARCERIAS CAIXA'!C49:C50)</f>
        <v>0</v>
      </c>
      <c r="D173" s="1">
        <f>SUM('DRE NOVAS PARCERIAS CAIXA'!D35:D38,'DRE NOVAS PARCERIAS CAIXA'!D44:D47,'DRE NOVAS PARCERIAS CAIXA'!D49:D50)</f>
        <v>0</v>
      </c>
      <c r="E173" s="1">
        <f>SUM('DRE NOVAS PARCERIAS CAIXA'!E35:E38,'DRE NOVAS PARCERIAS CAIXA'!E44:E47,'DRE NOVAS PARCERIAS CAIXA'!E49:E50)</f>
        <v>0</v>
      </c>
      <c r="F173" s="1">
        <f>SUM('DRE NOVAS PARCERIAS CAIXA'!F35:F38,'DRE NOVAS PARCERIAS CAIXA'!F44:F47,'DRE NOVAS PARCERIAS CAIXA'!F49:F50)</f>
        <v>0</v>
      </c>
      <c r="G173" s="1">
        <f>SUM('DRE NOVAS PARCERIAS CAIXA'!G35:G38,'DRE NOVAS PARCERIAS CAIXA'!G44:G47,'DRE NOVAS PARCERIAS CAIXA'!G49:G50)</f>
        <v>0</v>
      </c>
      <c r="H173" s="1">
        <f>SUM('DRE NOVAS PARCERIAS CAIXA'!H35:H38,'DRE NOVAS PARCERIAS CAIXA'!H44:H47,'DRE NOVAS PARCERIAS CAIXA'!H49:H50)</f>
        <v>0</v>
      </c>
      <c r="I173" s="1">
        <f>SUM('DRE NOVAS PARCERIAS CAIXA'!I35:I38,'DRE NOVAS PARCERIAS CAIXA'!I44:I47,'DRE NOVAS PARCERIAS CAIXA'!I49:I50)</f>
        <v>0</v>
      </c>
      <c r="J173" s="1">
        <f>SUM('DRE NOVAS PARCERIAS CAIXA'!J35:J38,'DRE NOVAS PARCERIAS CAIXA'!J44:J47,'DRE NOVAS PARCERIAS CAIXA'!J49:J50)</f>
        <v>0</v>
      </c>
      <c r="K173" s="1">
        <f>SUM('DRE NOVAS PARCERIAS CAIXA'!K35:K38,'DRE NOVAS PARCERIAS CAIXA'!K44:K47,'DRE NOVAS PARCERIAS CAIXA'!K49:K50)</f>
        <v>0</v>
      </c>
      <c r="L173" s="1">
        <f>SUM('DRE NOVAS PARCERIAS CAIXA'!L35:L38,'DRE NOVAS PARCERIAS CAIXA'!L44:L47,'DRE NOVAS PARCERIAS CAIXA'!L49:L50)</f>
        <v>0</v>
      </c>
      <c r="M173" s="1">
        <f>SUM('DRE NOVAS PARCERIAS CAIXA'!M35:M38,'DRE NOVAS PARCERIAS CAIXA'!M44:M47,'DRE NOVAS PARCERIAS CAIXA'!M49:M50)</f>
        <v>0</v>
      </c>
      <c r="N173" s="1">
        <f>SUM('DRE NOVAS PARCERIAS CAIXA'!N35:N38,'DRE NOVAS PARCERIAS CAIXA'!N44:N47,'DRE NOVAS PARCERIAS CAIXA'!N49:N50)</f>
        <v>0</v>
      </c>
      <c r="O173" s="1">
        <f>SUM('DRE NOVAS PARCERIAS CAIXA'!O35:O38,'DRE NOVAS PARCERIAS CAIXA'!O44:O47,'DRE NOVAS PARCERIAS CAIXA'!O49:O50)</f>
        <v>0</v>
      </c>
      <c r="P173" s="1">
        <f>SUM('DRE NOVAS PARCERIAS CAIXA'!P35:P38,'DRE NOVAS PARCERIAS CAIXA'!P44:P47,'DRE NOVAS PARCERIAS CAIXA'!P49:P50)</f>
        <v>0</v>
      </c>
      <c r="Q173" s="1">
        <f>SUM('DRE NOVAS PARCERIAS CAIXA'!Q35:Q38,'DRE NOVAS PARCERIAS CAIXA'!Q44:Q47,'DRE NOVAS PARCERIAS CAIXA'!Q49:Q50)</f>
        <v>0</v>
      </c>
      <c r="R173" s="1">
        <f>SUM('DRE NOVAS PARCERIAS CAIXA'!R35:R38,'DRE NOVAS PARCERIAS CAIXA'!R44:R47,'DRE NOVAS PARCERIAS CAIXA'!R49:R50)</f>
        <v>0</v>
      </c>
      <c r="S173" s="1">
        <f>SUM('DRE NOVAS PARCERIAS CAIXA'!S35:S38,'DRE NOVAS PARCERIAS CAIXA'!S44:S47,'DRE NOVAS PARCERIAS CAIXA'!S49:S50)</f>
        <v>0</v>
      </c>
      <c r="T173" s="1">
        <f>SUM('DRE NOVAS PARCERIAS CAIXA'!T35:T38,'DRE NOVAS PARCERIAS CAIXA'!T44:T47,'DRE NOVAS PARCERIAS CAIXA'!T49:T50)</f>
        <v>0</v>
      </c>
      <c r="U173" s="1">
        <f>SUM('DRE NOVAS PARCERIAS CAIXA'!U35:U38,'DRE NOVAS PARCERIAS CAIXA'!U44:U47,'DRE NOVAS PARCERIAS CAIXA'!U49:U50)</f>
        <v>0</v>
      </c>
      <c r="V173" s="1">
        <f>SUM('DRE NOVAS PARCERIAS CAIXA'!V35:V38,'DRE NOVAS PARCERIAS CAIXA'!V44:V47,'DRE NOVAS PARCERIAS CAIXA'!V49:V50)</f>
        <v>0</v>
      </c>
      <c r="W173" s="1">
        <f>SUM('DRE NOVAS PARCERIAS CAIXA'!W35:W38,'DRE NOVAS PARCERIAS CAIXA'!W44:W47,'DRE NOVAS PARCERIAS CAIXA'!W49:W50)</f>
        <v>0</v>
      </c>
      <c r="X173" s="1">
        <f>SUM('DRE NOVAS PARCERIAS CAIXA'!X35:X38,'DRE NOVAS PARCERIAS CAIXA'!X44:X47,'DRE NOVAS PARCERIAS CAIXA'!X49:X50)</f>
        <v>0</v>
      </c>
      <c r="Y173" s="1">
        <f>SUM('DRE NOVAS PARCERIAS CAIXA'!Y35:Y38,'DRE NOVAS PARCERIAS CAIXA'!Y44:Y47,'DRE NOVAS PARCERIAS CAIXA'!Y49:Y50)</f>
        <v>0</v>
      </c>
      <c r="Z173" s="1">
        <f>SUM('DRE NOVAS PARCERIAS CAIXA'!Z35:Z38,'DRE NOVAS PARCERIAS CAIXA'!Z44:Z47,'DRE NOVAS PARCERIAS CAIXA'!Z49:Z50)</f>
        <v>0</v>
      </c>
      <c r="AA173" s="1">
        <f>SUM('DRE NOVAS PARCERIAS CAIXA'!AA35:AA38,'DRE NOVAS PARCERIAS CAIXA'!AA44:AA47,'DRE NOVAS PARCERIAS CAIXA'!AA49:AA50)</f>
        <v>0</v>
      </c>
      <c r="AB173" s="1">
        <f>SUM('DRE NOVAS PARCERIAS CAIXA'!AB35:AB38,'DRE NOVAS PARCERIAS CAIXA'!AB44:AB47,'DRE NOVAS PARCERIAS CAIXA'!AB49:AB50)</f>
        <v>-654029.68318999989</v>
      </c>
      <c r="AC173" s="1">
        <f>SUM('DRE NOVAS PARCERIAS CAIXA'!AC35:AC38,'DRE NOVAS PARCERIAS CAIXA'!AC44:AC47,'DRE NOVAS PARCERIAS CAIXA'!AC49:AC50)</f>
        <v>-623014.09717999992</v>
      </c>
      <c r="AD173" s="1">
        <f>SUM('DRE NOVAS PARCERIAS CAIXA'!AD35:AD38,'DRE NOVAS PARCERIAS CAIXA'!AD44:AD47,'DRE NOVAS PARCERIAS CAIXA'!AD49:AD50)</f>
        <v>-601122.21493999974</v>
      </c>
      <c r="AE173" s="1">
        <f>SUM('DRE NOVAS PARCERIAS CAIXA'!AE35:AE38,'DRE NOVAS PARCERIAS CAIXA'!AE44:AE47,'DRE NOVAS PARCERIAS CAIXA'!AE49:AE50)</f>
        <v>-568132.26745999989</v>
      </c>
      <c r="AF173" s="1">
        <f>SUM('DRE NOVAS PARCERIAS CAIXA'!AF35:AF38,'DRE NOVAS PARCERIAS CAIXA'!AF44:AF47,'DRE NOVAS PARCERIAS CAIXA'!AF49:AF50)</f>
        <v>-2446298.2627699999</v>
      </c>
      <c r="AG173" s="1">
        <f>SUM('DRE NOVAS PARCERIAS CAIXA'!AG35:AG38,'DRE NOVAS PARCERIAS CAIXA'!AG44:AG47,'DRE NOVAS PARCERIAS CAIXA'!AG49:AG50)</f>
        <v>-552743</v>
      </c>
      <c r="AH173" s="1">
        <f>SUM('DRE NOVAS PARCERIAS CAIXA'!AH35:AH38,'DRE NOVAS PARCERIAS CAIXA'!AH44:AH47,'DRE NOVAS PARCERIAS CAIXA'!AH49:AH50)</f>
        <v>-518185</v>
      </c>
      <c r="AI173" s="1">
        <f>SUM('DRE NOVAS PARCERIAS CAIXA'!AI35:AI38,'DRE NOVAS PARCERIAS CAIXA'!AI44:AI47,'DRE NOVAS PARCERIAS CAIXA'!AI49:AI50)</f>
        <v>-552909</v>
      </c>
      <c r="AJ173" s="1">
        <f>SUM('DRE NOVAS PARCERIAS CAIXA'!AJ35:AJ38,'DRE NOVAS PARCERIAS CAIXA'!AJ44:AJ47,'DRE NOVAS PARCERIAS CAIXA'!AJ49:AJ50)</f>
        <v>-499444</v>
      </c>
      <c r="AK173" s="1">
        <f>SUM('DRE NOVAS PARCERIAS CAIXA'!AK35:AK38,'DRE NOVAS PARCERIAS CAIXA'!AK44:AK47,'DRE NOVAS PARCERIAS CAIXA'!AK49:AK50)</f>
        <v>-2123281</v>
      </c>
      <c r="AL173" s="1">
        <f>SUM('DRE NOVAS PARCERIAS CAIXA'!AL35:AL38,'DRE NOVAS PARCERIAS CAIXA'!AL44:AL47,'DRE NOVAS PARCERIAS CAIXA'!AL49:AL50)</f>
        <v>-473372</v>
      </c>
      <c r="AM173" s="1">
        <f>SUM('DRE NOVAS PARCERIAS CAIXA'!AM35:AM38,'DRE NOVAS PARCERIAS CAIXA'!AM44:AM47,'DRE NOVAS PARCERIAS CAIXA'!AM49:AM50)</f>
        <v>-400608</v>
      </c>
      <c r="AN173" s="1">
        <f>SUM('DRE NOVAS PARCERIAS CAIXA'!AN35:AN38,'DRE NOVAS PARCERIAS CAIXA'!AN44:AN47,'DRE NOVAS PARCERIAS CAIXA'!AN49:AN50)</f>
        <v>-420519</v>
      </c>
      <c r="AO173" s="1">
        <f>SUM('DRE NOVAS PARCERIAS CAIXA'!AO35:AO38,'DRE NOVAS PARCERIAS CAIXA'!AO44:AO47,'DRE NOVAS PARCERIAS CAIXA'!AO49:AO50)</f>
        <v>-442625</v>
      </c>
      <c r="AP173" s="1">
        <f>SUM('DRE NOVAS PARCERIAS CAIXA'!AP35:AP38,'DRE NOVAS PARCERIAS CAIXA'!AP44:AP47,'DRE NOVAS PARCERIAS CAIXA'!AP49:AP50)</f>
        <v>-1737124</v>
      </c>
      <c r="AQ173" s="1">
        <f>SUM('DRE NOVAS PARCERIAS CAIXA'!AQ35:AQ38,'DRE NOVAS PARCERIAS CAIXA'!AQ44:AQ47,'DRE NOVAS PARCERIAS CAIXA'!AQ49:AQ50)</f>
        <v>-365566</v>
      </c>
      <c r="AR173" s="1">
        <f>SUM('DRE NOVAS PARCERIAS CAIXA'!AR35:AR38,'DRE NOVAS PARCERIAS CAIXA'!AR44:AR47,'DRE NOVAS PARCERIAS CAIXA'!AR49:AR50)</f>
        <v>-656695</v>
      </c>
      <c r="AS173" s="1">
        <f>SUM('DRE NOVAS PARCERIAS CAIXA'!AS35:AS38,'DRE NOVAS PARCERIAS CAIXA'!AS44:AS47,'DRE NOVAS PARCERIAS CAIXA'!AS49:AS50)</f>
        <v>-549190</v>
      </c>
      <c r="AT173" s="1">
        <f>SUM('DRE NOVAS PARCERIAS CAIXA'!AT35:AT38,'DRE NOVAS PARCERIAS CAIXA'!AT44:AT47,'DRE NOVAS PARCERIAS CAIXA'!AT49:AT50)</f>
        <v>-845817</v>
      </c>
      <c r="AU173" s="1">
        <f>SUM('DRE NOVAS PARCERIAS CAIXA'!AU35:AU38,'DRE NOVAS PARCERIAS CAIXA'!AU44:AU47,'DRE NOVAS PARCERIAS CAIXA'!AU49:AU50)</f>
        <v>-2417268</v>
      </c>
      <c r="AV173" s="1">
        <f>SUM('DRE NOVAS PARCERIAS CAIXA'!AV35:AV38,'DRE NOVAS PARCERIAS CAIXA'!AV44:AV47,'DRE NOVAS PARCERIAS CAIXA'!AV49:AV50)</f>
        <v>-847902</v>
      </c>
      <c r="AW173" s="1">
        <f>SUM('DRE NOVAS PARCERIAS CAIXA'!AW35:AW38,'DRE NOVAS PARCERIAS CAIXA'!AW44:AW47,'DRE NOVAS PARCERIAS CAIXA'!AW49:AW50)</f>
        <v>-865042</v>
      </c>
      <c r="AX173" s="1">
        <f>SUM('DRE NOVAS PARCERIAS CAIXA'!AX35:AX38,'DRE NOVAS PARCERIAS CAIXA'!AX44:AX47,'DRE NOVAS PARCERIAS CAIXA'!AX49:AX50)</f>
        <v>-886928</v>
      </c>
      <c r="AY173" s="1">
        <f>SUM('DRE NOVAS PARCERIAS CAIXA'!AY35:AY38,'DRE NOVAS PARCERIAS CAIXA'!AY44:AY47,'DRE NOVAS PARCERIAS CAIXA'!AY49:AY50)</f>
        <v>-871864</v>
      </c>
      <c r="AZ173" s="1">
        <f>SUM('DRE NOVAS PARCERIAS CAIXA'!AZ35:AZ38,'DRE NOVAS PARCERIAS CAIXA'!AZ44:AZ47,'DRE NOVAS PARCERIAS CAIXA'!AZ49:AZ50)</f>
        <v>-3471736</v>
      </c>
      <c r="BA173" s="1">
        <f>SUM('DRE NOVAS PARCERIAS CAIXA'!BA35:BA38,'DRE NOVAS PARCERIAS CAIXA'!BA44:BA47,'DRE NOVAS PARCERIAS CAIXA'!BA49:BA50)</f>
        <v>-800108</v>
      </c>
      <c r="BC173" s="780"/>
    </row>
    <row r="174" spans="1:59">
      <c r="B174" t="str">
        <f t="shared" si="116"/>
        <v>XS2 Vida e Previdência</v>
      </c>
      <c r="C174" s="1">
        <f>SUM('DRE NOVAS PARCERIAS CAIXA'!C71:C76,'DRE NOVAS PARCERIAS CAIXA'!C78:C79)</f>
        <v>0</v>
      </c>
      <c r="D174" s="1">
        <f>SUM('DRE NOVAS PARCERIAS CAIXA'!D71:D76,'DRE NOVAS PARCERIAS CAIXA'!D78:D79)</f>
        <v>0</v>
      </c>
      <c r="E174" s="1">
        <f>SUM('DRE NOVAS PARCERIAS CAIXA'!E71:E76,'DRE NOVAS PARCERIAS CAIXA'!E78:E79)</f>
        <v>0</v>
      </c>
      <c r="F174" s="1">
        <f>SUM('DRE NOVAS PARCERIAS CAIXA'!F71:F76,'DRE NOVAS PARCERIAS CAIXA'!F78:F79)</f>
        <v>0</v>
      </c>
      <c r="G174" s="1">
        <f>SUM('DRE NOVAS PARCERIAS CAIXA'!G71:G76,'DRE NOVAS PARCERIAS CAIXA'!G78:G79)</f>
        <v>0</v>
      </c>
      <c r="H174" s="1">
        <f>SUM('DRE NOVAS PARCERIAS CAIXA'!H71:H76,'DRE NOVAS PARCERIAS CAIXA'!H78:H79)</f>
        <v>0</v>
      </c>
      <c r="I174" s="1">
        <f>SUM('DRE NOVAS PARCERIAS CAIXA'!I71:I76,'DRE NOVAS PARCERIAS CAIXA'!I78:I79)</f>
        <v>0</v>
      </c>
      <c r="J174" s="1">
        <f>SUM('DRE NOVAS PARCERIAS CAIXA'!J71:J76,'DRE NOVAS PARCERIAS CAIXA'!J78:J79)</f>
        <v>0</v>
      </c>
      <c r="K174" s="1">
        <f>SUM('DRE NOVAS PARCERIAS CAIXA'!K71:K76,'DRE NOVAS PARCERIAS CAIXA'!K78:K79)</f>
        <v>0</v>
      </c>
      <c r="L174" s="1">
        <f>SUM('DRE NOVAS PARCERIAS CAIXA'!L71:L76,'DRE NOVAS PARCERIAS CAIXA'!L78:L79)</f>
        <v>0</v>
      </c>
      <c r="M174" s="1">
        <f>SUM('DRE NOVAS PARCERIAS CAIXA'!M71:M76,'DRE NOVAS PARCERIAS CAIXA'!M78:M79)</f>
        <v>0</v>
      </c>
      <c r="N174" s="1">
        <f>SUM('DRE NOVAS PARCERIAS CAIXA'!N71:N76,'DRE NOVAS PARCERIAS CAIXA'!N78:N79)</f>
        <v>0</v>
      </c>
      <c r="O174" s="1">
        <f>SUM('DRE NOVAS PARCERIAS CAIXA'!O71:O76,'DRE NOVAS PARCERIAS CAIXA'!O78:O79)</f>
        <v>0</v>
      </c>
      <c r="P174" s="1">
        <f>SUM('DRE NOVAS PARCERIAS CAIXA'!P71:P76,'DRE NOVAS PARCERIAS CAIXA'!P78:P79)</f>
        <v>0</v>
      </c>
      <c r="Q174" s="1">
        <f>SUM('DRE NOVAS PARCERIAS CAIXA'!Q71:Q76,'DRE NOVAS PARCERIAS CAIXA'!Q78:Q79)</f>
        <v>0</v>
      </c>
      <c r="R174" s="1">
        <f>SUM('DRE NOVAS PARCERIAS CAIXA'!R71:R76,'DRE NOVAS PARCERIAS CAIXA'!R78:R79)</f>
        <v>0</v>
      </c>
      <c r="S174" s="1">
        <f>SUM('DRE NOVAS PARCERIAS CAIXA'!S71:S76,'DRE NOVAS PARCERIAS CAIXA'!S78:S79)</f>
        <v>0</v>
      </c>
      <c r="T174" s="1">
        <f>SUM('DRE NOVAS PARCERIAS CAIXA'!T71:T76,'DRE NOVAS PARCERIAS CAIXA'!T78:T79)</f>
        <v>0</v>
      </c>
      <c r="U174" s="1">
        <f>SUM('DRE NOVAS PARCERIAS CAIXA'!U71:U76,'DRE NOVAS PARCERIAS CAIXA'!U78:U79)</f>
        <v>0</v>
      </c>
      <c r="V174" s="1">
        <f>SUM('DRE NOVAS PARCERIAS CAIXA'!V71:V76,'DRE NOVAS PARCERIAS CAIXA'!V78:V79)</f>
        <v>0</v>
      </c>
      <c r="W174" s="1">
        <f>SUM('DRE NOVAS PARCERIAS CAIXA'!W71:W76,'DRE NOVAS PARCERIAS CAIXA'!W78:W79)</f>
        <v>0</v>
      </c>
      <c r="X174" s="1">
        <f>SUM('DRE NOVAS PARCERIAS CAIXA'!X71:X76,'DRE NOVAS PARCERIAS CAIXA'!X78:X79)</f>
        <v>0</v>
      </c>
      <c r="Y174" s="1">
        <f>SUM('DRE NOVAS PARCERIAS CAIXA'!Y71:Y76,'DRE NOVAS PARCERIAS CAIXA'!Y78:Y79)</f>
        <v>0</v>
      </c>
      <c r="Z174" s="1">
        <f>SUM('DRE NOVAS PARCERIAS CAIXA'!Z71:Z76,'DRE NOVAS PARCERIAS CAIXA'!Z78:Z79)</f>
        <v>-57.155500000000004</v>
      </c>
      <c r="AA174" s="1">
        <f>SUM('DRE NOVAS PARCERIAS CAIXA'!AA71:AA76,'DRE NOVAS PARCERIAS CAIXA'!AA78:AA79)</f>
        <v>-57.155500000000004</v>
      </c>
      <c r="AB174" s="1">
        <f>SUM('DRE NOVAS PARCERIAS CAIXA'!AB71:AB76,'DRE NOVAS PARCERIAS CAIXA'!AB78:AB79)</f>
        <v>-97439.390389999957</v>
      </c>
      <c r="AC174" s="1">
        <f>SUM('DRE NOVAS PARCERIAS CAIXA'!AC71:AC76,'DRE NOVAS PARCERIAS CAIXA'!AC78:AC79)</f>
        <v>-135406.99176000006</v>
      </c>
      <c r="AD174" s="1">
        <f>SUM('DRE NOVAS PARCERIAS CAIXA'!AD71:AD76,'DRE NOVAS PARCERIAS CAIXA'!AD78:AD79)</f>
        <v>-172216.32861999996</v>
      </c>
      <c r="AE174" s="1">
        <f>SUM('DRE NOVAS PARCERIAS CAIXA'!AE71:AE76,'DRE NOVAS PARCERIAS CAIXA'!AE78:AE79)</f>
        <v>-212030.60689999998</v>
      </c>
      <c r="AF174" s="1">
        <f>SUM('DRE NOVAS PARCERIAS CAIXA'!AF71:AF76,'DRE NOVAS PARCERIAS CAIXA'!AF78:AF79)</f>
        <v>-617093.3176699999</v>
      </c>
      <c r="AG174" s="1">
        <f>SUM('DRE NOVAS PARCERIAS CAIXA'!AG71:AG76,'DRE NOVAS PARCERIAS CAIXA'!AG78:AG79)</f>
        <v>-314615</v>
      </c>
      <c r="AH174" s="1">
        <f>SUM('DRE NOVAS PARCERIAS CAIXA'!AH71:AH76,'DRE NOVAS PARCERIAS CAIXA'!AH78:AH79)</f>
        <v>-288459</v>
      </c>
      <c r="AI174" s="1">
        <f>SUM('DRE NOVAS PARCERIAS CAIXA'!AI71:AI76,'DRE NOVAS PARCERIAS CAIXA'!AI78:AI79)</f>
        <v>-341864</v>
      </c>
      <c r="AJ174" s="1">
        <f>SUM('DRE NOVAS PARCERIAS CAIXA'!AJ71:AJ76,'DRE NOVAS PARCERIAS CAIXA'!AJ78:AJ79)</f>
        <v>-342797</v>
      </c>
      <c r="AK174" s="1">
        <f>SUM('DRE NOVAS PARCERIAS CAIXA'!AK71:AK76,'DRE NOVAS PARCERIAS CAIXA'!AK78:AK79)</f>
        <v>-1287735</v>
      </c>
      <c r="AL174" s="1">
        <f>SUM('DRE NOVAS PARCERIAS CAIXA'!AL71:AL76,'DRE NOVAS PARCERIAS CAIXA'!AL78:AL79)</f>
        <v>-352581</v>
      </c>
      <c r="AM174" s="1">
        <f>SUM('DRE NOVAS PARCERIAS CAIXA'!AM71:AM76,'DRE NOVAS PARCERIAS CAIXA'!AM78:AM79)</f>
        <v>-369534</v>
      </c>
      <c r="AN174" s="1">
        <f>SUM('DRE NOVAS PARCERIAS CAIXA'!AN71:AN76,'DRE NOVAS PARCERIAS CAIXA'!AN78:AN79)</f>
        <v>-374652</v>
      </c>
      <c r="AO174" s="1">
        <f>SUM('DRE NOVAS PARCERIAS CAIXA'!AO71:AO76,'DRE NOVAS PARCERIAS CAIXA'!AO78:AO79)</f>
        <v>-426165</v>
      </c>
      <c r="AP174" s="1">
        <f>SUM('DRE NOVAS PARCERIAS CAIXA'!AP71:AP76,'DRE NOVAS PARCERIAS CAIXA'!AP78:AP79)</f>
        <v>-1522932</v>
      </c>
      <c r="AQ174" s="1">
        <f>SUM('DRE NOVAS PARCERIAS CAIXA'!AQ71:AQ76,'DRE NOVAS PARCERIAS CAIXA'!AQ78:AQ79)</f>
        <v>-412638</v>
      </c>
      <c r="AR174" s="1">
        <f>SUM('DRE NOVAS PARCERIAS CAIXA'!AR71:AR76,'DRE NOVAS PARCERIAS CAIXA'!AR78:AR79)</f>
        <v>-526959</v>
      </c>
      <c r="AS174" s="1">
        <f>SUM('DRE NOVAS PARCERIAS CAIXA'!AS71:AS76,'DRE NOVAS PARCERIAS CAIXA'!AS78:AS79)</f>
        <v>-317906</v>
      </c>
      <c r="AT174" s="1">
        <f>SUM('DRE NOVAS PARCERIAS CAIXA'!AT71:AT76,'DRE NOVAS PARCERIAS CAIXA'!AT78:AT79)</f>
        <v>0</v>
      </c>
      <c r="AU174" s="1">
        <f>SUM('DRE NOVAS PARCERIAS CAIXA'!AU71:AU76,'DRE NOVAS PARCERIAS CAIXA'!AU78:AU79)</f>
        <v>-1257503</v>
      </c>
      <c r="AV174" s="1">
        <f>SUM('DRE NOVAS PARCERIAS CAIXA'!AV71:AV76,'DRE NOVAS PARCERIAS CAIXA'!AV78:AV79)</f>
        <v>0</v>
      </c>
      <c r="AW174" s="1">
        <f>SUM('DRE NOVAS PARCERIAS CAIXA'!AW71:AW76,'DRE NOVAS PARCERIAS CAIXA'!AW78:AW79)</f>
        <v>0</v>
      </c>
      <c r="AX174" s="1">
        <f>SUM('DRE NOVAS PARCERIAS CAIXA'!AX71:AX76,'DRE NOVAS PARCERIAS CAIXA'!AX78:AX79)</f>
        <v>0</v>
      </c>
      <c r="AY174" s="1">
        <f>SUM('DRE NOVAS PARCERIAS CAIXA'!AY71:AY76,'DRE NOVAS PARCERIAS CAIXA'!AY78:AY79)</f>
        <v>0</v>
      </c>
      <c r="AZ174" s="1">
        <f>SUM('DRE NOVAS PARCERIAS CAIXA'!AZ71:AZ76,'DRE NOVAS PARCERIAS CAIXA'!AZ78:AZ79)</f>
        <v>0</v>
      </c>
      <c r="BA174" s="1">
        <f>SUM('DRE NOVAS PARCERIAS CAIXA'!BA71:BA76,'DRE NOVAS PARCERIAS CAIXA'!BA78:BA79)</f>
        <v>0</v>
      </c>
      <c r="BC174" s="780"/>
    </row>
    <row r="175" spans="1:59">
      <c r="B175" t="str">
        <f t="shared" si="116"/>
        <v>XS3 SEGUROS</v>
      </c>
      <c r="C175" s="1">
        <f>SUM('DRE NOVAS PARCERIAS CAIXA'!C124:C128,'DRE NOVAS PARCERIAS CAIXA'!C130:C131)</f>
        <v>0</v>
      </c>
      <c r="D175" s="1">
        <f>SUM('DRE NOVAS PARCERIAS CAIXA'!D124:D128,'DRE NOVAS PARCERIAS CAIXA'!D130:D131)</f>
        <v>0</v>
      </c>
      <c r="E175" s="1">
        <f>SUM('DRE NOVAS PARCERIAS CAIXA'!E124:E128,'DRE NOVAS PARCERIAS CAIXA'!E130:E131)</f>
        <v>0</v>
      </c>
      <c r="F175" s="1">
        <f>SUM('DRE NOVAS PARCERIAS CAIXA'!F124:F128,'DRE NOVAS PARCERIAS CAIXA'!F130:F131)</f>
        <v>0</v>
      </c>
      <c r="G175" s="1">
        <f>SUM('DRE NOVAS PARCERIAS CAIXA'!G124:G128,'DRE NOVAS PARCERIAS CAIXA'!G130:G131)</f>
        <v>0</v>
      </c>
      <c r="H175" s="1">
        <f>SUM('DRE NOVAS PARCERIAS CAIXA'!H124:H128,'DRE NOVAS PARCERIAS CAIXA'!H130:H131)</f>
        <v>0</v>
      </c>
      <c r="I175" s="1">
        <f>SUM('DRE NOVAS PARCERIAS CAIXA'!I124:I128,'DRE NOVAS PARCERIAS CAIXA'!I130:I131)</f>
        <v>0</v>
      </c>
      <c r="J175" s="1">
        <f>SUM('DRE NOVAS PARCERIAS CAIXA'!J124:J128,'DRE NOVAS PARCERIAS CAIXA'!J130:J131)</f>
        <v>0</v>
      </c>
      <c r="K175" s="1">
        <f>SUM('DRE NOVAS PARCERIAS CAIXA'!K124:K128,'DRE NOVAS PARCERIAS CAIXA'!K130:K131)</f>
        <v>0</v>
      </c>
      <c r="L175" s="1">
        <f>SUM('DRE NOVAS PARCERIAS CAIXA'!L124:L128,'DRE NOVAS PARCERIAS CAIXA'!L130:L131)</f>
        <v>0</v>
      </c>
      <c r="M175" s="1">
        <f>SUM('DRE NOVAS PARCERIAS CAIXA'!M124:M128,'DRE NOVAS PARCERIAS CAIXA'!M130:M131)</f>
        <v>0</v>
      </c>
      <c r="N175" s="1">
        <f>SUM('DRE NOVAS PARCERIAS CAIXA'!N124:N128,'DRE NOVAS PARCERIAS CAIXA'!N130:N131)</f>
        <v>0</v>
      </c>
      <c r="O175" s="1">
        <f>SUM('DRE NOVAS PARCERIAS CAIXA'!O124:O128,'DRE NOVAS PARCERIAS CAIXA'!O130:O131)</f>
        <v>0</v>
      </c>
      <c r="P175" s="1">
        <f>SUM('DRE NOVAS PARCERIAS CAIXA'!P124:P128,'DRE NOVAS PARCERIAS CAIXA'!P130:P131)</f>
        <v>0</v>
      </c>
      <c r="Q175" s="1">
        <f>SUM('DRE NOVAS PARCERIAS CAIXA'!Q124:Q128,'DRE NOVAS PARCERIAS CAIXA'!Q130:Q131)</f>
        <v>0</v>
      </c>
      <c r="R175" s="1">
        <f>SUM('DRE NOVAS PARCERIAS CAIXA'!R124:R128,'DRE NOVAS PARCERIAS CAIXA'!R130:R131)</f>
        <v>0</v>
      </c>
      <c r="S175" s="1">
        <f>SUM('DRE NOVAS PARCERIAS CAIXA'!S124:S128,'DRE NOVAS PARCERIAS CAIXA'!S130:S131)</f>
        <v>0</v>
      </c>
      <c r="T175" s="1">
        <f>SUM('DRE NOVAS PARCERIAS CAIXA'!T124:T128,'DRE NOVAS PARCERIAS CAIXA'!T130:T131)</f>
        <v>0</v>
      </c>
      <c r="U175" s="1">
        <f>SUM('DRE NOVAS PARCERIAS CAIXA'!U124:U128,'DRE NOVAS PARCERIAS CAIXA'!U130:U131)</f>
        <v>0</v>
      </c>
      <c r="V175" s="1">
        <f>SUM('DRE NOVAS PARCERIAS CAIXA'!V124:V128,'DRE NOVAS PARCERIAS CAIXA'!V130:V131)</f>
        <v>0</v>
      </c>
      <c r="W175" s="1">
        <f>SUM('DRE NOVAS PARCERIAS CAIXA'!W124:W128,'DRE NOVAS PARCERIAS CAIXA'!W130:W131)</f>
        <v>0</v>
      </c>
      <c r="X175" s="1">
        <f>SUM('DRE NOVAS PARCERIAS CAIXA'!X124:X128,'DRE NOVAS PARCERIAS CAIXA'!X130:X131)</f>
        <v>0</v>
      </c>
      <c r="Y175" s="1">
        <f>SUM('DRE NOVAS PARCERIAS CAIXA'!Y124:Y128,'DRE NOVAS PARCERIAS CAIXA'!Y130:Y131)</f>
        <v>0</v>
      </c>
      <c r="Z175" s="1">
        <f>SUM('DRE NOVAS PARCERIAS CAIXA'!Z124:Z128,'DRE NOVAS PARCERIAS CAIXA'!Z130:Z131)</f>
        <v>-31</v>
      </c>
      <c r="AA175" s="1">
        <f>SUM('DRE NOVAS PARCERIAS CAIXA'!AA124:AA128,'DRE NOVAS PARCERIAS CAIXA'!AA130:AA131)</f>
        <v>-31</v>
      </c>
      <c r="AB175" s="1">
        <f>SUM('DRE NOVAS PARCERIAS CAIXA'!AB124:AB128,'DRE NOVAS PARCERIAS CAIXA'!AB130:AB131)</f>
        <v>-61798.785219999998</v>
      </c>
      <c r="AC175" s="1">
        <f>SUM('DRE NOVAS PARCERIAS CAIXA'!AC124:AC128,'DRE NOVAS PARCERIAS CAIXA'!AC130:AC131)</f>
        <v>-73335.746230000004</v>
      </c>
      <c r="AD175" s="1">
        <f>SUM('DRE NOVAS PARCERIAS CAIXA'!AD124:AD128,'DRE NOVAS PARCERIAS CAIXA'!AD130:AD131)</f>
        <v>-96727.779939999993</v>
      </c>
      <c r="AE175" s="1">
        <f>SUM('DRE NOVAS PARCERIAS CAIXA'!AE124:AE128,'DRE NOVAS PARCERIAS CAIXA'!AE130:AE131)</f>
        <v>-122895.83579</v>
      </c>
      <c r="AF175" s="1">
        <f>SUM('DRE NOVAS PARCERIAS CAIXA'!AF124:AF128,'DRE NOVAS PARCERIAS CAIXA'!AF130:AF131)</f>
        <v>-354758.14718000003</v>
      </c>
      <c r="AG175" s="1">
        <f>SUM('DRE NOVAS PARCERIAS CAIXA'!AG124:AG128,'DRE NOVAS PARCERIAS CAIXA'!AG130:AG131)</f>
        <v>-142412</v>
      </c>
      <c r="AH175" s="1">
        <f>SUM('DRE NOVAS PARCERIAS CAIXA'!AH124:AH128,'DRE NOVAS PARCERIAS CAIXA'!AH130:AH131)</f>
        <v>-139059</v>
      </c>
      <c r="AI175" s="1">
        <f>SUM('DRE NOVAS PARCERIAS CAIXA'!AI124:AI128,'DRE NOVAS PARCERIAS CAIXA'!AI130:AI131)</f>
        <v>-170852</v>
      </c>
      <c r="AJ175" s="1">
        <f>SUM('DRE NOVAS PARCERIAS CAIXA'!AJ124:AJ128,'DRE NOVAS PARCERIAS CAIXA'!AJ130:AJ131)</f>
        <v>-201258</v>
      </c>
      <c r="AK175" s="1">
        <f>SUM('DRE NOVAS PARCERIAS CAIXA'!AK124:AK128,'DRE NOVAS PARCERIAS CAIXA'!AK130:AK131)</f>
        <v>-653581</v>
      </c>
      <c r="AL175" s="1">
        <f>SUM('DRE NOVAS PARCERIAS CAIXA'!AL124:AL128,'DRE NOVAS PARCERIAS CAIXA'!AL130:AL131)</f>
        <v>-203596</v>
      </c>
      <c r="AM175" s="1">
        <f>SUM('DRE NOVAS PARCERIAS CAIXA'!AM124:AM128,'DRE NOVAS PARCERIAS CAIXA'!AM130:AM131)</f>
        <v>-220330</v>
      </c>
      <c r="AN175" s="1">
        <f>SUM('DRE NOVAS PARCERIAS CAIXA'!AN124:AN128,'DRE NOVAS PARCERIAS CAIXA'!AN130:AN131)</f>
        <v>-225267</v>
      </c>
      <c r="AO175" s="1">
        <f>SUM('DRE NOVAS PARCERIAS CAIXA'!AO124:AO128,'DRE NOVAS PARCERIAS CAIXA'!AO130:AO131)</f>
        <v>-256000</v>
      </c>
      <c r="AP175" s="1">
        <f>SUM('DRE NOVAS PARCERIAS CAIXA'!AP124:AP128,'DRE NOVAS PARCERIAS CAIXA'!AP130:AP131)</f>
        <v>-905193</v>
      </c>
      <c r="AQ175" s="1">
        <f>SUM('DRE NOVAS PARCERIAS CAIXA'!AQ124:AQ128,'DRE NOVAS PARCERIAS CAIXA'!AQ130:AQ131)</f>
        <v>-270682.44</v>
      </c>
      <c r="AR175" s="1">
        <f>SUM('DRE NOVAS PARCERIAS CAIXA'!AR124:AR128,'DRE NOVAS PARCERIAS CAIXA'!AR130:AR131)</f>
        <v>-319198</v>
      </c>
      <c r="AS175" s="1">
        <f>SUM('DRE NOVAS PARCERIAS CAIXA'!AS124:AS128,'DRE NOVAS PARCERIAS CAIXA'!AS130:AS131)</f>
        <v>-322149</v>
      </c>
      <c r="AT175" s="1">
        <f>SUM('DRE NOVAS PARCERIAS CAIXA'!AT124:AT128,'DRE NOVAS PARCERIAS CAIXA'!AT130:AT131)</f>
        <v>-357597</v>
      </c>
      <c r="AU175" s="1">
        <f>SUM('DRE NOVAS PARCERIAS CAIXA'!AU124:AU128,'DRE NOVAS PARCERIAS CAIXA'!AU130:AU131)</f>
        <v>-1269626.44</v>
      </c>
      <c r="AV175" s="1">
        <f>SUM('DRE NOVAS PARCERIAS CAIXA'!AV124:AV128,'DRE NOVAS PARCERIAS CAIXA'!AV130:AV131)</f>
        <v>-346101.52899999998</v>
      </c>
      <c r="AW175" s="1">
        <f>SUM('DRE NOVAS PARCERIAS CAIXA'!AW124:AW128,'DRE NOVAS PARCERIAS CAIXA'!AW130:AW131)</f>
        <v>-377619</v>
      </c>
      <c r="AX175" s="1">
        <f>SUM('DRE NOVAS PARCERIAS CAIXA'!AX124:AX128,'DRE NOVAS PARCERIAS CAIXA'!AX130:AX131)</f>
        <v>-397367.478</v>
      </c>
      <c r="AY175" s="1">
        <f>SUM('DRE NOVAS PARCERIAS CAIXA'!AY124:AY128,'DRE NOVAS PARCERIAS CAIXA'!AY130:AY131)</f>
        <v>-449443.451</v>
      </c>
      <c r="AZ175" s="1">
        <f>SUM('DRE NOVAS PARCERIAS CAIXA'!AZ124:AZ128,'DRE NOVAS PARCERIAS CAIXA'!AZ130:AZ131)</f>
        <v>-1570531.4580000001</v>
      </c>
      <c r="BA175" s="1">
        <f>SUM('DRE NOVAS PARCERIAS CAIXA'!BA124:BA128,'DRE NOVAS PARCERIAS CAIXA'!BA130:BA131)</f>
        <v>-440115</v>
      </c>
      <c r="BC175" s="780"/>
    </row>
    <row r="176" spans="1:59">
      <c r="B176" t="str">
        <f t="shared" si="116"/>
        <v>XS4 Capitalização</v>
      </c>
      <c r="C176" s="1">
        <f>SUM('DRE NOVAS PARCERIAS CAIXA'!C155:C158,'DRE NOVAS PARCERIAS CAIXA'!C160:C161)</f>
        <v>0</v>
      </c>
      <c r="D176" s="1">
        <f>SUM('DRE NOVAS PARCERIAS CAIXA'!D155:D158,'DRE NOVAS PARCERIAS CAIXA'!D160:D161)</f>
        <v>0</v>
      </c>
      <c r="E176" s="1">
        <f>SUM('DRE NOVAS PARCERIAS CAIXA'!E155:E158,'DRE NOVAS PARCERIAS CAIXA'!E160:E161)</f>
        <v>0</v>
      </c>
      <c r="F176" s="1">
        <f>SUM('DRE NOVAS PARCERIAS CAIXA'!F155:F158,'DRE NOVAS PARCERIAS CAIXA'!F160:F161)</f>
        <v>0</v>
      </c>
      <c r="G176" s="1">
        <f>SUM('DRE NOVAS PARCERIAS CAIXA'!G155:G158,'DRE NOVAS PARCERIAS CAIXA'!G160:G161)</f>
        <v>0</v>
      </c>
      <c r="H176" s="1">
        <f>SUM('DRE NOVAS PARCERIAS CAIXA'!H155:H158,'DRE NOVAS PARCERIAS CAIXA'!H160:H161)</f>
        <v>0</v>
      </c>
      <c r="I176" s="1">
        <f>SUM('DRE NOVAS PARCERIAS CAIXA'!I155:I158,'DRE NOVAS PARCERIAS CAIXA'!I160:I161)</f>
        <v>0</v>
      </c>
      <c r="J176" s="1">
        <f>SUM('DRE NOVAS PARCERIAS CAIXA'!J155:J158,'DRE NOVAS PARCERIAS CAIXA'!J160:J161)</f>
        <v>0</v>
      </c>
      <c r="K176" s="1">
        <f>SUM('DRE NOVAS PARCERIAS CAIXA'!K155:K158,'DRE NOVAS PARCERIAS CAIXA'!K160:K161)</f>
        <v>0</v>
      </c>
      <c r="L176" s="1">
        <f>SUM('DRE NOVAS PARCERIAS CAIXA'!L155:L158,'DRE NOVAS PARCERIAS CAIXA'!L160:L161)</f>
        <v>0</v>
      </c>
      <c r="M176" s="1">
        <f>SUM('DRE NOVAS PARCERIAS CAIXA'!M155:M158,'DRE NOVAS PARCERIAS CAIXA'!M160:M161)</f>
        <v>0</v>
      </c>
      <c r="N176" s="1">
        <f>SUM('DRE NOVAS PARCERIAS CAIXA'!N155:N158,'DRE NOVAS PARCERIAS CAIXA'!N160:N161)</f>
        <v>0</v>
      </c>
      <c r="O176" s="1">
        <f>SUM('DRE NOVAS PARCERIAS CAIXA'!O155:O158,'DRE NOVAS PARCERIAS CAIXA'!O160:O161)</f>
        <v>0</v>
      </c>
      <c r="P176" s="1">
        <f>SUM('DRE NOVAS PARCERIAS CAIXA'!P155:P158,'DRE NOVAS PARCERIAS CAIXA'!P160:P161)</f>
        <v>0</v>
      </c>
      <c r="Q176" s="1">
        <f>SUM('DRE NOVAS PARCERIAS CAIXA'!Q155:Q158,'DRE NOVAS PARCERIAS CAIXA'!Q160:Q161)</f>
        <v>0</v>
      </c>
      <c r="R176" s="1">
        <f>SUM('DRE NOVAS PARCERIAS CAIXA'!R155:R158,'DRE NOVAS PARCERIAS CAIXA'!R160:R161)</f>
        <v>0</v>
      </c>
      <c r="S176" s="1">
        <f>SUM('DRE NOVAS PARCERIAS CAIXA'!S155:S158,'DRE NOVAS PARCERIAS CAIXA'!S160:S161)</f>
        <v>0</v>
      </c>
      <c r="T176" s="1">
        <f>SUM('DRE NOVAS PARCERIAS CAIXA'!T155:T158,'DRE NOVAS PARCERIAS CAIXA'!T160:T161)</f>
        <v>0</v>
      </c>
      <c r="U176" s="1">
        <f>SUM('DRE NOVAS PARCERIAS CAIXA'!U155:U158,'DRE NOVAS PARCERIAS CAIXA'!U160:U161)</f>
        <v>0</v>
      </c>
      <c r="V176" s="1">
        <f>SUM('DRE NOVAS PARCERIAS CAIXA'!V155:V158,'DRE NOVAS PARCERIAS CAIXA'!V160:V161)</f>
        <v>0</v>
      </c>
      <c r="W176" s="1">
        <f>SUM('DRE NOVAS PARCERIAS CAIXA'!W155:W158,'DRE NOVAS PARCERIAS CAIXA'!W160:W161)</f>
        <v>0</v>
      </c>
      <c r="X176" s="1">
        <f>SUM('DRE NOVAS PARCERIAS CAIXA'!X155:X158,'DRE NOVAS PARCERIAS CAIXA'!X160:X161)</f>
        <v>0</v>
      </c>
      <c r="Y176" s="1">
        <f>SUM('DRE NOVAS PARCERIAS CAIXA'!Y155:Y158,'DRE NOVAS PARCERIAS CAIXA'!Y160:Y161)</f>
        <v>0</v>
      </c>
      <c r="Z176" s="1">
        <f>SUM('DRE NOVAS PARCERIAS CAIXA'!Z155:Z158,'DRE NOVAS PARCERIAS CAIXA'!Z160:Z161)</f>
        <v>-29</v>
      </c>
      <c r="AA176" s="1">
        <f>SUM('DRE NOVAS PARCERIAS CAIXA'!AA155:AA158,'DRE NOVAS PARCERIAS CAIXA'!AA160:AA161)</f>
        <v>-29</v>
      </c>
      <c r="AB176" s="1">
        <f>SUM('DRE NOVAS PARCERIAS CAIXA'!AB155:AB158,'DRE NOVAS PARCERIAS CAIXA'!AB160:AB161)</f>
        <v>-4.4726300000000005</v>
      </c>
      <c r="AC176" s="1">
        <f>SUM('DRE NOVAS PARCERIAS CAIXA'!AC155:AC158,'DRE NOVAS PARCERIAS CAIXA'!AC160:AC161)</f>
        <v>-1441.1277700000001</v>
      </c>
      <c r="AD176" s="1">
        <f>SUM('DRE NOVAS PARCERIAS CAIXA'!AD155:AD158,'DRE NOVAS PARCERIAS CAIXA'!AD160:AD161)</f>
        <v>-16674.25131</v>
      </c>
      <c r="AE176" s="1">
        <f>SUM('DRE NOVAS PARCERIAS CAIXA'!AE155:AE158,'DRE NOVAS PARCERIAS CAIXA'!AE160:AE161)</f>
        <v>-33789.304540000005</v>
      </c>
      <c r="AF176" s="1">
        <f>SUM('DRE NOVAS PARCERIAS CAIXA'!AF155:AF158,'DRE NOVAS PARCERIAS CAIXA'!AF160:AF161)</f>
        <v>-51909.15625</v>
      </c>
      <c r="AG176" s="1">
        <f>SUM('DRE NOVAS PARCERIAS CAIXA'!AG155:AG158,'DRE NOVAS PARCERIAS CAIXA'!AG160:AG161)</f>
        <v>-17682</v>
      </c>
      <c r="AH176" s="1">
        <f>SUM('DRE NOVAS PARCERIAS CAIXA'!AH155:AH158,'DRE NOVAS PARCERIAS CAIXA'!AH160:AH161)</f>
        <v>-35632</v>
      </c>
      <c r="AI176" s="1">
        <f>SUM('DRE NOVAS PARCERIAS CAIXA'!AI155:AI158,'DRE NOVAS PARCERIAS CAIXA'!AI160:AI161)</f>
        <v>-49599</v>
      </c>
      <c r="AJ176" s="1">
        <f>SUM('DRE NOVAS PARCERIAS CAIXA'!AJ155:AJ158,'DRE NOVAS PARCERIAS CAIXA'!AJ160:AJ161)</f>
        <v>-44912</v>
      </c>
      <c r="AK176" s="1">
        <f>SUM('DRE NOVAS PARCERIAS CAIXA'!AK155:AK158,'DRE NOVAS PARCERIAS CAIXA'!AK160:AK161)</f>
        <v>-147825</v>
      </c>
      <c r="AL176" s="1">
        <f>SUM('DRE NOVAS PARCERIAS CAIXA'!AL155:AL158,'DRE NOVAS PARCERIAS CAIXA'!AL160:AL161)</f>
        <v>-55454.758999999998</v>
      </c>
      <c r="AM176" s="1">
        <f>SUM('DRE NOVAS PARCERIAS CAIXA'!AM155:AM158,'DRE NOVAS PARCERIAS CAIXA'!AM160:AM161)</f>
        <v>-60787</v>
      </c>
      <c r="AN176" s="1">
        <f>SUM('DRE NOVAS PARCERIAS CAIXA'!AN155:AN158,'DRE NOVAS PARCERIAS CAIXA'!AN160:AN161)</f>
        <v>-74965</v>
      </c>
      <c r="AO176" s="1">
        <f>SUM('DRE NOVAS PARCERIAS CAIXA'!AO155:AO158,'DRE NOVAS PARCERIAS CAIXA'!AO160:AO161)</f>
        <v>-76069</v>
      </c>
      <c r="AP176" s="1">
        <f>SUM('DRE NOVAS PARCERIAS CAIXA'!AP155:AP158,'DRE NOVAS PARCERIAS CAIXA'!AP160:AP161)</f>
        <v>-267275.75899999996</v>
      </c>
      <c r="AQ176" s="1">
        <f>SUM('DRE NOVAS PARCERIAS CAIXA'!AQ155:AQ158,'DRE NOVAS PARCERIAS CAIXA'!AQ160:AQ161)</f>
        <v>-71821</v>
      </c>
      <c r="AR176" s="1">
        <f>SUM('DRE NOVAS PARCERIAS CAIXA'!AR155:AR158,'DRE NOVAS PARCERIAS CAIXA'!AR160:AR161)</f>
        <v>-66478</v>
      </c>
      <c r="AS176" s="1">
        <f>SUM('DRE NOVAS PARCERIAS CAIXA'!AS155:AS158,'DRE NOVAS PARCERIAS CAIXA'!AS160:AS161)</f>
        <v>-72552</v>
      </c>
      <c r="AT176" s="1">
        <f>SUM('DRE NOVAS PARCERIAS CAIXA'!AT155:AT158,'DRE NOVAS PARCERIAS CAIXA'!AT160:AT161)</f>
        <v>-80588</v>
      </c>
      <c r="AU176" s="1">
        <f>SUM('DRE NOVAS PARCERIAS CAIXA'!AU155:AU158,'DRE NOVAS PARCERIAS CAIXA'!AU160:AU161)</f>
        <v>-291439</v>
      </c>
      <c r="AV176" s="1">
        <f>SUM('DRE NOVAS PARCERIAS CAIXA'!AV155:AV158,'DRE NOVAS PARCERIAS CAIXA'!AV160:AV161)</f>
        <v>-77071.883000000002</v>
      </c>
      <c r="AW176" s="1">
        <f>SUM('DRE NOVAS PARCERIAS CAIXA'!AW155:AW158,'DRE NOVAS PARCERIAS CAIXA'!AW160:AW161)</f>
        <v>-81739.482000000004</v>
      </c>
      <c r="AX176" s="1">
        <f>SUM('DRE NOVAS PARCERIAS CAIXA'!AX155:AX158,'DRE NOVAS PARCERIAS CAIXA'!AX160:AX161)</f>
        <v>-91622.203999999998</v>
      </c>
      <c r="AY176" s="1">
        <f>SUM('DRE NOVAS PARCERIAS CAIXA'!AY155:AY158,'DRE NOVAS PARCERIAS CAIXA'!AY160:AY161)</f>
        <v>-101869</v>
      </c>
      <c r="AZ176" s="1">
        <f>SUM('DRE NOVAS PARCERIAS CAIXA'!AZ155:AZ158,'DRE NOVAS PARCERIAS CAIXA'!AZ160:AZ161)</f>
        <v>-352302.56900000002</v>
      </c>
      <c r="BA176" s="1">
        <f>SUM('DRE NOVAS PARCERIAS CAIXA'!BA155:BA158,'DRE NOVAS PARCERIAS CAIXA'!BA160:BA161)</f>
        <v>-88135</v>
      </c>
      <c r="BC176" s="780"/>
    </row>
    <row r="177" spans="1:59">
      <c r="B177" t="str">
        <f t="shared" si="116"/>
        <v>XS5 Consórcio</v>
      </c>
      <c r="C177" s="1">
        <f>SUM('DRE NOVAS PARCERIAS CAIXA'!C182,'DRE NOVAS PARCERIAS CAIXA'!C184:C185)</f>
        <v>0</v>
      </c>
      <c r="D177" s="1">
        <f>SUM('DRE NOVAS PARCERIAS CAIXA'!D182,'DRE NOVAS PARCERIAS CAIXA'!D184:D185)</f>
        <v>0</v>
      </c>
      <c r="E177" s="1">
        <f>SUM('DRE NOVAS PARCERIAS CAIXA'!E182,'DRE NOVAS PARCERIAS CAIXA'!E184:E185)</f>
        <v>0</v>
      </c>
      <c r="F177" s="1">
        <f>SUM('DRE NOVAS PARCERIAS CAIXA'!F182,'DRE NOVAS PARCERIAS CAIXA'!F184:F185)</f>
        <v>0</v>
      </c>
      <c r="G177" s="1">
        <f>SUM('DRE NOVAS PARCERIAS CAIXA'!G182,'DRE NOVAS PARCERIAS CAIXA'!G184:G185)</f>
        <v>0</v>
      </c>
      <c r="H177" s="1">
        <f>SUM('DRE NOVAS PARCERIAS CAIXA'!H182,'DRE NOVAS PARCERIAS CAIXA'!H184:H185)</f>
        <v>0</v>
      </c>
      <c r="I177" s="1">
        <f>SUM('DRE NOVAS PARCERIAS CAIXA'!I182,'DRE NOVAS PARCERIAS CAIXA'!I184:I185)</f>
        <v>0</v>
      </c>
      <c r="J177" s="1">
        <f>SUM('DRE NOVAS PARCERIAS CAIXA'!J182,'DRE NOVAS PARCERIAS CAIXA'!J184:J185)</f>
        <v>0</v>
      </c>
      <c r="K177" s="1">
        <f>SUM('DRE NOVAS PARCERIAS CAIXA'!K182,'DRE NOVAS PARCERIAS CAIXA'!K184:K185)</f>
        <v>0</v>
      </c>
      <c r="L177" s="1">
        <f>SUM('DRE NOVAS PARCERIAS CAIXA'!L182,'DRE NOVAS PARCERIAS CAIXA'!L184:L185)</f>
        <v>0</v>
      </c>
      <c r="M177" s="1">
        <f>SUM('DRE NOVAS PARCERIAS CAIXA'!M182,'DRE NOVAS PARCERIAS CAIXA'!M184:M185)</f>
        <v>0</v>
      </c>
      <c r="N177" s="1">
        <f>SUM('DRE NOVAS PARCERIAS CAIXA'!N182,'DRE NOVAS PARCERIAS CAIXA'!N184:N185)</f>
        <v>0</v>
      </c>
      <c r="O177" s="1">
        <f>SUM('DRE NOVAS PARCERIAS CAIXA'!O182,'DRE NOVAS PARCERIAS CAIXA'!O184:O185)</f>
        <v>0</v>
      </c>
      <c r="P177" s="1">
        <f>SUM('DRE NOVAS PARCERIAS CAIXA'!P182,'DRE NOVAS PARCERIAS CAIXA'!P184:P185)</f>
        <v>0</v>
      </c>
      <c r="Q177" s="1">
        <f>SUM('DRE NOVAS PARCERIAS CAIXA'!Q182,'DRE NOVAS PARCERIAS CAIXA'!Q184:Q185)</f>
        <v>0</v>
      </c>
      <c r="R177" s="1">
        <f>SUM('DRE NOVAS PARCERIAS CAIXA'!R182,'DRE NOVAS PARCERIAS CAIXA'!R184:R185)</f>
        <v>0</v>
      </c>
      <c r="S177" s="1">
        <f>SUM('DRE NOVAS PARCERIAS CAIXA'!S182,'DRE NOVAS PARCERIAS CAIXA'!S184:S185)</f>
        <v>0</v>
      </c>
      <c r="T177" s="1">
        <f>SUM('DRE NOVAS PARCERIAS CAIXA'!T182,'DRE NOVAS PARCERIAS CAIXA'!T184:T185)</f>
        <v>0</v>
      </c>
      <c r="U177" s="1">
        <f>SUM('DRE NOVAS PARCERIAS CAIXA'!U182,'DRE NOVAS PARCERIAS CAIXA'!U184:U185)</f>
        <v>0</v>
      </c>
      <c r="V177" s="1">
        <f>SUM('DRE NOVAS PARCERIAS CAIXA'!V182,'DRE NOVAS PARCERIAS CAIXA'!V184:V185)</f>
        <v>0</v>
      </c>
      <c r="W177" s="1">
        <f>SUM('DRE NOVAS PARCERIAS CAIXA'!W182,'DRE NOVAS PARCERIAS CAIXA'!W184:W185)</f>
        <v>0</v>
      </c>
      <c r="X177" s="1">
        <f>SUM('DRE NOVAS PARCERIAS CAIXA'!X182,'DRE NOVAS PARCERIAS CAIXA'!X184:X185)</f>
        <v>0</v>
      </c>
      <c r="Y177" s="1">
        <f>SUM('DRE NOVAS PARCERIAS CAIXA'!Y182,'DRE NOVAS PARCERIAS CAIXA'!Y184:Y185)</f>
        <v>0</v>
      </c>
      <c r="Z177" s="1">
        <f>SUM('DRE NOVAS PARCERIAS CAIXA'!Z182,'DRE NOVAS PARCERIAS CAIXA'!Z184:Z185)</f>
        <v>0</v>
      </c>
      <c r="AA177" s="1">
        <f>SUM('DRE NOVAS PARCERIAS CAIXA'!AA182,'DRE NOVAS PARCERIAS CAIXA'!AA184:AA185)</f>
        <v>0</v>
      </c>
      <c r="AB177" s="1">
        <f>SUM('DRE NOVAS PARCERIAS CAIXA'!AB182,'DRE NOVAS PARCERIAS CAIXA'!AB184:AB185)</f>
        <v>-0.24540000000000001</v>
      </c>
      <c r="AC177" s="1">
        <f>SUM('DRE NOVAS PARCERIAS CAIXA'!AC182,'DRE NOVAS PARCERIAS CAIXA'!AC184:AC185)</f>
        <v>-3172.2040000000002</v>
      </c>
      <c r="AD177" s="1">
        <f>SUM('DRE NOVAS PARCERIAS CAIXA'!AD182,'DRE NOVAS PARCERIAS CAIXA'!AD184:AD185)</f>
        <v>-4586.4103400000004</v>
      </c>
      <c r="AE177" s="1">
        <f>SUM('DRE NOVAS PARCERIAS CAIXA'!AE182,'DRE NOVAS PARCERIAS CAIXA'!AE184:AE185)</f>
        <v>-18292</v>
      </c>
      <c r="AF177" s="1">
        <f>SUM('DRE NOVAS PARCERIAS CAIXA'!AF182,'DRE NOVAS PARCERIAS CAIXA'!AF184:AF185)</f>
        <v>-26050.859740000004</v>
      </c>
      <c r="AG177" s="1">
        <f>SUM('DRE NOVAS PARCERIAS CAIXA'!AG182,'DRE NOVAS PARCERIAS CAIXA'!AG184:AG185)</f>
        <v>-46696</v>
      </c>
      <c r="AH177" s="1">
        <f>SUM('DRE NOVAS PARCERIAS CAIXA'!AH182,'DRE NOVAS PARCERIAS CAIXA'!AH184:AH185)</f>
        <v>-16598</v>
      </c>
      <c r="AI177" s="1">
        <f>SUM('DRE NOVAS PARCERIAS CAIXA'!AI182,'DRE NOVAS PARCERIAS CAIXA'!AI184:AI185)</f>
        <v>-58855</v>
      </c>
      <c r="AJ177" s="1">
        <f>SUM('DRE NOVAS PARCERIAS CAIXA'!AJ182,'DRE NOVAS PARCERIAS CAIXA'!AJ184:AJ185)</f>
        <v>-61321</v>
      </c>
      <c r="AK177" s="1">
        <f>SUM('DRE NOVAS PARCERIAS CAIXA'!AK182,'DRE NOVAS PARCERIAS CAIXA'!AK184:AK185)</f>
        <v>-183470</v>
      </c>
      <c r="AL177" s="1">
        <f>SUM('DRE NOVAS PARCERIAS CAIXA'!AL182,'DRE NOVAS PARCERIAS CAIXA'!AL184:AL185)</f>
        <v>-90023</v>
      </c>
      <c r="AM177" s="1">
        <f>SUM('DRE NOVAS PARCERIAS CAIXA'!AM182,'DRE NOVAS PARCERIAS CAIXA'!AM184:AM185)</f>
        <v>-95713</v>
      </c>
      <c r="AN177" s="1">
        <f>SUM('DRE NOVAS PARCERIAS CAIXA'!AN182,'DRE NOVAS PARCERIAS CAIXA'!AN184:AN185)</f>
        <v>-106117</v>
      </c>
      <c r="AO177" s="1">
        <f>SUM('DRE NOVAS PARCERIAS CAIXA'!AO182,'DRE NOVAS PARCERIAS CAIXA'!AO184:AO185)</f>
        <v>-111685</v>
      </c>
      <c r="AP177" s="1">
        <f>SUM('DRE NOVAS PARCERIAS CAIXA'!AP182,'DRE NOVAS PARCERIAS CAIXA'!AP184:AP185)</f>
        <v>-403538</v>
      </c>
      <c r="AQ177" s="1">
        <f>SUM('DRE NOVAS PARCERIAS CAIXA'!AQ182,'DRE NOVAS PARCERIAS CAIXA'!AQ184:AQ185)</f>
        <v>-124697</v>
      </c>
      <c r="AR177" s="1">
        <f>SUM('DRE NOVAS PARCERIAS CAIXA'!AR182,'DRE NOVAS PARCERIAS CAIXA'!AR184:AR185)</f>
        <v>-133553</v>
      </c>
      <c r="AS177" s="1">
        <f>SUM('DRE NOVAS PARCERIAS CAIXA'!AS182,'DRE NOVAS PARCERIAS CAIXA'!AS184:AS185)</f>
        <v>-126080</v>
      </c>
      <c r="AT177" s="1">
        <f>SUM('DRE NOVAS PARCERIAS CAIXA'!AT182,'DRE NOVAS PARCERIAS CAIXA'!AT184:AT185)</f>
        <v>-165846</v>
      </c>
      <c r="AU177" s="1">
        <f>SUM('DRE NOVAS PARCERIAS CAIXA'!AU182,'DRE NOVAS PARCERIAS CAIXA'!AU184:AU185)</f>
        <v>-550176</v>
      </c>
      <c r="AV177" s="1">
        <f>SUM('DRE NOVAS PARCERIAS CAIXA'!AV182,'DRE NOVAS PARCERIAS CAIXA'!AV184:AV185)</f>
        <v>-158067</v>
      </c>
      <c r="AW177" s="1">
        <f>SUM('DRE NOVAS PARCERIAS CAIXA'!AW182,'DRE NOVAS PARCERIAS CAIXA'!AW184:AW185)</f>
        <v>-138931</v>
      </c>
      <c r="AX177" s="1">
        <f>SUM('DRE NOVAS PARCERIAS CAIXA'!AX182,'DRE NOVAS PARCERIAS CAIXA'!AX184:AX185)</f>
        <v>-143698</v>
      </c>
      <c r="AY177" s="1">
        <f>SUM('DRE NOVAS PARCERIAS CAIXA'!AY182,'DRE NOVAS PARCERIAS CAIXA'!AY184:AY185)</f>
        <v>-173456</v>
      </c>
      <c r="AZ177" s="1">
        <f>SUM('DRE NOVAS PARCERIAS CAIXA'!AZ182,'DRE NOVAS PARCERIAS CAIXA'!AZ184:AZ185)</f>
        <v>-614152</v>
      </c>
      <c r="BA177" s="1">
        <f>SUM('DRE NOVAS PARCERIAS CAIXA'!BA182,'DRE NOVAS PARCERIAS CAIXA'!BA184:BA185)</f>
        <v>-156405</v>
      </c>
      <c r="BC177" s="780"/>
    </row>
    <row r="178" spans="1:59">
      <c r="B178" t="str">
        <f t="shared" si="116"/>
        <v>XS6 Assistência</v>
      </c>
      <c r="C178" s="1">
        <f>SUM('DRE NOVAS PARCERIAS CAIXA'!C207,'DRE NOVAS PARCERIAS CAIXA'!C209:C210)</f>
        <v>0</v>
      </c>
      <c r="D178" s="1">
        <f>SUM('DRE NOVAS PARCERIAS CAIXA'!D207,'DRE NOVAS PARCERIAS CAIXA'!D209:D210)</f>
        <v>0</v>
      </c>
      <c r="E178" s="1">
        <f>SUM('DRE NOVAS PARCERIAS CAIXA'!E207,'DRE NOVAS PARCERIAS CAIXA'!E209:E210)</f>
        <v>0</v>
      </c>
      <c r="F178" s="1">
        <f>SUM('DRE NOVAS PARCERIAS CAIXA'!F207,'DRE NOVAS PARCERIAS CAIXA'!F209:F210)</f>
        <v>0</v>
      </c>
      <c r="G178" s="1">
        <f>SUM('DRE NOVAS PARCERIAS CAIXA'!G207,'DRE NOVAS PARCERIAS CAIXA'!G209:G210)</f>
        <v>0</v>
      </c>
      <c r="H178" s="1">
        <f>SUM('DRE NOVAS PARCERIAS CAIXA'!H207,'DRE NOVAS PARCERIAS CAIXA'!H209:H210)</f>
        <v>0</v>
      </c>
      <c r="I178" s="1">
        <f>SUM('DRE NOVAS PARCERIAS CAIXA'!I207,'DRE NOVAS PARCERIAS CAIXA'!I209:I210)</f>
        <v>0</v>
      </c>
      <c r="J178" s="1">
        <f>SUM('DRE NOVAS PARCERIAS CAIXA'!J207,'DRE NOVAS PARCERIAS CAIXA'!J209:J210)</f>
        <v>0</v>
      </c>
      <c r="K178" s="1">
        <f>SUM('DRE NOVAS PARCERIAS CAIXA'!K207,'DRE NOVAS PARCERIAS CAIXA'!K209:K210)</f>
        <v>0</v>
      </c>
      <c r="L178" s="1">
        <f>SUM('DRE NOVAS PARCERIAS CAIXA'!L207,'DRE NOVAS PARCERIAS CAIXA'!L209:L210)</f>
        <v>0</v>
      </c>
      <c r="M178" s="1">
        <f>SUM('DRE NOVAS PARCERIAS CAIXA'!M207,'DRE NOVAS PARCERIAS CAIXA'!M209:M210)</f>
        <v>0</v>
      </c>
      <c r="N178" s="1">
        <f>SUM('DRE NOVAS PARCERIAS CAIXA'!N207,'DRE NOVAS PARCERIAS CAIXA'!N209:N210)</f>
        <v>0</v>
      </c>
      <c r="O178" s="1">
        <f>SUM('DRE NOVAS PARCERIAS CAIXA'!O207,'DRE NOVAS PARCERIAS CAIXA'!O209:O210)</f>
        <v>0</v>
      </c>
      <c r="P178" s="1">
        <f>SUM('DRE NOVAS PARCERIAS CAIXA'!P207,'DRE NOVAS PARCERIAS CAIXA'!P209:P210)</f>
        <v>0</v>
      </c>
      <c r="Q178" s="1">
        <f>SUM('DRE NOVAS PARCERIAS CAIXA'!Q207,'DRE NOVAS PARCERIAS CAIXA'!Q209:Q210)</f>
        <v>0</v>
      </c>
      <c r="R178" s="1">
        <f>SUM('DRE NOVAS PARCERIAS CAIXA'!R207,'DRE NOVAS PARCERIAS CAIXA'!R209:R210)</f>
        <v>0</v>
      </c>
      <c r="S178" s="1">
        <f>SUM('DRE NOVAS PARCERIAS CAIXA'!S207,'DRE NOVAS PARCERIAS CAIXA'!S209:S210)</f>
        <v>0</v>
      </c>
      <c r="T178" s="1">
        <f>SUM('DRE NOVAS PARCERIAS CAIXA'!T207,'DRE NOVAS PARCERIAS CAIXA'!T209:T210)</f>
        <v>0</v>
      </c>
      <c r="U178" s="1">
        <f>SUM('DRE NOVAS PARCERIAS CAIXA'!U207,'DRE NOVAS PARCERIAS CAIXA'!U209:U210)</f>
        <v>0</v>
      </c>
      <c r="V178" s="1">
        <f>SUM('DRE NOVAS PARCERIAS CAIXA'!V207,'DRE NOVAS PARCERIAS CAIXA'!V209:V210)</f>
        <v>0</v>
      </c>
      <c r="W178" s="1">
        <f>SUM('DRE NOVAS PARCERIAS CAIXA'!W207,'DRE NOVAS PARCERIAS CAIXA'!W209:W210)</f>
        <v>0</v>
      </c>
      <c r="X178" s="1">
        <f>SUM('DRE NOVAS PARCERIAS CAIXA'!X207,'DRE NOVAS PARCERIAS CAIXA'!X209:X210)</f>
        <v>0</v>
      </c>
      <c r="Y178" s="1">
        <f>SUM('DRE NOVAS PARCERIAS CAIXA'!Y207,'DRE NOVAS PARCERIAS CAIXA'!Y209:Y210)</f>
        <v>0</v>
      </c>
      <c r="Z178" s="1">
        <f>SUM('DRE NOVAS PARCERIAS CAIXA'!Z207,'DRE NOVAS PARCERIAS CAIXA'!Z209:Z210)</f>
        <v>-2</v>
      </c>
      <c r="AA178" s="1">
        <f>SUM('DRE NOVAS PARCERIAS CAIXA'!AA207,'DRE NOVAS PARCERIAS CAIXA'!AA209:AA210)</f>
        <v>-2</v>
      </c>
      <c r="AB178" s="1">
        <f>SUM('DRE NOVAS PARCERIAS CAIXA'!AB207,'DRE NOVAS PARCERIAS CAIXA'!AB209:AB210)</f>
        <v>-778.21100999999999</v>
      </c>
      <c r="AC178" s="1">
        <f>SUM('DRE NOVAS PARCERIAS CAIXA'!AC207,'DRE NOVAS PARCERIAS CAIXA'!AC209:AC210)</f>
        <v>-3472.31574</v>
      </c>
      <c r="AD178" s="1">
        <f>SUM('DRE NOVAS PARCERIAS CAIXA'!AD207,'DRE NOVAS PARCERIAS CAIXA'!AD209:AD210)</f>
        <v>-6211.47325</v>
      </c>
      <c r="AE178" s="1">
        <f>SUM('DRE NOVAS PARCERIAS CAIXA'!AE207,'DRE NOVAS PARCERIAS CAIXA'!AE209:AE210)</f>
        <v>-10105</v>
      </c>
      <c r="AF178" s="1">
        <f>SUM('DRE NOVAS PARCERIAS CAIXA'!AF207,'DRE NOVAS PARCERIAS CAIXA'!AF209:AF210)</f>
        <v>-20567</v>
      </c>
      <c r="AG178" s="1">
        <f>SUM('DRE NOVAS PARCERIAS CAIXA'!AG207,'DRE NOVAS PARCERIAS CAIXA'!AG209:AG210)</f>
        <v>-8659</v>
      </c>
      <c r="AH178" s="1">
        <f>SUM('DRE NOVAS PARCERIAS CAIXA'!AH207,'DRE NOVAS PARCERIAS CAIXA'!AH209:AH210)</f>
        <v>-12285</v>
      </c>
      <c r="AI178" s="1">
        <f>SUM('DRE NOVAS PARCERIAS CAIXA'!AI207,'DRE NOVAS PARCERIAS CAIXA'!AI209:AI210)</f>
        <v>-17121</v>
      </c>
      <c r="AJ178" s="1">
        <f>SUM('DRE NOVAS PARCERIAS CAIXA'!AJ207,'DRE NOVAS PARCERIAS CAIXA'!AJ209:AJ210)</f>
        <v>-22905</v>
      </c>
      <c r="AK178" s="1">
        <f>SUM('DRE NOVAS PARCERIAS CAIXA'!AK207,'DRE NOVAS PARCERIAS CAIXA'!AK209:AK210)</f>
        <v>-60970</v>
      </c>
      <c r="AL178" s="1">
        <f>SUM('DRE NOVAS PARCERIAS CAIXA'!AL207,'DRE NOVAS PARCERIAS CAIXA'!AL209:AL210)</f>
        <v>-23702</v>
      </c>
      <c r="AM178" s="1">
        <f>SUM('DRE NOVAS PARCERIAS CAIXA'!AM207,'DRE NOVAS PARCERIAS CAIXA'!AM209:AM210)</f>
        <v>-26479</v>
      </c>
      <c r="AN178" s="1">
        <f>SUM('DRE NOVAS PARCERIAS CAIXA'!AN207,'DRE NOVAS PARCERIAS CAIXA'!AN209:AN210)</f>
        <v>-31681</v>
      </c>
      <c r="AO178" s="1">
        <f>SUM('DRE NOVAS PARCERIAS CAIXA'!AO207,'DRE NOVAS PARCERIAS CAIXA'!AO209:AO210)</f>
        <v>-34753</v>
      </c>
      <c r="AP178" s="1">
        <f>SUM('DRE NOVAS PARCERIAS CAIXA'!AP207,'DRE NOVAS PARCERIAS CAIXA'!AP209:AP210)</f>
        <v>-116615</v>
      </c>
      <c r="AQ178" s="1">
        <f>SUM('DRE NOVAS PARCERIAS CAIXA'!AQ207,'DRE NOVAS PARCERIAS CAIXA'!AQ209:AQ210)</f>
        <v>-35641</v>
      </c>
      <c r="AR178" s="1">
        <f>SUM('DRE NOVAS PARCERIAS CAIXA'!AR207,'DRE NOVAS PARCERIAS CAIXA'!AR209:AR210)</f>
        <v>-39854</v>
      </c>
      <c r="AS178" s="1">
        <f>SUM('DRE NOVAS PARCERIAS CAIXA'!AS207,'DRE NOVAS PARCERIAS CAIXA'!AS209:AS210)</f>
        <v>-41443</v>
      </c>
      <c r="AT178" s="1">
        <f>SUM('DRE NOVAS PARCERIAS CAIXA'!AT207,'DRE NOVAS PARCERIAS CAIXA'!AT209:AT210)</f>
        <v>-51470</v>
      </c>
      <c r="AU178" s="1">
        <f>SUM('DRE NOVAS PARCERIAS CAIXA'!AU207,'DRE NOVAS PARCERIAS CAIXA'!AU209:AU210)</f>
        <v>-168408</v>
      </c>
      <c r="AV178" s="1">
        <f>SUM('DRE NOVAS PARCERIAS CAIXA'!AV207,'DRE NOVAS PARCERIAS CAIXA'!AV209:AV210)</f>
        <v>-54306</v>
      </c>
      <c r="AW178" s="1">
        <f>SUM('DRE NOVAS PARCERIAS CAIXA'!AW207,'DRE NOVAS PARCERIAS CAIXA'!AW209:AW210)</f>
        <v>-59965</v>
      </c>
      <c r="AX178" s="1">
        <f>SUM('DRE NOVAS PARCERIAS CAIXA'!AX207,'DRE NOVAS PARCERIAS CAIXA'!AX209:AX210)</f>
        <v>-57793</v>
      </c>
      <c r="AY178" s="1">
        <f>SUM('DRE NOVAS PARCERIAS CAIXA'!AY207,'DRE NOVAS PARCERIAS CAIXA'!AY209:AY210)</f>
        <v>-45823.169089999989</v>
      </c>
      <c r="AZ178" s="1">
        <f>SUM('DRE NOVAS PARCERIAS CAIXA'!AZ207,'DRE NOVAS PARCERIAS CAIXA'!AZ209:AZ210)</f>
        <v>-217887.16908999998</v>
      </c>
      <c r="BA178" s="1">
        <f>SUM('DRE NOVAS PARCERIAS CAIXA'!BA207,'DRE NOVAS PARCERIAS CAIXA'!BA209:BA210)</f>
        <v>-42114</v>
      </c>
      <c r="BC178" s="780"/>
    </row>
    <row r="179" spans="1:59" s="100" customFormat="1">
      <c r="A179" s="9"/>
      <c r="B179" s="9" t="str">
        <f t="shared" si="116"/>
        <v>Parcerias Banco PAN</v>
      </c>
      <c r="C179" s="160">
        <f t="shared" ref="C179:AU179" si="124">SUM(C180:C181)</f>
        <v>-109428.74900000001</v>
      </c>
      <c r="D179" s="160">
        <f t="shared" si="124"/>
        <v>-108567.359</v>
      </c>
      <c r="E179" s="160">
        <f t="shared" si="124"/>
        <v>-127397.28899999999</v>
      </c>
      <c r="F179" s="160">
        <f t="shared" si="124"/>
        <v>-189722.08199999999</v>
      </c>
      <c r="G179" s="160">
        <f t="shared" si="124"/>
        <v>-535115.47900000005</v>
      </c>
      <c r="H179" s="160">
        <f t="shared" si="124"/>
        <v>-142348.53958999997</v>
      </c>
      <c r="I179" s="160">
        <f t="shared" si="124"/>
        <v>-140345.47847999999</v>
      </c>
      <c r="J179" s="160">
        <f t="shared" si="124"/>
        <v>-151317.69089</v>
      </c>
      <c r="K179" s="160">
        <f t="shared" si="124"/>
        <v>-129412.20118999999</v>
      </c>
      <c r="L179" s="160">
        <f t="shared" si="124"/>
        <v>-563423.91014999989</v>
      </c>
      <c r="M179" s="160">
        <f t="shared" si="124"/>
        <v>-127669.39240000001</v>
      </c>
      <c r="N179" s="160">
        <f t="shared" si="124"/>
        <v>-147582.92469000001</v>
      </c>
      <c r="O179" s="160">
        <f t="shared" si="124"/>
        <v>-151539.6525</v>
      </c>
      <c r="P179" s="160">
        <f t="shared" si="124"/>
        <v>-166205.85499999998</v>
      </c>
      <c r="Q179" s="160">
        <f t="shared" si="124"/>
        <v>-592997.82458999997</v>
      </c>
      <c r="R179" s="160">
        <f t="shared" si="124"/>
        <v>-159628.33863000001</v>
      </c>
      <c r="S179" s="160">
        <f t="shared" si="124"/>
        <v>-166662.27036999998</v>
      </c>
      <c r="T179" s="160">
        <f t="shared" si="124"/>
        <v>-173729.514</v>
      </c>
      <c r="U179" s="160">
        <f t="shared" si="124"/>
        <v>-182539.68305999998</v>
      </c>
      <c r="V179" s="160">
        <f t="shared" si="124"/>
        <v>-682559.80605999997</v>
      </c>
      <c r="W179" s="160">
        <f t="shared" si="124"/>
        <v>-181415.13799999998</v>
      </c>
      <c r="X179" s="160">
        <f t="shared" si="124"/>
        <v>-174345.91874000002</v>
      </c>
      <c r="Y179" s="160">
        <f t="shared" si="124"/>
        <v>-188688.948</v>
      </c>
      <c r="Z179" s="160">
        <f t="shared" si="124"/>
        <v>-212503.864</v>
      </c>
      <c r="AA179" s="160">
        <f t="shared" si="124"/>
        <v>-756953.86874000006</v>
      </c>
      <c r="AB179" s="160">
        <f t="shared" si="124"/>
        <v>-218433.902</v>
      </c>
      <c r="AC179" s="160">
        <f t="shared" si="124"/>
        <v>-209775.01500000001</v>
      </c>
      <c r="AD179" s="160">
        <f t="shared" si="124"/>
        <v>-208620.80391000002</v>
      </c>
      <c r="AE179" s="160">
        <f t="shared" si="124"/>
        <v>-204251</v>
      </c>
      <c r="AF179" s="160">
        <f t="shared" si="124"/>
        <v>-841080.72091000003</v>
      </c>
      <c r="AG179" s="160">
        <f t="shared" si="124"/>
        <v>-234102</v>
      </c>
      <c r="AH179" s="160">
        <f t="shared" si="124"/>
        <v>-243537</v>
      </c>
      <c r="AI179" s="160">
        <f t="shared" si="124"/>
        <v>-221335</v>
      </c>
      <c r="AJ179" s="160">
        <f t="shared" si="124"/>
        <v>-236867</v>
      </c>
      <c r="AK179" s="160">
        <f t="shared" si="124"/>
        <v>-935841</v>
      </c>
      <c r="AL179" s="160">
        <f t="shared" si="124"/>
        <v>-249502</v>
      </c>
      <c r="AM179" s="160">
        <f t="shared" si="124"/>
        <v>-289291</v>
      </c>
      <c r="AN179" s="160">
        <f t="shared" si="124"/>
        <v>-292715</v>
      </c>
      <c r="AO179" s="160">
        <f t="shared" si="124"/>
        <v>-312379.91499999998</v>
      </c>
      <c r="AP179" s="160">
        <f t="shared" si="124"/>
        <v>-1143887.915</v>
      </c>
      <c r="AQ179" s="160">
        <f t="shared" si="124"/>
        <v>-276185.95799999998</v>
      </c>
      <c r="AR179" s="160">
        <f t="shared" si="124"/>
        <v>-297303.10700000002</v>
      </c>
      <c r="AS179" s="160">
        <f t="shared" si="124"/>
        <v>-282301.54399999999</v>
      </c>
      <c r="AT179" s="160">
        <f t="shared" si="124"/>
        <v>-345367.89199999999</v>
      </c>
      <c r="AU179" s="160">
        <f t="shared" si="124"/>
        <v>-1201158.5009999999</v>
      </c>
      <c r="AV179" s="160">
        <f t="shared" ref="AV179" si="125">SUM(AV180:AV181)</f>
        <v>-327854.08199999999</v>
      </c>
      <c r="AW179" s="160">
        <f>SUM(AW180:AW181)</f>
        <v>-350120.20500000002</v>
      </c>
      <c r="AX179" s="160">
        <f>SUM(AX180:AX181)</f>
        <v>-331486.85399999999</v>
      </c>
      <c r="AY179" s="160">
        <f>SUM(AY180:AY181)</f>
        <v>-443303.01299999998</v>
      </c>
      <c r="AZ179" s="160">
        <f>SUM(AZ180:AZ181)</f>
        <v>-1452764.1540000001</v>
      </c>
      <c r="BA179" s="160">
        <f t="shared" ref="BA179" si="126">SUM(BA180:BA181)</f>
        <v>-345639.51</v>
      </c>
      <c r="BB179" s="20"/>
      <c r="BC179" s="20"/>
      <c r="BD179" s="20"/>
    </row>
    <row r="180" spans="1:59">
      <c r="B180" t="str">
        <f t="shared" si="116"/>
        <v>Too Seguros</v>
      </c>
      <c r="C180" s="1">
        <f>SUM('DRE PARCERIAS BANCO PAN'!C12:C15,'DRE PARCERIAS BANCO PAN'!C17:C18)</f>
        <v>-107894.74900000001</v>
      </c>
      <c r="D180" s="1">
        <f>SUM('DRE PARCERIAS BANCO PAN'!D12:D15,'DRE PARCERIAS BANCO PAN'!D17:D18)</f>
        <v>-106025.359</v>
      </c>
      <c r="E180" s="1">
        <f>SUM('DRE PARCERIAS BANCO PAN'!E12:E15,'DRE PARCERIAS BANCO PAN'!E17:E18)</f>
        <v>-124628.28899999999</v>
      </c>
      <c r="F180" s="1">
        <f>SUM('DRE PARCERIAS BANCO PAN'!F12:F15,'DRE PARCERIAS BANCO PAN'!F17:F18)</f>
        <v>-187318.08199999999</v>
      </c>
      <c r="G180" s="1">
        <f>SUM('DRE PARCERIAS BANCO PAN'!G12:G15,'DRE PARCERIAS BANCO PAN'!G17:G18)</f>
        <v>-525866.47900000005</v>
      </c>
      <c r="H180" s="1">
        <f>SUM('DRE PARCERIAS BANCO PAN'!H12:H15,'DRE PARCERIAS BANCO PAN'!H17:H18)</f>
        <v>-140525.23330999998</v>
      </c>
      <c r="I180" s="1">
        <f>SUM('DRE PARCERIAS BANCO PAN'!I12:I15,'DRE PARCERIAS BANCO PAN'!I17:I18)</f>
        <v>-139072.75169</v>
      </c>
      <c r="J180" s="1">
        <f>SUM('DRE PARCERIAS BANCO PAN'!J12:J15,'DRE PARCERIAS BANCO PAN'!J17:J18)</f>
        <v>-149895.00099999999</v>
      </c>
      <c r="K180" s="1">
        <f>SUM('DRE PARCERIAS BANCO PAN'!K12:K15,'DRE PARCERIAS BANCO PAN'!K17:K18)</f>
        <v>-127838.66399999999</v>
      </c>
      <c r="L180" s="1">
        <f>SUM('DRE PARCERIAS BANCO PAN'!L12:L15,'DRE PARCERIAS BANCO PAN'!L17:L18)</f>
        <v>-557331.64999999991</v>
      </c>
      <c r="M180" s="1">
        <f>SUM('DRE PARCERIAS BANCO PAN'!M12:M15,'DRE PARCERIAS BANCO PAN'!M17:M18)</f>
        <v>-126014.74900000001</v>
      </c>
      <c r="N180" s="1">
        <f>SUM('DRE PARCERIAS BANCO PAN'!N12:N15,'DRE PARCERIAS BANCO PAN'!N17:N18)</f>
        <v>-145870.11300000001</v>
      </c>
      <c r="O180" s="1">
        <f>SUM('DRE PARCERIAS BANCO PAN'!O12:O15,'DRE PARCERIAS BANCO PAN'!O17:O18)</f>
        <v>-149922.91800000001</v>
      </c>
      <c r="P180" s="1">
        <f>SUM('DRE PARCERIAS BANCO PAN'!P12:P15,'DRE PARCERIAS BANCO PAN'!P17:P18)</f>
        <v>-164394.07999999999</v>
      </c>
      <c r="Q180" s="1">
        <f>SUM('DRE PARCERIAS BANCO PAN'!Q12:Q15,'DRE PARCERIAS BANCO PAN'!Q17:Q18)</f>
        <v>-586201.86</v>
      </c>
      <c r="R180" s="1">
        <f>SUM('DRE PARCERIAS BANCO PAN'!R12:R15,'DRE PARCERIAS BANCO PAN'!R17:R18)</f>
        <v>-157589.61800000002</v>
      </c>
      <c r="S180" s="1">
        <f>SUM('DRE PARCERIAS BANCO PAN'!S12:S15,'DRE PARCERIAS BANCO PAN'!S17:S18)</f>
        <v>-165065.88199999998</v>
      </c>
      <c r="T180" s="1">
        <f>SUM('DRE PARCERIAS BANCO PAN'!T12:T15,'DRE PARCERIAS BANCO PAN'!T17:T18)</f>
        <v>-172120.62299999999</v>
      </c>
      <c r="U180" s="1">
        <f>SUM('DRE PARCERIAS BANCO PAN'!U12:U15,'DRE PARCERIAS BANCO PAN'!U17:U18)</f>
        <v>-180866.23499999999</v>
      </c>
      <c r="V180" s="1">
        <f>SUM('DRE PARCERIAS BANCO PAN'!V12:V15,'DRE PARCERIAS BANCO PAN'!V17:V18)</f>
        <v>-675642.35800000001</v>
      </c>
      <c r="W180" s="1">
        <f>SUM('DRE PARCERIAS BANCO PAN'!W12:W15,'DRE PARCERIAS BANCO PAN'!W17:W18)</f>
        <v>-179440.13799999998</v>
      </c>
      <c r="X180" s="1">
        <f>SUM('DRE PARCERIAS BANCO PAN'!X12:X15,'DRE PARCERIAS BANCO PAN'!X17:X18)</f>
        <v>-172530.32900000003</v>
      </c>
      <c r="Y180" s="1">
        <f>SUM('DRE PARCERIAS BANCO PAN'!Y12:Y15,'DRE PARCERIAS BANCO PAN'!Y17:Y18)</f>
        <v>-186329.948</v>
      </c>
      <c r="Z180" s="1">
        <f>SUM('DRE PARCERIAS BANCO PAN'!Z12:Z15,'DRE PARCERIAS BANCO PAN'!Z17:Z18)</f>
        <v>-210958.864</v>
      </c>
      <c r="AA180" s="1">
        <f>SUM('DRE PARCERIAS BANCO PAN'!AA12:AA15,'DRE PARCERIAS BANCO PAN'!AA17:AA18)</f>
        <v>-749259.2790000001</v>
      </c>
      <c r="AB180" s="1">
        <f>SUM('DRE PARCERIAS BANCO PAN'!AB12:AB15,'DRE PARCERIAS BANCO PAN'!AB17:AB18)</f>
        <v>-217002.902</v>
      </c>
      <c r="AC180" s="1">
        <f>SUM('DRE PARCERIAS BANCO PAN'!AC12:AC15,'DRE PARCERIAS BANCO PAN'!AC17:AC18)</f>
        <v>-208204.01500000001</v>
      </c>
      <c r="AD180" s="1">
        <f>SUM('DRE PARCERIAS BANCO PAN'!AD12:AD15,'DRE PARCERIAS BANCO PAN'!AD17:AD18)</f>
        <v>-205919.08300000001</v>
      </c>
      <c r="AE180" s="1">
        <f>SUM('DRE PARCERIAS BANCO PAN'!AE12:AE15,'DRE PARCERIAS BANCO PAN'!AE17:AE18)</f>
        <v>-203178</v>
      </c>
      <c r="AF180" s="1">
        <f>SUM('DRE PARCERIAS BANCO PAN'!AF12:AF15,'DRE PARCERIAS BANCO PAN'!AF17:AF18)</f>
        <v>-834304</v>
      </c>
      <c r="AG180" s="1">
        <f>SUM('DRE PARCERIAS BANCO PAN'!AG12:AG15,'DRE PARCERIAS BANCO PAN'!AG17:AG18)</f>
        <v>-232706</v>
      </c>
      <c r="AH180" s="1">
        <f>SUM('DRE PARCERIAS BANCO PAN'!AH12:AH15,'DRE PARCERIAS BANCO PAN'!AH17:AH18)</f>
        <v>-242278</v>
      </c>
      <c r="AI180" s="1">
        <f>SUM('DRE PARCERIAS BANCO PAN'!AI12:AI15,'DRE PARCERIAS BANCO PAN'!AI17:AI18)</f>
        <v>-219885</v>
      </c>
      <c r="AJ180" s="1">
        <f>SUM('DRE PARCERIAS BANCO PAN'!AJ12:AJ15,'DRE PARCERIAS BANCO PAN'!AJ17:AJ18)</f>
        <v>-235441</v>
      </c>
      <c r="AK180" s="1">
        <f>SUM('DRE PARCERIAS BANCO PAN'!AK12:AK15,'DRE PARCERIAS BANCO PAN'!AK17:AK18)</f>
        <v>-930310</v>
      </c>
      <c r="AL180" s="1">
        <f>SUM('DRE PARCERIAS BANCO PAN'!AL12:AL15,'DRE PARCERIAS BANCO PAN'!AL17:AL18)</f>
        <v>-248254</v>
      </c>
      <c r="AM180" s="1">
        <f>SUM('DRE PARCERIAS BANCO PAN'!AM12:AM15,'DRE PARCERIAS BANCO PAN'!AM17:AM18)</f>
        <v>-287868</v>
      </c>
      <c r="AN180" s="1">
        <f>SUM('DRE PARCERIAS BANCO PAN'!AN12:AN15,'DRE PARCERIAS BANCO PAN'!AN17:AN18)</f>
        <v>-291308</v>
      </c>
      <c r="AO180" s="1">
        <f>SUM('DRE PARCERIAS BANCO PAN'!AO12:AO15,'DRE PARCERIAS BANCO PAN'!AO17:AO18)</f>
        <v>-311165</v>
      </c>
      <c r="AP180" s="1">
        <f>SUM('DRE PARCERIAS BANCO PAN'!AP12:AP15,'DRE PARCERIAS BANCO PAN'!AP17:AP18)</f>
        <v>-1138595</v>
      </c>
      <c r="AQ180" s="1">
        <f>SUM('DRE PARCERIAS BANCO PAN'!AQ12:AQ15,'DRE PARCERIAS BANCO PAN'!AQ17:AQ18)</f>
        <v>-275163</v>
      </c>
      <c r="AR180" s="1">
        <f>SUM('DRE PARCERIAS BANCO PAN'!AR12:AR15,'DRE PARCERIAS BANCO PAN'!AR17:AR18)</f>
        <v>-296505</v>
      </c>
      <c r="AS180" s="1">
        <f>SUM('DRE PARCERIAS BANCO PAN'!AS12:AS15,'DRE PARCERIAS BANCO PAN'!AS17:AS18)</f>
        <v>-281539</v>
      </c>
      <c r="AT180" s="1">
        <f>SUM('DRE PARCERIAS BANCO PAN'!AT12:AT15,'DRE PARCERIAS BANCO PAN'!AT17:AT18)</f>
        <v>-344580</v>
      </c>
      <c r="AU180" s="1">
        <f>SUM('DRE PARCERIAS BANCO PAN'!AU12:AU15,'DRE PARCERIAS BANCO PAN'!AU17:AU18)</f>
        <v>-1197787</v>
      </c>
      <c r="AV180" s="1">
        <f>SUM('DRE PARCERIAS BANCO PAN'!AV12:AV15,'DRE PARCERIAS BANCO PAN'!AV17:AV18)</f>
        <v>-327081</v>
      </c>
      <c r="AW180" s="1">
        <f>SUM('DRE PARCERIAS BANCO PAN'!AW12:AW15,'DRE PARCERIAS BANCO PAN'!AW17:AW18)</f>
        <v>-349332</v>
      </c>
      <c r="AX180" s="1">
        <f>SUM('DRE PARCERIAS BANCO PAN'!AX12:AX15,'DRE PARCERIAS BANCO PAN'!AX17:AX18)</f>
        <v>-330678</v>
      </c>
      <c r="AY180" s="1">
        <f>SUM('DRE PARCERIAS BANCO PAN'!AY12:AY15,'DRE PARCERIAS BANCO PAN'!AY17:AY18)</f>
        <v>-442571</v>
      </c>
      <c r="AZ180" s="1">
        <f>SUM('DRE PARCERIAS BANCO PAN'!AZ12:AZ15,'DRE PARCERIAS BANCO PAN'!AZ17:AZ18)</f>
        <v>-1449662</v>
      </c>
      <c r="BA180" s="1">
        <f>SUM('DRE PARCERIAS BANCO PAN'!BA12:BA15,'DRE PARCERIAS BANCO PAN'!BA17:BA18)</f>
        <v>-344854</v>
      </c>
    </row>
    <row r="181" spans="1:59">
      <c r="B181" t="str">
        <f t="shared" si="116"/>
        <v>PAN Corretora</v>
      </c>
      <c r="C181" s="1">
        <f>SUM('DRE PARCERIAS BANCO PAN'!C34:C35)</f>
        <v>-1534</v>
      </c>
      <c r="D181" s="1">
        <f>SUM('DRE PARCERIAS BANCO PAN'!D34:D35)</f>
        <v>-2542</v>
      </c>
      <c r="E181" s="1">
        <f>SUM('DRE PARCERIAS BANCO PAN'!E34:E35)</f>
        <v>-2769</v>
      </c>
      <c r="F181" s="1">
        <f>SUM('DRE PARCERIAS BANCO PAN'!F34:F35)</f>
        <v>-2404</v>
      </c>
      <c r="G181" s="1">
        <f>SUM('DRE PARCERIAS BANCO PAN'!G34:G35)</f>
        <v>-9249</v>
      </c>
      <c r="H181" s="1">
        <f>SUM('DRE PARCERIAS BANCO PAN'!H34:H35)</f>
        <v>-1823.3062799999996</v>
      </c>
      <c r="I181" s="1">
        <f>SUM('DRE PARCERIAS BANCO PAN'!I34:I35)</f>
        <v>-1272.7267900000004</v>
      </c>
      <c r="J181" s="1">
        <f>SUM('DRE PARCERIAS BANCO PAN'!J34:J35)</f>
        <v>-1422.6898899999994</v>
      </c>
      <c r="K181" s="1">
        <f>SUM('DRE PARCERIAS BANCO PAN'!K34:K35)</f>
        <v>-1573.5371900000002</v>
      </c>
      <c r="L181" s="1">
        <f>SUM('DRE PARCERIAS BANCO PAN'!L34:L35)</f>
        <v>-6092.2601499999992</v>
      </c>
      <c r="M181" s="1">
        <f>SUM('DRE PARCERIAS BANCO PAN'!M34:M35)</f>
        <v>-1654.6434000000002</v>
      </c>
      <c r="N181" s="1">
        <f>SUM('DRE PARCERIAS BANCO PAN'!N34:N35)</f>
        <v>-1712.8116899999995</v>
      </c>
      <c r="O181" s="1">
        <f>SUM('DRE PARCERIAS BANCO PAN'!O34:O35)</f>
        <v>-1616.7344999999998</v>
      </c>
      <c r="P181" s="1">
        <f>SUM('DRE PARCERIAS BANCO PAN'!P34:P35)</f>
        <v>-1811.775000000001</v>
      </c>
      <c r="Q181" s="1">
        <f>SUM('DRE PARCERIAS BANCO PAN'!Q34:Q35)</f>
        <v>-6795.9645900000005</v>
      </c>
      <c r="R181" s="1">
        <f>SUM('DRE PARCERIAS BANCO PAN'!R34:R35)</f>
        <v>-2038.72063</v>
      </c>
      <c r="S181" s="1">
        <f>SUM('DRE PARCERIAS BANCO PAN'!S34:S35)</f>
        <v>-1596.3883700000004</v>
      </c>
      <c r="T181" s="1">
        <f>SUM('DRE PARCERIAS BANCO PAN'!T34:T35)</f>
        <v>-1608.8909999999994</v>
      </c>
      <c r="U181" s="1">
        <f>SUM('DRE PARCERIAS BANCO PAN'!U34:U35)</f>
        <v>-1673.4480600000004</v>
      </c>
      <c r="V181" s="1">
        <f>SUM('DRE PARCERIAS BANCO PAN'!V34:V35)</f>
        <v>-6917.4480600000006</v>
      </c>
      <c r="W181" s="1">
        <f>SUM('DRE PARCERIAS BANCO PAN'!W34:W35)</f>
        <v>-1975</v>
      </c>
      <c r="X181" s="1">
        <f>SUM('DRE PARCERIAS BANCO PAN'!X34:X35)</f>
        <v>-1815.5897399999999</v>
      </c>
      <c r="Y181" s="1">
        <f>SUM('DRE PARCERIAS BANCO PAN'!Y34:Y35)</f>
        <v>-2359</v>
      </c>
      <c r="Z181" s="1">
        <f>SUM('DRE PARCERIAS BANCO PAN'!Z34:Z35)</f>
        <v>-1545</v>
      </c>
      <c r="AA181" s="1">
        <f>SUM('DRE PARCERIAS BANCO PAN'!AA34:AA35)</f>
        <v>-7694.5897400000003</v>
      </c>
      <c r="AB181" s="1">
        <f>SUM('DRE PARCERIAS BANCO PAN'!AB34:AB35)</f>
        <v>-1431</v>
      </c>
      <c r="AC181" s="1">
        <f>SUM('DRE PARCERIAS BANCO PAN'!AC34:AC35)</f>
        <v>-1571</v>
      </c>
      <c r="AD181" s="1">
        <f>SUM('DRE PARCERIAS BANCO PAN'!AD34:AD35)</f>
        <v>-2701.72091</v>
      </c>
      <c r="AE181" s="1">
        <f>SUM('DRE PARCERIAS BANCO PAN'!AE34:AE35)</f>
        <v>-1073</v>
      </c>
      <c r="AF181" s="1">
        <f>SUM('DRE PARCERIAS BANCO PAN'!AF34:AF35)</f>
        <v>-6776.7209100000009</v>
      </c>
      <c r="AG181" s="1">
        <f>SUM('DRE PARCERIAS BANCO PAN'!AG34:AG35)</f>
        <v>-1396</v>
      </c>
      <c r="AH181" s="1">
        <f>SUM('DRE PARCERIAS BANCO PAN'!AH34:AH35)</f>
        <v>-1259</v>
      </c>
      <c r="AI181" s="1">
        <f>SUM('DRE PARCERIAS BANCO PAN'!AI34:AI35)</f>
        <v>-1450</v>
      </c>
      <c r="AJ181" s="1">
        <f>SUM('DRE PARCERIAS BANCO PAN'!AJ34:AJ35)</f>
        <v>-1426</v>
      </c>
      <c r="AK181" s="1">
        <f>SUM('DRE PARCERIAS BANCO PAN'!AK34:AK35)</f>
        <v>-5531</v>
      </c>
      <c r="AL181" s="1">
        <f>SUM('DRE PARCERIAS BANCO PAN'!AL34:AL35)</f>
        <v>-1248</v>
      </c>
      <c r="AM181" s="1">
        <f>SUM('DRE PARCERIAS BANCO PAN'!AM34:AM35)</f>
        <v>-1423</v>
      </c>
      <c r="AN181" s="1">
        <f>SUM('DRE PARCERIAS BANCO PAN'!AN34:AN35)</f>
        <v>-1407</v>
      </c>
      <c r="AO181" s="1">
        <f>SUM('DRE PARCERIAS BANCO PAN'!AO34:AO35)</f>
        <v>-1214.9149999999997</v>
      </c>
      <c r="AP181" s="1">
        <f>SUM('DRE PARCERIAS BANCO PAN'!AP34:AP35)</f>
        <v>-5292.915</v>
      </c>
      <c r="AQ181" s="1">
        <f>SUM('DRE PARCERIAS BANCO PAN'!AQ34:AQ35)</f>
        <v>-1022.958</v>
      </c>
      <c r="AR181" s="1">
        <f>SUM('DRE PARCERIAS BANCO PAN'!AR34:AR35)</f>
        <v>-798.10699999999997</v>
      </c>
      <c r="AS181" s="1">
        <f>SUM('DRE PARCERIAS BANCO PAN'!AS34:AS35)</f>
        <v>-762.54400000000021</v>
      </c>
      <c r="AT181" s="1">
        <f>SUM('DRE PARCERIAS BANCO PAN'!AT34:AT35)</f>
        <v>-787.8919999999996</v>
      </c>
      <c r="AU181" s="1">
        <f>SUM('DRE PARCERIAS BANCO PAN'!AU34:AU35)</f>
        <v>-3371.5009999999997</v>
      </c>
      <c r="AV181" s="1">
        <f>SUM('DRE PARCERIAS BANCO PAN'!AV34:AV35)</f>
        <v>-773.08199999999999</v>
      </c>
      <c r="AW181" s="1">
        <f>SUM('DRE PARCERIAS BANCO PAN'!AW34:AW35)</f>
        <v>-788.20499999999993</v>
      </c>
      <c r="AX181" s="1">
        <f>SUM('DRE PARCERIAS BANCO PAN'!AX34:AX35)</f>
        <v>-808.85400000000004</v>
      </c>
      <c r="AY181" s="1">
        <f>SUM('DRE PARCERIAS BANCO PAN'!AY34:AY35)</f>
        <v>-732.01300000000003</v>
      </c>
      <c r="AZ181" s="1">
        <f>SUM('DRE PARCERIAS BANCO PAN'!AZ34:AZ35)</f>
        <v>-3102.154</v>
      </c>
      <c r="BA181" s="1">
        <f>SUM('DRE PARCERIAS BANCO PAN'!BA34:BA35)</f>
        <v>-785.51</v>
      </c>
    </row>
    <row r="182" spans="1:59" s="100" customFormat="1">
      <c r="A182" s="9"/>
      <c r="B182" s="9" t="str">
        <f t="shared" si="116"/>
        <v>Holding + Corretora</v>
      </c>
      <c r="C182" s="76">
        <f t="shared" ref="C182:AU182" si="127">SUM(C183:C185)</f>
        <v>-12452.68777</v>
      </c>
      <c r="D182" s="76">
        <f t="shared" si="127"/>
        <v>-13327.86723</v>
      </c>
      <c r="E182" s="76">
        <f t="shared" si="127"/>
        <v>-17608.178469999999</v>
      </c>
      <c r="F182" s="76">
        <f t="shared" si="127"/>
        <v>-20717.963639999998</v>
      </c>
      <c r="G182" s="76">
        <f t="shared" si="127"/>
        <v>-64106.697109999994</v>
      </c>
      <c r="H182" s="76">
        <f t="shared" si="127"/>
        <v>-21010.350930000001</v>
      </c>
      <c r="I182" s="76">
        <f t="shared" si="127"/>
        <v>-20583.432040000003</v>
      </c>
      <c r="J182" s="76">
        <f t="shared" si="127"/>
        <v>-22631.823019999989</v>
      </c>
      <c r="K182" s="76">
        <f t="shared" si="127"/>
        <v>-29544.220880000001</v>
      </c>
      <c r="L182" s="76">
        <f t="shared" si="127"/>
        <v>-93769.82686999999</v>
      </c>
      <c r="M182" s="76">
        <f t="shared" si="127"/>
        <v>-28114.780419999996</v>
      </c>
      <c r="N182" s="76">
        <f t="shared" si="127"/>
        <v>-26437.183469999989</v>
      </c>
      <c r="O182" s="76">
        <f t="shared" si="127"/>
        <v>-29416.975610000016</v>
      </c>
      <c r="P182" s="76">
        <f t="shared" si="127"/>
        <v>-32536.742000000009</v>
      </c>
      <c r="Q182" s="76">
        <f t="shared" si="127"/>
        <v>-116505.68150000001</v>
      </c>
      <c r="R182" s="76">
        <f t="shared" si="127"/>
        <v>-28036.771099999998</v>
      </c>
      <c r="S182" s="76">
        <f t="shared" si="127"/>
        <v>-30255.768909999995</v>
      </c>
      <c r="T182" s="76">
        <f t="shared" si="127"/>
        <v>-31834.777290000005</v>
      </c>
      <c r="U182" s="76">
        <f t="shared" si="127"/>
        <v>-24394.467480000003</v>
      </c>
      <c r="V182" s="76">
        <f t="shared" si="127"/>
        <v>-114521.78478</v>
      </c>
      <c r="W182" s="76">
        <f t="shared" si="127"/>
        <v>-30501.195630000002</v>
      </c>
      <c r="X182" s="76">
        <f t="shared" si="127"/>
        <v>-28149.021240000002</v>
      </c>
      <c r="Y182" s="76">
        <f t="shared" si="127"/>
        <v>-43858.089829999997</v>
      </c>
      <c r="Z182" s="76">
        <f t="shared" si="127"/>
        <v>-37314.174809999997</v>
      </c>
      <c r="AA182" s="76">
        <f t="shared" si="127"/>
        <v>-139822.48151000001</v>
      </c>
      <c r="AB182" s="76">
        <f t="shared" si="127"/>
        <v>-36430.836280000003</v>
      </c>
      <c r="AC182" s="76">
        <f t="shared" si="127"/>
        <v>-65945.009449999998</v>
      </c>
      <c r="AD182" s="76">
        <f t="shared" si="127"/>
        <v>-81137.344160000008</v>
      </c>
      <c r="AE182" s="76">
        <f t="shared" si="127"/>
        <v>-90164.704999999987</v>
      </c>
      <c r="AF182" s="76">
        <f t="shared" si="127"/>
        <v>-273677.89489</v>
      </c>
      <c r="AG182" s="76">
        <f t="shared" si="127"/>
        <v>-108701</v>
      </c>
      <c r="AH182" s="76">
        <f t="shared" si="127"/>
        <v>-144409</v>
      </c>
      <c r="AI182" s="76">
        <f t="shared" si="127"/>
        <v>-185322</v>
      </c>
      <c r="AJ182" s="76">
        <f t="shared" si="127"/>
        <v>-173869</v>
      </c>
      <c r="AK182" s="76">
        <f t="shared" si="127"/>
        <v>-612301</v>
      </c>
      <c r="AL182" s="76">
        <f t="shared" si="127"/>
        <v>-172356</v>
      </c>
      <c r="AM182" s="76">
        <f t="shared" si="127"/>
        <v>-179636</v>
      </c>
      <c r="AN182" s="76">
        <f t="shared" si="127"/>
        <v>-198242</v>
      </c>
      <c r="AO182" s="76">
        <f t="shared" si="127"/>
        <v>-192765</v>
      </c>
      <c r="AP182" s="76">
        <f t="shared" si="127"/>
        <v>-742999</v>
      </c>
      <c r="AQ182" s="76">
        <f t="shared" si="127"/>
        <v>-201397.54371</v>
      </c>
      <c r="AR182" s="76">
        <f t="shared" si="127"/>
        <v>-202327</v>
      </c>
      <c r="AS182" s="76">
        <f t="shared" si="127"/>
        <v>-220842.1229019</v>
      </c>
      <c r="AT182" s="76">
        <f t="shared" si="127"/>
        <v>-248105.53115</v>
      </c>
      <c r="AU182" s="76">
        <f t="shared" si="127"/>
        <v>-872672.19776190002</v>
      </c>
      <c r="AV182" s="76">
        <f t="shared" ref="AV182" si="128">SUM(AV183:AV185)</f>
        <v>-268975.99846999999</v>
      </c>
      <c r="AW182" s="76">
        <f>SUM(AW183:AW185)</f>
        <v>-255913.17341999995</v>
      </c>
      <c r="AX182" s="76">
        <f>SUM(AX183:AX185)</f>
        <v>-273302.12013</v>
      </c>
      <c r="AY182" s="76">
        <f>SUM(AY183:AY185)</f>
        <v>-279169.06475999998</v>
      </c>
      <c r="AZ182" s="76">
        <f>SUM(AZ183:AZ185)</f>
        <v>-1077360.35678</v>
      </c>
      <c r="BA182" s="76">
        <f t="shared" ref="BA182" si="129">SUM(BA183:BA185)</f>
        <v>-278371.50265999988</v>
      </c>
      <c r="BB182" s="20"/>
      <c r="BC182" s="20"/>
      <c r="BD182" s="20"/>
    </row>
    <row r="183" spans="1:59">
      <c r="B183" t="str">
        <f t="shared" si="116"/>
        <v>BDF</v>
      </c>
      <c r="C183" s="1">
        <f>SUM('DRE NEGÓCIOS DE DISTRIBUIÇÃO'!C7:C8)</f>
        <v>-10236</v>
      </c>
      <c r="D183" s="1">
        <f>SUM('DRE NEGÓCIOS DE DISTRIBUIÇÃO'!D7:D8)</f>
        <v>-9201</v>
      </c>
      <c r="E183" s="1">
        <f>SUM('DRE NEGÓCIOS DE DISTRIBUIÇÃO'!E7:E8)</f>
        <v>-11298</v>
      </c>
      <c r="F183" s="1">
        <f>SUM('DRE NEGÓCIOS DE DISTRIBUIÇÃO'!F7:F8)</f>
        <v>-11358</v>
      </c>
      <c r="G183" s="1">
        <f>SUM('DRE NEGÓCIOS DE DISTRIBUIÇÃO'!G7:G8)</f>
        <v>-42093</v>
      </c>
      <c r="H183" s="1">
        <f>SUM('DRE NEGÓCIOS DE DISTRIBUIÇÃO'!H7:H8)</f>
        <v>-14341.066120000001</v>
      </c>
      <c r="I183" s="1">
        <f>SUM('DRE NEGÓCIOS DE DISTRIBUIÇÃO'!I7:I8)</f>
        <v>-13100.862879999999</v>
      </c>
      <c r="J183" s="1">
        <f>SUM('DRE NEGÓCIOS DE DISTRIBUIÇÃO'!J7:J8)</f>
        <v>-13727.869769999994</v>
      </c>
      <c r="K183" s="1">
        <f>SUM('DRE NEGÓCIOS DE DISTRIBUIÇÃO'!K7:K8)</f>
        <v>-11542.481050000006</v>
      </c>
      <c r="L183" s="1">
        <f>SUM('DRE NEGÓCIOS DE DISTRIBUIÇÃO'!L7:L8)</f>
        <v>-52712.279819999996</v>
      </c>
      <c r="M183" s="1">
        <f>SUM('DRE NEGÓCIOS DE DISTRIBUIÇÃO'!M7:M8)</f>
        <v>-19953.096559999998</v>
      </c>
      <c r="N183" s="1">
        <f>SUM('DRE NEGÓCIOS DE DISTRIBUIÇÃO'!N7:N8)</f>
        <v>-15502.619029999994</v>
      </c>
      <c r="O183" s="1">
        <f>SUM('DRE NEGÓCIOS DE DISTRIBUIÇÃO'!O7:O8)</f>
        <v>-14914.997260000004</v>
      </c>
      <c r="P183" s="1">
        <f>SUM('DRE NEGÓCIOS DE DISTRIBUIÇÃO'!P7:P8)</f>
        <v>-17269.655770000012</v>
      </c>
      <c r="Q183" s="1">
        <f>SUM('DRE NEGÓCIOS DE DISTRIBUIÇÃO'!Q7:Q8)</f>
        <v>-67640.368620000008</v>
      </c>
      <c r="R183" s="1">
        <f>SUM('DRE NEGÓCIOS DE DISTRIBUIÇÃO'!R7:R8)</f>
        <v>-17532</v>
      </c>
      <c r="S183" s="1">
        <f>SUM('DRE NEGÓCIOS DE DISTRIBUIÇÃO'!S7:S8)</f>
        <v>-18115</v>
      </c>
      <c r="T183" s="1">
        <f>SUM('DRE NEGÓCIOS DE DISTRIBUIÇÃO'!T7:T8)</f>
        <v>-19342</v>
      </c>
      <c r="U183" s="1">
        <f>SUM('DRE NEGÓCIOS DE DISTRIBUIÇÃO'!U7:U8)</f>
        <v>-12115.037850000008</v>
      </c>
      <c r="V183" s="1">
        <f>SUM('DRE NEGÓCIOS DE DISTRIBUIÇÃO'!V7:V8)</f>
        <v>-67104.037850000008</v>
      </c>
      <c r="W183" s="1">
        <f>SUM('DRE NEGÓCIOS DE DISTRIBUIÇÃO'!W7:W8)</f>
        <v>-13301</v>
      </c>
      <c r="X183" s="1">
        <f>SUM('DRE NEGÓCIOS DE DISTRIBUIÇÃO'!X7:X8)</f>
        <v>-15986</v>
      </c>
      <c r="Y183" s="1">
        <f>SUM('DRE NEGÓCIOS DE DISTRIBUIÇÃO'!Y7:Y8)</f>
        <v>-31220</v>
      </c>
      <c r="Z183" s="1">
        <f>SUM('DRE NEGÓCIOS DE DISTRIBUIÇÃO'!Z7:Z8)</f>
        <v>-22827</v>
      </c>
      <c r="AA183" s="1">
        <f>SUM('DRE NEGÓCIOS DE DISTRIBUIÇÃO'!AA7:AA8)</f>
        <v>-83334</v>
      </c>
      <c r="AB183" s="1">
        <f>SUM('DRE NEGÓCIOS DE DISTRIBUIÇÃO'!AB7:AB8)</f>
        <v>-7332</v>
      </c>
      <c r="AC183" s="1">
        <f>SUM('DRE NEGÓCIOS DE DISTRIBUIÇÃO'!AC7:AC8)</f>
        <v>-4911.7217199999996</v>
      </c>
      <c r="AD183" s="1">
        <f>SUM('DRE NEGÓCIOS DE DISTRIBUIÇÃO'!AD7:AD8)</f>
        <v>-4222.9824199999985</v>
      </c>
      <c r="AE183" s="1">
        <f>SUM('DRE NEGÓCIOS DE DISTRIBUIÇÃO'!AE7:AE8)</f>
        <v>-1721</v>
      </c>
      <c r="AF183" s="1">
        <f>SUM('DRE NEGÓCIOS DE DISTRIBUIÇÃO'!AF7:AF8)</f>
        <v>-18187.704139999998</v>
      </c>
      <c r="AG183" s="1">
        <f>SUM('DRE NEGÓCIOS DE DISTRIBUIÇÃO'!AG7:AG8)</f>
        <v>-5152</v>
      </c>
      <c r="AH183" s="1">
        <f>SUM('DRE NEGÓCIOS DE DISTRIBUIÇÃO'!AH7:AH8)</f>
        <v>-3606</v>
      </c>
      <c r="AI183" s="1">
        <f>SUM('DRE NEGÓCIOS DE DISTRIBUIÇÃO'!AI7:AI8)</f>
        <v>-3509</v>
      </c>
      <c r="AJ183" s="1">
        <f>SUM('DRE NEGÓCIOS DE DISTRIBUIÇÃO'!AJ7:AJ8)</f>
        <v>-4125</v>
      </c>
      <c r="AK183" s="1">
        <f>SUM('DRE NEGÓCIOS DE DISTRIBUIÇÃO'!AK7:AK8)</f>
        <v>-16392</v>
      </c>
      <c r="AL183" s="1">
        <f>SUM('DRE NEGÓCIOS DE DISTRIBUIÇÃO'!AL7:AL8)</f>
        <v>-4469</v>
      </c>
      <c r="AM183" s="1">
        <f>SUM('DRE NEGÓCIOS DE DISTRIBUIÇÃO'!AM7:AM8)</f>
        <v>-4613</v>
      </c>
      <c r="AN183" s="1">
        <f>SUM('DRE NEGÓCIOS DE DISTRIBUIÇÃO'!AN7:AN8)</f>
        <v>-4137</v>
      </c>
      <c r="AO183" s="1">
        <f>SUM('DRE NEGÓCIOS DE DISTRIBUIÇÃO'!AO7:AO8)</f>
        <v>-4536</v>
      </c>
      <c r="AP183" s="1">
        <f>SUM('DRE NEGÓCIOS DE DISTRIBUIÇÃO'!AP7:AP8)</f>
        <v>-17755</v>
      </c>
      <c r="AQ183" s="1">
        <f>SUM('DRE NEGÓCIOS DE DISTRIBUIÇÃO'!AQ7:AQ8)</f>
        <v>-5150.6064000000006</v>
      </c>
      <c r="AR183" s="1">
        <f>SUM('DRE NEGÓCIOS DE DISTRIBUIÇÃO'!AR7:AR8)</f>
        <v>-4572</v>
      </c>
      <c r="AS183" s="1">
        <f>SUM('DRE NEGÓCIOS DE DISTRIBUIÇÃO'!AS7:AS8)</f>
        <v>-4647.1229019000002</v>
      </c>
      <c r="AT183" s="1">
        <f>SUM('DRE NEGÓCIOS DE DISTRIBUIÇÃO'!AT7:AT8)</f>
        <v>-8012</v>
      </c>
      <c r="AU183" s="1">
        <f>SUM('DRE NEGÓCIOS DE DISTRIBUIÇÃO'!AU7:AU8)</f>
        <v>-22381.729301899999</v>
      </c>
      <c r="AV183" s="1">
        <f>SUM('DRE NEGÓCIOS DE DISTRIBUIÇÃO'!AV7:AV8)</f>
        <v>-6844.8950100000002</v>
      </c>
      <c r="AW183" s="1">
        <f>SUM('DRE NEGÓCIOS DE DISTRIBUIÇÃO'!AW7:AW8)</f>
        <v>-5244.3588600000003</v>
      </c>
      <c r="AX183" s="1">
        <f>SUM('DRE NEGÓCIOS DE DISTRIBUIÇÃO'!AX7:AX8)</f>
        <v>-5378.4252500000002</v>
      </c>
      <c r="AY183" s="1">
        <f>SUM('DRE NEGÓCIOS DE DISTRIBUIÇÃO'!AY7:AY8)</f>
        <v>-7374.1541900000093</v>
      </c>
      <c r="AZ183" s="1">
        <f>SUM('DRE NEGÓCIOS DE DISTRIBUIÇÃO'!AZ7:AZ8)</f>
        <v>-24841.833310000009</v>
      </c>
      <c r="BA183" s="1">
        <f>SUM('DRE NEGÓCIOS DE DISTRIBUIÇÃO'!BA7:BA8)</f>
        <v>-4825.0793700000004</v>
      </c>
    </row>
    <row r="184" spans="1:59">
      <c r="B184" t="str">
        <f t="shared" si="116"/>
        <v>Caixa Seguridade Corretagem de Seguros</v>
      </c>
      <c r="C184" s="1">
        <f>SUM('DRE NEGÓCIOS DE DISTRIBUIÇÃO'!C24,'DRE NEGÓCIOS DE DISTRIBUIÇÃO'!C26:C27)</f>
        <v>0</v>
      </c>
      <c r="D184" s="1">
        <f>SUM('DRE NEGÓCIOS DE DISTRIBUIÇÃO'!D24,'DRE NEGÓCIOS DE DISTRIBUIÇÃO'!D26:D27)</f>
        <v>0</v>
      </c>
      <c r="E184" s="1">
        <f>SUM('DRE NEGÓCIOS DE DISTRIBUIÇÃO'!E24,'DRE NEGÓCIOS DE DISTRIBUIÇÃO'!E26:E27)</f>
        <v>0</v>
      </c>
      <c r="F184" s="1">
        <f>SUM('DRE NEGÓCIOS DE DISTRIBUIÇÃO'!F24,'DRE NEGÓCIOS DE DISTRIBUIÇÃO'!F26:F27)</f>
        <v>0</v>
      </c>
      <c r="G184" s="1">
        <f>SUM('DRE NEGÓCIOS DE DISTRIBUIÇÃO'!G24,'DRE NEGÓCIOS DE DISTRIBUIÇÃO'!G26:G27)</f>
        <v>0</v>
      </c>
      <c r="H184" s="1">
        <f>SUM('DRE NEGÓCIOS DE DISTRIBUIÇÃO'!H24,'DRE NEGÓCIOS DE DISTRIBUIÇÃO'!H26:H27)</f>
        <v>0</v>
      </c>
      <c r="I184" s="1">
        <f>SUM('DRE NEGÓCIOS DE DISTRIBUIÇÃO'!I24,'DRE NEGÓCIOS DE DISTRIBUIÇÃO'!I26:I27)</f>
        <v>0</v>
      </c>
      <c r="J184" s="1">
        <f>SUM('DRE NEGÓCIOS DE DISTRIBUIÇÃO'!J24,'DRE NEGÓCIOS DE DISTRIBUIÇÃO'!J26:J27)</f>
        <v>0</v>
      </c>
      <c r="K184" s="1">
        <f>SUM('DRE NEGÓCIOS DE DISTRIBUIÇÃO'!K24,'DRE NEGÓCIOS DE DISTRIBUIÇÃO'!K26:K27)</f>
        <v>0</v>
      </c>
      <c r="L184" s="1">
        <f>SUM('DRE NEGÓCIOS DE DISTRIBUIÇÃO'!L24,'DRE NEGÓCIOS DE DISTRIBUIÇÃO'!L26:L27)</f>
        <v>0</v>
      </c>
      <c r="M184" s="1">
        <f>SUM('DRE NEGÓCIOS DE DISTRIBUIÇÃO'!M24,'DRE NEGÓCIOS DE DISTRIBUIÇÃO'!M26:M27)</f>
        <v>0</v>
      </c>
      <c r="N184" s="1">
        <f>SUM('DRE NEGÓCIOS DE DISTRIBUIÇÃO'!N24,'DRE NEGÓCIOS DE DISTRIBUIÇÃO'!N26:N27)</f>
        <v>0</v>
      </c>
      <c r="O184" s="1">
        <f>SUM('DRE NEGÓCIOS DE DISTRIBUIÇÃO'!O24,'DRE NEGÓCIOS DE DISTRIBUIÇÃO'!O26:O27)</f>
        <v>0</v>
      </c>
      <c r="P184" s="1">
        <f>SUM('DRE NEGÓCIOS DE DISTRIBUIÇÃO'!P24,'DRE NEGÓCIOS DE DISTRIBUIÇÃO'!P26:P27)</f>
        <v>0</v>
      </c>
      <c r="Q184" s="1">
        <f>SUM('DRE NEGÓCIOS DE DISTRIBUIÇÃO'!Q24,'DRE NEGÓCIOS DE DISTRIBUIÇÃO'!Q26:Q27)</f>
        <v>0</v>
      </c>
      <c r="R184" s="1">
        <f>SUM('DRE NEGÓCIOS DE DISTRIBUIÇÃO'!R24,'DRE NEGÓCIOS DE DISTRIBUIÇÃO'!R26:R27)</f>
        <v>0</v>
      </c>
      <c r="S184" s="1">
        <f>SUM('DRE NEGÓCIOS DE DISTRIBUIÇÃO'!S24,'DRE NEGÓCIOS DE DISTRIBUIÇÃO'!S26:S27)</f>
        <v>0</v>
      </c>
      <c r="T184" s="1">
        <f>SUM('DRE NEGÓCIOS DE DISTRIBUIÇÃO'!T24,'DRE NEGÓCIOS DE DISTRIBUIÇÃO'!T26:T27)</f>
        <v>0</v>
      </c>
      <c r="U184" s="1">
        <f>SUM('DRE NEGÓCIOS DE DISTRIBUIÇÃO'!U24,'DRE NEGÓCIOS DE DISTRIBUIÇÃO'!U26:U27)</f>
        <v>0</v>
      </c>
      <c r="V184" s="1">
        <f>SUM('DRE NEGÓCIOS DE DISTRIBUIÇÃO'!V24,'DRE NEGÓCIOS DE DISTRIBUIÇÃO'!V26:V27)</f>
        <v>0</v>
      </c>
      <c r="W184" s="1">
        <f>SUM('DRE NEGÓCIOS DE DISTRIBUIÇÃO'!W24,'DRE NEGÓCIOS DE DISTRIBUIÇÃO'!W26:W27)</f>
        <v>0</v>
      </c>
      <c r="X184" s="1">
        <f>SUM('DRE NEGÓCIOS DE DISTRIBUIÇÃO'!X24,'DRE NEGÓCIOS DE DISTRIBUIÇÃO'!X26:X27)</f>
        <v>0</v>
      </c>
      <c r="Y184" s="1">
        <f>SUM('DRE NEGÓCIOS DE DISTRIBUIÇÃO'!Y24,'DRE NEGÓCIOS DE DISTRIBUIÇÃO'!Y26:Y27)</f>
        <v>0</v>
      </c>
      <c r="Z184" s="1">
        <f>SUM('DRE NEGÓCIOS DE DISTRIBUIÇÃO'!Z24,'DRE NEGÓCIOS DE DISTRIBUIÇÃO'!Z26:Z27)</f>
        <v>-3</v>
      </c>
      <c r="AA184" s="1">
        <f>SUM('DRE NEGÓCIOS DE DISTRIBUIÇÃO'!AA24,'DRE NEGÓCIOS DE DISTRIBUIÇÃO'!AA26:AA27)</f>
        <v>-3</v>
      </c>
      <c r="AB184" s="1">
        <f>SUM('DRE NEGÓCIOS DE DISTRIBUIÇÃO'!AB24,'DRE NEGÓCIOS DE DISTRIBUIÇÃO'!AB26:AB27)</f>
        <v>-15680</v>
      </c>
      <c r="AC184" s="1">
        <f>SUM('DRE NEGÓCIOS DE DISTRIBUIÇÃO'!AC24,'DRE NEGÓCIOS DE DISTRIBUIÇÃO'!AC26:AC27)</f>
        <v>-41795</v>
      </c>
      <c r="AD184" s="1">
        <f>SUM('DRE NEGÓCIOS DE DISTRIBUIÇÃO'!AD24,'DRE NEGÓCIOS DE DISTRIBUIÇÃO'!AD26:AD27)</f>
        <v>-61821.295000000006</v>
      </c>
      <c r="AE184" s="1">
        <f>SUM('DRE NEGÓCIOS DE DISTRIBUIÇÃO'!AE24,'DRE NEGÓCIOS DE DISTRIBUIÇÃO'!AE26:AE27)</f>
        <v>-74177.704999999987</v>
      </c>
      <c r="AF184" s="1">
        <f>SUM('DRE NEGÓCIOS DE DISTRIBUIÇÃO'!AF24,'DRE NEGÓCIOS DE DISTRIBUIÇÃO'!AF26:AF27)</f>
        <v>-193474</v>
      </c>
      <c r="AG184" s="1">
        <f>SUM('DRE NEGÓCIOS DE DISTRIBUIÇÃO'!AG24,'DRE NEGÓCIOS DE DISTRIBUIÇÃO'!AG26:AG27)</f>
        <v>-84200</v>
      </c>
      <c r="AH184" s="1">
        <f>SUM('DRE NEGÓCIOS DE DISTRIBUIÇÃO'!AH24,'DRE NEGÓCIOS DE DISTRIBUIÇÃO'!AH26:AH27)</f>
        <v>-119282</v>
      </c>
      <c r="AI184" s="1">
        <f>SUM('DRE NEGÓCIOS DE DISTRIBUIÇÃO'!AI24,'DRE NEGÓCIOS DE DISTRIBUIÇÃO'!AI26:AI27)</f>
        <v>-161776</v>
      </c>
      <c r="AJ184" s="1">
        <f>SUM('DRE NEGÓCIOS DE DISTRIBUIÇÃO'!AJ24,'DRE NEGÓCIOS DE DISTRIBUIÇÃO'!AJ26:AJ27)</f>
        <v>-146843</v>
      </c>
      <c r="AK184" s="1">
        <f>SUM('DRE NEGÓCIOS DE DISTRIBUIÇÃO'!AK24,'DRE NEGÓCIOS DE DISTRIBUIÇÃO'!AK26:AK27)</f>
        <v>-512101</v>
      </c>
      <c r="AL184" s="1">
        <f>SUM('DRE NEGÓCIOS DE DISTRIBUIÇÃO'!AL24,'DRE NEGÓCIOS DE DISTRIBUIÇÃO'!AL26:AL27)</f>
        <v>-146400</v>
      </c>
      <c r="AM184" s="1">
        <f>SUM('DRE NEGÓCIOS DE DISTRIBUIÇÃO'!AM24,'DRE NEGÓCIOS DE DISTRIBUIÇÃO'!AM26:AM27)</f>
        <v>-150235</v>
      </c>
      <c r="AN184" s="1">
        <f>SUM('DRE NEGÓCIOS DE DISTRIBUIÇÃO'!AN24,'DRE NEGÓCIOS DE DISTRIBUIÇÃO'!AN26:AN27)</f>
        <v>-167972</v>
      </c>
      <c r="AO184" s="1">
        <f>SUM('DRE NEGÓCIOS DE DISTRIBUIÇÃO'!AO24,'DRE NEGÓCIOS DE DISTRIBUIÇÃO'!AO26:AO27)</f>
        <v>-165849</v>
      </c>
      <c r="AP184" s="1">
        <f>SUM('DRE NEGÓCIOS DE DISTRIBUIÇÃO'!AP24,'DRE NEGÓCIOS DE DISTRIBUIÇÃO'!AP26:AP27)</f>
        <v>-630456</v>
      </c>
      <c r="AQ184" s="1">
        <f>SUM('DRE NEGÓCIOS DE DISTRIBUIÇÃO'!AQ24,'DRE NEGÓCIOS DE DISTRIBUIÇÃO'!AQ26:AQ27)</f>
        <v>-166804.54371</v>
      </c>
      <c r="AR184" s="1">
        <f>SUM('DRE NEGÓCIOS DE DISTRIBUIÇÃO'!AR24,'DRE NEGÓCIOS DE DISTRIBUIÇÃO'!AR26:AR27)</f>
        <v>-171469</v>
      </c>
      <c r="AS184" s="1">
        <f>SUM('DRE NEGÓCIOS DE DISTRIBUIÇÃO'!AS24,'DRE NEGÓCIOS DE DISTRIBUIÇÃO'!AS26:AS27)</f>
        <v>-191711</v>
      </c>
      <c r="AT184" s="1">
        <f>SUM('DRE NEGÓCIOS DE DISTRIBUIÇÃO'!AT24,'DRE NEGÓCIOS DE DISTRIBUIÇÃO'!AT26:AT27)</f>
        <v>-216917</v>
      </c>
      <c r="AU184" s="1">
        <f>SUM('DRE NEGÓCIOS DE DISTRIBUIÇÃO'!AU24,'DRE NEGÓCIOS DE DISTRIBUIÇÃO'!AU26:AU27)</f>
        <v>-746901.54371</v>
      </c>
      <c r="AV184" s="1">
        <f>SUM('DRE NEGÓCIOS DE DISTRIBUIÇÃO'!AV24,'DRE NEGÓCIOS DE DISTRIBUIÇÃO'!AV26:AV27)</f>
        <v>-231897.02614999999</v>
      </c>
      <c r="AW184" s="1">
        <f>SUM('DRE NEGÓCIOS DE DISTRIBUIÇÃO'!AW24,'DRE NEGÓCIOS DE DISTRIBUIÇÃO'!AW26:AW27)</f>
        <v>-221317.37821999996</v>
      </c>
      <c r="AX184" s="1">
        <f>SUM('DRE NEGÓCIOS DE DISTRIBUIÇÃO'!AX24,'DRE NEGÓCIOS DE DISTRIBUIÇÃO'!AX26:AX27)</f>
        <v>-234812.67267</v>
      </c>
      <c r="AY184" s="1">
        <f>SUM('DRE NEGÓCIOS DE DISTRIBUIÇÃO'!AY24,'DRE NEGÓCIOS DE DISTRIBUIÇÃO'!AY26:AY27)</f>
        <v>-244296.08442999999</v>
      </c>
      <c r="AZ184" s="1">
        <f>SUM('DRE NEGÓCIOS DE DISTRIBUIÇÃO'!AZ24,'DRE NEGÓCIOS DE DISTRIBUIÇÃO'!AZ26:AZ27)</f>
        <v>-932323.16146999993</v>
      </c>
      <c r="BA184" s="1">
        <f>SUM('DRE NEGÓCIOS DE DISTRIBUIÇÃO'!BA24,'DRE NEGÓCIOS DE DISTRIBUIÇÃO'!BA26:BA27)</f>
        <v>-234682.10279999994</v>
      </c>
    </row>
    <row r="185" spans="1:59">
      <c r="B185" t="s">
        <v>554</v>
      </c>
      <c r="C185" s="1">
        <f>SUM('DRE HOLDING SEGURIDADE'!C$7:C$8,'DRE HOLDING SEGURIDADE'!C$24:C$25)</f>
        <v>-2216.6877699999995</v>
      </c>
      <c r="D185" s="1">
        <f>SUM('DRE HOLDING SEGURIDADE'!D$7:D$8,'DRE HOLDING SEGURIDADE'!D$24:D$25)</f>
        <v>-4126.8672299999998</v>
      </c>
      <c r="E185" s="1">
        <f>SUM('DRE HOLDING SEGURIDADE'!E$7:E$8,'DRE HOLDING SEGURIDADE'!E$24:E$25)</f>
        <v>-6310.178469999998</v>
      </c>
      <c r="F185" s="1">
        <f>SUM('DRE HOLDING SEGURIDADE'!F$7:F$8,'DRE HOLDING SEGURIDADE'!F$24:F$25)</f>
        <v>-9359.9636399999981</v>
      </c>
      <c r="G185" s="1">
        <f>SUM('DRE HOLDING SEGURIDADE'!G$7:G$8,'DRE HOLDING SEGURIDADE'!G$24:G$25)</f>
        <v>-22013.697109999994</v>
      </c>
      <c r="H185" s="1">
        <f>SUM('DRE HOLDING SEGURIDADE'!H$7:H$8,'DRE HOLDING SEGURIDADE'!H$24:H$25)</f>
        <v>-6669.2848099999983</v>
      </c>
      <c r="I185" s="1">
        <f>SUM('DRE HOLDING SEGURIDADE'!I$7:I$8,'DRE HOLDING SEGURIDADE'!I$24:I$25)</f>
        <v>-7482.5691600000036</v>
      </c>
      <c r="J185" s="1">
        <f>SUM('DRE HOLDING SEGURIDADE'!J$7:J$8,'DRE HOLDING SEGURIDADE'!J$24:J$25)</f>
        <v>-8903.9532499999932</v>
      </c>
      <c r="K185" s="1">
        <f>SUM('DRE HOLDING SEGURIDADE'!K$7:K$8,'DRE HOLDING SEGURIDADE'!K$24:K$25)</f>
        <v>-18001.739829999995</v>
      </c>
      <c r="L185" s="1">
        <f>SUM('DRE HOLDING SEGURIDADE'!L$7:L$8,'DRE HOLDING SEGURIDADE'!L$24:L$25)</f>
        <v>-41057.547049999994</v>
      </c>
      <c r="M185" s="1">
        <f>SUM('DRE HOLDING SEGURIDADE'!M$7:M$8,'DRE HOLDING SEGURIDADE'!M$24:M$25)</f>
        <v>-8161.6838599999992</v>
      </c>
      <c r="N185" s="1">
        <f>SUM('DRE HOLDING SEGURIDADE'!N$7:N$8,'DRE HOLDING SEGURIDADE'!N$24:N$25)</f>
        <v>-10934.564439999995</v>
      </c>
      <c r="O185" s="1">
        <f>SUM('DRE HOLDING SEGURIDADE'!O$7:O$8,'DRE HOLDING SEGURIDADE'!O$24:O$25)</f>
        <v>-14501.978350000012</v>
      </c>
      <c r="P185" s="1">
        <f>SUM('DRE HOLDING SEGURIDADE'!P$7:P$8,'DRE HOLDING SEGURIDADE'!P$24:P$25)</f>
        <v>-15267.086229999997</v>
      </c>
      <c r="Q185" s="1">
        <f>SUM('DRE HOLDING SEGURIDADE'!Q$7:Q$8,'DRE HOLDING SEGURIDADE'!Q$24:Q$25)</f>
        <v>-48865.312879999998</v>
      </c>
      <c r="R185" s="1">
        <f>SUM('DRE HOLDING SEGURIDADE'!R$7:R$8,'DRE HOLDING SEGURIDADE'!R$24:R$25)</f>
        <v>-10504.7711</v>
      </c>
      <c r="S185" s="1">
        <f>SUM('DRE HOLDING SEGURIDADE'!S$7:S$8,'DRE HOLDING SEGURIDADE'!S$24:S$25)</f>
        <v>-12140.768909999995</v>
      </c>
      <c r="T185" s="1">
        <f>SUM('DRE HOLDING SEGURIDADE'!T$7:T$8,'DRE HOLDING SEGURIDADE'!T$24:T$25)</f>
        <v>-12492.777290000004</v>
      </c>
      <c r="U185" s="1">
        <f>SUM('DRE HOLDING SEGURIDADE'!U$7:U$8,'DRE HOLDING SEGURIDADE'!U$24:U$25)</f>
        <v>-12279.429629999995</v>
      </c>
      <c r="V185" s="1">
        <f>SUM('DRE HOLDING SEGURIDADE'!V$7:V$8,'DRE HOLDING SEGURIDADE'!V$24:V$25)</f>
        <v>-47417.746929999994</v>
      </c>
      <c r="W185" s="1">
        <f>SUM('DRE HOLDING SEGURIDADE'!W$7:W$8,'DRE HOLDING SEGURIDADE'!W$24:W$25)</f>
        <v>-17200.195630000002</v>
      </c>
      <c r="X185" s="1">
        <f>SUM('DRE HOLDING SEGURIDADE'!X$7:X$8,'DRE HOLDING SEGURIDADE'!X$24:X$25)</f>
        <v>-12163.021240000002</v>
      </c>
      <c r="Y185" s="1">
        <f>SUM('DRE HOLDING SEGURIDADE'!Y$7:Y$8,'DRE HOLDING SEGURIDADE'!Y$24:Y$25)</f>
        <v>-12638.089829999999</v>
      </c>
      <c r="Z185" s="1">
        <f>SUM('DRE HOLDING SEGURIDADE'!Z$7:Z$8,'DRE HOLDING SEGURIDADE'!Z$24:Z$25)</f>
        <v>-14484.174809999995</v>
      </c>
      <c r="AA185" s="1">
        <f>SUM('DRE HOLDING SEGURIDADE'!AA$7:AA$8,'DRE HOLDING SEGURIDADE'!AA$24:AA$25)</f>
        <v>-56485.481509999998</v>
      </c>
      <c r="AB185" s="1">
        <f>SUM('DRE HOLDING SEGURIDADE'!AB$7:AB$8,'DRE HOLDING SEGURIDADE'!AB$24:AB$25)</f>
        <v>-13418.83628</v>
      </c>
      <c r="AC185" s="1">
        <f>SUM('DRE HOLDING SEGURIDADE'!AC$7:AC$8,'DRE HOLDING SEGURIDADE'!AC$24:AC$25)</f>
        <v>-19238.28773</v>
      </c>
      <c r="AD185" s="1">
        <f>SUM('DRE HOLDING SEGURIDADE'!AD$7:AD$8,'DRE HOLDING SEGURIDADE'!AD$24:AD$25)</f>
        <v>-15093.066740000002</v>
      </c>
      <c r="AE185" s="1">
        <f>SUM('DRE HOLDING SEGURIDADE'!AE$7:AE$8,'DRE HOLDING SEGURIDADE'!AE$24:AE$25)</f>
        <v>-14266</v>
      </c>
      <c r="AF185" s="1">
        <f>SUM('DRE HOLDING SEGURIDADE'!AF$7:AF$8,'DRE HOLDING SEGURIDADE'!AF$24:AF$25)</f>
        <v>-62016.190750000002</v>
      </c>
      <c r="AG185" s="1">
        <f>SUM('DRE HOLDING SEGURIDADE'!AG$7:AG$8,'DRE HOLDING SEGURIDADE'!AG$24:AG$25)</f>
        <v>-19349</v>
      </c>
      <c r="AH185" s="1">
        <f>SUM('DRE HOLDING SEGURIDADE'!AH$7:AH$8,'DRE HOLDING SEGURIDADE'!AH$24:AH$25)</f>
        <v>-21521</v>
      </c>
      <c r="AI185" s="1">
        <f>SUM('DRE HOLDING SEGURIDADE'!AI$7:AI$8,'DRE HOLDING SEGURIDADE'!AI$24:AI$25)</f>
        <v>-20037</v>
      </c>
      <c r="AJ185" s="1">
        <f>SUM('DRE HOLDING SEGURIDADE'!AJ$7:AJ$8,'DRE HOLDING SEGURIDADE'!AJ$24:AJ$25)</f>
        <v>-22901</v>
      </c>
      <c r="AK185" s="1">
        <f>SUM('DRE HOLDING SEGURIDADE'!AK$7:AK$8,'DRE HOLDING SEGURIDADE'!AK$24:AK$25)</f>
        <v>-83808</v>
      </c>
      <c r="AL185" s="1">
        <f>SUM('DRE HOLDING SEGURIDADE'!AL$7:AL$8,'DRE HOLDING SEGURIDADE'!AL$24:AL$25)</f>
        <v>-21487</v>
      </c>
      <c r="AM185" s="1">
        <f>SUM('DRE HOLDING SEGURIDADE'!AM$7:AM$8,'DRE HOLDING SEGURIDADE'!AM$24:AM$25)</f>
        <v>-24788</v>
      </c>
      <c r="AN185" s="1">
        <f>SUM('DRE HOLDING SEGURIDADE'!AN$7:AN$8,'DRE HOLDING SEGURIDADE'!AN$24:AN$25)</f>
        <v>-26133</v>
      </c>
      <c r="AO185" s="1">
        <f>SUM('DRE HOLDING SEGURIDADE'!AO$7:AO$8,'DRE HOLDING SEGURIDADE'!AO$24:AO$25)</f>
        <v>-22380</v>
      </c>
      <c r="AP185" s="1">
        <f>SUM('DRE HOLDING SEGURIDADE'!AP$7:AP$8,'DRE HOLDING SEGURIDADE'!AP$24:AP$25)</f>
        <v>-94788</v>
      </c>
      <c r="AQ185" s="1">
        <f>SUM('DRE HOLDING SEGURIDADE'!AQ$7:AQ$8,'DRE HOLDING SEGURIDADE'!AQ$24:AQ$25)</f>
        <v>-29442.393599999999</v>
      </c>
      <c r="AR185" s="1">
        <f>SUM('DRE HOLDING SEGURIDADE'!AR$7:AR$8,'DRE HOLDING SEGURIDADE'!AR$24:AR$25)</f>
        <v>-26286</v>
      </c>
      <c r="AS185" s="1">
        <f>SUM('DRE HOLDING SEGURIDADE'!AS$7:AS$8,'DRE HOLDING SEGURIDADE'!AS$24:AS$25)</f>
        <v>-24484</v>
      </c>
      <c r="AT185" s="1">
        <f>SUM('DRE HOLDING SEGURIDADE'!AT$7:AT$8,'DRE HOLDING SEGURIDADE'!AT$24:AT$25)</f>
        <v>-23176.531149999995</v>
      </c>
      <c r="AU185" s="1">
        <f>SUM('DRE HOLDING SEGURIDADE'!AU$7:AU$8,'DRE HOLDING SEGURIDADE'!AU$24:AU$25)</f>
        <v>-103388.92474999999</v>
      </c>
      <c r="AV185" s="1">
        <f>SUM('DRE HOLDING SEGURIDADE'!AV$7:AV$8,'DRE HOLDING SEGURIDADE'!AV$24:AV$25)</f>
        <v>-30234.077309999997</v>
      </c>
      <c r="AW185" s="1">
        <f>SUM('DRE HOLDING SEGURIDADE'!AW$7:AW$8,'DRE HOLDING SEGURIDADE'!AW$24:AW$25)</f>
        <v>-29351.436339999997</v>
      </c>
      <c r="AX185" s="1">
        <f>SUM('DRE HOLDING SEGURIDADE'!AX$7:AX$8,'DRE HOLDING SEGURIDADE'!AX$24:AX$25)</f>
        <v>-33111.022209999996</v>
      </c>
      <c r="AY185" s="1">
        <f>SUM('DRE HOLDING SEGURIDADE'!AY$7:AY$8,'DRE HOLDING SEGURIDADE'!AY$24:AY$25)</f>
        <v>-27498.82613999999</v>
      </c>
      <c r="AZ185" s="1">
        <f>SUM('DRE HOLDING SEGURIDADE'!AZ$7:AZ$8,'DRE HOLDING SEGURIDADE'!AZ$24:AZ$25)</f>
        <v>-120195.36199999998</v>
      </c>
      <c r="BA185" s="1">
        <f>SUM('DRE HOLDING SEGURIDADE'!BA$7:BA$8,'DRE HOLDING SEGURIDADE'!BA$24:BA$25)</f>
        <v>-38864.320489999969</v>
      </c>
    </row>
    <row r="186" spans="1:59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</row>
    <row r="187" spans="1:59">
      <c r="A187" s="9"/>
      <c r="B187" s="9" t="s">
        <v>547</v>
      </c>
      <c r="C187" s="76">
        <f t="shared" ref="C187:AV187" si="130">C188+C194</f>
        <v>-1111126.5789400002</v>
      </c>
      <c r="D187" s="76">
        <f t="shared" si="130"/>
        <v>-1244571.112639999</v>
      </c>
      <c r="E187" s="76">
        <f t="shared" si="130"/>
        <v>-1217782.5607100013</v>
      </c>
      <c r="F187" s="76">
        <f t="shared" si="130"/>
        <v>-1334413.1625599966</v>
      </c>
      <c r="G187" s="76">
        <f t="shared" si="130"/>
        <v>-4907893.4148499984</v>
      </c>
      <c r="H187" s="76">
        <f t="shared" si="130"/>
        <v>-1392556.38671</v>
      </c>
      <c r="I187" s="76">
        <f t="shared" si="130"/>
        <v>-1380701.6577700011</v>
      </c>
      <c r="J187" s="76">
        <f t="shared" si="130"/>
        <v>-1515816.5260399987</v>
      </c>
      <c r="K187" s="76">
        <f t="shared" si="130"/>
        <v>-1274611.5140900007</v>
      </c>
      <c r="L187" s="76">
        <f t="shared" si="130"/>
        <v>-5563686.0846100003</v>
      </c>
      <c r="M187" s="76">
        <f t="shared" si="130"/>
        <v>-1437916.0045999996</v>
      </c>
      <c r="N187" s="76">
        <f t="shared" si="130"/>
        <v>-1429170.7515400003</v>
      </c>
      <c r="O187" s="76">
        <f t="shared" si="130"/>
        <v>-1809177.97062</v>
      </c>
      <c r="P187" s="76">
        <f t="shared" si="130"/>
        <v>-1340996.6292599998</v>
      </c>
      <c r="Q187" s="76">
        <f t="shared" si="130"/>
        <v>-6017261.3560199998</v>
      </c>
      <c r="R187" s="76">
        <f t="shared" si="130"/>
        <v>-1456283.9623300005</v>
      </c>
      <c r="S187" s="76">
        <f t="shared" si="130"/>
        <v>-1353255.1156400004</v>
      </c>
      <c r="T187" s="76">
        <f t="shared" si="130"/>
        <v>-1476651.0314700007</v>
      </c>
      <c r="U187" s="76">
        <f t="shared" si="130"/>
        <v>-1401809.5039699997</v>
      </c>
      <c r="V187" s="76">
        <f t="shared" si="130"/>
        <v>-5687999.6134100007</v>
      </c>
      <c r="W187" s="76">
        <f t="shared" si="130"/>
        <v>-1534543.6648799998</v>
      </c>
      <c r="X187" s="76">
        <f t="shared" si="130"/>
        <v>-1459554.0649099997</v>
      </c>
      <c r="Y187" s="76">
        <f t="shared" si="130"/>
        <v>-1653103.1666400002</v>
      </c>
      <c r="Z187" s="76">
        <f t="shared" si="130"/>
        <v>-1713591.0811900008</v>
      </c>
      <c r="AA187" s="76">
        <f t="shared" si="130"/>
        <v>-6360791.977620001</v>
      </c>
      <c r="AB187" s="76">
        <f t="shared" si="130"/>
        <v>-1844655.4859652154</v>
      </c>
      <c r="AC187" s="76">
        <f t="shared" si="130"/>
        <v>-1912650.276084784</v>
      </c>
      <c r="AD187" s="76">
        <f t="shared" si="130"/>
        <v>-1963104.9336600001</v>
      </c>
      <c r="AE187" s="76">
        <f t="shared" si="130"/>
        <v>-1908536.71251</v>
      </c>
      <c r="AF187" s="76">
        <f t="shared" si="130"/>
        <v>-7628947.4082199996</v>
      </c>
      <c r="AG187" s="76">
        <f t="shared" si="130"/>
        <v>-2061411.0311</v>
      </c>
      <c r="AH187" s="76">
        <f t="shared" si="130"/>
        <v>-1993440.9087500002</v>
      </c>
      <c r="AI187" s="76">
        <f t="shared" si="130"/>
        <v>-2241101</v>
      </c>
      <c r="AJ187" s="76">
        <f t="shared" si="130"/>
        <v>-2225537.22028</v>
      </c>
      <c r="AK187" s="76">
        <f t="shared" si="130"/>
        <v>-8521490.1601299997</v>
      </c>
      <c r="AL187" s="76">
        <f t="shared" si="130"/>
        <v>-2098339.7590000001</v>
      </c>
      <c r="AM187" s="76">
        <f t="shared" si="130"/>
        <v>-2088594</v>
      </c>
      <c r="AN187" s="76">
        <f t="shared" si="130"/>
        <v>-2157777</v>
      </c>
      <c r="AO187" s="76">
        <f t="shared" si="130"/>
        <v>-2309274.915</v>
      </c>
      <c r="AP187" s="76">
        <f t="shared" si="130"/>
        <v>-8653985.6739999987</v>
      </c>
      <c r="AQ187" s="76">
        <f t="shared" si="130"/>
        <v>-2206915.4357099999</v>
      </c>
      <c r="AR187" s="76">
        <f t="shared" si="130"/>
        <v>-2778626.1069999998</v>
      </c>
      <c r="AS187" s="76">
        <f t="shared" si="130"/>
        <v>-2395365.6669019004</v>
      </c>
      <c r="AT187" s="76">
        <f t="shared" si="130"/>
        <v>-2549114.4231500002</v>
      </c>
      <c r="AU187" s="76">
        <f t="shared" si="130"/>
        <v>-9930021.6327618994</v>
      </c>
      <c r="AV187" s="76">
        <f t="shared" si="130"/>
        <v>-2590649.85947</v>
      </c>
      <c r="AW187" s="76">
        <f>AW188+AW194</f>
        <v>-2580498.3664200003</v>
      </c>
      <c r="AX187" s="76">
        <f>AX188+AX194</f>
        <v>-2660995.65613</v>
      </c>
      <c r="AY187" s="76">
        <f>AY188+AY194</f>
        <v>-2828895.6978499996</v>
      </c>
      <c r="AZ187" s="76">
        <f>AZ188+AZ194</f>
        <v>-10661039.57987</v>
      </c>
      <c r="BA187" s="76">
        <f t="shared" ref="BA187" si="131">BA188+BA194</f>
        <v>-2610600.0126599995</v>
      </c>
    </row>
    <row r="188" spans="1:59" s="100" customFormat="1">
      <c r="A188" s="2"/>
      <c r="B188" s="2" t="s">
        <v>549</v>
      </c>
      <c r="C188" s="3">
        <f t="shared" ref="C188:AU188" si="132">SUM(C190:C193)</f>
        <v>-1001697.8299400001</v>
      </c>
      <c r="D188" s="3">
        <f t="shared" si="132"/>
        <v>-1136003.7536399991</v>
      </c>
      <c r="E188" s="3">
        <f t="shared" si="132"/>
        <v>-1090385.2717100014</v>
      </c>
      <c r="F188" s="3">
        <f t="shared" si="132"/>
        <v>-1144691.0805599967</v>
      </c>
      <c r="G188" s="3">
        <f t="shared" si="132"/>
        <v>-4372777.9358499981</v>
      </c>
      <c r="H188" s="3">
        <f t="shared" si="132"/>
        <v>-1250207.84712</v>
      </c>
      <c r="I188" s="3">
        <f t="shared" si="132"/>
        <v>-1240356.179290001</v>
      </c>
      <c r="J188" s="3">
        <f t="shared" si="132"/>
        <v>-1364498.8351499988</v>
      </c>
      <c r="K188" s="3">
        <f t="shared" si="132"/>
        <v>-1145199.3129000007</v>
      </c>
      <c r="L188" s="3">
        <f t="shared" si="132"/>
        <v>-5000262.1744600004</v>
      </c>
      <c r="M188" s="3">
        <f t="shared" si="132"/>
        <v>-1310246.6121999996</v>
      </c>
      <c r="N188" s="3">
        <f t="shared" si="132"/>
        <v>-1281587.8268500003</v>
      </c>
      <c r="O188" s="3">
        <f t="shared" si="132"/>
        <v>-1657638.31812</v>
      </c>
      <c r="P188" s="3">
        <f t="shared" si="132"/>
        <v>-1174790.7742599999</v>
      </c>
      <c r="Q188" s="3">
        <f t="shared" si="132"/>
        <v>-5424263.5314299995</v>
      </c>
      <c r="R188" s="3">
        <f t="shared" si="132"/>
        <v>-1296655.6237000003</v>
      </c>
      <c r="S188" s="3">
        <f t="shared" si="132"/>
        <v>-1186592.8452700004</v>
      </c>
      <c r="T188" s="3">
        <f t="shared" si="132"/>
        <v>-1302921.5174700008</v>
      </c>
      <c r="U188" s="3">
        <f t="shared" si="132"/>
        <v>-1219269.8209099998</v>
      </c>
      <c r="V188" s="3">
        <f t="shared" si="132"/>
        <v>-5005439.8073500004</v>
      </c>
      <c r="W188" s="3">
        <f t="shared" si="132"/>
        <v>-1353128.5268799998</v>
      </c>
      <c r="X188" s="3">
        <f t="shared" si="132"/>
        <v>-1285208.1461699996</v>
      </c>
      <c r="Y188" s="3">
        <f t="shared" si="132"/>
        <v>-1464414.2186400001</v>
      </c>
      <c r="Z188" s="3">
        <f t="shared" si="132"/>
        <v>-1501087.2171900007</v>
      </c>
      <c r="AA188" s="3">
        <f t="shared" si="132"/>
        <v>-5603838.1088800011</v>
      </c>
      <c r="AB188" s="3">
        <f t="shared" si="132"/>
        <v>-1626221.5839652154</v>
      </c>
      <c r="AC188" s="3">
        <f t="shared" si="132"/>
        <v>-1702875.2610847841</v>
      </c>
      <c r="AD188" s="3">
        <f t="shared" si="132"/>
        <v>-1754484.1297500001</v>
      </c>
      <c r="AE188" s="3">
        <f t="shared" si="132"/>
        <v>-1704285.71251</v>
      </c>
      <c r="AF188" s="3">
        <f t="shared" si="132"/>
        <v>-6787866.68731</v>
      </c>
      <c r="AG188" s="3">
        <f t="shared" si="132"/>
        <v>-1827309.0311</v>
      </c>
      <c r="AH188" s="3">
        <f t="shared" si="132"/>
        <v>-1749903.9087500002</v>
      </c>
      <c r="AI188" s="3">
        <f t="shared" si="132"/>
        <v>-2019766</v>
      </c>
      <c r="AJ188" s="3">
        <f t="shared" si="132"/>
        <v>-1988670.2202799998</v>
      </c>
      <c r="AK188" s="3">
        <f t="shared" si="132"/>
        <v>-7585649.1601299997</v>
      </c>
      <c r="AL188" s="3">
        <f t="shared" si="132"/>
        <v>-1848837.7590000001</v>
      </c>
      <c r="AM188" s="3">
        <f t="shared" si="132"/>
        <v>-1799303</v>
      </c>
      <c r="AN188" s="3">
        <f t="shared" si="132"/>
        <v>-1865062</v>
      </c>
      <c r="AO188" s="3">
        <f t="shared" si="132"/>
        <v>-1996895</v>
      </c>
      <c r="AP188" s="3">
        <f t="shared" si="132"/>
        <v>-7510097.7589999996</v>
      </c>
      <c r="AQ188" s="3">
        <f t="shared" si="132"/>
        <v>-1930729.4777099998</v>
      </c>
      <c r="AR188" s="3">
        <f t="shared" si="132"/>
        <v>-2481323</v>
      </c>
      <c r="AS188" s="3">
        <f t="shared" si="132"/>
        <v>-2113064.1229019002</v>
      </c>
      <c r="AT188" s="3">
        <f t="shared" si="132"/>
        <v>-2203746.5311500002</v>
      </c>
      <c r="AU188" s="3">
        <f t="shared" si="132"/>
        <v>-8728863.1317618992</v>
      </c>
      <c r="AV188" s="3">
        <f t="shared" ref="AV188" si="133">SUM(AV190:AV193)</f>
        <v>-2262795.7774700001</v>
      </c>
      <c r="AW188" s="3">
        <f>SUM(AW190:AW193)</f>
        <v>-2230378.1614200003</v>
      </c>
      <c r="AX188" s="3">
        <f>SUM(AX190:AX193)</f>
        <v>-2329508.8021300002</v>
      </c>
      <c r="AY188" s="3">
        <f>SUM(AY190:AY193)</f>
        <v>-2385592.6848499998</v>
      </c>
      <c r="AZ188" s="3">
        <f>SUM(AZ190:AZ193)</f>
        <v>-9208275.4258700013</v>
      </c>
      <c r="BA188" s="3">
        <f t="shared" ref="BA188" si="134">SUM(BA190:BA193)</f>
        <v>-2264960.5026599998</v>
      </c>
      <c r="BB188" s="20"/>
      <c r="BC188" s="20"/>
      <c r="BD188" s="20"/>
      <c r="BE188" s="20"/>
      <c r="BF188" s="20"/>
      <c r="BG188" s="20"/>
    </row>
    <row r="189" spans="1:59">
      <c r="B189" s="11" t="s">
        <v>462</v>
      </c>
      <c r="C189" s="8">
        <f t="shared" ref="C189:AV189" si="135">C190+C191</f>
        <v>-989245.14217000012</v>
      </c>
      <c r="D189" s="8">
        <f t="shared" si="135"/>
        <v>-1122675.8864099991</v>
      </c>
      <c r="E189" s="8">
        <f t="shared" si="135"/>
        <v>-1072777.0932400015</v>
      </c>
      <c r="F189" s="8">
        <f t="shared" si="135"/>
        <v>-1123973.1169199967</v>
      </c>
      <c r="G189" s="8">
        <f t="shared" si="135"/>
        <v>-4308671.2387399981</v>
      </c>
      <c r="H189" s="8">
        <f t="shared" si="135"/>
        <v>-1229197.4961900001</v>
      </c>
      <c r="I189" s="8">
        <f t="shared" si="135"/>
        <v>-1219772.7472500009</v>
      </c>
      <c r="J189" s="8">
        <f t="shared" si="135"/>
        <v>-1341867.0121299988</v>
      </c>
      <c r="K189" s="8">
        <f t="shared" si="135"/>
        <v>-1115655.0920200008</v>
      </c>
      <c r="L189" s="8">
        <f t="shared" si="135"/>
        <v>-4906492.3475900004</v>
      </c>
      <c r="M189" s="8">
        <f t="shared" si="135"/>
        <v>-1282131.8317799997</v>
      </c>
      <c r="N189" s="8">
        <f t="shared" si="135"/>
        <v>-1255150.6433800003</v>
      </c>
      <c r="O189" s="8">
        <f t="shared" si="135"/>
        <v>-1628221.3425099999</v>
      </c>
      <c r="P189" s="8">
        <f t="shared" si="135"/>
        <v>-1142254.0322599998</v>
      </c>
      <c r="Q189" s="8">
        <f t="shared" si="135"/>
        <v>-5307757.8499299996</v>
      </c>
      <c r="R189" s="8">
        <f t="shared" si="135"/>
        <v>-1268618.8526000003</v>
      </c>
      <c r="S189" s="8">
        <f t="shared" si="135"/>
        <v>-1156337.0763600003</v>
      </c>
      <c r="T189" s="8">
        <f t="shared" si="135"/>
        <v>-1271086.7401800007</v>
      </c>
      <c r="U189" s="8">
        <f t="shared" si="135"/>
        <v>-1194875.3534299997</v>
      </c>
      <c r="V189" s="8">
        <f t="shared" si="135"/>
        <v>-4890918.02257</v>
      </c>
      <c r="W189" s="8">
        <f t="shared" si="135"/>
        <v>-1322627.3312499998</v>
      </c>
      <c r="X189" s="8">
        <f t="shared" si="135"/>
        <v>-1257059.1249299997</v>
      </c>
      <c r="Y189" s="8">
        <f t="shared" si="135"/>
        <v>-1420556.1288100001</v>
      </c>
      <c r="Z189" s="8">
        <f t="shared" si="135"/>
        <v>-1463583.0462800006</v>
      </c>
      <c r="AA189" s="8">
        <f t="shared" si="135"/>
        <v>-5463825.6312700007</v>
      </c>
      <c r="AB189" s="8">
        <f t="shared" si="135"/>
        <v>-779313.49108999956</v>
      </c>
      <c r="AC189" s="8">
        <f t="shared" si="135"/>
        <v>-788939.26284999994</v>
      </c>
      <c r="AD189" s="8">
        <f t="shared" si="135"/>
        <v>-774989.46394000016</v>
      </c>
      <c r="AE189" s="8">
        <f t="shared" si="135"/>
        <v>-641197.99282000004</v>
      </c>
      <c r="AF189" s="8">
        <f t="shared" si="135"/>
        <v>-2984440.2106999997</v>
      </c>
      <c r="AG189" s="8">
        <f t="shared" si="135"/>
        <v>-633246.03110000002</v>
      </c>
      <c r="AH189" s="8">
        <f t="shared" si="135"/>
        <v>-591100.90875000018</v>
      </c>
      <c r="AI189" s="8">
        <f t="shared" si="135"/>
        <v>-657026</v>
      </c>
      <c r="AJ189" s="8">
        <f t="shared" si="135"/>
        <v>-645236.22027999978</v>
      </c>
      <c r="AK189" s="8">
        <f t="shared" si="135"/>
        <v>-2526609.1601299997</v>
      </c>
      <c r="AL189" s="8">
        <f t="shared" si="135"/>
        <v>-474322</v>
      </c>
      <c r="AM189" s="8">
        <f t="shared" si="135"/>
        <v>-440147</v>
      </c>
      <c r="AN189" s="8">
        <f t="shared" si="135"/>
        <v>-441760</v>
      </c>
      <c r="AO189" s="8">
        <f t="shared" si="135"/>
        <v>-418704</v>
      </c>
      <c r="AP189" s="8">
        <f t="shared" si="135"/>
        <v>-1774933</v>
      </c>
      <c r="AQ189" s="8">
        <f t="shared" si="135"/>
        <v>-435015.49400000001</v>
      </c>
      <c r="AR189" s="8">
        <f t="shared" si="135"/>
        <v>-518335</v>
      </c>
      <c r="AS189" s="8">
        <f t="shared" si="135"/>
        <v>-448833</v>
      </c>
      <c r="AT189" s="8">
        <f t="shared" si="135"/>
        <v>-432056</v>
      </c>
      <c r="AU189" s="8">
        <f t="shared" si="135"/>
        <v>-1834239.4939999999</v>
      </c>
      <c r="AV189" s="8">
        <f t="shared" si="135"/>
        <v>-492389.36700000003</v>
      </c>
      <c r="AW189" s="8">
        <f>AW190+AW191</f>
        <v>-434735.50600000005</v>
      </c>
      <c r="AX189" s="8">
        <f>AX190+AX191</f>
        <v>-462400</v>
      </c>
      <c r="AY189" s="8">
        <f>AY190+AY191</f>
        <v>-457833</v>
      </c>
      <c r="AZ189" s="8">
        <f>AZ190+AZ191</f>
        <v>-1847357.8730000001</v>
      </c>
      <c r="BA189" s="8">
        <f t="shared" ref="BA189" si="136">BA190+BA191</f>
        <v>-445861</v>
      </c>
    </row>
    <row r="190" spans="1:59">
      <c r="B190" s="231" t="s">
        <v>581</v>
      </c>
      <c r="C190" s="1">
        <f t="shared" ref="C190:AU190" si="137">SUM(C162:C165)+(C161*(SUM(C162:C165)/SUM(C162:C170)))</f>
        <v>-838136.26786145696</v>
      </c>
      <c r="D190" s="1">
        <f t="shared" si="137"/>
        <v>-888805.04320165201</v>
      </c>
      <c r="E190" s="1">
        <f t="shared" si="137"/>
        <v>-816199.12834522792</v>
      </c>
      <c r="F190" s="1">
        <f t="shared" si="137"/>
        <v>-969906.76095701684</v>
      </c>
      <c r="G190" s="1">
        <f t="shared" si="137"/>
        <v>-3513125.31692224</v>
      </c>
      <c r="H190" s="1">
        <f t="shared" si="137"/>
        <v>-1053969.9991592064</v>
      </c>
      <c r="I190" s="1">
        <f t="shared" si="137"/>
        <v>-1055228.2554935999</v>
      </c>
      <c r="J190" s="1">
        <f t="shared" si="137"/>
        <v>-1198761.9036717752</v>
      </c>
      <c r="K190" s="1">
        <f t="shared" si="137"/>
        <v>-1002889.3355240925</v>
      </c>
      <c r="L190" s="1">
        <f t="shared" si="137"/>
        <v>-4310868.0054573528</v>
      </c>
      <c r="M190" s="1">
        <f t="shared" si="137"/>
        <v>-1126028.0960807779</v>
      </c>
      <c r="N190" s="1">
        <f t="shared" si="137"/>
        <v>-1113171.5254374163</v>
      </c>
      <c r="O190" s="1">
        <f t="shared" si="137"/>
        <v>-1481164.673490694</v>
      </c>
      <c r="P190" s="1">
        <f t="shared" si="137"/>
        <v>-1026231.0253839134</v>
      </c>
      <c r="Q190" s="1">
        <f t="shared" si="137"/>
        <v>-4746454.4732846646</v>
      </c>
      <c r="R190" s="1">
        <f t="shared" si="137"/>
        <v>-1168896.9283636604</v>
      </c>
      <c r="S190" s="1">
        <f t="shared" si="137"/>
        <v>-1078566.575231533</v>
      </c>
      <c r="T190" s="1">
        <f t="shared" si="137"/>
        <v>-1204281.5546416321</v>
      </c>
      <c r="U190" s="1">
        <f t="shared" si="137"/>
        <v>-1117300.7703247357</v>
      </c>
      <c r="V190" s="1">
        <f t="shared" si="137"/>
        <v>-4569011.9822327141</v>
      </c>
      <c r="W190" s="1">
        <f t="shared" si="137"/>
        <v>-1271651.253028607</v>
      </c>
      <c r="X190" s="1">
        <f t="shared" si="137"/>
        <v>-1199497.0852018849</v>
      </c>
      <c r="Y190" s="1">
        <f t="shared" si="137"/>
        <v>-1365165.2011621178</v>
      </c>
      <c r="Z190" s="1">
        <f t="shared" si="137"/>
        <v>-1411036.8635289187</v>
      </c>
      <c r="AA190" s="1">
        <f t="shared" si="137"/>
        <v>-5247365.8665388543</v>
      </c>
      <c r="AB190" s="1">
        <f t="shared" si="137"/>
        <v>-732835.31186957075</v>
      </c>
      <c r="AC190" s="1">
        <f t="shared" si="137"/>
        <v>-743169.68223180412</v>
      </c>
      <c r="AD190" s="1">
        <f t="shared" si="137"/>
        <v>-728969.25198628893</v>
      </c>
      <c r="AE190" s="1">
        <f t="shared" si="137"/>
        <v>-593399.11632560927</v>
      </c>
      <c r="AF190" s="1">
        <f t="shared" si="137"/>
        <v>-2798269.8990422608</v>
      </c>
      <c r="AG190" s="1">
        <f t="shared" si="137"/>
        <v>-585007.53403440851</v>
      </c>
      <c r="AH190" s="1">
        <f t="shared" si="137"/>
        <v>-542745.41157148173</v>
      </c>
      <c r="AI190" s="1">
        <f t="shared" si="137"/>
        <v>-612515.79359723348</v>
      </c>
      <c r="AJ190" s="1">
        <f t="shared" si="137"/>
        <v>-600435.63244769326</v>
      </c>
      <c r="AK190" s="1">
        <f t="shared" si="137"/>
        <v>-2340656.2623626143</v>
      </c>
      <c r="AL190" s="1">
        <f t="shared" si="137"/>
        <v>-473883.76475396921</v>
      </c>
      <c r="AM190" s="1">
        <f t="shared" si="137"/>
        <v>-442729.99147384317</v>
      </c>
      <c r="AN190" s="1">
        <f t="shared" si="137"/>
        <v>-438399.84318056324</v>
      </c>
      <c r="AO190" s="1">
        <f t="shared" si="137"/>
        <v>-413662.56906402041</v>
      </c>
      <c r="AP190" s="1">
        <f t="shared" si="137"/>
        <v>-1768681.7689651086</v>
      </c>
      <c r="AQ190" s="1">
        <f t="shared" si="137"/>
        <v>-431244.00732045254</v>
      </c>
      <c r="AR190" s="1">
        <f t="shared" si="137"/>
        <v>-513847.5679774966</v>
      </c>
      <c r="AS190" s="1">
        <f t="shared" si="137"/>
        <v>-443463.31483279058</v>
      </c>
      <c r="AT190" s="1">
        <f t="shared" si="137"/>
        <v>-430299.43746213993</v>
      </c>
      <c r="AU190" s="1">
        <f t="shared" si="137"/>
        <v>-1818849.2484644277</v>
      </c>
      <c r="AV190" s="1">
        <f t="shared" ref="AV190" si="138">SUM(AV162:AV165)+(AV161*(SUM(AV162:AV165)/SUM(AV162:AV170)))</f>
        <v>-485281.84361329052</v>
      </c>
      <c r="AW190" s="1">
        <f>SUM(AW162:AW165)+(AW161*(SUM(AW162:AW165)/SUM(AW162:AW170)))</f>
        <v>-428737.2846974234</v>
      </c>
      <c r="AX190" s="1">
        <f>SUM(AX162:AX165)+(AX161*(SUM(AX162:AX165)/SUM(AX162:AX170)))</f>
        <v>-459052.39695613564</v>
      </c>
      <c r="AY190" s="1">
        <f>SUM(AY162:AY165)+(AY161*(SUM(AY162:AY165)/SUM(AY162:AY170)))</f>
        <v>-453709.28426943341</v>
      </c>
      <c r="AZ190" s="1">
        <f>SUM(AZ162:AZ165)+(AZ161*(SUM(AZ162:AZ165)/SUM(AZ162:AZ170)))</f>
        <v>-1826787.4875896883</v>
      </c>
      <c r="BA190" s="1">
        <f t="shared" ref="BA190" si="139">SUM(BA162:BA165)+(BA161*(SUM(BA162:BA165)/SUM(BA162:BA170)))</f>
        <v>-445763.70562549494</v>
      </c>
    </row>
    <row r="191" spans="1:59">
      <c r="B191" s="231" t="s">
        <v>582</v>
      </c>
      <c r="C191" s="1">
        <f t="shared" ref="C191:AU191" si="140">SUM(C166:C170)+(C161*(SUM(C166:C170)/SUM(C162:C170)))</f>
        <v>-151108.87430854319</v>
      </c>
      <c r="D191" s="1">
        <f t="shared" si="140"/>
        <v>-233870.84320834701</v>
      </c>
      <c r="E191" s="1">
        <f t="shared" si="140"/>
        <v>-256577.96489477361</v>
      </c>
      <c r="F191" s="1">
        <f t="shared" si="140"/>
        <v>-154066.3559629799</v>
      </c>
      <c r="G191" s="1">
        <f t="shared" si="140"/>
        <v>-795545.921817758</v>
      </c>
      <c r="H191" s="1">
        <f t="shared" si="140"/>
        <v>-175227.49703079372</v>
      </c>
      <c r="I191" s="1">
        <f t="shared" si="140"/>
        <v>-164544.49175640105</v>
      </c>
      <c r="J191" s="1">
        <f t="shared" si="140"/>
        <v>-143105.10845822358</v>
      </c>
      <c r="K191" s="1">
        <f t="shared" si="140"/>
        <v>-112765.75649590832</v>
      </c>
      <c r="L191" s="1">
        <f t="shared" si="140"/>
        <v>-595624.34213264752</v>
      </c>
      <c r="M191" s="1">
        <f t="shared" si="140"/>
        <v>-156103.7356992217</v>
      </c>
      <c r="N191" s="1">
        <f t="shared" si="140"/>
        <v>-141979.11794258404</v>
      </c>
      <c r="O191" s="1">
        <f t="shared" si="140"/>
        <v>-147056.66901930587</v>
      </c>
      <c r="P191" s="1">
        <f t="shared" si="140"/>
        <v>-116023.00687608647</v>
      </c>
      <c r="Q191" s="1">
        <f t="shared" si="140"/>
        <v>-561303.37664533476</v>
      </c>
      <c r="R191" s="1">
        <f t="shared" si="140"/>
        <v>-99721.92423634007</v>
      </c>
      <c r="S191" s="1">
        <f t="shared" si="140"/>
        <v>-77770.501128467164</v>
      </c>
      <c r="T191" s="1">
        <f t="shared" si="140"/>
        <v>-66805.185538368503</v>
      </c>
      <c r="U191" s="1">
        <f t="shared" si="140"/>
        <v>-77574.583105264101</v>
      </c>
      <c r="V191" s="1">
        <f t="shared" si="140"/>
        <v>-321906.04033728607</v>
      </c>
      <c r="W191" s="1">
        <f t="shared" si="140"/>
        <v>-50976.07822139276</v>
      </c>
      <c r="X191" s="1">
        <f t="shared" si="140"/>
        <v>-57562.03972811484</v>
      </c>
      <c r="Y191" s="1">
        <f t="shared" si="140"/>
        <v>-55390.927647882272</v>
      </c>
      <c r="Z191" s="1">
        <f t="shared" si="140"/>
        <v>-52546.182751081826</v>
      </c>
      <c r="AA191" s="1">
        <f t="shared" si="140"/>
        <v>-216459.76473114631</v>
      </c>
      <c r="AB191" s="1">
        <f t="shared" si="140"/>
        <v>-46478.179220428799</v>
      </c>
      <c r="AC191" s="1">
        <f t="shared" si="140"/>
        <v>-45769.580618195847</v>
      </c>
      <c r="AD191" s="1">
        <f t="shared" si="140"/>
        <v>-46020.211953711208</v>
      </c>
      <c r="AE191" s="1">
        <f t="shared" si="140"/>
        <v>-47798.876494390766</v>
      </c>
      <c r="AF191" s="1">
        <f t="shared" si="140"/>
        <v>-186170.3116577391</v>
      </c>
      <c r="AG191" s="1">
        <f t="shared" si="140"/>
        <v>-48238.497065591524</v>
      </c>
      <c r="AH191" s="1">
        <f t="shared" si="140"/>
        <v>-48355.497178518439</v>
      </c>
      <c r="AI191" s="1">
        <f t="shared" si="140"/>
        <v>-44510.206402766482</v>
      </c>
      <c r="AJ191" s="1">
        <f t="shared" si="140"/>
        <v>-44800.58783230657</v>
      </c>
      <c r="AK191" s="1">
        <f t="shared" si="140"/>
        <v>-185952.89776738567</v>
      </c>
      <c r="AL191" s="1">
        <f t="shared" si="140"/>
        <v>-438.23524603076606</v>
      </c>
      <c r="AM191" s="1">
        <f t="shared" si="140"/>
        <v>2582.9914738431739</v>
      </c>
      <c r="AN191" s="1">
        <f t="shared" si="140"/>
        <v>-3360.1568194367751</v>
      </c>
      <c r="AO191" s="1">
        <f t="shared" si="140"/>
        <v>-5041.4309359795752</v>
      </c>
      <c r="AP191" s="1">
        <f t="shared" si="140"/>
        <v>-6251.2310348913788</v>
      </c>
      <c r="AQ191" s="1">
        <f t="shared" si="140"/>
        <v>-3771.4866795474891</v>
      </c>
      <c r="AR191" s="1">
        <f t="shared" si="140"/>
        <v>-4487.4320225034289</v>
      </c>
      <c r="AS191" s="1">
        <f t="shared" si="140"/>
        <v>-5369.685167209419</v>
      </c>
      <c r="AT191" s="1">
        <f t="shared" si="140"/>
        <v>-1756.5625378600785</v>
      </c>
      <c r="AU191" s="1">
        <f t="shared" si="140"/>
        <v>-15390.245535572254</v>
      </c>
      <c r="AV191" s="1">
        <f t="shared" ref="AV191" si="141">SUM(AV166:AV170)+(AV161*(SUM(AV166:AV170)/SUM(AV162:AV170)))</f>
        <v>-7107.5233867095094</v>
      </c>
      <c r="AW191" s="1">
        <f>SUM(AW166:AW170)+(AW161*(SUM(AW166:AW170)/SUM(AW162:AW170)))</f>
        <v>-5998.2213025766332</v>
      </c>
      <c r="AX191" s="1">
        <f>SUM(AX166:AX170)+(AX161*(SUM(AX166:AX170)/SUM(AX162:AX170)))</f>
        <v>-3347.6030438643843</v>
      </c>
      <c r="AY191" s="1">
        <f>SUM(AY166:AY170)+(AY161*(SUM(AY166:AY170)/SUM(AY162:AY170)))</f>
        <v>-4123.7157305665796</v>
      </c>
      <c r="AZ191" s="1">
        <f>SUM(AZ166:AZ170)+(AZ161*(SUM(AZ166:AZ170)/SUM(AZ162:AZ170)))</f>
        <v>-20570.385410311788</v>
      </c>
      <c r="BA191" s="1">
        <f t="shared" ref="BA191" si="142">SUM(BA166:BA170)+(BA161*(SUM(BA166:BA170)/SUM(BA162:BA170)))</f>
        <v>-97.294374505075226</v>
      </c>
    </row>
    <row r="192" spans="1:59">
      <c r="B192" s="11" t="s">
        <v>446</v>
      </c>
      <c r="C192" s="1">
        <f t="shared" ref="C192:AV192" si="143">C171</f>
        <v>0</v>
      </c>
      <c r="D192" s="1">
        <f t="shared" si="143"/>
        <v>0</v>
      </c>
      <c r="E192" s="1">
        <f t="shared" si="143"/>
        <v>0</v>
      </c>
      <c r="F192" s="1">
        <f t="shared" si="143"/>
        <v>0</v>
      </c>
      <c r="G192" s="1">
        <f t="shared" si="143"/>
        <v>0</v>
      </c>
      <c r="H192" s="1">
        <f t="shared" si="143"/>
        <v>0</v>
      </c>
      <c r="I192" s="1">
        <f t="shared" si="143"/>
        <v>0</v>
      </c>
      <c r="J192" s="1">
        <f t="shared" si="143"/>
        <v>0</v>
      </c>
      <c r="K192" s="1">
        <f t="shared" si="143"/>
        <v>0</v>
      </c>
      <c r="L192" s="1">
        <f t="shared" si="143"/>
        <v>0</v>
      </c>
      <c r="M192" s="1">
        <f t="shared" si="143"/>
        <v>0</v>
      </c>
      <c r="N192" s="1">
        <f t="shared" si="143"/>
        <v>0</v>
      </c>
      <c r="O192" s="1">
        <f t="shared" si="143"/>
        <v>0</v>
      </c>
      <c r="P192" s="1">
        <f t="shared" si="143"/>
        <v>0</v>
      </c>
      <c r="Q192" s="1">
        <f t="shared" si="143"/>
        <v>0</v>
      </c>
      <c r="R192" s="1">
        <f t="shared" si="143"/>
        <v>0</v>
      </c>
      <c r="S192" s="1">
        <f t="shared" si="143"/>
        <v>0</v>
      </c>
      <c r="T192" s="1">
        <f t="shared" si="143"/>
        <v>0</v>
      </c>
      <c r="U192" s="1">
        <f t="shared" si="143"/>
        <v>0</v>
      </c>
      <c r="V192" s="1">
        <f t="shared" si="143"/>
        <v>0</v>
      </c>
      <c r="W192" s="1">
        <f t="shared" si="143"/>
        <v>0</v>
      </c>
      <c r="X192" s="1">
        <f t="shared" si="143"/>
        <v>0</v>
      </c>
      <c r="Y192" s="1">
        <f t="shared" si="143"/>
        <v>0</v>
      </c>
      <c r="Z192" s="1">
        <f t="shared" si="143"/>
        <v>-189.99610000000001</v>
      </c>
      <c r="AA192" s="1">
        <f t="shared" si="143"/>
        <v>-189.99610000000001</v>
      </c>
      <c r="AB192" s="1">
        <f t="shared" si="143"/>
        <v>-810477.25659521576</v>
      </c>
      <c r="AC192" s="1">
        <f t="shared" si="143"/>
        <v>-847990.9887847841</v>
      </c>
      <c r="AD192" s="1">
        <f t="shared" si="143"/>
        <v>-898357.32164999971</v>
      </c>
      <c r="AE192" s="1">
        <f t="shared" si="143"/>
        <v>-972923.01468999998</v>
      </c>
      <c r="AF192" s="1">
        <f t="shared" si="143"/>
        <v>-3529748.5817199997</v>
      </c>
      <c r="AG192" s="1">
        <f t="shared" si="143"/>
        <v>-1085362</v>
      </c>
      <c r="AH192" s="1">
        <f t="shared" si="143"/>
        <v>-1014394</v>
      </c>
      <c r="AI192" s="1">
        <f t="shared" si="143"/>
        <v>-1177418</v>
      </c>
      <c r="AJ192" s="1">
        <f t="shared" si="143"/>
        <v>-1169565</v>
      </c>
      <c r="AK192" s="1">
        <f t="shared" si="143"/>
        <v>-4446739</v>
      </c>
      <c r="AL192" s="1">
        <f t="shared" si="143"/>
        <v>-1202159.7590000001</v>
      </c>
      <c r="AM192" s="1">
        <f t="shared" si="143"/>
        <v>-1179520</v>
      </c>
      <c r="AN192" s="1">
        <f t="shared" si="143"/>
        <v>-1225060</v>
      </c>
      <c r="AO192" s="1">
        <f t="shared" si="143"/>
        <v>-1385426</v>
      </c>
      <c r="AP192" s="1">
        <f t="shared" si="143"/>
        <v>-4992165.7589999996</v>
      </c>
      <c r="AQ192" s="1">
        <f t="shared" si="143"/>
        <v>-1294316.44</v>
      </c>
      <c r="AR192" s="1">
        <f t="shared" si="143"/>
        <v>-1760661</v>
      </c>
      <c r="AS192" s="1">
        <f t="shared" si="143"/>
        <v>-1443389</v>
      </c>
      <c r="AT192" s="1">
        <f t="shared" si="143"/>
        <v>-1523585</v>
      </c>
      <c r="AU192" s="1">
        <f t="shared" si="143"/>
        <v>-6021951.4399999995</v>
      </c>
      <c r="AV192" s="1">
        <f t="shared" si="143"/>
        <v>-1501430.412</v>
      </c>
      <c r="AW192" s="1">
        <f>AW171</f>
        <v>-1539729.4820000001</v>
      </c>
      <c r="AX192" s="1">
        <f>AX171</f>
        <v>-1593806.682</v>
      </c>
      <c r="AY192" s="1">
        <f>AY171</f>
        <v>-1648590.6200899999</v>
      </c>
      <c r="AZ192" s="1">
        <f>AZ171</f>
        <v>-6283557.1960900007</v>
      </c>
      <c r="BA192" s="1">
        <f t="shared" ref="BA192" si="144">BA171</f>
        <v>-1540728</v>
      </c>
    </row>
    <row r="193" spans="1:53">
      <c r="B193" s="11" t="s">
        <v>554</v>
      </c>
      <c r="C193" s="1">
        <f t="shared" ref="C193:AV193" si="145">C182</f>
        <v>-12452.68777</v>
      </c>
      <c r="D193" s="1">
        <f t="shared" si="145"/>
        <v>-13327.86723</v>
      </c>
      <c r="E193" s="1">
        <f t="shared" si="145"/>
        <v>-17608.178469999999</v>
      </c>
      <c r="F193" s="1">
        <f t="shared" si="145"/>
        <v>-20717.963639999998</v>
      </c>
      <c r="G193" s="1">
        <f t="shared" si="145"/>
        <v>-64106.697109999994</v>
      </c>
      <c r="H193" s="1">
        <f t="shared" si="145"/>
        <v>-21010.350930000001</v>
      </c>
      <c r="I193" s="1">
        <f t="shared" si="145"/>
        <v>-20583.432040000003</v>
      </c>
      <c r="J193" s="1">
        <f t="shared" si="145"/>
        <v>-22631.823019999989</v>
      </c>
      <c r="K193" s="1">
        <f t="shared" si="145"/>
        <v>-29544.220880000001</v>
      </c>
      <c r="L193" s="1">
        <f t="shared" si="145"/>
        <v>-93769.82686999999</v>
      </c>
      <c r="M193" s="1">
        <f t="shared" si="145"/>
        <v>-28114.780419999996</v>
      </c>
      <c r="N193" s="1">
        <f t="shared" si="145"/>
        <v>-26437.183469999989</v>
      </c>
      <c r="O193" s="1">
        <f t="shared" si="145"/>
        <v>-29416.975610000016</v>
      </c>
      <c r="P193" s="1">
        <f t="shared" si="145"/>
        <v>-32536.742000000009</v>
      </c>
      <c r="Q193" s="1">
        <f t="shared" si="145"/>
        <v>-116505.68150000001</v>
      </c>
      <c r="R193" s="1">
        <f t="shared" si="145"/>
        <v>-28036.771099999998</v>
      </c>
      <c r="S193" s="1">
        <f t="shared" si="145"/>
        <v>-30255.768909999995</v>
      </c>
      <c r="T193" s="1">
        <f t="shared" si="145"/>
        <v>-31834.777290000005</v>
      </c>
      <c r="U193" s="1">
        <f t="shared" si="145"/>
        <v>-24394.467480000003</v>
      </c>
      <c r="V193" s="1">
        <f t="shared" si="145"/>
        <v>-114521.78478</v>
      </c>
      <c r="W193" s="1">
        <f t="shared" si="145"/>
        <v>-30501.195630000002</v>
      </c>
      <c r="X193" s="1">
        <f t="shared" si="145"/>
        <v>-28149.021240000002</v>
      </c>
      <c r="Y193" s="1">
        <f t="shared" si="145"/>
        <v>-43858.089829999997</v>
      </c>
      <c r="Z193" s="1">
        <f t="shared" si="145"/>
        <v>-37314.174809999997</v>
      </c>
      <c r="AA193" s="1">
        <f t="shared" si="145"/>
        <v>-139822.48151000001</v>
      </c>
      <c r="AB193" s="1">
        <f t="shared" si="145"/>
        <v>-36430.836280000003</v>
      </c>
      <c r="AC193" s="1">
        <f t="shared" si="145"/>
        <v>-65945.009449999998</v>
      </c>
      <c r="AD193" s="1">
        <f t="shared" si="145"/>
        <v>-81137.344160000008</v>
      </c>
      <c r="AE193" s="1">
        <f t="shared" si="145"/>
        <v>-90164.704999999987</v>
      </c>
      <c r="AF193" s="1">
        <f t="shared" si="145"/>
        <v>-273677.89489</v>
      </c>
      <c r="AG193" s="1">
        <f t="shared" si="145"/>
        <v>-108701</v>
      </c>
      <c r="AH193" s="1">
        <f t="shared" si="145"/>
        <v>-144409</v>
      </c>
      <c r="AI193" s="1">
        <f t="shared" si="145"/>
        <v>-185322</v>
      </c>
      <c r="AJ193" s="1">
        <f t="shared" si="145"/>
        <v>-173869</v>
      </c>
      <c r="AK193" s="1">
        <f t="shared" si="145"/>
        <v>-612301</v>
      </c>
      <c r="AL193" s="1">
        <f t="shared" si="145"/>
        <v>-172356</v>
      </c>
      <c r="AM193" s="1">
        <f t="shared" si="145"/>
        <v>-179636</v>
      </c>
      <c r="AN193" s="1">
        <f t="shared" si="145"/>
        <v>-198242</v>
      </c>
      <c r="AO193" s="1">
        <f t="shared" si="145"/>
        <v>-192765</v>
      </c>
      <c r="AP193" s="1">
        <f t="shared" si="145"/>
        <v>-742999</v>
      </c>
      <c r="AQ193" s="1">
        <f t="shared" si="145"/>
        <v>-201397.54371</v>
      </c>
      <c r="AR193" s="1">
        <f t="shared" si="145"/>
        <v>-202327</v>
      </c>
      <c r="AS193" s="1">
        <f t="shared" si="145"/>
        <v>-220842.1229019</v>
      </c>
      <c r="AT193" s="1">
        <f t="shared" si="145"/>
        <v>-248105.53115</v>
      </c>
      <c r="AU193" s="1">
        <f t="shared" si="145"/>
        <v>-872672.19776190002</v>
      </c>
      <c r="AV193" s="1">
        <f t="shared" si="145"/>
        <v>-268975.99846999999</v>
      </c>
      <c r="AW193" s="1">
        <f>AW182</f>
        <v>-255913.17341999995</v>
      </c>
      <c r="AX193" s="1">
        <f>AX182</f>
        <v>-273302.12013</v>
      </c>
      <c r="AY193" s="1">
        <f>AY182</f>
        <v>-279169.06475999998</v>
      </c>
      <c r="AZ193" s="1">
        <f>AZ182</f>
        <v>-1077360.35678</v>
      </c>
      <c r="BA193" s="1">
        <f t="shared" ref="BA193" si="146">BA182</f>
        <v>-278371.50265999988</v>
      </c>
    </row>
    <row r="194" spans="1:53" s="100" customFormat="1">
      <c r="A194" s="2"/>
      <c r="B194" s="2" t="s">
        <v>555</v>
      </c>
      <c r="C194" s="3">
        <f t="shared" ref="C194:AV194" si="147">C179</f>
        <v>-109428.74900000001</v>
      </c>
      <c r="D194" s="3">
        <f t="shared" si="147"/>
        <v>-108567.359</v>
      </c>
      <c r="E194" s="3">
        <f t="shared" si="147"/>
        <v>-127397.28899999999</v>
      </c>
      <c r="F194" s="3">
        <f t="shared" si="147"/>
        <v>-189722.08199999999</v>
      </c>
      <c r="G194" s="3">
        <f t="shared" si="147"/>
        <v>-535115.47900000005</v>
      </c>
      <c r="H194" s="3">
        <f t="shared" si="147"/>
        <v>-142348.53958999997</v>
      </c>
      <c r="I194" s="3">
        <f t="shared" si="147"/>
        <v>-140345.47847999999</v>
      </c>
      <c r="J194" s="3">
        <f t="shared" si="147"/>
        <v>-151317.69089</v>
      </c>
      <c r="K194" s="3">
        <f t="shared" si="147"/>
        <v>-129412.20118999999</v>
      </c>
      <c r="L194" s="3">
        <f t="shared" si="147"/>
        <v>-563423.91014999989</v>
      </c>
      <c r="M194" s="3">
        <f t="shared" si="147"/>
        <v>-127669.39240000001</v>
      </c>
      <c r="N194" s="3">
        <f t="shared" si="147"/>
        <v>-147582.92469000001</v>
      </c>
      <c r="O194" s="3">
        <f t="shared" si="147"/>
        <v>-151539.6525</v>
      </c>
      <c r="P194" s="3">
        <f t="shared" si="147"/>
        <v>-166205.85499999998</v>
      </c>
      <c r="Q194" s="3">
        <f t="shared" si="147"/>
        <v>-592997.82458999997</v>
      </c>
      <c r="R194" s="3">
        <f t="shared" si="147"/>
        <v>-159628.33863000001</v>
      </c>
      <c r="S194" s="3">
        <f t="shared" si="147"/>
        <v>-166662.27036999998</v>
      </c>
      <c r="T194" s="3">
        <f t="shared" si="147"/>
        <v>-173729.514</v>
      </c>
      <c r="U194" s="3">
        <f t="shared" si="147"/>
        <v>-182539.68305999998</v>
      </c>
      <c r="V194" s="3">
        <f t="shared" si="147"/>
        <v>-682559.80605999997</v>
      </c>
      <c r="W194" s="3">
        <f t="shared" si="147"/>
        <v>-181415.13799999998</v>
      </c>
      <c r="X194" s="3">
        <f t="shared" si="147"/>
        <v>-174345.91874000002</v>
      </c>
      <c r="Y194" s="3">
        <f t="shared" si="147"/>
        <v>-188688.948</v>
      </c>
      <c r="Z194" s="3">
        <f t="shared" si="147"/>
        <v>-212503.864</v>
      </c>
      <c r="AA194" s="3">
        <f t="shared" si="147"/>
        <v>-756953.86874000006</v>
      </c>
      <c r="AB194" s="3">
        <f t="shared" si="147"/>
        <v>-218433.902</v>
      </c>
      <c r="AC194" s="3">
        <f t="shared" si="147"/>
        <v>-209775.01500000001</v>
      </c>
      <c r="AD194" s="3">
        <f t="shared" si="147"/>
        <v>-208620.80391000002</v>
      </c>
      <c r="AE194" s="3">
        <f t="shared" si="147"/>
        <v>-204251</v>
      </c>
      <c r="AF194" s="3">
        <f t="shared" si="147"/>
        <v>-841080.72091000003</v>
      </c>
      <c r="AG194" s="3">
        <f t="shared" si="147"/>
        <v>-234102</v>
      </c>
      <c r="AH194" s="3">
        <f t="shared" si="147"/>
        <v>-243537</v>
      </c>
      <c r="AI194" s="3">
        <f t="shared" si="147"/>
        <v>-221335</v>
      </c>
      <c r="AJ194" s="3">
        <f t="shared" si="147"/>
        <v>-236867</v>
      </c>
      <c r="AK194" s="3">
        <f t="shared" si="147"/>
        <v>-935841</v>
      </c>
      <c r="AL194" s="3">
        <f t="shared" si="147"/>
        <v>-249502</v>
      </c>
      <c r="AM194" s="3">
        <f t="shared" si="147"/>
        <v>-289291</v>
      </c>
      <c r="AN194" s="3">
        <f t="shared" si="147"/>
        <v>-292715</v>
      </c>
      <c r="AO194" s="3">
        <f t="shared" si="147"/>
        <v>-312379.91499999998</v>
      </c>
      <c r="AP194" s="3">
        <f t="shared" si="147"/>
        <v>-1143887.915</v>
      </c>
      <c r="AQ194" s="3">
        <f t="shared" si="147"/>
        <v>-276185.95799999998</v>
      </c>
      <c r="AR194" s="3">
        <f t="shared" si="147"/>
        <v>-297303.10700000002</v>
      </c>
      <c r="AS194" s="3">
        <f t="shared" si="147"/>
        <v>-282301.54399999999</v>
      </c>
      <c r="AT194" s="3">
        <f t="shared" si="147"/>
        <v>-345367.89199999999</v>
      </c>
      <c r="AU194" s="3">
        <f t="shared" si="147"/>
        <v>-1201158.5009999999</v>
      </c>
      <c r="AV194" s="3">
        <f t="shared" si="147"/>
        <v>-327854.08199999999</v>
      </c>
      <c r="AW194" s="3">
        <f>AW179</f>
        <v>-350120.20500000002</v>
      </c>
      <c r="AX194" s="3">
        <f>AX179</f>
        <v>-331486.85399999999</v>
      </c>
      <c r="AY194" s="3">
        <f>AY179</f>
        <v>-443303.01299999998</v>
      </c>
      <c r="AZ194" s="3">
        <f>AZ179</f>
        <v>-1452764.1540000001</v>
      </c>
      <c r="BA194" s="3">
        <f t="shared" ref="BA194" si="148">BA179</f>
        <v>-345639.51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40067-D599-40A9-AE72-491D80C0C689}">
  <dimension ref="A1:BE66"/>
  <sheetViews>
    <sheetView showGridLines="0" showRowColHeaders="0" zoomScale="75" zoomScaleNormal="75" workbookViewId="0">
      <pane xSplit="2" ySplit="3" topLeftCell="AN33" activePane="bottomRight" state="frozen"/>
      <selection activeCell="V43" sqref="V43"/>
      <selection pane="topRight" activeCell="V43" sqref="V43"/>
      <selection pane="bottomLeft" activeCell="V43" sqref="V43"/>
      <selection pane="bottomRight"/>
    </sheetView>
  </sheetViews>
  <sheetFormatPr defaultRowHeight="15"/>
  <cols>
    <col min="1" max="1" width="1.7109375" customWidth="1"/>
    <col min="2" max="2" width="70.7109375" customWidth="1"/>
    <col min="3" max="43" width="12.5703125" customWidth="1"/>
    <col min="44" max="44" width="14.140625" customWidth="1"/>
    <col min="45" max="45" width="14.42578125" style="742" bestFit="1" customWidth="1"/>
    <col min="47" max="47" width="70.7109375" customWidth="1"/>
  </cols>
  <sheetData>
    <row r="1" spans="1:57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31"/>
      <c r="AR1" s="630"/>
    </row>
    <row r="2" spans="1:57" ht="15" customHeight="1">
      <c r="A2" s="619"/>
      <c r="B2" s="619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2"/>
      <c r="AA2" s="622"/>
      <c r="AB2" s="622"/>
      <c r="AC2" s="622"/>
      <c r="AD2" s="622"/>
      <c r="AE2" s="622"/>
      <c r="AF2" s="622"/>
      <c r="AG2" s="622"/>
      <c r="AH2" s="622"/>
      <c r="AI2" s="622"/>
      <c r="AJ2" s="622"/>
      <c r="AK2" s="622"/>
      <c r="AL2" s="622"/>
      <c r="AM2" s="622"/>
      <c r="AN2" s="622"/>
      <c r="AO2" s="622"/>
      <c r="AP2" s="622"/>
      <c r="AQ2" s="632"/>
      <c r="AR2" s="630"/>
    </row>
    <row r="3" spans="1:57" ht="50.1" customHeight="1">
      <c r="A3" s="747"/>
      <c r="B3" s="765" t="s">
        <v>1121</v>
      </c>
      <c r="C3" s="624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31"/>
      <c r="AR3" s="630"/>
    </row>
    <row r="4" spans="1:57" ht="10.35" customHeight="1"/>
    <row r="5" spans="1:57" s="30" customFormat="1" ht="25.35" customHeight="1">
      <c r="A5" s="625"/>
      <c r="B5" s="625" t="s">
        <v>3</v>
      </c>
      <c r="C5" s="643">
        <v>42369</v>
      </c>
      <c r="D5" s="643">
        <v>42460</v>
      </c>
      <c r="E5" s="643">
        <v>42551</v>
      </c>
      <c r="F5" s="643">
        <v>42643</v>
      </c>
      <c r="G5" s="643">
        <v>42735</v>
      </c>
      <c r="H5" s="643">
        <v>42825</v>
      </c>
      <c r="I5" s="643">
        <v>42916</v>
      </c>
      <c r="J5" s="643">
        <v>43008</v>
      </c>
      <c r="K5" s="643">
        <v>43100</v>
      </c>
      <c r="L5" s="643">
        <v>43190</v>
      </c>
      <c r="M5" s="643">
        <v>43281</v>
      </c>
      <c r="N5" s="643">
        <v>43373</v>
      </c>
      <c r="O5" s="643">
        <v>43465</v>
      </c>
      <c r="P5" s="643">
        <v>43555</v>
      </c>
      <c r="Q5" s="643">
        <v>43646</v>
      </c>
      <c r="R5" s="643">
        <v>43738</v>
      </c>
      <c r="S5" s="643">
        <v>43830</v>
      </c>
      <c r="T5" s="643">
        <v>43921</v>
      </c>
      <c r="U5" s="643">
        <v>44012</v>
      </c>
      <c r="V5" s="643">
        <v>44104</v>
      </c>
      <c r="W5" s="643">
        <v>44196</v>
      </c>
      <c r="X5" s="643">
        <v>44256</v>
      </c>
      <c r="Y5" s="643">
        <v>44348</v>
      </c>
      <c r="Z5" s="643">
        <v>44440</v>
      </c>
      <c r="AA5" s="643">
        <v>44531</v>
      </c>
      <c r="AB5" s="643">
        <v>44621</v>
      </c>
      <c r="AC5" s="643">
        <v>44713</v>
      </c>
      <c r="AD5" s="643">
        <v>44805</v>
      </c>
      <c r="AE5" s="643">
        <v>44896</v>
      </c>
      <c r="AF5" s="643">
        <v>44986</v>
      </c>
      <c r="AG5" s="643">
        <v>45078</v>
      </c>
      <c r="AH5" s="643">
        <v>45170</v>
      </c>
      <c r="AI5" s="643">
        <v>45261</v>
      </c>
      <c r="AJ5" s="643">
        <v>45352</v>
      </c>
      <c r="AK5" s="643">
        <v>45444</v>
      </c>
      <c r="AL5" s="643">
        <v>45536</v>
      </c>
      <c r="AM5" s="643">
        <v>45627</v>
      </c>
      <c r="AN5" s="643">
        <v>45717</v>
      </c>
      <c r="AO5" s="643">
        <v>45809</v>
      </c>
      <c r="AP5" s="643">
        <v>45901</v>
      </c>
      <c r="AQ5" s="644">
        <v>45992</v>
      </c>
      <c r="AR5" s="645">
        <v>46082</v>
      </c>
      <c r="AS5" s="742"/>
    </row>
    <row r="6" spans="1:57">
      <c r="A6" s="627"/>
      <c r="B6" s="627" t="s">
        <v>5</v>
      </c>
      <c r="C6" s="628">
        <v>3701062</v>
      </c>
      <c r="D6" s="628">
        <v>4054522</v>
      </c>
      <c r="E6" s="628">
        <v>3344547</v>
      </c>
      <c r="F6" s="628">
        <v>3644445</v>
      </c>
      <c r="G6" s="628">
        <v>3932805</v>
      </c>
      <c r="H6" s="628">
        <v>4280835.2396600004</v>
      </c>
      <c r="I6" s="628">
        <v>3826310.6939099999</v>
      </c>
      <c r="J6" s="628">
        <v>4182877.28308</v>
      </c>
      <c r="K6" s="628">
        <v>4489179.0385600002</v>
      </c>
      <c r="L6" s="628">
        <v>4907416.70524</v>
      </c>
      <c r="M6" s="628">
        <v>4138448.9361100001</v>
      </c>
      <c r="N6" s="628">
        <v>4495342.62959</v>
      </c>
      <c r="O6" s="628">
        <v>4674548.8445600001</v>
      </c>
      <c r="P6" s="628">
        <v>5071903.659359999</v>
      </c>
      <c r="Q6" s="628">
        <v>5510588.1545699993</v>
      </c>
      <c r="R6" s="628">
        <v>5009204</v>
      </c>
      <c r="S6" s="628">
        <v>5416716.2255200008</v>
      </c>
      <c r="T6" s="628">
        <v>5572127</v>
      </c>
      <c r="U6" s="628">
        <v>6039145</v>
      </c>
      <c r="V6" s="628">
        <v>4811975</v>
      </c>
      <c r="W6" s="628">
        <v>9457308</v>
      </c>
      <c r="X6" s="628">
        <v>10865035</v>
      </c>
      <c r="Y6" s="628">
        <v>10502357</v>
      </c>
      <c r="Z6" s="629">
        <v>10911013</v>
      </c>
      <c r="AA6" s="629">
        <v>10655114</v>
      </c>
      <c r="AB6" s="629">
        <v>11232995</v>
      </c>
      <c r="AC6" s="629">
        <v>11038651</v>
      </c>
      <c r="AD6" s="629">
        <v>11910014</v>
      </c>
      <c r="AE6" s="629">
        <v>11709268</v>
      </c>
      <c r="AF6" s="629">
        <f t="shared" ref="AF6" si="0">AF7+AF16</f>
        <v>12608102</v>
      </c>
      <c r="AG6" s="629">
        <f t="shared" ref="AG6" si="1">AG7+AG16</f>
        <v>11996820</v>
      </c>
      <c r="AH6" s="629">
        <v>12879004</v>
      </c>
      <c r="AI6" s="629">
        <v>12396111</v>
      </c>
      <c r="AJ6" s="629">
        <v>13296526</v>
      </c>
      <c r="AK6" s="629">
        <v>12325084.638849998</v>
      </c>
      <c r="AL6" s="629">
        <v>12478508.923140002</v>
      </c>
      <c r="AM6" s="629">
        <v>12635339.70805</v>
      </c>
      <c r="AN6" s="629">
        <v>12809526.613530001</v>
      </c>
      <c r="AO6" s="629">
        <v>12932278.42791</v>
      </c>
      <c r="AP6" s="629">
        <v>13136886.168480001</v>
      </c>
      <c r="AQ6" s="629">
        <v>13326141.338519998</v>
      </c>
      <c r="AR6" s="629">
        <f>AR7+AR16</f>
        <v>13410490.58241</v>
      </c>
      <c r="AS6" s="744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</row>
    <row r="7" spans="1:57">
      <c r="A7" s="21"/>
      <c r="B7" s="21" t="s">
        <v>6</v>
      </c>
      <c r="C7" s="22">
        <v>682612</v>
      </c>
      <c r="D7" s="22">
        <v>1164349</v>
      </c>
      <c r="E7" s="22">
        <v>209648</v>
      </c>
      <c r="F7" s="22">
        <v>286940</v>
      </c>
      <c r="G7" s="22">
        <v>489523</v>
      </c>
      <c r="H7" s="22">
        <v>1003791.7147900002</v>
      </c>
      <c r="I7" s="22">
        <v>301064.17851999996</v>
      </c>
      <c r="J7" s="22">
        <v>391780.15980999998</v>
      </c>
      <c r="K7" s="22">
        <v>691190.77639000001</v>
      </c>
      <c r="L7" s="22">
        <v>1334051.5961500001</v>
      </c>
      <c r="M7" s="22">
        <v>439623.61433000001</v>
      </c>
      <c r="N7" s="22">
        <v>531382.51147000003</v>
      </c>
      <c r="O7" s="22">
        <v>596402.71345999988</v>
      </c>
      <c r="P7" s="22">
        <v>1190241.8220199998</v>
      </c>
      <c r="Q7" s="22">
        <v>1311101.05963</v>
      </c>
      <c r="R7" s="22">
        <v>484203</v>
      </c>
      <c r="S7" s="22">
        <v>888140.65610000002</v>
      </c>
      <c r="T7" s="22">
        <v>759828</v>
      </c>
      <c r="U7" s="22">
        <v>1156987</v>
      </c>
      <c r="V7" s="22">
        <v>835594</v>
      </c>
      <c r="W7" s="22">
        <v>911768</v>
      </c>
      <c r="X7" s="22">
        <v>1200455</v>
      </c>
      <c r="Y7" s="22">
        <v>552338</v>
      </c>
      <c r="Z7" s="175">
        <v>776190</v>
      </c>
      <c r="AA7" s="175">
        <v>971392</v>
      </c>
      <c r="AB7" s="175">
        <v>1498767</v>
      </c>
      <c r="AC7" s="175">
        <v>818267</v>
      </c>
      <c r="AD7" s="175">
        <v>1436081</v>
      </c>
      <c r="AE7" s="175">
        <v>1666990</v>
      </c>
      <c r="AF7" s="175">
        <v>2219859</v>
      </c>
      <c r="AG7" s="175">
        <v>986008</v>
      </c>
      <c r="AH7" s="175">
        <v>2026608</v>
      </c>
      <c r="AI7" s="175">
        <v>1464596</v>
      </c>
      <c r="AJ7" s="175">
        <v>2454205</v>
      </c>
      <c r="AK7" s="175">
        <v>1412180.7891599997</v>
      </c>
      <c r="AL7" s="175">
        <v>1284485.3118200002</v>
      </c>
      <c r="AM7" s="175">
        <v>1969461.6172499999</v>
      </c>
      <c r="AN7" s="175">
        <v>2033656.3801700003</v>
      </c>
      <c r="AO7" s="175">
        <v>1717451.0558999996</v>
      </c>
      <c r="AP7" s="175">
        <v>1932384.2703199997</v>
      </c>
      <c r="AQ7" s="175">
        <f>SUM(AQ8:AQ15)</f>
        <v>2046298.54055</v>
      </c>
      <c r="AR7" s="175">
        <f>SUM(AR8:AR15)</f>
        <v>2119840.8339299997</v>
      </c>
      <c r="AS7" s="744"/>
      <c r="AT7" s="8"/>
      <c r="AU7" s="8"/>
      <c r="AV7" s="8"/>
      <c r="AW7" s="8"/>
      <c r="AX7" s="8"/>
      <c r="AY7" s="8"/>
      <c r="AZ7" s="8"/>
      <c r="BA7" s="8"/>
      <c r="BB7" s="8"/>
      <c r="BC7" s="8"/>
    </row>
    <row r="8" spans="1:57">
      <c r="A8" s="11"/>
      <c r="B8" s="11" t="s">
        <v>7</v>
      </c>
      <c r="C8" s="23">
        <v>52113</v>
      </c>
      <c r="D8" s="23">
        <v>97834</v>
      </c>
      <c r="E8" s="23">
        <v>137575</v>
      </c>
      <c r="F8" s="23">
        <v>170241</v>
      </c>
      <c r="G8" s="23">
        <v>218838</v>
      </c>
      <c r="H8" s="23">
        <v>310551.68109000003</v>
      </c>
      <c r="I8" s="23">
        <v>232821.39292999997</v>
      </c>
      <c r="J8" s="23">
        <v>224699.16841999997</v>
      </c>
      <c r="K8" s="23">
        <v>257510.76772</v>
      </c>
      <c r="L8" s="23">
        <v>501248.11281000002</v>
      </c>
      <c r="M8" s="23">
        <v>374083.45024999999</v>
      </c>
      <c r="N8" s="23">
        <v>460296.56421000004</v>
      </c>
      <c r="O8" s="23">
        <v>249772.60699</v>
      </c>
      <c r="P8" s="23">
        <v>323661.22881</v>
      </c>
      <c r="Q8" s="23">
        <v>1183247.0165500001</v>
      </c>
      <c r="R8" s="23">
        <v>347212</v>
      </c>
      <c r="S8" s="23">
        <v>501728.46275000001</v>
      </c>
      <c r="T8" s="24">
        <v>390342</v>
      </c>
      <c r="U8" s="23">
        <v>871243</v>
      </c>
      <c r="V8" s="23">
        <v>28935</v>
      </c>
      <c r="W8" s="24">
        <v>45</v>
      </c>
      <c r="X8" s="24">
        <v>3403</v>
      </c>
      <c r="Y8" s="24">
        <v>156</v>
      </c>
      <c r="Z8" s="176">
        <v>34051</v>
      </c>
      <c r="AA8" s="216">
        <v>470.05971999999997</v>
      </c>
      <c r="AB8" s="176">
        <v>944</v>
      </c>
      <c r="AC8" s="176">
        <v>655</v>
      </c>
      <c r="AD8" s="176">
        <v>810</v>
      </c>
      <c r="AE8" s="176">
        <v>716</v>
      </c>
      <c r="AF8" s="176">
        <v>440</v>
      </c>
      <c r="AG8" s="176">
        <v>167</v>
      </c>
      <c r="AH8" s="176">
        <v>299</v>
      </c>
      <c r="AI8" s="176">
        <v>430</v>
      </c>
      <c r="AJ8" s="216">
        <v>243</v>
      </c>
      <c r="AK8" s="216">
        <v>417.52085</v>
      </c>
      <c r="AL8" s="216">
        <v>474.08647999999999</v>
      </c>
      <c r="AM8" s="216">
        <v>435.20130999999998</v>
      </c>
      <c r="AN8" s="216">
        <v>291.37799999999999</v>
      </c>
      <c r="AO8" s="216">
        <v>275.64272000000005</v>
      </c>
      <c r="AP8" s="216">
        <v>204.26172999999997</v>
      </c>
      <c r="AQ8" s="216">
        <v>306.26058999999998</v>
      </c>
      <c r="AR8" s="176">
        <v>364.18351000000001</v>
      </c>
      <c r="AS8" s="744"/>
      <c r="AT8" s="8"/>
      <c r="AU8" s="8"/>
      <c r="AV8" s="8"/>
      <c r="AW8" s="8"/>
      <c r="AX8" s="8"/>
      <c r="AY8" s="8"/>
      <c r="AZ8" s="8"/>
      <c r="BA8" s="8"/>
      <c r="BB8" s="8"/>
      <c r="BC8" s="8"/>
    </row>
    <row r="9" spans="1:57">
      <c r="A9" s="11"/>
      <c r="B9" s="11" t="s">
        <v>8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89539.521110000001</v>
      </c>
      <c r="K9" s="23">
        <v>136135.45737000002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4">
        <v>0</v>
      </c>
      <c r="U9" s="23">
        <v>163299</v>
      </c>
      <c r="V9" s="23">
        <v>630548</v>
      </c>
      <c r="W9" s="24">
        <v>773379</v>
      </c>
      <c r="X9" s="24">
        <v>391584</v>
      </c>
      <c r="Y9" s="24">
        <v>427652</v>
      </c>
      <c r="Z9" s="176">
        <v>584519</v>
      </c>
      <c r="AA9" s="216">
        <v>361905.25277999998</v>
      </c>
      <c r="AB9" s="216">
        <v>970149</v>
      </c>
      <c r="AC9" s="176">
        <v>630140</v>
      </c>
      <c r="AD9" s="176">
        <v>1271740</v>
      </c>
      <c r="AE9" s="176">
        <v>917344</v>
      </c>
      <c r="AF9" s="216">
        <v>1295644</v>
      </c>
      <c r="AG9" s="176">
        <v>826047</v>
      </c>
      <c r="AH9" s="176">
        <v>1878859</v>
      </c>
      <c r="AI9" s="176">
        <v>850819</v>
      </c>
      <c r="AJ9" s="216">
        <v>1264033</v>
      </c>
      <c r="AK9" s="216">
        <v>884678.40366999991</v>
      </c>
      <c r="AL9" s="216">
        <v>913017.63774999999</v>
      </c>
      <c r="AM9" s="216">
        <v>1209485.6615599999</v>
      </c>
      <c r="AN9" s="216">
        <v>1204838.0871400002</v>
      </c>
      <c r="AO9" s="216">
        <v>1113124.1850899998</v>
      </c>
      <c r="AP9" s="216">
        <v>1103992.3717999998</v>
      </c>
      <c r="AQ9" s="216">
        <v>1696088.87537</v>
      </c>
      <c r="AR9" s="176">
        <v>1109108.3374700001</v>
      </c>
      <c r="AS9" s="744"/>
      <c r="AT9" s="8"/>
      <c r="AU9" s="8"/>
      <c r="AV9" s="8"/>
      <c r="AW9" s="8"/>
      <c r="AX9" s="8"/>
      <c r="AY9" s="8"/>
      <c r="AZ9" s="8"/>
      <c r="BA9" s="8"/>
      <c r="BB9" s="8"/>
      <c r="BC9" s="8"/>
    </row>
    <row r="10" spans="1:57">
      <c r="A10" s="11"/>
      <c r="B10" s="11" t="s">
        <v>9</v>
      </c>
      <c r="C10" s="23">
        <v>516103</v>
      </c>
      <c r="D10" s="23">
        <v>935580</v>
      </c>
      <c r="E10" s="23">
        <v>0</v>
      </c>
      <c r="F10" s="23">
        <v>0</v>
      </c>
      <c r="G10" s="23">
        <v>134676</v>
      </c>
      <c r="H10" s="23">
        <v>539079.3775200001</v>
      </c>
      <c r="I10" s="23">
        <v>0</v>
      </c>
      <c r="J10" s="23">
        <v>0</v>
      </c>
      <c r="K10" s="23">
        <v>192847.34312000001</v>
      </c>
      <c r="L10" s="23">
        <v>653201.43995000003</v>
      </c>
      <c r="M10" s="23">
        <v>1335.1247900000001</v>
      </c>
      <c r="N10" s="23">
        <v>0</v>
      </c>
      <c r="O10" s="23">
        <v>231963.11994</v>
      </c>
      <c r="P10" s="23">
        <v>723018.46698000003</v>
      </c>
      <c r="Q10" s="23">
        <v>0</v>
      </c>
      <c r="R10" s="23">
        <v>0</v>
      </c>
      <c r="S10" s="23">
        <v>238408.78537999999</v>
      </c>
      <c r="T10" s="24">
        <v>238410</v>
      </c>
      <c r="U10" s="23">
        <v>0</v>
      </c>
      <c r="V10" s="23">
        <v>0</v>
      </c>
      <c r="W10" s="24">
        <v>465</v>
      </c>
      <c r="X10" s="24">
        <v>638235</v>
      </c>
      <c r="Y10" s="24">
        <v>215</v>
      </c>
      <c r="Z10" s="176">
        <v>215</v>
      </c>
      <c r="AA10" s="216">
        <v>415514.75164999999</v>
      </c>
      <c r="AB10" s="216">
        <v>343792</v>
      </c>
      <c r="AC10" s="176">
        <v>0</v>
      </c>
      <c r="AD10" s="176">
        <v>0</v>
      </c>
      <c r="AE10" s="176">
        <v>503386</v>
      </c>
      <c r="AF10" s="216">
        <v>798679</v>
      </c>
      <c r="AG10" s="176">
        <v>0</v>
      </c>
      <c r="AH10" s="176">
        <v>0</v>
      </c>
      <c r="AI10" s="176">
        <v>439963</v>
      </c>
      <c r="AJ10" s="216">
        <v>1027975</v>
      </c>
      <c r="AK10" s="216">
        <v>339678.38532</v>
      </c>
      <c r="AL10" s="216">
        <v>212164.61478</v>
      </c>
      <c r="AM10" s="216">
        <v>583359.3713</v>
      </c>
      <c r="AN10" s="216">
        <v>624399.61041999992</v>
      </c>
      <c r="AO10" s="216">
        <v>450926.30754000001</v>
      </c>
      <c r="AP10" s="216">
        <v>645014.06850000005</v>
      </c>
      <c r="AQ10" s="216">
        <v>160832.00409999999</v>
      </c>
      <c r="AR10" s="176">
        <v>826580.01342999993</v>
      </c>
      <c r="AS10" s="744"/>
      <c r="AT10" s="8"/>
      <c r="AU10" s="8"/>
      <c r="AV10" s="8"/>
      <c r="AW10" s="8"/>
      <c r="AX10" s="8"/>
      <c r="AY10" s="8"/>
      <c r="AZ10" s="8"/>
      <c r="BA10" s="8"/>
      <c r="BB10" s="8"/>
      <c r="BC10" s="8"/>
    </row>
    <row r="11" spans="1:57">
      <c r="A11" s="11"/>
      <c r="B11" s="11" t="s">
        <v>10</v>
      </c>
      <c r="C11" s="23">
        <v>80047</v>
      </c>
      <c r="D11" s="23">
        <v>97392</v>
      </c>
      <c r="E11" s="23">
        <v>40499</v>
      </c>
      <c r="F11" s="23">
        <v>73487</v>
      </c>
      <c r="G11" s="23">
        <v>98668</v>
      </c>
      <c r="H11" s="23">
        <v>109854.8716</v>
      </c>
      <c r="I11" s="23">
        <v>19956.520379999998</v>
      </c>
      <c r="J11" s="23">
        <v>30283.097659999999</v>
      </c>
      <c r="K11" s="23">
        <v>62678.614030000004</v>
      </c>
      <c r="L11" s="23">
        <v>48928.306640000003</v>
      </c>
      <c r="M11" s="23">
        <v>12088.652</v>
      </c>
      <c r="N11" s="23">
        <v>13727.79125</v>
      </c>
      <c r="O11" s="23">
        <v>32803.325640000003</v>
      </c>
      <c r="P11" s="23">
        <v>37761.721869999994</v>
      </c>
      <c r="Q11" s="23">
        <v>20003.160190000002</v>
      </c>
      <c r="R11" s="23">
        <v>30679</v>
      </c>
      <c r="S11" s="23">
        <v>37666.446450000003</v>
      </c>
      <c r="T11" s="24">
        <v>45542</v>
      </c>
      <c r="U11" s="23">
        <v>14870</v>
      </c>
      <c r="V11" s="23">
        <v>25845</v>
      </c>
      <c r="W11" s="24">
        <v>31603</v>
      </c>
      <c r="X11" s="24">
        <v>34617</v>
      </c>
      <c r="Y11" s="24">
        <v>6178</v>
      </c>
      <c r="Z11" s="176">
        <v>9529</v>
      </c>
      <c r="AA11" s="216">
        <v>11091.293449999999</v>
      </c>
      <c r="AB11" s="216">
        <v>15224</v>
      </c>
      <c r="AC11" s="176">
        <v>8767</v>
      </c>
      <c r="AD11" s="176">
        <v>13531</v>
      </c>
      <c r="AE11" s="176">
        <v>15523</v>
      </c>
      <c r="AF11" s="216">
        <v>21613</v>
      </c>
      <c r="AG11" s="176">
        <v>12004</v>
      </c>
      <c r="AH11" s="176">
        <v>17689</v>
      </c>
      <c r="AI11" s="176">
        <v>19186</v>
      </c>
      <c r="AJ11" s="216">
        <v>25257</v>
      </c>
      <c r="AK11" s="216">
        <v>12271.14179</v>
      </c>
      <c r="AL11" s="216">
        <v>18694.489369999999</v>
      </c>
      <c r="AM11" s="216">
        <v>21092.922719999999</v>
      </c>
      <c r="AN11" s="216">
        <v>29300.675030000002</v>
      </c>
      <c r="AO11" s="216">
        <v>14786.18111</v>
      </c>
      <c r="AP11" s="216">
        <v>21600.914059999999</v>
      </c>
      <c r="AQ11" s="216">
        <v>24223.903879999998</v>
      </c>
      <c r="AR11" s="176">
        <v>33724.687549999995</v>
      </c>
      <c r="AS11" s="744"/>
      <c r="AT11" s="8"/>
      <c r="AU11" s="8"/>
      <c r="AV11" s="8"/>
      <c r="AW11" s="8"/>
      <c r="AX11" s="8"/>
      <c r="AY11" s="8"/>
      <c r="AZ11" s="8"/>
      <c r="BA11" s="8"/>
      <c r="BB11" s="8"/>
      <c r="BC11" s="8"/>
    </row>
    <row r="12" spans="1:57">
      <c r="A12" s="11"/>
      <c r="B12" s="11" t="s">
        <v>11</v>
      </c>
      <c r="C12" s="8">
        <v>34321</v>
      </c>
      <c r="D12" s="8">
        <v>33295</v>
      </c>
      <c r="E12" s="8">
        <v>31323</v>
      </c>
      <c r="F12" s="23">
        <v>43178</v>
      </c>
      <c r="G12" s="8">
        <v>37311</v>
      </c>
      <c r="H12" s="8">
        <v>44276.275430000002</v>
      </c>
      <c r="I12" s="8">
        <v>48258.242800000007</v>
      </c>
      <c r="J12" s="8">
        <v>47200.554329999999</v>
      </c>
      <c r="K12" s="8">
        <v>41954.398599999993</v>
      </c>
      <c r="L12" s="8">
        <v>130671.61099</v>
      </c>
      <c r="M12" s="8">
        <v>51993.589470000006</v>
      </c>
      <c r="N12" s="8">
        <v>57275.199189999999</v>
      </c>
      <c r="O12" s="8">
        <v>81668.798360000001</v>
      </c>
      <c r="P12" s="24">
        <v>105783.61834999999</v>
      </c>
      <c r="Q12" s="24">
        <v>107423.99311999998</v>
      </c>
      <c r="R12" s="24">
        <v>106195</v>
      </c>
      <c r="S12" s="24">
        <v>95364.636079999997</v>
      </c>
      <c r="T12" s="24">
        <v>85003</v>
      </c>
      <c r="U12" s="24">
        <v>107074</v>
      </c>
      <c r="V12" s="24">
        <v>149083</v>
      </c>
      <c r="W12" s="24">
        <v>105871</v>
      </c>
      <c r="X12" s="24">
        <v>132194</v>
      </c>
      <c r="Y12" s="24">
        <v>117559</v>
      </c>
      <c r="Z12" s="176">
        <v>130351</v>
      </c>
      <c r="AA12" s="216">
        <v>165086.11086000002</v>
      </c>
      <c r="AB12" s="216">
        <v>151415</v>
      </c>
      <c r="AC12" s="216">
        <v>159411</v>
      </c>
      <c r="AD12" s="216">
        <v>130691</v>
      </c>
      <c r="AE12" s="216">
        <v>105715</v>
      </c>
      <c r="AF12" s="216">
        <v>102112</v>
      </c>
      <c r="AG12" s="216">
        <v>140461</v>
      </c>
      <c r="AH12" s="216">
        <v>124899</v>
      </c>
      <c r="AI12" s="216">
        <v>152522</v>
      </c>
      <c r="AJ12" s="216">
        <v>132890</v>
      </c>
      <c r="AK12" s="216">
        <v>172591.22022999998</v>
      </c>
      <c r="AL12" s="216">
        <v>137306.96420000002</v>
      </c>
      <c r="AM12" s="216">
        <v>153338.76041000002</v>
      </c>
      <c r="AN12" s="216">
        <v>173625.62957999998</v>
      </c>
      <c r="AO12" s="216">
        <v>137537.82380999997</v>
      </c>
      <c r="AP12" s="216">
        <v>157674.44273999994</v>
      </c>
      <c r="AQ12" s="216">
        <v>161459.26340999996</v>
      </c>
      <c r="AR12" s="176">
        <v>148788.70059999989</v>
      </c>
      <c r="AS12" s="744"/>
      <c r="AT12" s="8"/>
      <c r="AU12" s="8"/>
      <c r="AV12" s="8"/>
      <c r="AW12" s="8"/>
      <c r="AX12" s="8"/>
      <c r="AY12" s="8"/>
      <c r="AZ12" s="8"/>
      <c r="BA12" s="8"/>
      <c r="BB12" s="8"/>
      <c r="BC12" s="8"/>
    </row>
    <row r="13" spans="1:57">
      <c r="A13" s="11"/>
      <c r="B13" s="11" t="s">
        <v>12</v>
      </c>
      <c r="C13" s="23">
        <v>28</v>
      </c>
      <c r="D13" s="23">
        <v>218</v>
      </c>
      <c r="E13" s="23">
        <v>221</v>
      </c>
      <c r="F13" s="8">
        <v>34</v>
      </c>
      <c r="G13" s="23">
        <v>30</v>
      </c>
      <c r="H13" s="23">
        <v>29.509150000000002</v>
      </c>
      <c r="I13" s="23">
        <v>28.022410000000001</v>
      </c>
      <c r="J13" s="23">
        <v>57.818289999999998</v>
      </c>
      <c r="K13" s="23">
        <v>64.195549999999997</v>
      </c>
      <c r="L13" s="23">
        <v>2.1257600000000001</v>
      </c>
      <c r="M13" s="23">
        <v>2.1257600000000001</v>
      </c>
      <c r="N13" s="23">
        <v>2.1257600000000001</v>
      </c>
      <c r="O13" s="23">
        <v>2.1257600000000001</v>
      </c>
      <c r="P13" s="23">
        <v>0</v>
      </c>
      <c r="Q13" s="23">
        <v>273.45209999999997</v>
      </c>
      <c r="R13" s="23">
        <v>38</v>
      </c>
      <c r="S13" s="23">
        <v>14566.328589999999</v>
      </c>
      <c r="T13" s="24">
        <v>0</v>
      </c>
      <c r="U13" s="23">
        <v>13</v>
      </c>
      <c r="V13" s="23">
        <v>737</v>
      </c>
      <c r="W13" s="24">
        <v>0</v>
      </c>
      <c r="X13" s="24">
        <v>54</v>
      </c>
      <c r="Y13" s="24">
        <v>60</v>
      </c>
      <c r="Z13" s="176">
        <v>26</v>
      </c>
      <c r="AA13" s="216">
        <v>0</v>
      </c>
      <c r="AB13" s="216">
        <v>0</v>
      </c>
      <c r="AC13" s="186">
        <v>2038</v>
      </c>
      <c r="AD13" s="186">
        <v>372</v>
      </c>
      <c r="AE13" s="186">
        <v>41</v>
      </c>
      <c r="AF13" s="216">
        <v>23</v>
      </c>
      <c r="AG13" s="186">
        <v>6431</v>
      </c>
      <c r="AH13" s="186">
        <v>2509</v>
      </c>
      <c r="AI13" s="186">
        <v>7</v>
      </c>
      <c r="AJ13" s="216">
        <v>2582</v>
      </c>
      <c r="AK13" s="216">
        <v>1974.7963500000001</v>
      </c>
      <c r="AL13" s="216">
        <v>607.89589000000001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176">
        <v>0</v>
      </c>
      <c r="AS13" s="744"/>
      <c r="AT13" s="8"/>
      <c r="AU13" s="8"/>
      <c r="AV13" s="8"/>
      <c r="AW13" s="8"/>
      <c r="AX13" s="8"/>
      <c r="AY13" s="8"/>
      <c r="AZ13" s="8"/>
      <c r="BA13" s="8"/>
      <c r="BB13" s="8"/>
      <c r="BC13" s="8"/>
    </row>
    <row r="14" spans="1:57">
      <c r="A14" s="11"/>
      <c r="B14" s="11" t="s">
        <v>13</v>
      </c>
      <c r="C14" s="23">
        <v>0</v>
      </c>
      <c r="D14" s="23">
        <v>30</v>
      </c>
      <c r="E14" s="23">
        <v>30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120.67206</v>
      </c>
      <c r="N14" s="23">
        <v>80.831060000000008</v>
      </c>
      <c r="O14" s="23">
        <v>192.73676999999998</v>
      </c>
      <c r="P14" s="23">
        <v>16.786010000000001</v>
      </c>
      <c r="Q14" s="23">
        <v>153.43767</v>
      </c>
      <c r="R14" s="23">
        <v>79</v>
      </c>
      <c r="S14" s="23">
        <v>405.99684999999999</v>
      </c>
      <c r="T14" s="24">
        <v>531</v>
      </c>
      <c r="U14" s="23">
        <v>488</v>
      </c>
      <c r="V14" s="23">
        <v>446</v>
      </c>
      <c r="W14" s="24">
        <v>405</v>
      </c>
      <c r="X14" s="24">
        <v>368</v>
      </c>
      <c r="Y14" s="24">
        <v>518</v>
      </c>
      <c r="Z14" s="176">
        <v>17499</v>
      </c>
      <c r="AA14" s="216">
        <v>17325</v>
      </c>
      <c r="AB14" s="216">
        <v>17243</v>
      </c>
      <c r="AC14" s="176">
        <v>17256</v>
      </c>
      <c r="AD14" s="176">
        <v>18937</v>
      </c>
      <c r="AE14" s="176">
        <v>1395</v>
      </c>
      <c r="AF14" s="216">
        <v>1348</v>
      </c>
      <c r="AG14" s="176">
        <v>898</v>
      </c>
      <c r="AH14" s="176">
        <v>2353</v>
      </c>
      <c r="AI14" s="176">
        <v>1669</v>
      </c>
      <c r="AJ14" s="216">
        <v>1225</v>
      </c>
      <c r="AK14" s="216">
        <v>569.32094999999993</v>
      </c>
      <c r="AL14" s="216">
        <v>2219.6233500000003</v>
      </c>
      <c r="AM14" s="216">
        <v>1749.6999500000002</v>
      </c>
      <c r="AN14" s="216">
        <v>1200</v>
      </c>
      <c r="AO14" s="216">
        <v>800.91562999999996</v>
      </c>
      <c r="AP14" s="216">
        <v>3899.2114900000001</v>
      </c>
      <c r="AQ14" s="216">
        <v>3388.2332000000001</v>
      </c>
      <c r="AR14" s="176">
        <v>1274.91137</v>
      </c>
      <c r="AS14" s="744"/>
      <c r="AT14" s="8"/>
      <c r="AU14" s="8"/>
      <c r="AV14" s="8"/>
      <c r="AW14" s="8"/>
      <c r="AX14" s="8"/>
      <c r="AY14" s="8"/>
      <c r="AZ14" s="8"/>
      <c r="BA14" s="8"/>
      <c r="BB14" s="8"/>
      <c r="BC14" s="8"/>
    </row>
    <row r="15" spans="1:57">
      <c r="A15" s="11"/>
      <c r="B15" s="11" t="s">
        <v>14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4"/>
      <c r="U15" s="23"/>
      <c r="V15" s="23"/>
      <c r="W15" s="24"/>
      <c r="X15" s="24"/>
      <c r="Y15" s="24"/>
      <c r="Z15" s="176"/>
      <c r="AA15" s="216"/>
      <c r="AB15" s="216"/>
      <c r="AC15" s="176"/>
      <c r="AD15" s="176"/>
      <c r="AE15" s="176">
        <v>122870</v>
      </c>
      <c r="AF15" s="216">
        <v>0</v>
      </c>
      <c r="AG15" s="176">
        <v>0</v>
      </c>
      <c r="AH15" s="176">
        <v>0</v>
      </c>
      <c r="AI15" s="17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176">
        <v>0</v>
      </c>
      <c r="AS15" s="744"/>
      <c r="AT15" s="8"/>
      <c r="AU15" s="8"/>
      <c r="AV15" s="8"/>
      <c r="AW15" s="8"/>
      <c r="AX15" s="8"/>
      <c r="AY15" s="8"/>
      <c r="AZ15" s="8"/>
      <c r="BA15" s="8"/>
      <c r="BB15" s="8"/>
      <c r="BC15" s="8"/>
    </row>
    <row r="16" spans="1:57">
      <c r="A16" s="21"/>
      <c r="B16" s="21" t="s">
        <v>15</v>
      </c>
      <c r="C16" s="22">
        <v>3018450</v>
      </c>
      <c r="D16" s="22">
        <v>2890173</v>
      </c>
      <c r="E16" s="22">
        <v>3134899</v>
      </c>
      <c r="F16" s="22">
        <v>3357505</v>
      </c>
      <c r="G16" s="22">
        <v>3443282</v>
      </c>
      <c r="H16" s="22">
        <v>3277043.5248699998</v>
      </c>
      <c r="I16" s="22">
        <v>3525246.5153899998</v>
      </c>
      <c r="J16" s="22">
        <v>3791097.1232699999</v>
      </c>
      <c r="K16" s="22">
        <v>3797988.26217</v>
      </c>
      <c r="L16" s="22">
        <v>3573365.1090899999</v>
      </c>
      <c r="M16" s="22">
        <v>3698825.3217800003</v>
      </c>
      <c r="N16" s="22">
        <v>3963960.1181200002</v>
      </c>
      <c r="O16" s="22">
        <v>4078146.1310999999</v>
      </c>
      <c r="P16" s="22">
        <v>3881661.8373399996</v>
      </c>
      <c r="Q16" s="22">
        <v>4199487.0949399993</v>
      </c>
      <c r="R16" s="22">
        <v>4525001</v>
      </c>
      <c r="S16" s="22">
        <v>4528575.5694200005</v>
      </c>
      <c r="T16" s="22">
        <v>4812299</v>
      </c>
      <c r="U16" s="22">
        <v>4882158</v>
      </c>
      <c r="V16" s="22">
        <v>3976381</v>
      </c>
      <c r="W16" s="22">
        <v>8545540</v>
      </c>
      <c r="X16" s="22">
        <v>9664580</v>
      </c>
      <c r="Y16" s="22">
        <v>9950019</v>
      </c>
      <c r="Z16" s="175">
        <v>10134823</v>
      </c>
      <c r="AA16" s="175">
        <v>9683722</v>
      </c>
      <c r="AB16" s="175">
        <v>9734228</v>
      </c>
      <c r="AC16" s="175">
        <v>10220384</v>
      </c>
      <c r="AD16" s="175">
        <v>10473933</v>
      </c>
      <c r="AE16" s="175">
        <v>10042278</v>
      </c>
      <c r="AF16" s="175">
        <v>10388243</v>
      </c>
      <c r="AG16" s="175">
        <v>11010812</v>
      </c>
      <c r="AH16" s="175">
        <v>10852396</v>
      </c>
      <c r="AI16" s="175">
        <v>10931516</v>
      </c>
      <c r="AJ16" s="175">
        <v>10842321</v>
      </c>
      <c r="AK16" s="175">
        <v>10912903.849689998</v>
      </c>
      <c r="AL16" s="175">
        <v>11194023.611320002</v>
      </c>
      <c r="AM16" s="175">
        <v>10665878.0908</v>
      </c>
      <c r="AN16" s="175">
        <v>10775870.23336</v>
      </c>
      <c r="AO16" s="175">
        <v>11214827.37201</v>
      </c>
      <c r="AP16" s="175">
        <v>11204500.898160001</v>
      </c>
      <c r="AQ16" s="175">
        <v>11279842.797969999</v>
      </c>
      <c r="AR16" s="175">
        <f>AR17+AR18</f>
        <v>11290649.748480001</v>
      </c>
      <c r="AS16" s="744"/>
      <c r="AT16" s="8"/>
      <c r="AU16" s="8"/>
      <c r="AV16" s="8"/>
      <c r="AW16" s="8"/>
      <c r="AX16" s="8"/>
      <c r="AY16" s="8"/>
      <c r="AZ16" s="8"/>
      <c r="BA16" s="8"/>
      <c r="BB16" s="8"/>
      <c r="BC16" s="8"/>
    </row>
    <row r="17" spans="1:55">
      <c r="A17" s="11"/>
      <c r="B17" s="11" t="s">
        <v>16</v>
      </c>
      <c r="C17" s="23">
        <v>3018450</v>
      </c>
      <c r="D17" s="23">
        <v>2890173</v>
      </c>
      <c r="E17" s="23">
        <v>3134899</v>
      </c>
      <c r="F17" s="23">
        <v>3357505</v>
      </c>
      <c r="G17" s="23">
        <v>3443282</v>
      </c>
      <c r="H17" s="23">
        <v>3277043.5248699998</v>
      </c>
      <c r="I17" s="23">
        <v>3525246.5153899998</v>
      </c>
      <c r="J17" s="23">
        <v>3791097.1232699999</v>
      </c>
      <c r="K17" s="23">
        <v>3797988.26217</v>
      </c>
      <c r="L17" s="23">
        <v>3573365.1090899999</v>
      </c>
      <c r="M17" s="23">
        <v>3698825.3217800003</v>
      </c>
      <c r="N17" s="23">
        <v>3963960.1181200002</v>
      </c>
      <c r="O17" s="23">
        <v>4078098.8188899998</v>
      </c>
      <c r="P17" s="23">
        <v>3881616.9879799997</v>
      </c>
      <c r="Q17" s="23">
        <v>4199445.7084299996</v>
      </c>
      <c r="R17" s="23">
        <v>4524962</v>
      </c>
      <c r="S17" s="23">
        <v>4528539.1086100005</v>
      </c>
      <c r="T17" s="23">
        <v>4812264</v>
      </c>
      <c r="U17" s="23">
        <v>4882125</v>
      </c>
      <c r="V17" s="23">
        <v>3976351</v>
      </c>
      <c r="W17" s="23">
        <v>8545512</v>
      </c>
      <c r="X17" s="23">
        <v>9664555</v>
      </c>
      <c r="Y17" s="23">
        <v>9949996</v>
      </c>
      <c r="Z17" s="176">
        <v>10134803</v>
      </c>
      <c r="AA17" s="176">
        <v>9683704</v>
      </c>
      <c r="AB17" s="176">
        <v>9734212</v>
      </c>
      <c r="AC17" s="176">
        <v>10220356</v>
      </c>
      <c r="AD17" s="176">
        <v>10473908</v>
      </c>
      <c r="AE17" s="176">
        <v>10042256</v>
      </c>
      <c r="AF17" s="176">
        <v>10388225</v>
      </c>
      <c r="AG17" s="176">
        <v>11010797</v>
      </c>
      <c r="AH17" s="176">
        <v>10852384</v>
      </c>
      <c r="AI17" s="176">
        <v>10931505</v>
      </c>
      <c r="AJ17" s="176">
        <v>10842311</v>
      </c>
      <c r="AK17" s="176">
        <v>10912894.875209998</v>
      </c>
      <c r="AL17" s="176">
        <v>11194015.442940002</v>
      </c>
      <c r="AM17" s="176">
        <v>10665870.72852</v>
      </c>
      <c r="AN17" s="176">
        <v>10775818.104180001</v>
      </c>
      <c r="AO17" s="176">
        <v>11204416.29349</v>
      </c>
      <c r="AP17" s="176">
        <v>11194246.497150002</v>
      </c>
      <c r="AQ17" s="176">
        <v>11270133.921909999</v>
      </c>
      <c r="AR17" s="176">
        <v>11281481.249370001</v>
      </c>
      <c r="AS17" s="744"/>
      <c r="AT17" s="8"/>
      <c r="AU17" s="8"/>
      <c r="AV17" s="8"/>
      <c r="AW17" s="8"/>
      <c r="AX17" s="8"/>
      <c r="AY17" s="8"/>
      <c r="AZ17" s="8"/>
      <c r="BA17" s="8"/>
      <c r="BB17" s="8"/>
      <c r="BC17" s="8"/>
    </row>
    <row r="18" spans="1:55">
      <c r="A18" s="11"/>
      <c r="B18" s="11" t="s">
        <v>13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47.31221</v>
      </c>
      <c r="P18" s="23">
        <v>44.849359999999997</v>
      </c>
      <c r="Q18" s="23">
        <v>41.386510000000001</v>
      </c>
      <c r="R18" s="23">
        <v>39</v>
      </c>
      <c r="S18" s="23">
        <v>36.460809999999995</v>
      </c>
      <c r="T18" s="23">
        <v>35</v>
      </c>
      <c r="U18" s="23">
        <v>33</v>
      </c>
      <c r="V18" s="23">
        <v>30</v>
      </c>
      <c r="W18" s="23">
        <v>28</v>
      </c>
      <c r="X18" s="23">
        <v>25</v>
      </c>
      <c r="Y18" s="23">
        <v>23</v>
      </c>
      <c r="Z18" s="176">
        <v>20</v>
      </c>
      <c r="AA18" s="176">
        <v>18</v>
      </c>
      <c r="AB18" s="216">
        <v>16</v>
      </c>
      <c r="AC18" s="216">
        <v>28</v>
      </c>
      <c r="AD18" s="216">
        <v>25</v>
      </c>
      <c r="AE18" s="216">
        <v>22</v>
      </c>
      <c r="AF18" s="216">
        <v>18</v>
      </c>
      <c r="AG18" s="216">
        <v>15</v>
      </c>
      <c r="AH18" s="216">
        <v>12</v>
      </c>
      <c r="AI18" s="216">
        <v>11</v>
      </c>
      <c r="AJ18" s="216">
        <v>10</v>
      </c>
      <c r="AK18" s="176">
        <v>8.9744799999999998</v>
      </c>
      <c r="AL18" s="176">
        <v>8.1683800000000044</v>
      </c>
      <c r="AM18" s="176">
        <v>7.3622799999999993</v>
      </c>
      <c r="AN18" s="176">
        <v>52.129179999999998</v>
      </c>
      <c r="AO18" s="176">
        <v>10411.078519999999</v>
      </c>
      <c r="AP18" s="176">
        <v>10254.40101</v>
      </c>
      <c r="AQ18" s="176">
        <v>9708.8760600000005</v>
      </c>
      <c r="AR18" s="176">
        <v>9168.4991100000007</v>
      </c>
      <c r="AS18" s="744"/>
      <c r="AT18" s="8"/>
      <c r="AU18" s="8"/>
      <c r="AV18" s="8"/>
      <c r="AW18" s="8"/>
      <c r="AX18" s="8"/>
      <c r="AY18" s="8"/>
      <c r="AZ18" s="8"/>
      <c r="BA18" s="8"/>
      <c r="BB18" s="8"/>
      <c r="BC18" s="8"/>
    </row>
    <row r="19" spans="1:55">
      <c r="A19" s="627"/>
      <c r="B19" s="627" t="s">
        <v>17</v>
      </c>
      <c r="C19" s="628">
        <v>645180</v>
      </c>
      <c r="D19" s="628">
        <v>644453</v>
      </c>
      <c r="E19" s="628">
        <v>14914</v>
      </c>
      <c r="F19" s="628">
        <v>21293</v>
      </c>
      <c r="G19" s="628">
        <v>162619.65787</v>
      </c>
      <c r="H19" s="628">
        <v>171470.94519999999</v>
      </c>
      <c r="I19" s="628">
        <v>26587.580289999994</v>
      </c>
      <c r="J19" s="628">
        <v>24254.622810000001</v>
      </c>
      <c r="K19" s="628">
        <v>310549.11183000001</v>
      </c>
      <c r="L19" s="628">
        <v>353450.87545999995</v>
      </c>
      <c r="M19" s="628">
        <v>27883.594499999999</v>
      </c>
      <c r="N19" s="628">
        <v>28416.6525</v>
      </c>
      <c r="O19" s="628">
        <v>70850.244210000004</v>
      </c>
      <c r="P19" s="628">
        <v>65483.887399999992</v>
      </c>
      <c r="Q19" s="628">
        <v>37847.558660000002</v>
      </c>
      <c r="R19" s="628">
        <v>43708.155599999998</v>
      </c>
      <c r="S19" s="628">
        <v>275925.5526</v>
      </c>
      <c r="T19" s="628">
        <v>44738</v>
      </c>
      <c r="U19" s="628">
        <v>55333</v>
      </c>
      <c r="V19" s="628">
        <v>65612</v>
      </c>
      <c r="W19" s="628">
        <v>371901</v>
      </c>
      <c r="X19" s="628">
        <v>826302</v>
      </c>
      <c r="Y19" s="628">
        <v>65512</v>
      </c>
      <c r="Z19" s="629">
        <v>99703</v>
      </c>
      <c r="AA19" s="629">
        <v>96345</v>
      </c>
      <c r="AB19" s="629">
        <v>112877</v>
      </c>
      <c r="AC19" s="629">
        <v>124600</v>
      </c>
      <c r="AD19" s="629">
        <v>156830</v>
      </c>
      <c r="AE19" s="629">
        <v>820156</v>
      </c>
      <c r="AF19" s="629">
        <f t="shared" ref="AF19:AG19" si="2">AF20+AF25</f>
        <v>831414</v>
      </c>
      <c r="AG19" s="629">
        <f t="shared" si="2"/>
        <v>135395</v>
      </c>
      <c r="AH19" s="629">
        <v>118577</v>
      </c>
      <c r="AI19" s="629">
        <v>1418439</v>
      </c>
      <c r="AJ19" s="629">
        <v>1435759</v>
      </c>
      <c r="AK19" s="629">
        <v>1010035.07751</v>
      </c>
      <c r="AL19" s="629">
        <v>874224.93917999999</v>
      </c>
      <c r="AM19" s="629">
        <v>1134691.86381</v>
      </c>
      <c r="AN19" s="629">
        <v>222014.44922000001</v>
      </c>
      <c r="AO19" s="629">
        <v>1092988.52467</v>
      </c>
      <c r="AP19" s="629">
        <v>1118851.0966099999</v>
      </c>
      <c r="AQ19" s="629">
        <v>1214517.1554999999</v>
      </c>
      <c r="AR19" s="629">
        <f>AR20+AR25</f>
        <v>1153251.9987799998</v>
      </c>
      <c r="AS19" s="744"/>
      <c r="AT19" s="8"/>
      <c r="AU19" s="8"/>
      <c r="AV19" s="8"/>
      <c r="AW19" s="8"/>
      <c r="AX19" s="8"/>
      <c r="AY19" s="8"/>
      <c r="AZ19" s="8"/>
      <c r="BA19" s="8"/>
      <c r="BB19" s="8"/>
      <c r="BC19" s="8"/>
    </row>
    <row r="20" spans="1:55">
      <c r="A20" s="21"/>
      <c r="B20" s="21" t="s">
        <v>18</v>
      </c>
      <c r="C20" s="22">
        <v>645180</v>
      </c>
      <c r="D20" s="22">
        <v>644453</v>
      </c>
      <c r="E20" s="22">
        <v>14914</v>
      </c>
      <c r="F20" s="22">
        <v>21293</v>
      </c>
      <c r="G20" s="22">
        <v>162297</v>
      </c>
      <c r="H20" s="22">
        <v>171148.28732999999</v>
      </c>
      <c r="I20" s="22">
        <v>26264.922419999995</v>
      </c>
      <c r="J20" s="22">
        <v>23931.622810000001</v>
      </c>
      <c r="K20" s="22">
        <v>310006.31361000001</v>
      </c>
      <c r="L20" s="22">
        <v>352908.07723999996</v>
      </c>
      <c r="M20" s="22">
        <v>27340.796279999999</v>
      </c>
      <c r="N20" s="22">
        <v>27873.85428</v>
      </c>
      <c r="O20" s="22">
        <v>70094.244210000004</v>
      </c>
      <c r="P20" s="22">
        <v>64727.731799999994</v>
      </c>
      <c r="Q20" s="22">
        <v>37091.403060000004</v>
      </c>
      <c r="R20" s="22">
        <v>42952</v>
      </c>
      <c r="S20" s="22">
        <v>275149.5526</v>
      </c>
      <c r="T20" s="22">
        <v>43962</v>
      </c>
      <c r="U20" s="22">
        <v>54557</v>
      </c>
      <c r="V20" s="22">
        <v>64836</v>
      </c>
      <c r="W20" s="22">
        <v>371054</v>
      </c>
      <c r="X20" s="22">
        <v>825455</v>
      </c>
      <c r="Y20" s="22">
        <v>64609</v>
      </c>
      <c r="Z20" s="175">
        <v>98800</v>
      </c>
      <c r="AA20" s="175">
        <v>95116</v>
      </c>
      <c r="AB20" s="175">
        <v>111652</v>
      </c>
      <c r="AC20" s="175">
        <v>123374</v>
      </c>
      <c r="AD20" s="175">
        <v>155604</v>
      </c>
      <c r="AE20" s="175">
        <v>817365</v>
      </c>
      <c r="AF20" s="175">
        <v>828658</v>
      </c>
      <c r="AG20" s="175">
        <v>132508</v>
      </c>
      <c r="AH20" s="175">
        <v>115310</v>
      </c>
      <c r="AI20" s="175">
        <v>1415172</v>
      </c>
      <c r="AJ20" s="175">
        <v>1431767</v>
      </c>
      <c r="AK20" s="175">
        <v>1006783.07751</v>
      </c>
      <c r="AL20" s="175">
        <v>870972.93917999999</v>
      </c>
      <c r="AM20" s="175">
        <v>1131439.86381</v>
      </c>
      <c r="AN20" s="175">
        <v>218307.44922000001</v>
      </c>
      <c r="AO20" s="175">
        <v>1080073.52467</v>
      </c>
      <c r="AP20" s="175">
        <v>1106037.0966099999</v>
      </c>
      <c r="AQ20" s="175">
        <v>1202266.1554999999</v>
      </c>
      <c r="AR20" s="175">
        <f>SUM(AR21:AR24)</f>
        <v>1139480.9987799998</v>
      </c>
      <c r="AS20" s="744"/>
      <c r="AT20" s="8"/>
      <c r="AU20" s="8"/>
      <c r="AV20" s="8"/>
      <c r="AW20" s="8"/>
      <c r="AX20" s="8"/>
      <c r="AY20" s="8"/>
      <c r="AZ20" s="8"/>
      <c r="BA20" s="8"/>
      <c r="BB20" s="8"/>
      <c r="BC20" s="8"/>
    </row>
    <row r="21" spans="1:55">
      <c r="A21" s="11"/>
      <c r="B21" s="11" t="s">
        <v>19</v>
      </c>
      <c r="C21" s="25">
        <v>501967</v>
      </c>
      <c r="D21" s="25">
        <v>501314</v>
      </c>
      <c r="E21" s="25">
        <v>2944</v>
      </c>
      <c r="F21" s="25">
        <v>4417</v>
      </c>
      <c r="G21" s="25">
        <v>5301</v>
      </c>
      <c r="H21" s="25">
        <v>5066.6547200000005</v>
      </c>
      <c r="I21" s="25">
        <v>7073.3115999999991</v>
      </c>
      <c r="J21" s="25">
        <v>5922.7383</v>
      </c>
      <c r="K21" s="25">
        <v>21876.035889999999</v>
      </c>
      <c r="L21" s="25">
        <v>24151.500260000004</v>
      </c>
      <c r="M21" s="25">
        <v>7211.2711100000015</v>
      </c>
      <c r="N21" s="25">
        <v>6922.8276400000004</v>
      </c>
      <c r="O21" s="25">
        <v>11333.953120000002</v>
      </c>
      <c r="P21" s="23">
        <v>11368.499189999999</v>
      </c>
      <c r="Q21" s="23">
        <v>9199.7419800000007</v>
      </c>
      <c r="R21" s="23">
        <v>14343</v>
      </c>
      <c r="S21" s="23">
        <v>116879.65561999999</v>
      </c>
      <c r="T21" s="23">
        <v>27255</v>
      </c>
      <c r="U21" s="23">
        <v>20588</v>
      </c>
      <c r="V21" s="23">
        <v>14513</v>
      </c>
      <c r="W21" s="23">
        <v>18534</v>
      </c>
      <c r="X21" s="23">
        <v>16535</v>
      </c>
      <c r="Y21" s="23">
        <v>30629</v>
      </c>
      <c r="Z21" s="176">
        <v>47134</v>
      </c>
      <c r="AA21" s="176">
        <v>43635</v>
      </c>
      <c r="AB21" s="176">
        <v>58620</v>
      </c>
      <c r="AC21" s="176">
        <v>73112</v>
      </c>
      <c r="AD21" s="176">
        <v>98066</v>
      </c>
      <c r="AE21" s="176">
        <v>76465</v>
      </c>
      <c r="AF21" s="176">
        <v>48467</v>
      </c>
      <c r="AG21" s="176">
        <v>73953</v>
      </c>
      <c r="AH21" s="176">
        <v>55597</v>
      </c>
      <c r="AI21" s="176">
        <v>74599</v>
      </c>
      <c r="AJ21" s="176">
        <v>57480</v>
      </c>
      <c r="AK21" s="176">
        <v>104066.45014</v>
      </c>
      <c r="AL21" s="176">
        <v>99960.944390000004</v>
      </c>
      <c r="AM21" s="176">
        <v>102810.76357</v>
      </c>
      <c r="AN21" s="176">
        <v>140069.87367</v>
      </c>
      <c r="AO21" s="176">
        <v>83052.41876</v>
      </c>
      <c r="AP21" s="176">
        <v>67787.905610000002</v>
      </c>
      <c r="AQ21" s="176">
        <v>81335.973310000001</v>
      </c>
      <c r="AR21" s="176">
        <v>72938.688760000005</v>
      </c>
      <c r="AS21" s="744"/>
      <c r="AT21" s="8"/>
      <c r="AU21" s="8"/>
      <c r="AV21" s="8"/>
      <c r="AW21" s="8"/>
      <c r="AX21" s="8"/>
      <c r="AY21" s="8"/>
      <c r="AZ21" s="8"/>
      <c r="BA21" s="8"/>
      <c r="BB21" s="8"/>
      <c r="BC21" s="8"/>
    </row>
    <row r="22" spans="1:55">
      <c r="A22" s="11"/>
      <c r="B22" s="11" t="s">
        <v>20</v>
      </c>
      <c r="C22" s="25">
        <v>127028</v>
      </c>
      <c r="D22" s="25">
        <v>131163</v>
      </c>
      <c r="E22" s="25">
        <v>204</v>
      </c>
      <c r="F22" s="25">
        <v>0</v>
      </c>
      <c r="G22" s="25">
        <v>142816</v>
      </c>
      <c r="H22" s="25">
        <v>147081.28427999999</v>
      </c>
      <c r="I22" s="25">
        <v>0</v>
      </c>
      <c r="J22" s="25">
        <v>0</v>
      </c>
      <c r="K22" s="25">
        <v>271448.85538000002</v>
      </c>
      <c r="L22" s="25">
        <v>275766.17962999997</v>
      </c>
      <c r="M22" s="25">
        <v>0</v>
      </c>
      <c r="N22" s="25">
        <v>0</v>
      </c>
      <c r="O22" s="25">
        <v>24220.362379999999</v>
      </c>
      <c r="P22" s="23">
        <v>24586.80831</v>
      </c>
      <c r="Q22" s="23">
        <v>0</v>
      </c>
      <c r="R22" s="23">
        <v>0</v>
      </c>
      <c r="S22" s="23">
        <v>153442.49533999999</v>
      </c>
      <c r="T22" s="23">
        <v>0</v>
      </c>
      <c r="U22" s="23">
        <v>0</v>
      </c>
      <c r="V22" s="23">
        <v>0</v>
      </c>
      <c r="W22" s="23">
        <v>320236</v>
      </c>
      <c r="X22" s="23">
        <v>780000</v>
      </c>
      <c r="Y22" s="23">
        <v>0</v>
      </c>
      <c r="Z22" s="176">
        <v>0</v>
      </c>
      <c r="AA22" s="176">
        <v>0</v>
      </c>
      <c r="AB22" s="176">
        <v>1</v>
      </c>
      <c r="AC22" s="177">
        <v>1</v>
      </c>
      <c r="AD22" s="177">
        <v>0</v>
      </c>
      <c r="AE22" s="177">
        <v>696958</v>
      </c>
      <c r="AF22" s="176">
        <v>719613</v>
      </c>
      <c r="AG22" s="177">
        <v>3</v>
      </c>
      <c r="AH22" s="177">
        <v>3</v>
      </c>
      <c r="AI22" s="177">
        <v>1278351</v>
      </c>
      <c r="AJ22" s="177">
        <v>1310781</v>
      </c>
      <c r="AK22" s="177">
        <v>840005.44568</v>
      </c>
      <c r="AL22" s="177">
        <v>702006.44568</v>
      </c>
      <c r="AM22" s="177">
        <v>941302.25811000005</v>
      </c>
      <c r="AN22" s="177">
        <v>11641.888940000001</v>
      </c>
      <c r="AO22" s="177">
        <v>930009.53715999995</v>
      </c>
      <c r="AP22" s="177">
        <v>960008.33635999996</v>
      </c>
      <c r="AQ22" s="177">
        <v>1050007.5735899999</v>
      </c>
      <c r="AR22" s="176">
        <v>990007.58282000001</v>
      </c>
      <c r="AS22" s="744"/>
      <c r="AT22" s="8"/>
      <c r="AU22" s="8"/>
      <c r="AV22" s="8"/>
      <c r="AW22" s="8"/>
      <c r="AX22" s="8"/>
      <c r="AY22" s="8"/>
      <c r="AZ22" s="8"/>
      <c r="BA22" s="8"/>
      <c r="BB22" s="8"/>
      <c r="BC22" s="8"/>
    </row>
    <row r="23" spans="1:55">
      <c r="A23" s="11"/>
      <c r="B23" s="11" t="s">
        <v>21</v>
      </c>
      <c r="C23" s="25">
        <v>16185</v>
      </c>
      <c r="D23" s="25">
        <v>11976</v>
      </c>
      <c r="E23" s="25">
        <v>11766</v>
      </c>
      <c r="F23" s="25">
        <v>16876</v>
      </c>
      <c r="G23" s="25">
        <v>14180</v>
      </c>
      <c r="H23" s="25">
        <v>19000.348329999997</v>
      </c>
      <c r="I23" s="25">
        <v>19191.610819999998</v>
      </c>
      <c r="J23" s="25">
        <v>18008.88451</v>
      </c>
      <c r="K23" s="25">
        <v>16681.422340000001</v>
      </c>
      <c r="L23" s="25">
        <v>52990.397349999999</v>
      </c>
      <c r="M23" s="25">
        <v>20129.525169999997</v>
      </c>
      <c r="N23" s="25">
        <v>20951.02664</v>
      </c>
      <c r="O23" s="25">
        <v>34539.92871</v>
      </c>
      <c r="P23" s="23">
        <v>28772.424300000002</v>
      </c>
      <c r="Q23" s="23">
        <v>23677.744710000003</v>
      </c>
      <c r="R23" s="23">
        <v>22585</v>
      </c>
      <c r="S23" s="23">
        <v>4827.40164</v>
      </c>
      <c r="T23" s="23">
        <v>15280</v>
      </c>
      <c r="U23" s="23">
        <v>31223</v>
      </c>
      <c r="V23" s="23">
        <v>46336</v>
      </c>
      <c r="W23" s="26">
        <v>32284</v>
      </c>
      <c r="X23" s="26">
        <v>27718</v>
      </c>
      <c r="Y23" s="26">
        <v>31515</v>
      </c>
      <c r="Z23" s="177">
        <v>47862</v>
      </c>
      <c r="AA23" s="177">
        <v>51481</v>
      </c>
      <c r="AB23" s="177">
        <v>51380</v>
      </c>
      <c r="AC23" s="177">
        <v>46757</v>
      </c>
      <c r="AD23" s="177">
        <v>52129</v>
      </c>
      <c r="AE23" s="177">
        <v>43942</v>
      </c>
      <c r="AF23" s="177">
        <v>58142</v>
      </c>
      <c r="AG23" s="177">
        <v>53737</v>
      </c>
      <c r="AH23" s="177">
        <v>52608</v>
      </c>
      <c r="AI23" s="177">
        <v>62214</v>
      </c>
      <c r="AJ23" s="177">
        <v>61044</v>
      </c>
      <c r="AK23" s="177">
        <v>57774.895360000002</v>
      </c>
      <c r="AL23" s="177">
        <v>61404.219989999998</v>
      </c>
      <c r="AM23" s="177">
        <v>87193.05575</v>
      </c>
      <c r="AN23" s="177">
        <v>63090.930650000002</v>
      </c>
      <c r="AO23" s="177">
        <v>60869.192130000003</v>
      </c>
      <c r="AP23" s="177">
        <v>69226.194560000004</v>
      </c>
      <c r="AQ23" s="177">
        <v>70405.885709999988</v>
      </c>
      <c r="AR23" s="176">
        <v>72144.438989999995</v>
      </c>
      <c r="AS23" s="744"/>
      <c r="AT23" s="8"/>
      <c r="AU23" s="8"/>
      <c r="AV23" s="8"/>
      <c r="AW23" s="8"/>
      <c r="AX23" s="8"/>
      <c r="AY23" s="8"/>
      <c r="AZ23" s="8"/>
      <c r="BA23" s="8"/>
      <c r="BB23" s="8"/>
      <c r="BC23" s="8"/>
    </row>
    <row r="24" spans="1:55">
      <c r="A24" s="11"/>
      <c r="B24" s="11" t="s">
        <v>22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4213.9163699999999</v>
      </c>
      <c r="R24" s="23">
        <v>6024</v>
      </c>
      <c r="S24" s="23">
        <v>0</v>
      </c>
      <c r="T24" s="23">
        <v>1427</v>
      </c>
      <c r="U24" s="23">
        <v>2746</v>
      </c>
      <c r="V24" s="23">
        <v>3987</v>
      </c>
      <c r="W24" s="26">
        <v>0</v>
      </c>
      <c r="X24" s="26">
        <v>1202</v>
      </c>
      <c r="Y24" s="26">
        <v>2465</v>
      </c>
      <c r="Z24" s="177">
        <v>3804</v>
      </c>
      <c r="AA24" s="177">
        <v>0</v>
      </c>
      <c r="AB24" s="177">
        <v>1651</v>
      </c>
      <c r="AC24" s="177">
        <v>3504</v>
      </c>
      <c r="AD24" s="177">
        <v>5409</v>
      </c>
      <c r="AE24" s="177">
        <v>0</v>
      </c>
      <c r="AF24" s="177">
        <v>2436</v>
      </c>
      <c r="AG24" s="177">
        <v>4815</v>
      </c>
      <c r="AH24" s="177">
        <v>7102</v>
      </c>
      <c r="AI24" s="177">
        <v>8</v>
      </c>
      <c r="AJ24" s="177">
        <v>2462</v>
      </c>
      <c r="AK24" s="177">
        <v>4936.2863299999999</v>
      </c>
      <c r="AL24" s="177">
        <v>7601.3291200000003</v>
      </c>
      <c r="AM24" s="177">
        <v>133.78638000000001</v>
      </c>
      <c r="AN24" s="177">
        <v>3504.75596</v>
      </c>
      <c r="AO24" s="177">
        <v>6142.1426199999996</v>
      </c>
      <c r="AP24" s="177">
        <v>9014.5079499999993</v>
      </c>
      <c r="AQ24" s="177">
        <v>498.67379999999997</v>
      </c>
      <c r="AR24" s="176">
        <v>4390.2882099999997</v>
      </c>
      <c r="AS24" s="744"/>
      <c r="AT24" s="8"/>
      <c r="AU24" s="8"/>
      <c r="AV24" s="8"/>
      <c r="AW24" s="8"/>
      <c r="AX24" s="8"/>
      <c r="AY24" s="8"/>
      <c r="AZ24" s="8"/>
      <c r="BA24" s="8"/>
      <c r="BB24" s="8"/>
      <c r="BC24" s="8"/>
    </row>
    <row r="25" spans="1:55">
      <c r="A25" s="21"/>
      <c r="B25" s="21" t="s">
        <v>23</v>
      </c>
      <c r="C25" s="22">
        <v>0</v>
      </c>
      <c r="D25" s="22">
        <v>0</v>
      </c>
      <c r="E25" s="22">
        <v>0</v>
      </c>
      <c r="F25" s="22">
        <v>0</v>
      </c>
      <c r="G25" s="22">
        <v>322.65787</v>
      </c>
      <c r="H25" s="22">
        <v>322.65787</v>
      </c>
      <c r="I25" s="22">
        <v>322.65787</v>
      </c>
      <c r="J25" s="22">
        <v>323</v>
      </c>
      <c r="K25" s="22">
        <v>542.79822000000001</v>
      </c>
      <c r="L25" s="22">
        <v>542.79822000000001</v>
      </c>
      <c r="M25" s="22">
        <v>542.79822000000001</v>
      </c>
      <c r="N25" s="22">
        <v>542.79822000000001</v>
      </c>
      <c r="O25" s="22">
        <v>756</v>
      </c>
      <c r="P25" s="22">
        <v>756.15559999999994</v>
      </c>
      <c r="Q25" s="22">
        <v>756.15559999999994</v>
      </c>
      <c r="R25" s="22">
        <v>756.15559999999994</v>
      </c>
      <c r="S25" s="22">
        <v>776</v>
      </c>
      <c r="T25" s="22">
        <v>776</v>
      </c>
      <c r="U25" s="22">
        <v>776</v>
      </c>
      <c r="V25" s="22">
        <v>776</v>
      </c>
      <c r="W25" s="22">
        <v>847</v>
      </c>
      <c r="X25" s="22">
        <v>847</v>
      </c>
      <c r="Y25" s="22">
        <v>903</v>
      </c>
      <c r="Z25" s="175">
        <v>903</v>
      </c>
      <c r="AA25" s="175">
        <v>1229</v>
      </c>
      <c r="AB25" s="175">
        <v>1225</v>
      </c>
      <c r="AC25" s="175">
        <v>1226</v>
      </c>
      <c r="AD25" s="175">
        <v>1226</v>
      </c>
      <c r="AE25" s="175">
        <v>2791</v>
      </c>
      <c r="AF25" s="175">
        <v>2756</v>
      </c>
      <c r="AG25" s="175">
        <v>2887</v>
      </c>
      <c r="AH25" s="175">
        <v>3267</v>
      </c>
      <c r="AI25" s="175">
        <v>3267</v>
      </c>
      <c r="AJ25" s="175">
        <v>3992</v>
      </c>
      <c r="AK25" s="175">
        <v>3252</v>
      </c>
      <c r="AL25" s="175">
        <v>3252</v>
      </c>
      <c r="AM25" s="175">
        <v>3252</v>
      </c>
      <c r="AN25" s="175">
        <v>3707</v>
      </c>
      <c r="AO25" s="175">
        <v>12915</v>
      </c>
      <c r="AP25" s="175">
        <v>12814</v>
      </c>
      <c r="AQ25" s="175">
        <v>12251</v>
      </c>
      <c r="AR25" s="175">
        <f>AR26</f>
        <v>13771</v>
      </c>
      <c r="AS25" s="744"/>
      <c r="AT25" s="8"/>
      <c r="AU25" s="8"/>
      <c r="AV25" s="8"/>
      <c r="AW25" s="8"/>
      <c r="AX25" s="8"/>
      <c r="AY25" s="8"/>
      <c r="AZ25" s="8"/>
      <c r="BA25" s="8"/>
      <c r="BB25" s="8"/>
      <c r="BC25" s="8"/>
    </row>
    <row r="26" spans="1:55">
      <c r="A26" s="11"/>
      <c r="B26" s="11" t="s">
        <v>24</v>
      </c>
      <c r="C26" s="25">
        <v>0</v>
      </c>
      <c r="D26" s="25">
        <v>0</v>
      </c>
      <c r="E26" s="25">
        <v>0</v>
      </c>
      <c r="F26" s="25">
        <v>0</v>
      </c>
      <c r="G26" s="25">
        <v>322.65787</v>
      </c>
      <c r="H26" s="25">
        <v>322.65787</v>
      </c>
      <c r="I26" s="25">
        <v>322.65787</v>
      </c>
      <c r="J26" s="25">
        <v>323</v>
      </c>
      <c r="K26" s="25">
        <v>542.79822000000001</v>
      </c>
      <c r="L26" s="25">
        <v>542.79822000000001</v>
      </c>
      <c r="M26" s="25">
        <v>542.79822000000001</v>
      </c>
      <c r="N26" s="25">
        <v>542.79822000000001</v>
      </c>
      <c r="O26" s="25">
        <v>756</v>
      </c>
      <c r="P26" s="23">
        <v>756.15559999999994</v>
      </c>
      <c r="Q26" s="23">
        <v>756.15559999999994</v>
      </c>
      <c r="R26" s="23">
        <v>756.15559999999994</v>
      </c>
      <c r="S26" s="23">
        <v>776</v>
      </c>
      <c r="T26" s="23">
        <v>776</v>
      </c>
      <c r="U26" s="23">
        <v>776</v>
      </c>
      <c r="V26" s="23">
        <v>776</v>
      </c>
      <c r="W26" s="23">
        <v>847</v>
      </c>
      <c r="X26" s="23">
        <v>847</v>
      </c>
      <c r="Y26" s="23">
        <v>903</v>
      </c>
      <c r="Z26" s="176">
        <v>903</v>
      </c>
      <c r="AA26" s="176">
        <v>1229</v>
      </c>
      <c r="AB26" s="176">
        <v>1225</v>
      </c>
      <c r="AC26" s="216">
        <v>1226</v>
      </c>
      <c r="AD26" s="216">
        <v>1226</v>
      </c>
      <c r="AE26" s="216">
        <v>2791</v>
      </c>
      <c r="AF26" s="176">
        <v>2756</v>
      </c>
      <c r="AG26" s="216">
        <v>2887</v>
      </c>
      <c r="AH26" s="216">
        <v>3267</v>
      </c>
      <c r="AI26" s="216">
        <v>3267</v>
      </c>
      <c r="AJ26" s="176">
        <v>3992</v>
      </c>
      <c r="AK26" s="176">
        <v>3252</v>
      </c>
      <c r="AL26" s="176">
        <v>3252</v>
      </c>
      <c r="AM26" s="176">
        <v>3252</v>
      </c>
      <c r="AN26" s="176">
        <v>3707</v>
      </c>
      <c r="AO26" s="176">
        <v>12915</v>
      </c>
      <c r="AP26" s="176">
        <v>12814</v>
      </c>
      <c r="AQ26" s="176">
        <v>12251</v>
      </c>
      <c r="AR26" s="176">
        <v>13771</v>
      </c>
      <c r="AS26" s="744"/>
      <c r="AT26" s="8"/>
      <c r="AU26" s="8"/>
      <c r="AV26" s="8"/>
      <c r="AW26" s="8"/>
      <c r="AX26" s="8"/>
      <c r="AY26" s="8"/>
      <c r="AZ26" s="8"/>
      <c r="BA26" s="8"/>
      <c r="BB26" s="8"/>
      <c r="BC26" s="8"/>
    </row>
    <row r="27" spans="1:55">
      <c r="A27" s="627"/>
      <c r="B27" s="627" t="s">
        <v>25</v>
      </c>
      <c r="C27" s="628">
        <v>3055882</v>
      </c>
      <c r="D27" s="628">
        <v>3410069</v>
      </c>
      <c r="E27" s="628">
        <v>3329633</v>
      </c>
      <c r="F27" s="628">
        <v>3623152</v>
      </c>
      <c r="G27" s="628">
        <v>3770185</v>
      </c>
      <c r="H27" s="628">
        <v>4109364.2944600005</v>
      </c>
      <c r="I27" s="628">
        <v>3799723.11362</v>
      </c>
      <c r="J27" s="628">
        <v>4158623.0024000001</v>
      </c>
      <c r="K27" s="628">
        <v>4178629.9267299999</v>
      </c>
      <c r="L27" s="628">
        <v>4553965.8297800003</v>
      </c>
      <c r="M27" s="628">
        <v>4110565.3416100005</v>
      </c>
      <c r="N27" s="628">
        <v>4466925.9770899992</v>
      </c>
      <c r="O27" s="628">
        <v>4603698.4447500007</v>
      </c>
      <c r="P27" s="628">
        <v>5006419.7719600005</v>
      </c>
      <c r="Q27" s="628">
        <v>5472740.5959100006</v>
      </c>
      <c r="R27" s="628">
        <v>4965496</v>
      </c>
      <c r="S27" s="628">
        <v>5140791.1064800005</v>
      </c>
      <c r="T27" s="628">
        <v>5527389</v>
      </c>
      <c r="U27" s="628">
        <v>5983812</v>
      </c>
      <c r="V27" s="628">
        <v>4746363</v>
      </c>
      <c r="W27" s="628">
        <v>9085407</v>
      </c>
      <c r="X27" s="628">
        <v>10038733</v>
      </c>
      <c r="Y27" s="628">
        <v>10436845</v>
      </c>
      <c r="Z27" s="629">
        <v>10811310</v>
      </c>
      <c r="AA27" s="629">
        <v>10558769</v>
      </c>
      <c r="AB27" s="629">
        <v>11120118</v>
      </c>
      <c r="AC27" s="629">
        <v>10914051</v>
      </c>
      <c r="AD27" s="629">
        <v>11753184</v>
      </c>
      <c r="AE27" s="629">
        <v>10889112</v>
      </c>
      <c r="AF27" s="629">
        <v>11776688</v>
      </c>
      <c r="AG27" s="629">
        <v>11861425</v>
      </c>
      <c r="AH27" s="629">
        <v>12760428</v>
      </c>
      <c r="AI27" s="629">
        <v>10977671</v>
      </c>
      <c r="AJ27" s="629">
        <v>11860767</v>
      </c>
      <c r="AK27" s="629">
        <v>11315049.56134</v>
      </c>
      <c r="AL27" s="629">
        <v>11604284.98405</v>
      </c>
      <c r="AM27" s="629">
        <v>11500647.84433</v>
      </c>
      <c r="AN27" s="629">
        <v>12587512.165349999</v>
      </c>
      <c r="AO27" s="629">
        <v>11839289.90374</v>
      </c>
      <c r="AP27" s="629">
        <v>12018035.072170001</v>
      </c>
      <c r="AQ27" s="629">
        <v>12111624.183320001</v>
      </c>
      <c r="AR27" s="629">
        <f>SUM(AR28:AR31)</f>
        <v>12257238.497129999</v>
      </c>
      <c r="AS27" s="744"/>
      <c r="AT27" s="8"/>
      <c r="AU27" s="8"/>
      <c r="AV27" s="8"/>
      <c r="AW27" s="8"/>
      <c r="AX27" s="8"/>
      <c r="AY27" s="8"/>
      <c r="AZ27" s="8"/>
      <c r="BA27" s="8"/>
      <c r="BB27" s="8"/>
      <c r="BC27" s="8"/>
    </row>
    <row r="28" spans="1:55">
      <c r="A28" s="11"/>
      <c r="B28" s="11" t="s">
        <v>26</v>
      </c>
      <c r="C28" s="25">
        <v>2756687</v>
      </c>
      <c r="D28" s="25">
        <v>2756687</v>
      </c>
      <c r="E28" s="25">
        <v>2756687</v>
      </c>
      <c r="F28" s="25">
        <v>2756687</v>
      </c>
      <c r="G28" s="25">
        <v>2756687</v>
      </c>
      <c r="H28" s="25">
        <v>2756687.1670200001</v>
      </c>
      <c r="I28" s="25">
        <v>2756687.1670200001</v>
      </c>
      <c r="J28" s="25">
        <v>2756687.1670200001</v>
      </c>
      <c r="K28" s="25">
        <v>2756687.1670200001</v>
      </c>
      <c r="L28" s="25">
        <v>2756687.1670200001</v>
      </c>
      <c r="M28" s="25">
        <v>2756687.1670200001</v>
      </c>
      <c r="N28" s="25">
        <v>2756687.1670200001</v>
      </c>
      <c r="O28" s="25">
        <v>2756687.1670200001</v>
      </c>
      <c r="P28" s="23">
        <v>2756687.1670200001</v>
      </c>
      <c r="Q28" s="23">
        <v>2756687.1670200001</v>
      </c>
      <c r="R28" s="23">
        <v>2756687</v>
      </c>
      <c r="S28" s="23">
        <v>2756687.1670200001</v>
      </c>
      <c r="T28" s="23">
        <v>2756687</v>
      </c>
      <c r="U28" s="23">
        <v>2756687</v>
      </c>
      <c r="V28" s="23">
        <v>2756687</v>
      </c>
      <c r="W28" s="24">
        <v>2756687</v>
      </c>
      <c r="X28" s="24">
        <v>2756687</v>
      </c>
      <c r="Y28" s="24">
        <v>2756687</v>
      </c>
      <c r="Z28" s="176">
        <v>2756687</v>
      </c>
      <c r="AA28" s="176">
        <v>2756687</v>
      </c>
      <c r="AB28" s="176">
        <v>2756687</v>
      </c>
      <c r="AC28" s="176">
        <v>2756687</v>
      </c>
      <c r="AD28" s="176">
        <v>2756687</v>
      </c>
      <c r="AE28" s="176">
        <v>2756687</v>
      </c>
      <c r="AF28" s="176">
        <v>2756687</v>
      </c>
      <c r="AG28" s="176">
        <v>2756687</v>
      </c>
      <c r="AH28" s="176">
        <v>2756687</v>
      </c>
      <c r="AI28" s="176">
        <v>2756687</v>
      </c>
      <c r="AJ28" s="176">
        <v>2756687</v>
      </c>
      <c r="AK28" s="176">
        <v>2756687.1670200001</v>
      </c>
      <c r="AL28" s="176">
        <v>2756687.1670200001</v>
      </c>
      <c r="AM28" s="176">
        <v>2756687.1670200001</v>
      </c>
      <c r="AN28" s="176">
        <v>2756687.1670200001</v>
      </c>
      <c r="AO28" s="176">
        <v>3678771.5402500001</v>
      </c>
      <c r="AP28" s="176">
        <v>3678771.5402500001</v>
      </c>
      <c r="AQ28" s="176">
        <v>3678771.5402500001</v>
      </c>
      <c r="AR28" s="176">
        <v>3678771.5402500001</v>
      </c>
      <c r="AS28" s="744"/>
      <c r="AT28" s="8"/>
      <c r="AU28" s="8"/>
      <c r="AV28" s="8"/>
      <c r="AW28" s="8"/>
      <c r="AX28" s="8"/>
      <c r="AY28" s="8"/>
      <c r="AZ28" s="8"/>
      <c r="BA28" s="8"/>
      <c r="BB28" s="8"/>
      <c r="BC28" s="8"/>
    </row>
    <row r="29" spans="1:55">
      <c r="A29" s="11"/>
      <c r="B29" s="11" t="s">
        <v>27</v>
      </c>
      <c r="C29" s="25">
        <v>407826</v>
      </c>
      <c r="D29" s="25">
        <v>407826</v>
      </c>
      <c r="E29" s="25">
        <v>26743</v>
      </c>
      <c r="F29" s="25">
        <v>26743</v>
      </c>
      <c r="G29" s="25">
        <v>973519</v>
      </c>
      <c r="H29" s="25">
        <v>973519.44663000014</v>
      </c>
      <c r="I29" s="25">
        <v>323341.96964999998</v>
      </c>
      <c r="J29" s="25">
        <v>323341.96964999998</v>
      </c>
      <c r="K29" s="25">
        <v>1350743.503</v>
      </c>
      <c r="L29" s="25">
        <v>1350743.503</v>
      </c>
      <c r="M29" s="25">
        <v>635066.06295000005</v>
      </c>
      <c r="N29" s="25">
        <v>635066.06295000005</v>
      </c>
      <c r="O29" s="25">
        <v>1761741.7532000002</v>
      </c>
      <c r="P29" s="23">
        <v>1761741.7532000002</v>
      </c>
      <c r="Q29" s="23">
        <v>1761741.7532000002</v>
      </c>
      <c r="R29" s="23">
        <v>989692</v>
      </c>
      <c r="S29" s="23">
        <v>2162305.99058</v>
      </c>
      <c r="T29" s="23">
        <v>2162306</v>
      </c>
      <c r="U29" s="23">
        <v>2162306</v>
      </c>
      <c r="V29" s="23">
        <v>572306</v>
      </c>
      <c r="W29" s="24">
        <v>1921484</v>
      </c>
      <c r="X29" s="24">
        <v>1141484</v>
      </c>
      <c r="Y29" s="24">
        <v>1141484</v>
      </c>
      <c r="Z29" s="176">
        <v>1141484</v>
      </c>
      <c r="AA29" s="176">
        <v>2303797</v>
      </c>
      <c r="AB29" s="176">
        <v>2303797</v>
      </c>
      <c r="AC29" s="176">
        <v>1416426</v>
      </c>
      <c r="AD29" s="176">
        <v>1416426</v>
      </c>
      <c r="AE29" s="176">
        <v>1717119</v>
      </c>
      <c r="AF29" s="176">
        <v>1717119</v>
      </c>
      <c r="AG29" s="176">
        <v>1717119</v>
      </c>
      <c r="AH29" s="176">
        <v>1717119</v>
      </c>
      <c r="AI29" s="176">
        <v>2067312</v>
      </c>
      <c r="AJ29" s="176">
        <v>2067313</v>
      </c>
      <c r="AK29" s="176">
        <v>2067312.3366500002</v>
      </c>
      <c r="AL29" s="176">
        <v>2019075.58895</v>
      </c>
      <c r="AM29" s="176">
        <v>2377553.6609399999</v>
      </c>
      <c r="AN29" s="176">
        <v>2377553.6609399999</v>
      </c>
      <c r="AO29" s="176">
        <v>1455469.2877100001</v>
      </c>
      <c r="AP29" s="176">
        <v>1455469.2877100001</v>
      </c>
      <c r="AQ29" s="176">
        <v>2831360.9826599997</v>
      </c>
      <c r="AR29" s="176">
        <v>1841360.98266</v>
      </c>
      <c r="AS29" s="744"/>
      <c r="AT29" s="8"/>
      <c r="AU29" s="8"/>
      <c r="AV29" s="8"/>
      <c r="AW29" s="8"/>
      <c r="AX29" s="8"/>
      <c r="AY29" s="8"/>
      <c r="AZ29" s="8"/>
      <c r="BA29" s="8"/>
      <c r="BB29" s="8"/>
      <c r="BC29" s="8"/>
    </row>
    <row r="30" spans="1:55">
      <c r="A30" s="11"/>
      <c r="B30" s="11" t="s">
        <v>28</v>
      </c>
      <c r="C30" s="25">
        <v>-108631</v>
      </c>
      <c r="D30" s="25">
        <v>-32957</v>
      </c>
      <c r="E30" s="25">
        <v>13426</v>
      </c>
      <c r="F30" s="25">
        <v>35967</v>
      </c>
      <c r="G30" s="25">
        <v>39979</v>
      </c>
      <c r="H30" s="25">
        <v>57928.111330000007</v>
      </c>
      <c r="I30" s="25">
        <v>58122.49635999999</v>
      </c>
      <c r="J30" s="25">
        <v>102372.60710999998</v>
      </c>
      <c r="K30" s="24">
        <v>71199.256709999987</v>
      </c>
      <c r="L30" s="24">
        <v>76388.19187000001</v>
      </c>
      <c r="M30" s="24">
        <v>25211.609129999993</v>
      </c>
      <c r="N30" s="24">
        <v>22757.664159999997</v>
      </c>
      <c r="O30" s="24">
        <v>85269.524529999995</v>
      </c>
      <c r="P30" s="24">
        <v>92552.711299999995</v>
      </c>
      <c r="Q30" s="24">
        <v>175226.01974000002</v>
      </c>
      <c r="R30" s="24">
        <v>212923</v>
      </c>
      <c r="S30" s="24">
        <v>221797.94887999998</v>
      </c>
      <c r="T30" s="24">
        <v>194466</v>
      </c>
      <c r="U30" s="24">
        <v>256951</v>
      </c>
      <c r="V30" s="24">
        <v>201372</v>
      </c>
      <c r="W30" s="24">
        <v>4407236</v>
      </c>
      <c r="X30" s="24">
        <v>5708905</v>
      </c>
      <c r="Y30" s="24">
        <v>5680383</v>
      </c>
      <c r="Z30" s="176">
        <v>5562712</v>
      </c>
      <c r="AA30" s="176">
        <v>5498285</v>
      </c>
      <c r="AB30" s="176">
        <v>5502596</v>
      </c>
      <c r="AC30" s="176">
        <v>5503112</v>
      </c>
      <c r="AD30" s="176">
        <v>5575995</v>
      </c>
      <c r="AE30" s="176">
        <v>5612262</v>
      </c>
      <c r="AF30" s="176">
        <v>5659468</v>
      </c>
      <c r="AG30" s="176">
        <v>5724671</v>
      </c>
      <c r="AH30" s="176">
        <v>5707100</v>
      </c>
      <c r="AI30" s="176">
        <v>5780279</v>
      </c>
      <c r="AJ30" s="176">
        <v>5739032</v>
      </c>
      <c r="AK30" s="176">
        <v>5650950.7536000004</v>
      </c>
      <c r="AL30" s="176">
        <v>5636869.13179</v>
      </c>
      <c r="AM30" s="176">
        <v>5417702.9756800001</v>
      </c>
      <c r="AN30" s="176">
        <v>5495245.7086499995</v>
      </c>
      <c r="AO30" s="176">
        <v>5584141.7923599994</v>
      </c>
      <c r="AP30" s="176">
        <v>5582726.7873299997</v>
      </c>
      <c r="AQ30" s="176">
        <v>5601491.66041</v>
      </c>
      <c r="AR30" s="176">
        <v>5594130.6884599999</v>
      </c>
      <c r="AS30" s="744"/>
      <c r="AT30" s="8"/>
      <c r="AU30" s="8"/>
      <c r="AV30" s="8"/>
      <c r="AW30" s="8"/>
      <c r="AX30" s="8"/>
      <c r="AY30" s="8"/>
      <c r="AZ30" s="8"/>
      <c r="BA30" s="8"/>
      <c r="BB30" s="8"/>
      <c r="BC30" s="8"/>
    </row>
    <row r="31" spans="1:55">
      <c r="A31" s="11"/>
      <c r="B31" s="11" t="s">
        <v>29</v>
      </c>
      <c r="C31" s="25">
        <v>0</v>
      </c>
      <c r="D31" s="25">
        <v>278513</v>
      </c>
      <c r="E31" s="25">
        <v>532777</v>
      </c>
      <c r="F31" s="25">
        <v>803755</v>
      </c>
      <c r="G31" s="25">
        <v>0</v>
      </c>
      <c r="H31" s="25">
        <v>321229.56948000006</v>
      </c>
      <c r="I31" s="25">
        <v>661571.48059000005</v>
      </c>
      <c r="J31" s="25">
        <v>976221.2586200001</v>
      </c>
      <c r="K31" s="23">
        <v>0</v>
      </c>
      <c r="L31" s="23">
        <v>370146.96788999997</v>
      </c>
      <c r="M31" s="23">
        <v>693600.50251000025</v>
      </c>
      <c r="N31" s="23">
        <v>1052415.0829599991</v>
      </c>
      <c r="O31" s="23">
        <v>0</v>
      </c>
      <c r="P31" s="23">
        <v>395438.14043999999</v>
      </c>
      <c r="Q31" s="23">
        <v>779085.65594999993</v>
      </c>
      <c r="R31" s="23">
        <v>1006194</v>
      </c>
      <c r="S31" s="23">
        <v>0</v>
      </c>
      <c r="T31" s="23">
        <v>413930</v>
      </c>
      <c r="U31" s="23">
        <v>807868</v>
      </c>
      <c r="V31" s="23">
        <v>1215998</v>
      </c>
      <c r="W31" s="24">
        <v>0</v>
      </c>
      <c r="X31" s="24">
        <v>431657</v>
      </c>
      <c r="Y31" s="24">
        <v>858291</v>
      </c>
      <c r="Z31" s="176">
        <v>1350427</v>
      </c>
      <c r="AA31" s="176">
        <v>0</v>
      </c>
      <c r="AB31" s="176">
        <v>557038</v>
      </c>
      <c r="AC31" s="216">
        <v>1237826</v>
      </c>
      <c r="AD31" s="176">
        <v>2004076</v>
      </c>
      <c r="AE31" s="186">
        <v>0</v>
      </c>
      <c r="AF31" s="176">
        <v>840370</v>
      </c>
      <c r="AG31" s="176">
        <v>1662948</v>
      </c>
      <c r="AH31" s="176">
        <v>2579522</v>
      </c>
      <c r="AI31" s="186">
        <v>0</v>
      </c>
      <c r="AJ31" s="186">
        <v>924342</v>
      </c>
      <c r="AK31" s="186">
        <v>840099.30406999902</v>
      </c>
      <c r="AL31" s="186">
        <v>1191653.09629</v>
      </c>
      <c r="AM31" s="186">
        <v>0</v>
      </c>
      <c r="AN31" s="186">
        <v>1009321.5880499999</v>
      </c>
      <c r="AO31" s="186">
        <v>1120907.28342</v>
      </c>
      <c r="AP31" s="186">
        <v>1301067.4568800002</v>
      </c>
      <c r="AQ31" s="186">
        <v>0</v>
      </c>
      <c r="AR31" s="176">
        <v>1142975.2857599999</v>
      </c>
      <c r="AS31" s="744"/>
      <c r="AT31" s="8"/>
      <c r="AU31" s="8"/>
      <c r="AV31" s="8"/>
      <c r="AW31" s="8"/>
      <c r="AX31" s="8"/>
      <c r="AY31" s="8"/>
      <c r="AZ31" s="8"/>
      <c r="BA31" s="8"/>
      <c r="BB31" s="8"/>
      <c r="BC31" s="8"/>
    </row>
    <row r="32" spans="1:55">
      <c r="A32" s="11"/>
      <c r="B32" s="11" t="s">
        <v>30</v>
      </c>
      <c r="C32" s="25"/>
      <c r="D32" s="25"/>
      <c r="E32" s="25"/>
      <c r="F32" s="25"/>
      <c r="G32" s="25"/>
      <c r="H32" s="25"/>
      <c r="I32" s="25"/>
      <c r="J32" s="25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4"/>
      <c r="X32" s="24"/>
      <c r="Y32" s="24"/>
      <c r="Z32" s="176"/>
      <c r="AA32" s="176"/>
      <c r="AB32" s="176"/>
      <c r="AC32" s="216"/>
      <c r="AD32" s="176"/>
      <c r="AE32" s="186">
        <v>803044</v>
      </c>
      <c r="AF32" s="176">
        <v>803044</v>
      </c>
      <c r="AG32" s="176"/>
      <c r="AH32" s="176">
        <v>0</v>
      </c>
      <c r="AI32" s="186">
        <v>373393</v>
      </c>
      <c r="AJ32" s="186">
        <v>373393</v>
      </c>
      <c r="AK32" s="186">
        <v>0</v>
      </c>
      <c r="AL32" s="186">
        <v>0</v>
      </c>
      <c r="AM32" s="186">
        <v>948704.04069000005</v>
      </c>
      <c r="AN32" s="186">
        <v>948704.04069000005</v>
      </c>
      <c r="AO32" s="186">
        <v>0</v>
      </c>
      <c r="AP32" s="186">
        <v>0</v>
      </c>
      <c r="AQ32" s="186">
        <v>0</v>
      </c>
      <c r="AR32" s="176"/>
      <c r="AT32" s="8"/>
      <c r="AU32" s="8"/>
      <c r="AV32" s="8"/>
      <c r="AW32" s="8"/>
      <c r="AX32" s="8"/>
      <c r="AY32" s="8"/>
      <c r="AZ32" s="8"/>
      <c r="BA32" s="8"/>
      <c r="BB32" s="8"/>
      <c r="BC32" s="8"/>
    </row>
    <row r="33" spans="1:56">
      <c r="P33" s="23"/>
      <c r="Q33" s="23"/>
      <c r="R33" s="23"/>
      <c r="S33" s="23"/>
      <c r="T33" s="23"/>
      <c r="U33" s="23"/>
      <c r="V33" s="23"/>
      <c r="W33" s="23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</row>
    <row r="34" spans="1:56" s="20" customFormat="1"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764"/>
    </row>
    <row r="35" spans="1:56" s="36" customFormat="1" ht="25.35" customHeight="1">
      <c r="A35" s="625"/>
      <c r="B35" s="625" t="s">
        <v>31</v>
      </c>
      <c r="C35" s="643">
        <v>42369</v>
      </c>
      <c r="D35" s="643">
        <v>42460</v>
      </c>
      <c r="E35" s="643">
        <v>42551</v>
      </c>
      <c r="F35" s="643">
        <v>42643</v>
      </c>
      <c r="G35" s="643">
        <v>42735</v>
      </c>
      <c r="H35" s="643">
        <v>42825</v>
      </c>
      <c r="I35" s="643">
        <v>42916</v>
      </c>
      <c r="J35" s="643">
        <v>43008</v>
      </c>
      <c r="K35" s="643">
        <v>43100</v>
      </c>
      <c r="L35" s="643">
        <v>43190</v>
      </c>
      <c r="M35" s="643">
        <v>43281</v>
      </c>
      <c r="N35" s="643">
        <v>43373</v>
      </c>
      <c r="O35" s="643">
        <v>43465</v>
      </c>
      <c r="P35" s="643">
        <v>43555</v>
      </c>
      <c r="Q35" s="643">
        <v>43646</v>
      </c>
      <c r="R35" s="643">
        <v>43738</v>
      </c>
      <c r="S35" s="643">
        <v>43830</v>
      </c>
      <c r="T35" s="643">
        <v>43921</v>
      </c>
      <c r="U35" s="643">
        <v>44012</v>
      </c>
      <c r="V35" s="643">
        <v>44104</v>
      </c>
      <c r="W35" s="643">
        <v>44196</v>
      </c>
      <c r="X35" s="643">
        <v>44256</v>
      </c>
      <c r="Y35" s="643">
        <v>44348</v>
      </c>
      <c r="Z35" s="643">
        <v>44440</v>
      </c>
      <c r="AA35" s="643">
        <v>44531</v>
      </c>
      <c r="AB35" s="643">
        <v>44621</v>
      </c>
      <c r="AC35" s="643">
        <v>44713</v>
      </c>
      <c r="AD35" s="643">
        <v>44805</v>
      </c>
      <c r="AE35" s="643">
        <v>44896</v>
      </c>
      <c r="AF35" s="643">
        <v>44986</v>
      </c>
      <c r="AG35" s="643">
        <v>45078</v>
      </c>
      <c r="AH35" s="643">
        <v>45170</v>
      </c>
      <c r="AI35" s="643">
        <v>45261</v>
      </c>
      <c r="AJ35" s="643">
        <v>45352</v>
      </c>
      <c r="AK35" s="643">
        <v>45444</v>
      </c>
      <c r="AL35" s="643">
        <v>45536</v>
      </c>
      <c r="AM35" s="643">
        <v>45627</v>
      </c>
      <c r="AN35" s="643">
        <v>45717</v>
      </c>
      <c r="AO35" s="643">
        <v>45809</v>
      </c>
      <c r="AP35" s="643">
        <v>45901</v>
      </c>
      <c r="AQ35" s="636">
        <v>45992</v>
      </c>
      <c r="AR35" s="645">
        <v>46082</v>
      </c>
      <c r="AS35" s="743"/>
    </row>
    <row r="36" spans="1:56">
      <c r="A36" s="627"/>
      <c r="B36" s="627" t="s">
        <v>5</v>
      </c>
      <c r="C36" s="628">
        <v>3701062</v>
      </c>
      <c r="D36" s="628">
        <v>4054522</v>
      </c>
      <c r="E36" s="628">
        <v>3344547</v>
      </c>
      <c r="F36" s="628">
        <v>3644445</v>
      </c>
      <c r="G36" s="628">
        <v>3932805</v>
      </c>
      <c r="H36" s="628">
        <v>4280835.2396600004</v>
      </c>
      <c r="I36" s="628">
        <v>3826310.6939099999</v>
      </c>
      <c r="J36" s="628">
        <v>4182877.2830800004</v>
      </c>
      <c r="K36" s="628">
        <v>4482781.6723199999</v>
      </c>
      <c r="L36" s="628">
        <v>4907416.0509599997</v>
      </c>
      <c r="M36" s="628">
        <v>4138448.2557999999</v>
      </c>
      <c r="N36" s="628">
        <v>4495266.1494399998</v>
      </c>
      <c r="O36" s="628">
        <v>4668823.79208</v>
      </c>
      <c r="P36" s="628">
        <v>5071800.6277799997</v>
      </c>
      <c r="Q36" s="628">
        <v>5506333.7094299998</v>
      </c>
      <c r="R36" s="628">
        <v>5003138</v>
      </c>
      <c r="S36" s="628">
        <v>5411949.4112299997</v>
      </c>
      <c r="T36" s="628">
        <v>5570545</v>
      </c>
      <c r="U36" s="628">
        <v>6036348</v>
      </c>
      <c r="V36" s="628">
        <v>4807977</v>
      </c>
      <c r="W36" s="628">
        <v>9454959</v>
      </c>
      <c r="X36" s="628">
        <v>10842368</v>
      </c>
      <c r="Y36" s="628">
        <v>10456331</v>
      </c>
      <c r="Z36" s="629">
        <v>10831540</v>
      </c>
      <c r="AA36" s="629">
        <v>10576183</v>
      </c>
      <c r="AB36" s="629">
        <v>11144597</v>
      </c>
      <c r="AC36" s="629">
        <v>10927555</v>
      </c>
      <c r="AD36" s="629">
        <v>11770135</v>
      </c>
      <c r="AE36" s="629">
        <v>11606607</v>
      </c>
      <c r="AF36" s="629">
        <f t="shared" ref="AF36:AG36" si="3">AF37+AF46</f>
        <v>12514440</v>
      </c>
      <c r="AG36" s="629">
        <f t="shared" si="3"/>
        <v>11876089</v>
      </c>
      <c r="AH36" s="629">
        <v>12780507</v>
      </c>
      <c r="AI36" s="629">
        <v>12272882</v>
      </c>
      <c r="AJ36" s="629">
        <v>13192650</v>
      </c>
      <c r="AK36" s="629">
        <v>12169765.384699998</v>
      </c>
      <c r="AL36" s="629">
        <v>12324229.55979</v>
      </c>
      <c r="AM36" s="629">
        <v>12475346.349389998</v>
      </c>
      <c r="AN36" s="629">
        <v>12620291.718289999</v>
      </c>
      <c r="AO36" s="629">
        <v>12798385.145260001</v>
      </c>
      <c r="AP36" s="629">
        <f>AP37+AP46</f>
        <v>13016409.721640002</v>
      </c>
      <c r="AQ36" s="629">
        <v>13202465.512300001</v>
      </c>
      <c r="AR36" s="629">
        <f>AR37+AR46</f>
        <v>13281427.58505</v>
      </c>
      <c r="AS36" s="744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</row>
    <row r="37" spans="1:56">
      <c r="A37" s="21"/>
      <c r="B37" s="21" t="s">
        <v>6</v>
      </c>
      <c r="C37" s="22">
        <v>682512</v>
      </c>
      <c r="D37" s="22">
        <v>1164249</v>
      </c>
      <c r="E37" s="22">
        <v>209548</v>
      </c>
      <c r="F37" s="22">
        <v>286841</v>
      </c>
      <c r="G37" s="22">
        <v>474154</v>
      </c>
      <c r="H37" s="22">
        <v>1002453.1288200001</v>
      </c>
      <c r="I37" s="22">
        <v>300965.27961999999</v>
      </c>
      <c r="J37" s="22">
        <v>391681.45941000001</v>
      </c>
      <c r="K37" s="22">
        <v>669350.53914999997</v>
      </c>
      <c r="L37" s="22">
        <v>1333484.49263</v>
      </c>
      <c r="M37" s="22">
        <v>388716.63143000007</v>
      </c>
      <c r="N37" s="22">
        <v>481240.87439000001</v>
      </c>
      <c r="O37" s="22">
        <v>507402.76389000006</v>
      </c>
      <c r="P37" s="22">
        <v>1104173.31861</v>
      </c>
      <c r="Q37" s="22">
        <v>1233572.53914</v>
      </c>
      <c r="R37" s="22">
        <v>373854</v>
      </c>
      <c r="S37" s="22">
        <v>760032.56351000012</v>
      </c>
      <c r="T37" s="22">
        <v>631953</v>
      </c>
      <c r="U37" s="22">
        <v>989213</v>
      </c>
      <c r="V37" s="22">
        <v>747779</v>
      </c>
      <c r="W37" s="22">
        <v>803601</v>
      </c>
      <c r="X37" s="22">
        <v>1071344</v>
      </c>
      <c r="Y37" s="22">
        <v>304276</v>
      </c>
      <c r="Z37" s="175">
        <v>323481</v>
      </c>
      <c r="AA37" s="175">
        <v>564889</v>
      </c>
      <c r="AB37" s="175">
        <v>932209</v>
      </c>
      <c r="AC37" s="175">
        <v>274455</v>
      </c>
      <c r="AD37" s="175">
        <v>699405</v>
      </c>
      <c r="AE37" s="175">
        <v>1401703</v>
      </c>
      <c r="AF37" s="175">
        <v>1734585</v>
      </c>
      <c r="AG37" s="175">
        <v>414957</v>
      </c>
      <c r="AH37" s="175">
        <v>1203035</v>
      </c>
      <c r="AI37" s="175">
        <v>1028510</v>
      </c>
      <c r="AJ37" s="175">
        <v>1889148</v>
      </c>
      <c r="AK37" s="175">
        <v>1333505.7779199998</v>
      </c>
      <c r="AL37" s="175">
        <v>1155134.88164</v>
      </c>
      <c r="AM37" s="175">
        <v>1752141.1351900001</v>
      </c>
      <c r="AN37" s="175">
        <v>1681278.14738</v>
      </c>
      <c r="AO37" s="175">
        <v>1771537.8308799998</v>
      </c>
      <c r="AP37" s="175">
        <f>SUM(AP38:AP45)</f>
        <v>1922323.0049999999</v>
      </c>
      <c r="AQ37" s="175">
        <v>2037876.50196</v>
      </c>
      <c r="AR37" s="175">
        <f>SUM(AR38:AR45)</f>
        <v>1532312.6718700004</v>
      </c>
      <c r="AS37" s="744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</row>
    <row r="38" spans="1:56">
      <c r="A38" s="11"/>
      <c r="B38" s="11" t="s">
        <v>7</v>
      </c>
      <c r="C38" s="23">
        <v>52013</v>
      </c>
      <c r="D38" s="23">
        <v>97734</v>
      </c>
      <c r="E38" s="23">
        <v>137475</v>
      </c>
      <c r="F38" s="23">
        <v>170142</v>
      </c>
      <c r="G38" s="23">
        <v>218739</v>
      </c>
      <c r="H38" s="23">
        <v>310452.65769000002</v>
      </c>
      <c r="I38" s="23">
        <v>232722.49403</v>
      </c>
      <c r="J38" s="23">
        <v>224600.46802</v>
      </c>
      <c r="K38" s="23">
        <v>257411.64171999999</v>
      </c>
      <c r="L38" s="23">
        <v>500681.00928999996</v>
      </c>
      <c r="M38" s="23">
        <v>324511.59214000002</v>
      </c>
      <c r="N38" s="23">
        <v>414075.85813000001</v>
      </c>
      <c r="O38" s="23">
        <v>182788.51521000001</v>
      </c>
      <c r="P38" s="23">
        <v>261701.75185</v>
      </c>
      <c r="Q38" s="23">
        <v>1116529.07914</v>
      </c>
      <c r="R38" s="23">
        <v>251967</v>
      </c>
      <c r="S38" s="23">
        <v>371201.29514000006</v>
      </c>
      <c r="T38" s="24">
        <v>263622</v>
      </c>
      <c r="U38" s="23">
        <v>746485</v>
      </c>
      <c r="V38" s="23">
        <v>60</v>
      </c>
      <c r="W38" s="24">
        <v>34</v>
      </c>
      <c r="X38" s="24">
        <v>318</v>
      </c>
      <c r="Y38" s="24">
        <v>78</v>
      </c>
      <c r="Z38" s="176">
        <v>362</v>
      </c>
      <c r="AA38" s="176">
        <v>210</v>
      </c>
      <c r="AB38" s="176">
        <v>424</v>
      </c>
      <c r="AC38" s="176">
        <v>169</v>
      </c>
      <c r="AD38" s="176">
        <v>415</v>
      </c>
      <c r="AE38" s="176">
        <v>64</v>
      </c>
      <c r="AF38" s="176">
        <v>60</v>
      </c>
      <c r="AG38" s="176">
        <v>64</v>
      </c>
      <c r="AH38" s="176">
        <v>56</v>
      </c>
      <c r="AI38" s="176">
        <v>81</v>
      </c>
      <c r="AJ38" s="216">
        <v>63</v>
      </c>
      <c r="AK38" s="216">
        <v>62.820800000000006</v>
      </c>
      <c r="AL38" s="216">
        <v>150.83337</v>
      </c>
      <c r="AM38" s="216">
        <v>88</v>
      </c>
      <c r="AN38" s="216">
        <v>142.20215999999999</v>
      </c>
      <c r="AO38" s="216">
        <v>149.08269999999999</v>
      </c>
      <c r="AP38" s="216">
        <v>103.57720999999999</v>
      </c>
      <c r="AQ38" s="216">
        <v>79.994489999999985</v>
      </c>
      <c r="AR38" s="176">
        <v>139.95998</v>
      </c>
      <c r="AS38" s="744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</row>
    <row r="39" spans="1:56">
      <c r="A39" s="11"/>
      <c r="B39" s="11" t="s">
        <v>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/>
      <c r="I39" s="23"/>
      <c r="J39" s="23">
        <v>89539.521110000001</v>
      </c>
      <c r="K39" s="23">
        <v>136135.45737000002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4">
        <v>0</v>
      </c>
      <c r="U39" s="23">
        <v>127175</v>
      </c>
      <c r="V39" s="23">
        <v>582330</v>
      </c>
      <c r="W39" s="24">
        <v>662070</v>
      </c>
      <c r="X39" s="24">
        <v>310899</v>
      </c>
      <c r="Y39" s="24">
        <v>251447</v>
      </c>
      <c r="Z39" s="176">
        <v>256338</v>
      </c>
      <c r="AA39" s="176">
        <v>89911</v>
      </c>
      <c r="AB39" s="176">
        <v>534381</v>
      </c>
      <c r="AC39" s="216">
        <v>211833</v>
      </c>
      <c r="AD39" s="216">
        <v>624670</v>
      </c>
      <c r="AE39" s="216">
        <v>581255</v>
      </c>
      <c r="AF39" s="176">
        <v>765882</v>
      </c>
      <c r="AG39" s="216">
        <v>360492</v>
      </c>
      <c r="AH39" s="216">
        <v>1149318</v>
      </c>
      <c r="AI39" s="216">
        <v>261854</v>
      </c>
      <c r="AJ39" s="216">
        <v>534426</v>
      </c>
      <c r="AK39" s="216">
        <v>360212.11715999997</v>
      </c>
      <c r="AL39" s="216">
        <v>465207.44183000003</v>
      </c>
      <c r="AM39" s="216">
        <v>861267</v>
      </c>
      <c r="AN39" s="216">
        <v>563372.70961999998</v>
      </c>
      <c r="AO39" s="216">
        <v>582493.95585999999</v>
      </c>
      <c r="AP39" s="216">
        <v>553379.1571800001</v>
      </c>
      <c r="AQ39" s="216">
        <v>1197727.57127</v>
      </c>
      <c r="AR39" s="176">
        <v>567687.6304400001</v>
      </c>
      <c r="AS39" s="744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</row>
    <row r="40" spans="1:56">
      <c r="A40" s="11"/>
      <c r="B40" s="11" t="s">
        <v>9</v>
      </c>
      <c r="C40" s="23">
        <v>516103</v>
      </c>
      <c r="D40" s="23">
        <v>935580</v>
      </c>
      <c r="E40" s="23">
        <v>0</v>
      </c>
      <c r="F40" s="23">
        <v>0</v>
      </c>
      <c r="G40" s="23">
        <v>119406</v>
      </c>
      <c r="H40" s="23">
        <v>537839.81495000003</v>
      </c>
      <c r="I40" s="23">
        <v>0</v>
      </c>
      <c r="J40" s="23">
        <v>0</v>
      </c>
      <c r="K40" s="23">
        <v>192847.34312000001</v>
      </c>
      <c r="L40" s="23">
        <v>653201.43995000003</v>
      </c>
      <c r="M40" s="23">
        <v>0</v>
      </c>
      <c r="N40" s="23">
        <v>0</v>
      </c>
      <c r="O40" s="23">
        <v>231963.11994</v>
      </c>
      <c r="P40" s="23">
        <v>720925.29832000006</v>
      </c>
      <c r="Q40" s="23">
        <v>0</v>
      </c>
      <c r="R40" s="23">
        <v>0</v>
      </c>
      <c r="S40" s="23">
        <v>256529.84085000001</v>
      </c>
      <c r="T40" s="24">
        <v>256530</v>
      </c>
      <c r="U40" s="23">
        <v>0</v>
      </c>
      <c r="V40" s="23">
        <v>0</v>
      </c>
      <c r="W40" s="24">
        <v>14386</v>
      </c>
      <c r="X40" s="24">
        <v>652156</v>
      </c>
      <c r="Y40" s="24">
        <v>38</v>
      </c>
      <c r="Z40" s="176">
        <v>38</v>
      </c>
      <c r="AA40" s="176">
        <v>419310</v>
      </c>
      <c r="AB40" s="176">
        <v>338087</v>
      </c>
      <c r="AC40" s="176">
        <v>0</v>
      </c>
      <c r="AD40" s="176">
        <v>10000</v>
      </c>
      <c r="AE40" s="176">
        <v>650592</v>
      </c>
      <c r="AF40" s="176">
        <v>919099</v>
      </c>
      <c r="AG40" s="176">
        <v>0</v>
      </c>
      <c r="AH40" s="176">
        <v>0</v>
      </c>
      <c r="AI40" s="176">
        <v>714126</v>
      </c>
      <c r="AJ40" s="216">
        <v>1288757</v>
      </c>
      <c r="AK40" s="216">
        <v>917478.89277999999</v>
      </c>
      <c r="AL40" s="216">
        <v>635220.57279999997</v>
      </c>
      <c r="AM40" s="216">
        <v>836272</v>
      </c>
      <c r="AN40" s="216">
        <v>1062659.18423</v>
      </c>
      <c r="AO40" s="216">
        <v>1132319.8820799999</v>
      </c>
      <c r="AP40" s="216">
        <v>1307089.2368599998</v>
      </c>
      <c r="AQ40" s="216">
        <v>757512.77003999997</v>
      </c>
      <c r="AR40" s="176">
        <v>899022.32761000004</v>
      </c>
      <c r="AS40" s="744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</row>
    <row r="41" spans="1:56">
      <c r="A41" s="11"/>
      <c r="B41" s="11" t="s">
        <v>10</v>
      </c>
      <c r="C41" s="23">
        <v>80047</v>
      </c>
      <c r="D41" s="23">
        <v>97392</v>
      </c>
      <c r="E41" s="23">
        <v>40499</v>
      </c>
      <c r="F41" s="23">
        <v>73487</v>
      </c>
      <c r="G41" s="23">
        <v>98668</v>
      </c>
      <c r="H41" s="23">
        <v>109854.8716</v>
      </c>
      <c r="I41" s="23">
        <v>19956.520379999998</v>
      </c>
      <c r="J41" s="23">
        <v>30283.097659999999</v>
      </c>
      <c r="K41" s="23">
        <v>40937.502789999999</v>
      </c>
      <c r="L41" s="23">
        <v>48928.306640000003</v>
      </c>
      <c r="M41" s="23">
        <v>12088.652</v>
      </c>
      <c r="N41" s="23">
        <v>13727.79125</v>
      </c>
      <c r="O41" s="23">
        <v>13727.79125</v>
      </c>
      <c r="P41" s="23">
        <v>18686.187480000001</v>
      </c>
      <c r="Q41" s="23">
        <v>9466.0292100000006</v>
      </c>
      <c r="R41" s="23">
        <v>15613</v>
      </c>
      <c r="S41" s="23">
        <v>21964.466</v>
      </c>
      <c r="T41" s="24">
        <v>26267</v>
      </c>
      <c r="U41" s="23">
        <v>7991</v>
      </c>
      <c r="V41" s="23">
        <v>15860</v>
      </c>
      <c r="W41" s="24">
        <v>20835</v>
      </c>
      <c r="X41" s="24">
        <v>20835</v>
      </c>
      <c r="Y41" s="24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176">
        <v>0</v>
      </c>
      <c r="AS41" s="744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</row>
    <row r="42" spans="1:56">
      <c r="A42" s="11"/>
      <c r="B42" s="11" t="s">
        <v>11</v>
      </c>
      <c r="C42" s="8">
        <v>34321</v>
      </c>
      <c r="D42" s="8">
        <v>33295</v>
      </c>
      <c r="E42" s="23">
        <v>31323</v>
      </c>
      <c r="F42" s="23">
        <v>43178</v>
      </c>
      <c r="G42" s="8">
        <v>37311</v>
      </c>
      <c r="H42" s="8">
        <v>44276.275430000002</v>
      </c>
      <c r="I42" s="8">
        <v>48258.242800000007</v>
      </c>
      <c r="J42" s="8">
        <v>47200.554329999999</v>
      </c>
      <c r="K42" s="8">
        <v>41954.398599999993</v>
      </c>
      <c r="L42" s="8">
        <v>130671.61099</v>
      </c>
      <c r="M42" s="8">
        <v>51993.589470000006</v>
      </c>
      <c r="N42" s="8">
        <v>53354.268189999995</v>
      </c>
      <c r="O42" s="8">
        <v>78728.474960000007</v>
      </c>
      <c r="P42" s="24">
        <v>102843.29494999998</v>
      </c>
      <c r="Q42" s="24">
        <v>107423.99311999998</v>
      </c>
      <c r="R42" s="24">
        <v>106195</v>
      </c>
      <c r="S42" s="24">
        <v>95364.636079999997</v>
      </c>
      <c r="T42" s="24">
        <v>85003</v>
      </c>
      <c r="U42" s="24">
        <v>107074</v>
      </c>
      <c r="V42" s="24">
        <v>149083</v>
      </c>
      <c r="W42" s="24">
        <v>105871</v>
      </c>
      <c r="X42" s="24">
        <v>86768</v>
      </c>
      <c r="Y42" s="24">
        <v>52195</v>
      </c>
      <c r="Z42" s="176">
        <v>49244</v>
      </c>
      <c r="AA42" s="176">
        <v>38276</v>
      </c>
      <c r="AB42" s="176">
        <v>42163</v>
      </c>
      <c r="AC42" s="176">
        <v>45234</v>
      </c>
      <c r="AD42" s="176">
        <v>45833</v>
      </c>
      <c r="AE42" s="176">
        <v>45551</v>
      </c>
      <c r="AF42" s="176">
        <v>48218</v>
      </c>
      <c r="AG42" s="176">
        <v>48037</v>
      </c>
      <c r="AH42" s="176">
        <v>49698</v>
      </c>
      <c r="AI42" s="176">
        <v>50983</v>
      </c>
      <c r="AJ42" s="216">
        <v>62744</v>
      </c>
      <c r="AK42" s="216">
        <v>53673.884389999999</v>
      </c>
      <c r="AL42" s="216">
        <v>52460.717720000001</v>
      </c>
      <c r="AM42" s="216">
        <v>53128</v>
      </c>
      <c r="AN42" s="216">
        <v>53975.838109999997</v>
      </c>
      <c r="AO42" s="216">
        <v>55930.910239999997</v>
      </c>
      <c r="AP42" s="216">
        <v>59713.479349999994</v>
      </c>
      <c r="AQ42" s="216">
        <v>81169.731930000009</v>
      </c>
      <c r="AR42" s="176">
        <v>64476.534070000002</v>
      </c>
      <c r="AS42" s="744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</row>
    <row r="43" spans="1:56">
      <c r="A43" s="11"/>
      <c r="B43" s="11" t="s">
        <v>12</v>
      </c>
      <c r="C43" s="23">
        <v>28</v>
      </c>
      <c r="D43" s="23">
        <v>218</v>
      </c>
      <c r="E43" s="23">
        <v>221</v>
      </c>
      <c r="F43" s="8">
        <v>34</v>
      </c>
      <c r="G43" s="23">
        <v>30</v>
      </c>
      <c r="H43" s="23">
        <v>29.509150000000002</v>
      </c>
      <c r="I43" s="23">
        <v>28.022410000000001</v>
      </c>
      <c r="J43" s="23">
        <v>57.818289999999998</v>
      </c>
      <c r="K43" s="23">
        <v>64.195549999999997</v>
      </c>
      <c r="L43" s="23">
        <v>2.1257600000000001</v>
      </c>
      <c r="M43" s="23">
        <v>2.1257600000000001</v>
      </c>
      <c r="N43" s="23">
        <v>2.1257600000000001</v>
      </c>
      <c r="O43" s="23">
        <v>2.1257600000000001</v>
      </c>
      <c r="P43" s="23">
        <v>0</v>
      </c>
      <c r="Q43" s="23">
        <v>0</v>
      </c>
      <c r="R43" s="23">
        <v>0</v>
      </c>
      <c r="S43" s="23">
        <v>14566.328589999999</v>
      </c>
      <c r="T43" s="24">
        <v>0</v>
      </c>
      <c r="U43" s="23">
        <v>0</v>
      </c>
      <c r="V43" s="23">
        <v>0</v>
      </c>
      <c r="W43" s="24">
        <v>0</v>
      </c>
      <c r="X43" s="24">
        <v>0</v>
      </c>
      <c r="Y43" s="24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2</v>
      </c>
      <c r="AG43" s="176">
        <v>5490</v>
      </c>
      <c r="AH43" s="176">
        <v>1643</v>
      </c>
      <c r="AI43" s="176">
        <v>7</v>
      </c>
      <c r="AJ43" s="216">
        <v>2166</v>
      </c>
      <c r="AK43" s="216">
        <v>1563.8172299999999</v>
      </c>
      <c r="AL43" s="216">
        <v>230.02188999999998</v>
      </c>
      <c r="AM43" s="216">
        <v>0</v>
      </c>
      <c r="AN43" s="216">
        <v>222.08510000000001</v>
      </c>
      <c r="AO43" s="216">
        <v>0</v>
      </c>
      <c r="AP43" s="216">
        <v>0</v>
      </c>
      <c r="AQ43" s="216">
        <v>0</v>
      </c>
      <c r="AR43" s="176">
        <v>0</v>
      </c>
      <c r="AS43" s="744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</row>
    <row r="44" spans="1:56">
      <c r="A44" s="11"/>
      <c r="B44" s="11" t="s">
        <v>13</v>
      </c>
      <c r="C44" s="23">
        <v>0</v>
      </c>
      <c r="D44" s="23">
        <v>30</v>
      </c>
      <c r="E44" s="23">
        <v>30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120.67206</v>
      </c>
      <c r="N44" s="23">
        <v>80.831060000000008</v>
      </c>
      <c r="O44" s="23">
        <v>192.73676999999998</v>
      </c>
      <c r="P44" s="23">
        <v>16.786010000000001</v>
      </c>
      <c r="Q44" s="23">
        <v>153.43767</v>
      </c>
      <c r="R44" s="23">
        <v>79</v>
      </c>
      <c r="S44" s="23">
        <v>405.99684999999999</v>
      </c>
      <c r="T44" s="24">
        <v>531</v>
      </c>
      <c r="U44" s="23">
        <v>488</v>
      </c>
      <c r="V44" s="23">
        <v>446</v>
      </c>
      <c r="W44" s="24">
        <v>405</v>
      </c>
      <c r="X44" s="24">
        <v>368</v>
      </c>
      <c r="Y44" s="24">
        <v>518</v>
      </c>
      <c r="Z44" s="176">
        <v>17499</v>
      </c>
      <c r="AA44" s="176">
        <v>17182</v>
      </c>
      <c r="AB44" s="176">
        <v>17154</v>
      </c>
      <c r="AC44" s="216">
        <v>17219</v>
      </c>
      <c r="AD44" s="216">
        <v>18487</v>
      </c>
      <c r="AE44" s="216">
        <v>1371</v>
      </c>
      <c r="AF44" s="176">
        <v>1324</v>
      </c>
      <c r="AG44" s="216">
        <v>874</v>
      </c>
      <c r="AH44" s="216">
        <v>2320</v>
      </c>
      <c r="AI44" s="216">
        <v>1459</v>
      </c>
      <c r="AJ44" s="216">
        <v>992</v>
      </c>
      <c r="AK44" s="216">
        <v>514.24555999999995</v>
      </c>
      <c r="AL44" s="216">
        <v>1865.29403</v>
      </c>
      <c r="AM44" s="216">
        <v>1386.03331</v>
      </c>
      <c r="AN44" s="216">
        <v>906.12815999999998</v>
      </c>
      <c r="AO44" s="216">
        <v>644</v>
      </c>
      <c r="AP44" s="216">
        <v>2037.5544</v>
      </c>
      <c r="AQ44" s="216">
        <v>1386.4342300000001</v>
      </c>
      <c r="AR44" s="176">
        <v>986.21977000000004</v>
      </c>
      <c r="AS44" s="744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</row>
    <row r="45" spans="1:56">
      <c r="A45" s="11"/>
      <c r="B45" s="11" t="s">
        <v>14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4"/>
      <c r="U45" s="23"/>
      <c r="V45" s="23"/>
      <c r="W45" s="24"/>
      <c r="X45" s="24"/>
      <c r="Y45" s="24"/>
      <c r="Z45" s="176"/>
      <c r="AA45" s="176"/>
      <c r="AB45" s="176"/>
      <c r="AC45" s="216"/>
      <c r="AD45" s="216"/>
      <c r="AE45" s="216">
        <v>122870</v>
      </c>
      <c r="AF45" s="176">
        <v>0</v>
      </c>
      <c r="AG45" s="216">
        <v>0</v>
      </c>
      <c r="AH45" s="216">
        <v>0</v>
      </c>
      <c r="AI45" s="216">
        <v>0</v>
      </c>
      <c r="AJ45" s="216">
        <v>0</v>
      </c>
      <c r="AK45" s="176">
        <v>0</v>
      </c>
      <c r="AL45" s="176">
        <v>0</v>
      </c>
      <c r="AM45" s="176"/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744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</row>
    <row r="46" spans="1:56">
      <c r="A46" s="21"/>
      <c r="B46" s="21" t="s">
        <v>15</v>
      </c>
      <c r="C46" s="22">
        <v>3018550</v>
      </c>
      <c r="D46" s="22">
        <v>2890273</v>
      </c>
      <c r="E46" s="22">
        <v>3134999</v>
      </c>
      <c r="F46" s="22">
        <v>3357604</v>
      </c>
      <c r="G46" s="22">
        <v>3458651</v>
      </c>
      <c r="H46" s="22">
        <v>3278382.1108400002</v>
      </c>
      <c r="I46" s="22">
        <v>3525345.4142899998</v>
      </c>
      <c r="J46" s="22">
        <v>3791195.8236700003</v>
      </c>
      <c r="K46" s="22">
        <v>3813431.1331700003</v>
      </c>
      <c r="L46" s="22">
        <v>3573931.5583299999</v>
      </c>
      <c r="M46" s="22">
        <v>3749731.6243699999</v>
      </c>
      <c r="N46" s="22">
        <v>4014025.2750500003</v>
      </c>
      <c r="O46" s="22">
        <v>4161421.02819</v>
      </c>
      <c r="P46" s="22">
        <v>3967627.3091699998</v>
      </c>
      <c r="Q46" s="22">
        <v>4272761.1702899998</v>
      </c>
      <c r="R46" s="22">
        <v>4629284</v>
      </c>
      <c r="S46" s="22">
        <v>4651916.84772</v>
      </c>
      <c r="T46" s="22">
        <v>4938592</v>
      </c>
      <c r="U46" s="22">
        <v>5047135</v>
      </c>
      <c r="V46" s="22">
        <v>4060198</v>
      </c>
      <c r="W46" s="22">
        <v>8651358</v>
      </c>
      <c r="X46" s="22">
        <v>9771024</v>
      </c>
      <c r="Y46" s="22">
        <v>10152055</v>
      </c>
      <c r="Z46" s="175">
        <v>10508059</v>
      </c>
      <c r="AA46" s="175">
        <v>10011294</v>
      </c>
      <c r="AB46" s="175">
        <v>10212388</v>
      </c>
      <c r="AC46" s="175">
        <v>10653100</v>
      </c>
      <c r="AD46" s="175">
        <v>11070730</v>
      </c>
      <c r="AE46" s="175">
        <v>10204904</v>
      </c>
      <c r="AF46" s="175">
        <v>10779855</v>
      </c>
      <c r="AG46" s="175">
        <v>11461132</v>
      </c>
      <c r="AH46" s="175">
        <v>11577472</v>
      </c>
      <c r="AI46" s="175">
        <v>11244372</v>
      </c>
      <c r="AJ46" s="175">
        <v>11303502</v>
      </c>
      <c r="AK46" s="175">
        <v>10836259.606779998</v>
      </c>
      <c r="AL46" s="175">
        <v>11169094.67815</v>
      </c>
      <c r="AM46" s="175">
        <v>10723205.214199997</v>
      </c>
      <c r="AN46" s="175">
        <v>10939013.570909999</v>
      </c>
      <c r="AO46" s="175">
        <v>11026847.314380001</v>
      </c>
      <c r="AP46" s="175">
        <f>SUM(AP47:AP48)</f>
        <v>11094086.716640001</v>
      </c>
      <c r="AQ46" s="175">
        <v>11164589.010340001</v>
      </c>
      <c r="AR46" s="175">
        <f>SUM(AR47:AR48)</f>
        <v>11749114.913179999</v>
      </c>
      <c r="AS46" s="744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</row>
    <row r="47" spans="1:56">
      <c r="A47" s="11"/>
      <c r="B47" s="11" t="s">
        <v>16</v>
      </c>
      <c r="C47" s="23">
        <v>3018550</v>
      </c>
      <c r="D47" s="23">
        <v>2890273</v>
      </c>
      <c r="E47" s="23">
        <v>3134999</v>
      </c>
      <c r="F47" s="23">
        <v>3357604</v>
      </c>
      <c r="G47" s="23">
        <v>3458651</v>
      </c>
      <c r="H47" s="23">
        <v>3278382.1108400002</v>
      </c>
      <c r="I47" s="23">
        <v>3525345.4142899998</v>
      </c>
      <c r="J47" s="23">
        <v>3791195.8236700003</v>
      </c>
      <c r="K47" s="23">
        <v>3813431.1331700003</v>
      </c>
      <c r="L47" s="23">
        <v>3573931.5583299999</v>
      </c>
      <c r="M47" s="23">
        <v>3749731.6243699999</v>
      </c>
      <c r="N47" s="23">
        <v>4014025.2750500003</v>
      </c>
      <c r="O47" s="23">
        <v>4161373.7159799999</v>
      </c>
      <c r="P47" s="23">
        <v>3967582.4598099999</v>
      </c>
      <c r="Q47" s="23">
        <v>4272718.7837800002</v>
      </c>
      <c r="R47" s="23">
        <v>4629244</v>
      </c>
      <c r="S47" s="23">
        <v>4651879.3869099999</v>
      </c>
      <c r="T47" s="23">
        <v>4938557</v>
      </c>
      <c r="U47" s="23">
        <v>5047102</v>
      </c>
      <c r="V47" s="23">
        <v>4060168</v>
      </c>
      <c r="W47" s="23">
        <v>8651330</v>
      </c>
      <c r="X47" s="23">
        <v>9770999</v>
      </c>
      <c r="Y47" s="23">
        <v>10152032</v>
      </c>
      <c r="Z47" s="176">
        <v>10508039</v>
      </c>
      <c r="AA47" s="176">
        <v>10011276</v>
      </c>
      <c r="AB47" s="176">
        <v>10212373</v>
      </c>
      <c r="AC47" s="216">
        <v>10653072</v>
      </c>
      <c r="AD47" s="216">
        <v>11070705</v>
      </c>
      <c r="AE47" s="216">
        <v>10204882</v>
      </c>
      <c r="AF47" s="176">
        <v>10779836</v>
      </c>
      <c r="AG47" s="216">
        <v>11461117</v>
      </c>
      <c r="AH47" s="216">
        <v>11577460</v>
      </c>
      <c r="AI47" s="216">
        <v>11244361</v>
      </c>
      <c r="AJ47" s="216">
        <v>11303492</v>
      </c>
      <c r="AK47" s="176">
        <v>10836250.632299999</v>
      </c>
      <c r="AL47" s="176">
        <v>11169086.50977</v>
      </c>
      <c r="AM47" s="176">
        <v>10723197.851919997</v>
      </c>
      <c r="AN47" s="176">
        <v>10938961.44173</v>
      </c>
      <c r="AO47" s="176">
        <v>11016436.235860001</v>
      </c>
      <c r="AP47" s="176">
        <v>11083832.315630002</v>
      </c>
      <c r="AQ47" s="176">
        <v>11154880.134280002</v>
      </c>
      <c r="AR47" s="176">
        <v>11739946.414069999</v>
      </c>
      <c r="AS47" s="744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</row>
    <row r="48" spans="1:56">
      <c r="A48" s="11"/>
      <c r="B48" s="11" t="s">
        <v>13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47.31221</v>
      </c>
      <c r="P48" s="23">
        <v>44.849359999999997</v>
      </c>
      <c r="Q48" s="23">
        <v>42.386510000000001</v>
      </c>
      <c r="R48" s="23">
        <v>40</v>
      </c>
      <c r="S48" s="23">
        <v>37.460809999999995</v>
      </c>
      <c r="T48" s="23">
        <v>35</v>
      </c>
      <c r="U48" s="23">
        <v>33</v>
      </c>
      <c r="V48" s="23">
        <v>30</v>
      </c>
      <c r="W48" s="23">
        <v>28</v>
      </c>
      <c r="X48" s="23">
        <v>25</v>
      </c>
      <c r="Y48" s="23">
        <v>23</v>
      </c>
      <c r="Z48" s="176">
        <v>20</v>
      </c>
      <c r="AA48" s="176">
        <v>18</v>
      </c>
      <c r="AB48" s="176">
        <v>15</v>
      </c>
      <c r="AC48" s="176">
        <v>28</v>
      </c>
      <c r="AD48" s="176">
        <v>25</v>
      </c>
      <c r="AE48" s="176">
        <v>22</v>
      </c>
      <c r="AF48" s="176">
        <v>19</v>
      </c>
      <c r="AG48" s="176">
        <v>15</v>
      </c>
      <c r="AH48" s="176">
        <v>12</v>
      </c>
      <c r="AI48" s="176">
        <v>11</v>
      </c>
      <c r="AJ48" s="176">
        <v>10</v>
      </c>
      <c r="AK48" s="176">
        <v>8.9744799999999962</v>
      </c>
      <c r="AL48" s="176">
        <v>8.1683800000000044</v>
      </c>
      <c r="AM48" s="176">
        <v>7.3622799999999993</v>
      </c>
      <c r="AN48" s="176">
        <v>52.129179999999998</v>
      </c>
      <c r="AO48" s="176">
        <v>10411.078519999999</v>
      </c>
      <c r="AP48" s="176">
        <v>10254.40101</v>
      </c>
      <c r="AQ48" s="176">
        <v>9708.8760600000005</v>
      </c>
      <c r="AR48" s="176">
        <v>9168.4991100000007</v>
      </c>
      <c r="AS48" s="744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</row>
    <row r="49" spans="1:56">
      <c r="A49" s="627"/>
      <c r="B49" s="627" t="s">
        <v>17</v>
      </c>
      <c r="C49" s="628">
        <v>645180</v>
      </c>
      <c r="D49" s="628">
        <v>644453</v>
      </c>
      <c r="E49" s="628">
        <v>14914</v>
      </c>
      <c r="F49" s="628">
        <v>21293</v>
      </c>
      <c r="G49" s="628">
        <v>162620</v>
      </c>
      <c r="H49" s="628">
        <v>171470.94519999999</v>
      </c>
      <c r="I49" s="628">
        <v>26587.580289999994</v>
      </c>
      <c r="J49" s="628">
        <v>24254.28068</v>
      </c>
      <c r="K49" s="628">
        <v>304151.74559000001</v>
      </c>
      <c r="L49" s="628">
        <v>353450.22117999999</v>
      </c>
      <c r="M49" s="628">
        <v>27882.914190000003</v>
      </c>
      <c r="N49" s="628">
        <v>28340.172349999997</v>
      </c>
      <c r="O49" s="628">
        <v>65125.191729999999</v>
      </c>
      <c r="P49" s="628">
        <v>65380.700219999999</v>
      </c>
      <c r="Q49" s="628">
        <v>33593.113519999999</v>
      </c>
      <c r="R49" s="628">
        <v>37642.155599999998</v>
      </c>
      <c r="S49" s="628">
        <v>271158.73830999999</v>
      </c>
      <c r="T49" s="628">
        <v>43156</v>
      </c>
      <c r="U49" s="628">
        <v>52536</v>
      </c>
      <c r="V49" s="628">
        <v>61613.566440000002</v>
      </c>
      <c r="W49" s="628">
        <v>369552</v>
      </c>
      <c r="X49" s="628">
        <v>803635</v>
      </c>
      <c r="Y49" s="628">
        <v>19486</v>
      </c>
      <c r="Z49" s="629">
        <v>20230</v>
      </c>
      <c r="AA49" s="629">
        <v>17414</v>
      </c>
      <c r="AB49" s="629">
        <v>24479</v>
      </c>
      <c r="AC49" s="629">
        <v>13504</v>
      </c>
      <c r="AD49" s="629">
        <v>16951</v>
      </c>
      <c r="AE49" s="629">
        <v>717495</v>
      </c>
      <c r="AF49" s="629">
        <f t="shared" ref="AF49:AG49" si="4">AF50+AF55</f>
        <v>737752</v>
      </c>
      <c r="AG49" s="629">
        <f t="shared" si="4"/>
        <v>14664</v>
      </c>
      <c r="AH49" s="629">
        <v>20080</v>
      </c>
      <c r="AI49" s="629">
        <v>1295211</v>
      </c>
      <c r="AJ49" s="629">
        <v>1331883</v>
      </c>
      <c r="AK49" s="629">
        <v>854715.82336000004</v>
      </c>
      <c r="AL49" s="629">
        <v>719944.57574</v>
      </c>
      <c r="AM49" s="629">
        <v>974698.50506</v>
      </c>
      <c r="AN49" s="629">
        <v>32779.552940000001</v>
      </c>
      <c r="AO49" s="629">
        <v>959094.84436999995</v>
      </c>
      <c r="AP49" s="629">
        <f>AP50+AP55</f>
        <v>998374.64946999995</v>
      </c>
      <c r="AQ49" s="629">
        <v>1090841.32898</v>
      </c>
      <c r="AR49" s="629">
        <f>AR50+AR55</f>
        <v>1024189.0879200001</v>
      </c>
      <c r="AS49" s="744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</row>
    <row r="50" spans="1:56">
      <c r="A50" s="21"/>
      <c r="B50" s="21" t="s">
        <v>6</v>
      </c>
      <c r="C50" s="22">
        <v>645180</v>
      </c>
      <c r="D50" s="22">
        <v>644453</v>
      </c>
      <c r="E50" s="22">
        <v>14914</v>
      </c>
      <c r="F50" s="22">
        <v>21293</v>
      </c>
      <c r="G50" s="22">
        <v>162297</v>
      </c>
      <c r="H50" s="22">
        <v>171148.28732999999</v>
      </c>
      <c r="I50" s="22">
        <v>26264.922419999995</v>
      </c>
      <c r="J50" s="22">
        <v>23931.622810000001</v>
      </c>
      <c r="K50" s="22">
        <v>303608.94737000001</v>
      </c>
      <c r="L50" s="22">
        <v>352907.42296</v>
      </c>
      <c r="M50" s="22">
        <v>27340.115970000003</v>
      </c>
      <c r="N50" s="22">
        <v>27797.374129999997</v>
      </c>
      <c r="O50" s="22">
        <v>64369.191729999999</v>
      </c>
      <c r="P50" s="22">
        <v>64624.700219999999</v>
      </c>
      <c r="Q50" s="22">
        <v>32836.957920000001</v>
      </c>
      <c r="R50" s="22">
        <v>36886</v>
      </c>
      <c r="S50" s="22">
        <v>270382.73830999999</v>
      </c>
      <c r="T50" s="22">
        <v>42380</v>
      </c>
      <c r="U50" s="22">
        <v>51760</v>
      </c>
      <c r="V50" s="22">
        <v>60838</v>
      </c>
      <c r="W50" s="22">
        <v>368705</v>
      </c>
      <c r="X50" s="22">
        <v>802788</v>
      </c>
      <c r="Y50" s="22">
        <v>18583</v>
      </c>
      <c r="Z50" s="175">
        <v>19327</v>
      </c>
      <c r="AA50" s="175">
        <v>16185</v>
      </c>
      <c r="AB50" s="175">
        <v>23254</v>
      </c>
      <c r="AC50" s="175">
        <v>12278</v>
      </c>
      <c r="AD50" s="175">
        <v>15725</v>
      </c>
      <c r="AE50" s="175">
        <v>715565</v>
      </c>
      <c r="AF50" s="175">
        <v>735857</v>
      </c>
      <c r="AG50" s="175">
        <v>12638</v>
      </c>
      <c r="AH50" s="175">
        <v>17621</v>
      </c>
      <c r="AI50" s="175">
        <v>1292752</v>
      </c>
      <c r="AJ50" s="175">
        <v>1328916</v>
      </c>
      <c r="AK50" s="175">
        <v>852394.82336000004</v>
      </c>
      <c r="AL50" s="175">
        <v>717623.57574</v>
      </c>
      <c r="AM50" s="175">
        <v>972377.50506</v>
      </c>
      <c r="AN50" s="175">
        <v>30200.552940000001</v>
      </c>
      <c r="AO50" s="175">
        <v>947306.84436999995</v>
      </c>
      <c r="AP50" s="175">
        <f>SUM(AP51:AP54)</f>
        <v>986626.64946999995</v>
      </c>
      <c r="AQ50" s="175">
        <v>1079656.32898</v>
      </c>
      <c r="AR50" s="175">
        <f>SUM(AR51:AR54)</f>
        <v>1011711.0879200001</v>
      </c>
      <c r="AS50" s="744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</row>
    <row r="51" spans="1:56">
      <c r="A51" s="11"/>
      <c r="B51" s="11" t="s">
        <v>19</v>
      </c>
      <c r="C51" s="25">
        <v>501967</v>
      </c>
      <c r="D51" s="25">
        <v>501314</v>
      </c>
      <c r="E51" s="25">
        <v>2944</v>
      </c>
      <c r="F51" s="25">
        <v>4417</v>
      </c>
      <c r="G51" s="25">
        <v>5301</v>
      </c>
      <c r="H51" s="25">
        <v>5066.6547200000005</v>
      </c>
      <c r="I51" s="25">
        <v>7073.3115999999991</v>
      </c>
      <c r="J51" s="25">
        <v>5922.7383</v>
      </c>
      <c r="K51" s="25">
        <v>21876.035889999999</v>
      </c>
      <c r="L51" s="25">
        <v>24151.500260000004</v>
      </c>
      <c r="M51" s="25">
        <v>7211.2711100000015</v>
      </c>
      <c r="N51" s="25">
        <v>6922.8276400000004</v>
      </c>
      <c r="O51" s="25">
        <v>11333.953120000002</v>
      </c>
      <c r="P51" s="23">
        <v>11368.499189999999</v>
      </c>
      <c r="Q51" s="23">
        <v>9199.7419800000007</v>
      </c>
      <c r="R51" s="23">
        <v>14343</v>
      </c>
      <c r="S51" s="23">
        <v>116879.65561999999</v>
      </c>
      <c r="T51" s="23">
        <v>27255</v>
      </c>
      <c r="U51" s="23">
        <v>20588</v>
      </c>
      <c r="V51" s="23">
        <v>14513</v>
      </c>
      <c r="W51" s="23">
        <v>18534</v>
      </c>
      <c r="X51" s="23">
        <v>14441</v>
      </c>
      <c r="Y51" s="23">
        <v>13723</v>
      </c>
      <c r="Z51" s="176">
        <v>15186</v>
      </c>
      <c r="AA51" s="176">
        <v>15201</v>
      </c>
      <c r="AB51" s="176">
        <v>9663</v>
      </c>
      <c r="AC51" s="216">
        <v>9081</v>
      </c>
      <c r="AD51" s="216">
        <v>12782</v>
      </c>
      <c r="AE51" s="216">
        <v>11819</v>
      </c>
      <c r="AF51" s="176">
        <v>11786</v>
      </c>
      <c r="AG51" s="216">
        <v>10492</v>
      </c>
      <c r="AH51" s="216">
        <v>15858</v>
      </c>
      <c r="AI51" s="216">
        <v>12234</v>
      </c>
      <c r="AJ51" s="186">
        <v>15133</v>
      </c>
      <c r="AK51" s="176">
        <v>10140.118469999999</v>
      </c>
      <c r="AL51" s="176">
        <v>13373.20019</v>
      </c>
      <c r="AM51" s="176">
        <v>11094</v>
      </c>
      <c r="AN51" s="176">
        <v>13336.984910000001</v>
      </c>
      <c r="AO51" s="176">
        <v>12379.6165</v>
      </c>
      <c r="AP51" s="176">
        <v>23340.577819999999</v>
      </c>
      <c r="AQ51" s="176">
        <v>15224.84618</v>
      </c>
      <c r="AR51" s="176">
        <v>18352.947459999999</v>
      </c>
      <c r="AS51" s="744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</row>
    <row r="52" spans="1:56">
      <c r="A52" s="11"/>
      <c r="B52" s="11" t="s">
        <v>20</v>
      </c>
      <c r="C52" s="25">
        <v>127028</v>
      </c>
      <c r="D52" s="25">
        <v>131163</v>
      </c>
      <c r="E52" s="25">
        <v>204</v>
      </c>
      <c r="F52" s="25">
        <v>0</v>
      </c>
      <c r="G52" s="25">
        <v>142816</v>
      </c>
      <c r="H52" s="25">
        <v>147081.28427999999</v>
      </c>
      <c r="I52" s="25">
        <v>0</v>
      </c>
      <c r="J52" s="25">
        <v>0</v>
      </c>
      <c r="K52" s="25">
        <v>271448.85538000002</v>
      </c>
      <c r="L52" s="25">
        <v>275766.17962999997</v>
      </c>
      <c r="M52" s="25">
        <v>0</v>
      </c>
      <c r="N52" s="25">
        <v>0</v>
      </c>
      <c r="O52" s="25">
        <v>24220.362379999999</v>
      </c>
      <c r="P52" s="23">
        <v>24586.80831</v>
      </c>
      <c r="Q52" s="23">
        <v>0</v>
      </c>
      <c r="R52" s="23">
        <v>0</v>
      </c>
      <c r="S52" s="23">
        <v>153442.49533999999</v>
      </c>
      <c r="T52" s="23">
        <v>0</v>
      </c>
      <c r="U52" s="23">
        <v>0</v>
      </c>
      <c r="V52" s="23">
        <v>0</v>
      </c>
      <c r="W52" s="23">
        <v>320236</v>
      </c>
      <c r="X52" s="23">
        <v>780000</v>
      </c>
      <c r="Y52" s="23">
        <v>0</v>
      </c>
      <c r="Z52" s="176">
        <v>0</v>
      </c>
      <c r="AA52" s="176">
        <v>0</v>
      </c>
      <c r="AB52" s="176">
        <v>1</v>
      </c>
      <c r="AC52" s="216">
        <v>1</v>
      </c>
      <c r="AD52" s="216">
        <v>0</v>
      </c>
      <c r="AE52" s="216">
        <v>696958</v>
      </c>
      <c r="AF52" s="176">
        <v>719613</v>
      </c>
      <c r="AG52" s="216">
        <v>3</v>
      </c>
      <c r="AH52" s="216">
        <v>3</v>
      </c>
      <c r="AI52" s="216">
        <v>1278350</v>
      </c>
      <c r="AJ52" s="216">
        <v>1310781</v>
      </c>
      <c r="AK52" s="176">
        <v>840005.44568</v>
      </c>
      <c r="AL52" s="176">
        <v>702005.44568</v>
      </c>
      <c r="AM52" s="176">
        <v>941302</v>
      </c>
      <c r="AN52" s="176">
        <v>11641.888939999999</v>
      </c>
      <c r="AO52" s="176">
        <v>930009.53715999995</v>
      </c>
      <c r="AP52" s="176">
        <v>960008.33635999996</v>
      </c>
      <c r="AQ52" s="176">
        <v>1050007.5735899999</v>
      </c>
      <c r="AR52" s="176">
        <v>990007.58282000001</v>
      </c>
      <c r="AS52" s="744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1:56">
      <c r="A53" s="11"/>
      <c r="B53" s="11" t="s">
        <v>21</v>
      </c>
      <c r="C53" s="25">
        <v>16185</v>
      </c>
      <c r="D53" s="25">
        <v>11976</v>
      </c>
      <c r="E53" s="25">
        <v>11766</v>
      </c>
      <c r="F53" s="25">
        <v>16876</v>
      </c>
      <c r="G53" s="25">
        <v>14180</v>
      </c>
      <c r="H53" s="25">
        <v>19000.348329999997</v>
      </c>
      <c r="I53" s="25">
        <v>19191.610819999998</v>
      </c>
      <c r="J53" s="25">
        <v>18008.88451</v>
      </c>
      <c r="K53" s="25">
        <v>10284.0561</v>
      </c>
      <c r="L53" s="25">
        <v>52989.743070000011</v>
      </c>
      <c r="M53" s="25">
        <v>20128.844860000001</v>
      </c>
      <c r="N53" s="25">
        <v>20874.546489999997</v>
      </c>
      <c r="O53" s="25">
        <v>28814.876230000002</v>
      </c>
      <c r="P53" s="23">
        <v>28669.39272</v>
      </c>
      <c r="Q53" s="23">
        <v>23637.215940000002</v>
      </c>
      <c r="R53" s="23">
        <v>22543</v>
      </c>
      <c r="S53" s="23">
        <v>60.587349999999994</v>
      </c>
      <c r="T53" s="23">
        <v>15125</v>
      </c>
      <c r="U53" s="23">
        <v>31172</v>
      </c>
      <c r="V53" s="23">
        <v>46325</v>
      </c>
      <c r="W53" s="26">
        <v>29935</v>
      </c>
      <c r="X53" s="26">
        <v>8347</v>
      </c>
      <c r="Y53" s="26">
        <v>4860</v>
      </c>
      <c r="Z53" s="177">
        <v>4141</v>
      </c>
      <c r="AA53" s="177">
        <v>984</v>
      </c>
      <c r="AB53" s="177">
        <v>13590</v>
      </c>
      <c r="AC53" s="177">
        <v>3196</v>
      </c>
      <c r="AD53" s="177">
        <v>2943</v>
      </c>
      <c r="AE53" s="177">
        <v>6788</v>
      </c>
      <c r="AF53" s="177">
        <v>4458</v>
      </c>
      <c r="AG53" s="177">
        <v>2142</v>
      </c>
      <c r="AH53" s="177">
        <v>1757</v>
      </c>
      <c r="AI53" s="177">
        <v>2168</v>
      </c>
      <c r="AJ53" s="176">
        <v>3001</v>
      </c>
      <c r="AK53" s="177">
        <v>2249.2592100000002</v>
      </c>
      <c r="AL53" s="177">
        <v>2216.4935099999998</v>
      </c>
      <c r="AM53" s="177">
        <v>19952.160540000001</v>
      </c>
      <c r="AN53" s="177">
        <v>5138.1033299999999</v>
      </c>
      <c r="AO53" s="177">
        <v>4826.83788</v>
      </c>
      <c r="AP53" s="177">
        <v>3046.5512899999999</v>
      </c>
      <c r="AQ53" s="177">
        <v>14104.34143</v>
      </c>
      <c r="AR53" s="176">
        <v>2936.5972299999999</v>
      </c>
      <c r="AS53" s="744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1:56">
      <c r="A54" s="11"/>
      <c r="B54" s="11" t="s">
        <v>22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6">
        <v>0</v>
      </c>
      <c r="X54" s="26">
        <v>0</v>
      </c>
      <c r="Y54" s="26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1</v>
      </c>
      <c r="AH54" s="177">
        <v>3</v>
      </c>
      <c r="AI54" s="177">
        <v>0</v>
      </c>
      <c r="AJ54" s="176">
        <v>1</v>
      </c>
      <c r="AK54" s="177">
        <v>0</v>
      </c>
      <c r="AL54" s="177">
        <v>28.436360000000001</v>
      </c>
      <c r="AM54" s="177">
        <v>28.569510000000001</v>
      </c>
      <c r="AN54" s="177">
        <v>83.575759999999988</v>
      </c>
      <c r="AO54" s="177">
        <v>90.852829999999997</v>
      </c>
      <c r="AP54" s="177">
        <v>231.184</v>
      </c>
      <c r="AQ54" s="177">
        <v>319.56778000000003</v>
      </c>
      <c r="AR54" s="176">
        <v>413.96041000000002</v>
      </c>
      <c r="AS54" s="744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1:56">
      <c r="A55" s="21"/>
      <c r="B55" s="21" t="s">
        <v>15</v>
      </c>
      <c r="C55" s="22">
        <v>0</v>
      </c>
      <c r="D55" s="22">
        <v>0</v>
      </c>
      <c r="E55" s="22">
        <v>0</v>
      </c>
      <c r="F55" s="22">
        <v>0</v>
      </c>
      <c r="G55" s="22">
        <v>323</v>
      </c>
      <c r="H55" s="22">
        <v>322.65787</v>
      </c>
      <c r="I55" s="22">
        <v>322.65787</v>
      </c>
      <c r="J55" s="22">
        <v>322.65787</v>
      </c>
      <c r="K55" s="22">
        <v>542.79822000000001</v>
      </c>
      <c r="L55" s="22">
        <v>542.79822000000001</v>
      </c>
      <c r="M55" s="22">
        <v>542.79822000000001</v>
      </c>
      <c r="N55" s="22">
        <v>542.79822000000001</v>
      </c>
      <c r="O55" s="22">
        <v>756</v>
      </c>
      <c r="P55" s="22">
        <v>756</v>
      </c>
      <c r="Q55" s="22">
        <v>756.15559999999994</v>
      </c>
      <c r="R55" s="22">
        <v>756.15559999999994</v>
      </c>
      <c r="S55" s="22">
        <v>776</v>
      </c>
      <c r="T55" s="22">
        <v>776</v>
      </c>
      <c r="U55" s="22">
        <v>776</v>
      </c>
      <c r="V55" s="22">
        <v>775.56643999999994</v>
      </c>
      <c r="W55" s="22">
        <v>847</v>
      </c>
      <c r="X55" s="22">
        <v>847</v>
      </c>
      <c r="Y55" s="22">
        <v>903</v>
      </c>
      <c r="Z55" s="175">
        <v>903</v>
      </c>
      <c r="AA55" s="175">
        <v>1229</v>
      </c>
      <c r="AB55" s="175">
        <v>1225</v>
      </c>
      <c r="AC55" s="175">
        <v>1226</v>
      </c>
      <c r="AD55" s="175">
        <v>1226</v>
      </c>
      <c r="AE55" s="175">
        <v>1930</v>
      </c>
      <c r="AF55" s="175">
        <v>1895</v>
      </c>
      <c r="AG55" s="175">
        <v>2026</v>
      </c>
      <c r="AH55" s="175">
        <v>2459</v>
      </c>
      <c r="AI55" s="175">
        <v>2459</v>
      </c>
      <c r="AJ55" s="175">
        <v>2967</v>
      </c>
      <c r="AK55" s="175">
        <v>2321</v>
      </c>
      <c r="AL55" s="175">
        <v>2321</v>
      </c>
      <c r="AM55" s="175">
        <v>2321</v>
      </c>
      <c r="AN55" s="175">
        <v>2579</v>
      </c>
      <c r="AO55" s="175">
        <v>11788</v>
      </c>
      <c r="AP55" s="175">
        <f>SUM(AP56)</f>
        <v>11748</v>
      </c>
      <c r="AQ55" s="175">
        <v>11185</v>
      </c>
      <c r="AR55" s="175">
        <f>AR56</f>
        <v>12478</v>
      </c>
      <c r="AS55" s="744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1:56">
      <c r="A56" s="11"/>
      <c r="B56" s="11" t="s">
        <v>19</v>
      </c>
      <c r="C56" s="25">
        <v>0</v>
      </c>
      <c r="D56" s="25">
        <v>0</v>
      </c>
      <c r="E56" s="25">
        <v>0</v>
      </c>
      <c r="F56" s="25">
        <v>0</v>
      </c>
      <c r="G56" s="25">
        <v>323</v>
      </c>
      <c r="H56" s="25">
        <v>322.65787</v>
      </c>
      <c r="I56" s="25">
        <v>322.65787</v>
      </c>
      <c r="J56" s="25">
        <v>322.65787</v>
      </c>
      <c r="K56" s="25">
        <v>542.79822000000001</v>
      </c>
      <c r="L56" s="25">
        <v>542.79822000000001</v>
      </c>
      <c r="M56" s="25">
        <v>542.79822000000001</v>
      </c>
      <c r="N56" s="25">
        <v>542.79822000000001</v>
      </c>
      <c r="O56" s="25">
        <v>756</v>
      </c>
      <c r="P56" s="23">
        <v>756</v>
      </c>
      <c r="Q56" s="23">
        <v>756.15559999999994</v>
      </c>
      <c r="R56" s="23">
        <v>756.15559999999994</v>
      </c>
      <c r="S56" s="23">
        <v>776</v>
      </c>
      <c r="T56" s="23">
        <v>776</v>
      </c>
      <c r="U56" s="23">
        <v>776</v>
      </c>
      <c r="V56" s="23">
        <v>775.56643999999994</v>
      </c>
      <c r="W56" s="23">
        <v>847</v>
      </c>
      <c r="X56" s="23">
        <v>847</v>
      </c>
      <c r="Y56" s="23">
        <v>903</v>
      </c>
      <c r="Z56" s="176">
        <v>903</v>
      </c>
      <c r="AA56" s="176">
        <v>1229</v>
      </c>
      <c r="AB56" s="176">
        <v>1225</v>
      </c>
      <c r="AC56" s="216">
        <v>1226</v>
      </c>
      <c r="AD56" s="216">
        <v>1226</v>
      </c>
      <c r="AE56" s="216">
        <v>1930</v>
      </c>
      <c r="AF56" s="176">
        <v>1895</v>
      </c>
      <c r="AG56" s="216">
        <v>2026</v>
      </c>
      <c r="AH56" s="216">
        <v>2459</v>
      </c>
      <c r="AI56" s="216">
        <v>2459</v>
      </c>
      <c r="AJ56" s="186">
        <v>2967</v>
      </c>
      <c r="AK56" s="176">
        <v>2321</v>
      </c>
      <c r="AL56" s="176">
        <v>2321</v>
      </c>
      <c r="AM56" s="176">
        <v>2321</v>
      </c>
      <c r="AN56" s="176">
        <v>2579</v>
      </c>
      <c r="AO56" s="176">
        <v>11788</v>
      </c>
      <c r="AP56" s="176">
        <v>11748</v>
      </c>
      <c r="AQ56" s="176">
        <v>11185</v>
      </c>
      <c r="AR56" s="176">
        <v>12478</v>
      </c>
      <c r="AS56" s="744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1:56">
      <c r="A57" s="627"/>
      <c r="B57" s="627" t="s">
        <v>25</v>
      </c>
      <c r="C57" s="628">
        <v>3055882</v>
      </c>
      <c r="D57" s="628">
        <v>3410069</v>
      </c>
      <c r="E57" s="628">
        <v>3329633</v>
      </c>
      <c r="F57" s="628">
        <v>3623152</v>
      </c>
      <c r="G57" s="628">
        <v>3770185</v>
      </c>
      <c r="H57" s="628">
        <v>4109364.2944600005</v>
      </c>
      <c r="I57" s="628">
        <v>3799723.1136200004</v>
      </c>
      <c r="J57" s="628">
        <v>4158623.0024000001</v>
      </c>
      <c r="K57" s="628">
        <v>4178629.9267299999</v>
      </c>
      <c r="L57" s="628">
        <v>4553965.8297800003</v>
      </c>
      <c r="M57" s="628">
        <v>4110565.3416100005</v>
      </c>
      <c r="N57" s="628">
        <v>4466925.9770899992</v>
      </c>
      <c r="O57" s="628">
        <v>4603698.4447500007</v>
      </c>
      <c r="P57" s="628">
        <v>5006419.7719600005</v>
      </c>
      <c r="Q57" s="628">
        <v>5472740.5959100015</v>
      </c>
      <c r="R57" s="628">
        <v>4965496</v>
      </c>
      <c r="S57" s="628">
        <v>5140791.1064800005</v>
      </c>
      <c r="T57" s="628">
        <v>5527389</v>
      </c>
      <c r="U57" s="628">
        <v>5983812</v>
      </c>
      <c r="V57" s="628">
        <v>4746363</v>
      </c>
      <c r="W57" s="628">
        <v>9085407</v>
      </c>
      <c r="X57" s="628">
        <v>10038733</v>
      </c>
      <c r="Y57" s="628">
        <v>10436845</v>
      </c>
      <c r="Z57" s="629">
        <v>10811310</v>
      </c>
      <c r="AA57" s="629">
        <v>10558769</v>
      </c>
      <c r="AB57" s="629">
        <v>11120118</v>
      </c>
      <c r="AC57" s="629">
        <v>10914051</v>
      </c>
      <c r="AD57" s="629">
        <v>11753184</v>
      </c>
      <c r="AE57" s="629">
        <v>10889112</v>
      </c>
      <c r="AF57" s="629">
        <v>11776688</v>
      </c>
      <c r="AG57" s="629">
        <v>11861425</v>
      </c>
      <c r="AH57" s="629">
        <v>12760428</v>
      </c>
      <c r="AI57" s="629">
        <v>10977671</v>
      </c>
      <c r="AJ57" s="629">
        <v>11860767</v>
      </c>
      <c r="AK57" s="629">
        <v>11315049.56134</v>
      </c>
      <c r="AL57" s="629">
        <v>11604284.98405</v>
      </c>
      <c r="AM57" s="629">
        <v>11500647.84433</v>
      </c>
      <c r="AN57" s="629">
        <v>12587512.165349999</v>
      </c>
      <c r="AO57" s="629">
        <v>11839289.90374</v>
      </c>
      <c r="AP57" s="629">
        <f>SUM(AP58:AP62)</f>
        <v>12018035.072170001</v>
      </c>
      <c r="AQ57" s="629">
        <v>12111624.183320001</v>
      </c>
      <c r="AR57" s="629">
        <v>12257238.497129999</v>
      </c>
      <c r="AS57" s="744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</row>
    <row r="58" spans="1:56">
      <c r="A58" s="11"/>
      <c r="B58" s="11" t="s">
        <v>26</v>
      </c>
      <c r="C58" s="25">
        <v>2756687</v>
      </c>
      <c r="D58" s="25">
        <v>2756687</v>
      </c>
      <c r="E58" s="25">
        <v>2756687</v>
      </c>
      <c r="F58" s="25">
        <v>2756687</v>
      </c>
      <c r="G58" s="25">
        <v>2756687</v>
      </c>
      <c r="H58" s="25">
        <v>2756687.1670200001</v>
      </c>
      <c r="I58" s="25">
        <v>2756687.1670200001</v>
      </c>
      <c r="J58" s="25">
        <v>2756687.1670200001</v>
      </c>
      <c r="K58" s="25">
        <v>2756687.1670200001</v>
      </c>
      <c r="L58" s="25">
        <v>2756687.1670200001</v>
      </c>
      <c r="M58" s="25">
        <v>2756687.1670200001</v>
      </c>
      <c r="N58" s="25">
        <v>2756687.1670200001</v>
      </c>
      <c r="O58" s="25">
        <v>2756687.1670200001</v>
      </c>
      <c r="P58" s="23">
        <v>2756687.1670200001</v>
      </c>
      <c r="Q58" s="23">
        <v>2756687.1670200001</v>
      </c>
      <c r="R58" s="23">
        <v>2756687</v>
      </c>
      <c r="S58" s="23">
        <v>2756687.1670200001</v>
      </c>
      <c r="T58" s="23">
        <v>2756687</v>
      </c>
      <c r="U58" s="23">
        <v>2756687</v>
      </c>
      <c r="V58" s="23">
        <v>2756687</v>
      </c>
      <c r="W58" s="24">
        <v>2756687</v>
      </c>
      <c r="X58" s="24">
        <v>2756687</v>
      </c>
      <c r="Y58" s="24">
        <v>2756687</v>
      </c>
      <c r="Z58" s="176">
        <v>2756687</v>
      </c>
      <c r="AA58" s="176">
        <v>2756687</v>
      </c>
      <c r="AB58" s="176">
        <v>2756687</v>
      </c>
      <c r="AC58" s="176">
        <v>2756687</v>
      </c>
      <c r="AD58" s="176">
        <v>2756687</v>
      </c>
      <c r="AE58" s="176">
        <v>2756687</v>
      </c>
      <c r="AF58" s="176">
        <v>2756687</v>
      </c>
      <c r="AG58" s="176">
        <v>2756687</v>
      </c>
      <c r="AH58" s="176">
        <v>2756687</v>
      </c>
      <c r="AI58" s="176">
        <v>2756687</v>
      </c>
      <c r="AJ58" s="176">
        <v>2756687</v>
      </c>
      <c r="AK58" s="176">
        <v>2756687.1670200001</v>
      </c>
      <c r="AL58" s="176">
        <v>2756687.1670200001</v>
      </c>
      <c r="AM58" s="176">
        <v>2756687.1670200001</v>
      </c>
      <c r="AN58" s="176">
        <v>2756687.1670200001</v>
      </c>
      <c r="AO58" s="176">
        <v>3678771.5402500001</v>
      </c>
      <c r="AP58" s="176">
        <v>3678771.5402500001</v>
      </c>
      <c r="AQ58" s="176">
        <v>3678771.5402500001</v>
      </c>
      <c r="AR58" s="176">
        <v>3678771.5402500001</v>
      </c>
      <c r="AS58" s="744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</row>
    <row r="59" spans="1:56">
      <c r="A59" s="11"/>
      <c r="B59" s="11" t="s">
        <v>27</v>
      </c>
      <c r="C59" s="25">
        <v>407826</v>
      </c>
      <c r="D59" s="25">
        <v>407826</v>
      </c>
      <c r="E59" s="25">
        <v>26743</v>
      </c>
      <c r="F59" s="25">
        <v>26743</v>
      </c>
      <c r="G59" s="25">
        <v>973519</v>
      </c>
      <c r="H59" s="25">
        <v>973519.44663000014</v>
      </c>
      <c r="I59" s="25">
        <v>323341.96964999998</v>
      </c>
      <c r="J59" s="25">
        <v>323341.96964999998</v>
      </c>
      <c r="K59" s="25">
        <v>1350743.503</v>
      </c>
      <c r="L59" s="25">
        <v>1350743.503</v>
      </c>
      <c r="M59" s="25">
        <v>635066.06295000005</v>
      </c>
      <c r="N59" s="25">
        <v>635066.06295000005</v>
      </c>
      <c r="O59" s="25">
        <v>1761741.7532000002</v>
      </c>
      <c r="P59" s="23">
        <v>1761741.7532000002</v>
      </c>
      <c r="Q59" s="23">
        <v>1761741.7532000002</v>
      </c>
      <c r="R59" s="23">
        <v>989692</v>
      </c>
      <c r="S59" s="23">
        <v>2162305.99058</v>
      </c>
      <c r="T59" s="23">
        <v>2162306</v>
      </c>
      <c r="U59" s="23">
        <v>2162306</v>
      </c>
      <c r="V59" s="23">
        <v>572306</v>
      </c>
      <c r="W59" s="24">
        <v>1921484</v>
      </c>
      <c r="X59" s="24">
        <v>1141484</v>
      </c>
      <c r="Y59" s="24">
        <v>1141484</v>
      </c>
      <c r="Z59" s="176">
        <v>1141484</v>
      </c>
      <c r="AA59" s="176">
        <v>2303797</v>
      </c>
      <c r="AB59" s="176">
        <v>2303797</v>
      </c>
      <c r="AC59" s="176">
        <v>1416426</v>
      </c>
      <c r="AD59" s="176">
        <v>1416426</v>
      </c>
      <c r="AE59" s="176">
        <v>2520163</v>
      </c>
      <c r="AF59" s="176">
        <v>1717119</v>
      </c>
      <c r="AG59" s="176">
        <v>1717119</v>
      </c>
      <c r="AH59" s="176">
        <v>1717119</v>
      </c>
      <c r="AI59" s="176">
        <v>2067312</v>
      </c>
      <c r="AJ59" s="176">
        <v>2067312</v>
      </c>
      <c r="AK59" s="176">
        <v>2067312.3366500002</v>
      </c>
      <c r="AL59" s="176">
        <v>2019075.58895</v>
      </c>
      <c r="AM59" s="176">
        <v>2377553.6609399999</v>
      </c>
      <c r="AN59" s="176">
        <v>2377553.6609399999</v>
      </c>
      <c r="AO59" s="176">
        <v>1455469.2877100001</v>
      </c>
      <c r="AP59" s="176">
        <v>1455469.2877100001</v>
      </c>
      <c r="AQ59" s="176">
        <v>2831360.9826599997</v>
      </c>
      <c r="AR59" s="176">
        <v>1841360.98266</v>
      </c>
      <c r="AS59" s="744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</row>
    <row r="60" spans="1:56">
      <c r="A60" s="11"/>
      <c r="B60" s="11" t="s">
        <v>28</v>
      </c>
      <c r="C60" s="25">
        <v>-108631</v>
      </c>
      <c r="D60" s="25">
        <v>-32957</v>
      </c>
      <c r="E60" s="25">
        <v>13426</v>
      </c>
      <c r="F60" s="25">
        <v>35967</v>
      </c>
      <c r="G60" s="25">
        <v>39979</v>
      </c>
      <c r="H60" s="25">
        <v>57928.111330000007</v>
      </c>
      <c r="I60" s="25">
        <v>58122.49635999999</v>
      </c>
      <c r="J60" s="25">
        <v>102372.60710999998</v>
      </c>
      <c r="K60" s="24">
        <v>71199.256709999987</v>
      </c>
      <c r="L60" s="24">
        <v>76388.19187000001</v>
      </c>
      <c r="M60" s="24">
        <v>25211.609129999993</v>
      </c>
      <c r="N60" s="24">
        <v>22757.664159999997</v>
      </c>
      <c r="O60" s="24">
        <v>85269.524529999995</v>
      </c>
      <c r="P60" s="24">
        <v>92552.711299999995</v>
      </c>
      <c r="Q60" s="24">
        <v>175226.01974000002</v>
      </c>
      <c r="R60" s="24">
        <v>212923</v>
      </c>
      <c r="S60" s="24">
        <v>221797.94887999998</v>
      </c>
      <c r="T60" s="24">
        <v>194466</v>
      </c>
      <c r="U60" s="24">
        <v>256951</v>
      </c>
      <c r="V60" s="24">
        <v>201372</v>
      </c>
      <c r="W60" s="24">
        <v>4407236</v>
      </c>
      <c r="X60" s="24">
        <v>5708905</v>
      </c>
      <c r="Y60" s="24">
        <v>5680383</v>
      </c>
      <c r="Z60" s="176">
        <v>5562712</v>
      </c>
      <c r="AA60" s="176">
        <v>5498285</v>
      </c>
      <c r="AB60" s="176">
        <v>5502596</v>
      </c>
      <c r="AC60" s="176">
        <v>5503112</v>
      </c>
      <c r="AD60" s="176">
        <v>5575995</v>
      </c>
      <c r="AE60" s="176">
        <v>5612262</v>
      </c>
      <c r="AF60" s="176">
        <v>5659468</v>
      </c>
      <c r="AG60" s="176">
        <v>5724671</v>
      </c>
      <c r="AH60" s="176">
        <v>5707100</v>
      </c>
      <c r="AI60" s="176">
        <v>5780279</v>
      </c>
      <c r="AJ60" s="176">
        <v>5739032</v>
      </c>
      <c r="AK60" s="176">
        <v>5650950.7536000004</v>
      </c>
      <c r="AL60" s="176">
        <v>5636869.13179</v>
      </c>
      <c r="AM60" s="176">
        <v>5417702.9756800001</v>
      </c>
      <c r="AN60" s="176">
        <v>5495245.7086499995</v>
      </c>
      <c r="AO60" s="176">
        <v>5584141.7923599994</v>
      </c>
      <c r="AP60" s="176">
        <v>5582726.7873299997</v>
      </c>
      <c r="AQ60" s="176">
        <v>5601491.66041</v>
      </c>
      <c r="AR60" s="176">
        <v>5594130.6884599999</v>
      </c>
      <c r="AS60" s="744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</row>
    <row r="61" spans="1:56">
      <c r="A61" s="11"/>
      <c r="B61" s="11" t="s">
        <v>29</v>
      </c>
      <c r="C61" s="25">
        <v>0</v>
      </c>
      <c r="D61" s="25">
        <v>278513</v>
      </c>
      <c r="E61" s="25">
        <v>532777</v>
      </c>
      <c r="F61" s="25">
        <v>803755</v>
      </c>
      <c r="G61" s="25">
        <v>0</v>
      </c>
      <c r="H61" s="25">
        <v>321229.56948000001</v>
      </c>
      <c r="I61" s="25">
        <v>661571.48059000017</v>
      </c>
      <c r="J61" s="25">
        <v>976221.2586200001</v>
      </c>
      <c r="K61" s="23">
        <v>0</v>
      </c>
      <c r="L61" s="23">
        <v>370146.96788999997</v>
      </c>
      <c r="M61" s="23">
        <v>693600.50251000025</v>
      </c>
      <c r="N61" s="23">
        <v>1052415.0829599991</v>
      </c>
      <c r="O61" s="23">
        <v>0</v>
      </c>
      <c r="P61" s="23">
        <v>395438.14043999999</v>
      </c>
      <c r="Q61" s="23">
        <v>779085.65595000004</v>
      </c>
      <c r="R61" s="23">
        <v>1006194</v>
      </c>
      <c r="S61" s="23">
        <v>0</v>
      </c>
      <c r="T61" s="23">
        <v>413930</v>
      </c>
      <c r="U61" s="23">
        <v>807868</v>
      </c>
      <c r="V61" s="23">
        <v>1215998</v>
      </c>
      <c r="W61" s="24">
        <v>0</v>
      </c>
      <c r="X61" s="24">
        <v>431657</v>
      </c>
      <c r="Y61" s="24">
        <v>858291</v>
      </c>
      <c r="Z61" s="176">
        <v>1350427</v>
      </c>
      <c r="AA61" s="176">
        <v>0</v>
      </c>
      <c r="AB61" s="176">
        <v>557038</v>
      </c>
      <c r="AC61" s="176">
        <v>1237826</v>
      </c>
      <c r="AD61" s="176">
        <v>2004076</v>
      </c>
      <c r="AE61" s="176">
        <v>0</v>
      </c>
      <c r="AF61" s="176">
        <v>840370</v>
      </c>
      <c r="AG61" s="176">
        <v>1662948</v>
      </c>
      <c r="AH61" s="176">
        <v>2579522</v>
      </c>
      <c r="AI61" s="176">
        <v>0</v>
      </c>
      <c r="AJ61" s="176">
        <v>924343</v>
      </c>
      <c r="AK61" s="176">
        <v>840099.30407000007</v>
      </c>
      <c r="AL61" s="176">
        <v>1191653.0962899998</v>
      </c>
      <c r="AM61" s="176">
        <v>0</v>
      </c>
      <c r="AN61" s="176">
        <v>1009321.5880499999</v>
      </c>
      <c r="AO61" s="176">
        <v>1120907.28342</v>
      </c>
      <c r="AP61" s="176">
        <v>1301067.4568800002</v>
      </c>
      <c r="AQ61" s="176">
        <v>0</v>
      </c>
      <c r="AR61" s="176">
        <v>1142975.2857599999</v>
      </c>
      <c r="AS61" s="744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</row>
    <row r="62" spans="1:56">
      <c r="A62" s="11"/>
      <c r="B62" s="11" t="s">
        <v>30</v>
      </c>
      <c r="X62" s="116"/>
      <c r="Y62" s="116"/>
      <c r="Z62" s="116"/>
      <c r="AA62" s="116"/>
      <c r="AB62" s="116"/>
      <c r="AE62" s="176">
        <v>803044</v>
      </c>
      <c r="AF62" s="176">
        <v>803044</v>
      </c>
      <c r="AH62" s="176">
        <v>0</v>
      </c>
      <c r="AI62" s="1">
        <v>373393</v>
      </c>
      <c r="AJ62" s="1">
        <v>373393</v>
      </c>
      <c r="AK62" s="1">
        <v>0</v>
      </c>
      <c r="AL62" s="1">
        <v>0</v>
      </c>
      <c r="AM62" s="1">
        <v>948704.04069000005</v>
      </c>
      <c r="AN62" s="1">
        <v>948704.04069000005</v>
      </c>
      <c r="AO62" s="1">
        <v>0</v>
      </c>
      <c r="AP62" s="1">
        <v>0</v>
      </c>
      <c r="AQ62" s="1">
        <v>0</v>
      </c>
      <c r="AR62" s="176">
        <v>0</v>
      </c>
      <c r="AS62" s="744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</row>
    <row r="63" spans="1:56"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</row>
    <row r="64" spans="1:56" s="20" customFormat="1"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764"/>
    </row>
    <row r="65" spans="3:44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3:44">
      <c r="AR66" s="49"/>
    </row>
  </sheetData>
  <conditionalFormatting sqref="AS6:AT32 AS36:AT62">
    <cfRule type="cellIs" dxfId="171" priority="3" operator="lessThan">
      <formula>-1</formula>
    </cfRule>
  </conditionalFormatting>
  <conditionalFormatting sqref="AS6:AT32 AS36:AT63">
    <cfRule type="cellIs" dxfId="170" priority="4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6C28E-36B3-4511-BB5E-BC72B5A69E23}">
  <dimension ref="A1:BA44"/>
  <sheetViews>
    <sheetView showGridLines="0" showRowColHeaders="0" zoomScale="75" zoomScaleNormal="75" workbookViewId="0">
      <pane xSplit="2" ySplit="5" topLeftCell="AV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9.42578125" defaultRowHeight="15" outlineLevelCol="1"/>
  <cols>
    <col min="1" max="1" width="3.5703125" customWidth="1"/>
    <col min="2" max="2" width="70.7109375" customWidth="1"/>
    <col min="3" max="3" width="13.42578125" hidden="1" customWidth="1" outlineLevel="1"/>
    <col min="4" max="6" width="11.5703125" hidden="1" customWidth="1" outlineLevel="1"/>
    <col min="7" max="7" width="11.5703125" customWidth="1" collapsed="1"/>
    <col min="8" max="11" width="11.5703125" hidden="1" customWidth="1" outlineLevel="1"/>
    <col min="12" max="12" width="11.5703125" customWidth="1" collapsed="1"/>
    <col min="13" max="16" width="11.5703125" hidden="1" customWidth="1" outlineLevel="1"/>
    <col min="17" max="17" width="13.42578125" customWidth="1" collapsed="1"/>
    <col min="18" max="18" width="13.42578125" hidden="1" customWidth="1" outlineLevel="1"/>
    <col min="19" max="19" width="11.5703125" hidden="1" customWidth="1" outlineLevel="1"/>
    <col min="20" max="20" width="12.5703125" hidden="1" customWidth="1" outlineLevel="1"/>
    <col min="21" max="21" width="11.5703125" hidden="1" customWidth="1" outlineLevel="1"/>
    <col min="22" max="22" width="13.42578125" bestFit="1" customWidth="1" collapsed="1"/>
    <col min="23" max="24" width="11.5703125" hidden="1" customWidth="1" outlineLevel="1"/>
    <col min="25" max="26" width="13.42578125" hidden="1" customWidth="1" outlineLevel="1"/>
    <col min="27" max="27" width="13.42578125" bestFit="1" customWidth="1" collapsed="1"/>
    <col min="28" max="31" width="13.42578125" hidden="1" customWidth="1" outlineLevel="1"/>
    <col min="32" max="32" width="13.42578125" bestFit="1" customWidth="1" collapsed="1"/>
    <col min="33" max="36" width="13.42578125" hidden="1" customWidth="1" outlineLevel="1"/>
    <col min="37" max="37" width="13.42578125" bestFit="1" customWidth="1" collapsed="1"/>
    <col min="38" max="38" width="13.42578125" hidden="1" customWidth="1" outlineLevel="1"/>
    <col min="39" max="41" width="13.42578125" style="286" hidden="1" customWidth="1" outlineLevel="1"/>
    <col min="42" max="42" width="13.42578125" style="286" customWidth="1" collapsed="1"/>
    <col min="43" max="46" width="13.42578125" style="286" hidden="1" customWidth="1" outlineLevel="1"/>
    <col min="47" max="47" width="13.42578125" style="286" customWidth="1" collapsed="1"/>
    <col min="48" max="51" width="13.42578125" style="286" customWidth="1" outlineLevel="1"/>
    <col min="52" max="53" width="13.42578125" style="286" customWidth="1"/>
  </cols>
  <sheetData>
    <row r="1" spans="1:5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63"/>
      <c r="AN1" s="663"/>
      <c r="AO1" s="663"/>
      <c r="AP1" s="663"/>
      <c r="AQ1" s="663"/>
      <c r="AR1" s="663"/>
      <c r="AS1" s="663"/>
      <c r="AT1" s="673"/>
      <c r="AU1" s="673"/>
      <c r="AV1" s="673"/>
      <c r="AW1" s="673"/>
      <c r="AX1" s="673"/>
      <c r="AY1" s="673"/>
      <c r="AZ1" s="631"/>
      <c r="BA1" s="630"/>
    </row>
    <row r="2" spans="1:53" ht="15" customHeight="1">
      <c r="A2" s="619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2"/>
      <c r="AN2" s="622"/>
      <c r="AO2" s="622"/>
      <c r="AP2" s="622"/>
      <c r="AQ2" s="622"/>
      <c r="AR2" s="622"/>
      <c r="AS2" s="622"/>
      <c r="AT2" s="674"/>
      <c r="AU2" s="674"/>
      <c r="AV2" s="674"/>
      <c r="AW2" s="674"/>
      <c r="AX2" s="674"/>
      <c r="AY2" s="674"/>
      <c r="AZ2" s="631"/>
      <c r="BA2" s="630"/>
    </row>
    <row r="3" spans="1:53" ht="50.1" customHeight="1">
      <c r="A3" s="619"/>
      <c r="B3" s="623" t="s">
        <v>543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63"/>
      <c r="AN3" s="663"/>
      <c r="AO3" s="663"/>
      <c r="AP3" s="663"/>
      <c r="AQ3" s="663"/>
      <c r="AR3" s="663"/>
      <c r="AS3" s="663"/>
      <c r="AT3" s="673"/>
      <c r="AU3" s="673"/>
      <c r="AV3" s="673"/>
      <c r="AW3" s="673"/>
      <c r="AX3" s="673"/>
      <c r="AY3" s="673"/>
      <c r="AZ3" s="631"/>
      <c r="BA3" s="630"/>
    </row>
    <row r="4" spans="1:53" s="108" customFormat="1" ht="10.35" customHeight="1">
      <c r="A4" s="354"/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V4" s="435"/>
      <c r="W4" s="444"/>
      <c r="X4" s="436"/>
      <c r="Y4" s="433"/>
      <c r="Z4" s="437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</row>
    <row r="5" spans="1:53" s="103" customFormat="1" ht="23.25">
      <c r="A5" s="74"/>
      <c r="B5" s="74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</row>
    <row r="6" spans="1:53" s="108" customFormat="1" ht="10.35" customHeight="1">
      <c r="A6" s="354"/>
      <c r="C6" s="109"/>
      <c r="D6" s="109"/>
      <c r="E6" s="109"/>
      <c r="F6" s="109"/>
      <c r="H6" s="109"/>
      <c r="I6" s="109"/>
      <c r="J6" s="109"/>
      <c r="K6" s="109"/>
      <c r="M6" s="109"/>
      <c r="N6" s="109"/>
      <c r="O6" s="109"/>
      <c r="P6" s="109"/>
      <c r="S6" s="344"/>
      <c r="T6" s="344"/>
      <c r="V6" s="435"/>
      <c r="W6" s="444"/>
      <c r="X6" s="436"/>
      <c r="Y6" s="433"/>
      <c r="Z6" s="437"/>
      <c r="AA6" s="436"/>
      <c r="AB6" s="435"/>
      <c r="AC6" s="434"/>
      <c r="AD6" s="434"/>
      <c r="AE6" s="436"/>
      <c r="AF6" s="739"/>
      <c r="AG6" s="435"/>
      <c r="AH6" s="434"/>
    </row>
    <row r="7" spans="1:53" s="2" customFormat="1" ht="24.4" customHeight="1">
      <c r="A7" s="625"/>
      <c r="B7" s="625" t="s">
        <v>545</v>
      </c>
      <c r="C7" s="626" t="s">
        <v>224</v>
      </c>
      <c r="D7" s="626" t="s">
        <v>225</v>
      </c>
      <c r="E7" s="626" t="s">
        <v>226</v>
      </c>
      <c r="F7" s="626" t="s">
        <v>227</v>
      </c>
      <c r="G7" s="642">
        <v>2016</v>
      </c>
      <c r="H7" s="626" t="s">
        <v>228</v>
      </c>
      <c r="I7" s="626" t="s">
        <v>229</v>
      </c>
      <c r="J7" s="626" t="s">
        <v>230</v>
      </c>
      <c r="K7" s="626" t="s">
        <v>231</v>
      </c>
      <c r="L7" s="642">
        <v>2017</v>
      </c>
      <c r="M7" s="626" t="s">
        <v>232</v>
      </c>
      <c r="N7" s="626" t="s">
        <v>233</v>
      </c>
      <c r="O7" s="626" t="s">
        <v>234</v>
      </c>
      <c r="P7" s="626" t="s">
        <v>235</v>
      </c>
      <c r="Q7" s="642">
        <v>2018</v>
      </c>
      <c r="R7" s="626" t="s">
        <v>236</v>
      </c>
      <c r="S7" s="626" t="s">
        <v>237</v>
      </c>
      <c r="T7" s="626" t="s">
        <v>238</v>
      </c>
      <c r="U7" s="626" t="s">
        <v>239</v>
      </c>
      <c r="V7" s="642">
        <v>2019</v>
      </c>
      <c r="W7" s="626" t="s">
        <v>240</v>
      </c>
      <c r="X7" s="626" t="s">
        <v>241</v>
      </c>
      <c r="Y7" s="626" t="s">
        <v>242</v>
      </c>
      <c r="Z7" s="626" t="s">
        <v>243</v>
      </c>
      <c r="AA7" s="642">
        <v>2020</v>
      </c>
      <c r="AB7" s="626" t="s">
        <v>244</v>
      </c>
      <c r="AC7" s="626" t="s">
        <v>245</v>
      </c>
      <c r="AD7" s="626" t="s">
        <v>246</v>
      </c>
      <c r="AE7" s="626" t="s">
        <v>247</v>
      </c>
      <c r="AF7" s="642">
        <v>2021</v>
      </c>
      <c r="AG7" s="626" t="s">
        <v>248</v>
      </c>
      <c r="AH7" s="626" t="s">
        <v>249</v>
      </c>
      <c r="AI7" s="626" t="s">
        <v>250</v>
      </c>
      <c r="AJ7" s="626" t="s">
        <v>215</v>
      </c>
      <c r="AK7" s="642">
        <v>2022</v>
      </c>
      <c r="AL7" s="626" t="s">
        <v>252</v>
      </c>
      <c r="AM7" s="626" t="s">
        <v>253</v>
      </c>
      <c r="AN7" s="626" t="s">
        <v>254</v>
      </c>
      <c r="AO7" s="626" t="s">
        <v>219</v>
      </c>
      <c r="AP7" s="642">
        <v>2023</v>
      </c>
      <c r="AQ7" s="642" t="s">
        <v>223</v>
      </c>
      <c r="AR7" s="642" t="s">
        <v>256</v>
      </c>
      <c r="AS7" s="642" t="s">
        <v>357</v>
      </c>
      <c r="AT7" s="642" t="s">
        <v>358</v>
      </c>
      <c r="AU7" s="642">
        <v>2024</v>
      </c>
      <c r="AV7" s="642" t="s">
        <v>359</v>
      </c>
      <c r="AW7" s="642" t="s">
        <v>1115</v>
      </c>
      <c r="AX7" s="642" t="s">
        <v>1116</v>
      </c>
      <c r="AY7" s="642" t="s">
        <v>1117</v>
      </c>
      <c r="AZ7" s="796">
        <v>2025</v>
      </c>
      <c r="BA7" s="797" t="s">
        <v>1124</v>
      </c>
    </row>
    <row r="8" spans="1:53" ht="15" customHeight="1">
      <c r="A8" s="9"/>
      <c r="B8" s="9" t="s">
        <v>547</v>
      </c>
      <c r="C8" s="309">
        <v>7.676739078917609E-2</v>
      </c>
      <c r="D8" s="309">
        <v>8.013851598731371E-2</v>
      </c>
      <c r="E8" s="309">
        <v>8.2048137377421046E-2</v>
      </c>
      <c r="F8" s="309">
        <v>0.10136449955484823</v>
      </c>
      <c r="G8" s="309">
        <v>8.5339148534447962E-2</v>
      </c>
      <c r="H8" s="309">
        <v>7.5798349391162229E-2</v>
      </c>
      <c r="I8" s="309">
        <v>8.2567746091148378E-2</v>
      </c>
      <c r="J8" s="309">
        <v>8.6281008029819611E-2</v>
      </c>
      <c r="K8" s="309">
        <v>0.11695737283045358</v>
      </c>
      <c r="L8" s="309">
        <v>9.0146127263812964E-2</v>
      </c>
      <c r="M8" s="309">
        <v>7.6176303154469105E-2</v>
      </c>
      <c r="N8" s="309">
        <v>9.0879677287176538E-2</v>
      </c>
      <c r="O8" s="309">
        <v>8.2310811513365265E-2</v>
      </c>
      <c r="P8" s="309">
        <v>0.12763193143816617</v>
      </c>
      <c r="Q8" s="309">
        <v>9.2379529931183868E-2</v>
      </c>
      <c r="R8" s="309">
        <f>IFERROR(-'FONTE INDICADORES (4)'!R111/('FONTE INDICADORES (4)'!R35+'FONTE INDICADORES (4)'!R50+'FONTE INDICADORES (4)'!R62),"")</f>
        <v>8.5326705743935444E-2</v>
      </c>
      <c r="S8" s="309">
        <f>IFERROR(-'FONTE INDICADORES (4)'!S111/('FONTE INDICADORES (4)'!S35+'FONTE INDICADORES (4)'!S50+'FONTE INDICADORES (4)'!S62),"")</f>
        <v>9.706526081077424E-2</v>
      </c>
      <c r="T8" s="309">
        <f>IFERROR(-'FONTE INDICADORES (4)'!T111/('FONTE INDICADORES (4)'!T35+'FONTE INDICADORES (4)'!T50+'FONTE INDICADORES (4)'!T62),"")</f>
        <v>9.3487301967737177E-2</v>
      </c>
      <c r="U8" s="309">
        <f>IFERROR(-'FONTE INDICADORES (4)'!U111/('FONTE INDICADORES (4)'!U35+'FONTE INDICADORES (4)'!U50+'FONTE INDICADORES (4)'!U62),"")</f>
        <v>0.12078389658883631</v>
      </c>
      <c r="V8" s="309">
        <f>IFERROR(-'FONTE INDICADORES (4)'!V111/('FONTE INDICADORES (4)'!V35+'FONTE INDICADORES (4)'!V50+'FONTE INDICADORES (4)'!V62),"")</f>
        <v>9.9231202017824358E-2</v>
      </c>
      <c r="W8" s="309">
        <f>IFERROR(-'FONTE INDICADORES (4)'!W111/('FONTE INDICADORES (4)'!W35+'FONTE INDICADORES (4)'!W50+'FONTE INDICADORES (4)'!W62),"")</f>
        <v>8.6930275244807759E-2</v>
      </c>
      <c r="X8" s="309">
        <f>IFERROR(-'FONTE INDICADORES (4)'!X111/('FONTE INDICADORES (4)'!X35+'FONTE INDICADORES (4)'!X50+'FONTE INDICADORES (4)'!X62),"")</f>
        <v>9.5655729159984909E-2</v>
      </c>
      <c r="Y8" s="309">
        <f>IFERROR(-'FONTE INDICADORES (4)'!Y111/('FONTE INDICADORES (4)'!Y35+'FONTE INDICADORES (4)'!Y50+'FONTE INDICADORES (4)'!Y62),"")</f>
        <v>8.6143110437299872E-2</v>
      </c>
      <c r="Z8" s="309">
        <f>IFERROR(-'FONTE INDICADORES (4)'!Z111/('FONTE INDICADORES (4)'!Z35+'FONTE INDICADORES (4)'!Z50+'FONTE INDICADORES (4)'!Z62),"")</f>
        <v>9.6761611778615822E-2</v>
      </c>
      <c r="AA8" s="309">
        <f>IFERROR(-'FONTE INDICADORES (4)'!AA111/('FONTE INDICADORES (4)'!AA35+'FONTE INDICADORES (4)'!AA50+'FONTE INDICADORES (4)'!AA62),"")</f>
        <v>9.132182256004015E-2</v>
      </c>
      <c r="AB8" s="309">
        <f>IFERROR(-'FONTE INDICADORES (4)'!AB111/('FONTE INDICADORES (4)'!AB35+'FONTE INDICADORES (4)'!AB50+'FONTE INDICADORES (4)'!AB62),"")</f>
        <v>0.11546976938646944</v>
      </c>
      <c r="AC8" s="309">
        <f>IFERROR(-'FONTE INDICADORES (4)'!AC111/('FONTE INDICADORES (4)'!AC35+'FONTE INDICADORES (4)'!AC50+'FONTE INDICADORES (4)'!AC62),"")</f>
        <v>0.13124277279593485</v>
      </c>
      <c r="AD8" s="309">
        <f>IFERROR(-'FONTE INDICADORES (4)'!AD111/('FONTE INDICADORES (4)'!AD35+'FONTE INDICADORES (4)'!AD50+'FONTE INDICADORES (4)'!AD62),"")</f>
        <v>0.11833117057206635</v>
      </c>
      <c r="AE8" s="309">
        <f>IFERROR(-'FONTE INDICADORES (4)'!AE111/('FONTE INDICADORES (4)'!AE35+'FONTE INDICADORES (4)'!AE50+'FONTE INDICADORES (4)'!AE62),"")</f>
        <v>0.12184104119836615</v>
      </c>
      <c r="AF8" s="309">
        <f>IFERROR(-'FONTE INDICADORES (4)'!AF111/('FONTE INDICADORES (4)'!AF35+'FONTE INDICADORES (4)'!AF50+'FONTE INDICADORES (4)'!AF62),"")</f>
        <v>0.12164117423655234</v>
      </c>
      <c r="AG8" s="309">
        <f>IFERROR(-'FONTE INDICADORES (4)'!AG111/('FONTE INDICADORES (4)'!AG35+'FONTE INDICADORES (4)'!AG50+'FONTE INDICADORES (4)'!AG62),"")</f>
        <v>0.11781290491371861</v>
      </c>
      <c r="AH8" s="309">
        <f>IFERROR(-'FONTE INDICADORES (4)'!AH111/('FONTE INDICADORES (4)'!AH35+'FONTE INDICADORES (4)'!AH50+'FONTE INDICADORES (4)'!AH62),"")</f>
        <v>0.12185149984477989</v>
      </c>
      <c r="AI8" s="309">
        <f>IFERROR(-'FONTE INDICADORES (4)'!AI111/('FONTE INDICADORES (4)'!AI35+'FONTE INDICADORES (4)'!AI50+'FONTE INDICADORES (4)'!AI62),"")</f>
        <v>0.10145596000504208</v>
      </c>
      <c r="AJ8" s="309">
        <f>IFERROR(-'FONTE INDICADORES (4)'!AJ111/('FONTE INDICADORES (4)'!AJ35+'FONTE INDICADORES (4)'!AJ50+'FONTE INDICADORES (4)'!AJ62),"")</f>
        <v>0.12133505490196293</v>
      </c>
      <c r="AK8" s="309">
        <f>IFERROR(-'FONTE INDICADORES (4)'!AK111/('FONTE INDICADORES (4)'!AK35+'FONTE INDICADORES (4)'!AK50+'FONTE INDICADORES (4)'!AK62),"")</f>
        <v>0.11537503586157487</v>
      </c>
      <c r="AL8" s="309">
        <f>IFERROR(-'FONTE INDICADORES (4)'!AL111/('FONTE INDICADORES (4)'!AL35+'FONTE INDICADORES (4)'!AL50+'FONTE INDICADORES (4)'!AL62),"")</f>
        <v>0.10796983003109371</v>
      </c>
      <c r="AM8" s="309">
        <f>IFERROR(-'FONTE INDICADORES (4)'!AM111/('FONTE INDICADORES (4)'!AM35+'FONTE INDICADORES (4)'!AM50+'FONTE INDICADORES (4)'!AM62),"")</f>
        <v>0.10727878355333695</v>
      </c>
      <c r="AN8" s="309">
        <f>IFERROR(-'FONTE INDICADORES (4)'!AN111/('FONTE INDICADORES (4)'!AN35+'FONTE INDICADORES (4)'!AN50+'FONTE INDICADORES (4)'!AN62),"")</f>
        <v>0.10153974926954561</v>
      </c>
      <c r="AO8" s="309">
        <f>IFERROR(-'FONTE INDICADORES (4)'!AO111/('FONTE INDICADORES (4)'!AO35+'FONTE INDICADORES (4)'!AO50+'FONTE INDICADORES (4)'!AO62),"")</f>
        <v>0.12292272795111932</v>
      </c>
      <c r="AP8" s="309">
        <f>IFERROR(-'FONTE INDICADORES (4)'!AP111/('FONTE INDICADORES (4)'!AP35+'FONTE INDICADORES (4)'!AP50+'FONTE INDICADORES (4)'!AP62),"")</f>
        <v>0.11002632403216552</v>
      </c>
      <c r="AQ8" s="309">
        <f>IFERROR(-'FONTE INDICADORES (4)'!AQ111/('FONTE INDICADORES (4)'!AQ35+'FONTE INDICADORES (4)'!AQ50+'FONTE INDICADORES (4)'!AQ62),"")</f>
        <v>0.10439753250766634</v>
      </c>
      <c r="AR8" s="309">
        <f>IFERROR(-'FONTE INDICADORES (4)'!AR111/('FONTE INDICADORES (4)'!AR35+'FONTE INDICADORES (4)'!AR50+'FONTE INDICADORES (4)'!AR62),"")</f>
        <v>0.10512166850036894</v>
      </c>
      <c r="AS8" s="309">
        <f>IFERROR(-'FONTE INDICADORES (4)'!AS111/('FONTE INDICADORES (4)'!AS35+'FONTE INDICADORES (4)'!AS50+'FONTE INDICADORES (4)'!AS62),"")</f>
        <v>0.10656856893329182</v>
      </c>
      <c r="AT8" s="309">
        <f>IFERROR(-'FONTE INDICADORES (4)'!AT111/('FONTE INDICADORES (4)'!AT35+'FONTE INDICADORES (4)'!AT50+'FONTE INDICADORES (4)'!AT62),"")</f>
        <v>0.12166498558429031</v>
      </c>
      <c r="AU8" s="309">
        <f>IFERROR(-'FONTE INDICADORES (4)'!AU111/('FONTE INDICADORES (4)'!AU35+'FONTE INDICADORES (4)'!AU50+'FONTE INDICADORES (4)'!AU62),"")</f>
        <v>0.10965174680161674</v>
      </c>
      <c r="AV8" s="309">
        <f>IFERROR(-'FONTE INDICADORES (4)'!AV111/('FONTE INDICADORES (4)'!AV35+'FONTE INDICADORES (4)'!AV50+'FONTE INDICADORES (4)'!AV62),"")</f>
        <v>0.10461346433202706</v>
      </c>
      <c r="AW8" s="309">
        <f>IFERROR(-'FONTE INDICADORES (4)'!AW111/('FONTE INDICADORES (4)'!AW35+'FONTE INDICADORES (4)'!AW50+'FONTE INDICADORES (4)'!AW62),"")</f>
        <v>0.1013947598777032</v>
      </c>
      <c r="AX8" s="309">
        <f>IFERROR(-'FONTE INDICADORES (4)'!AX111/('FONTE INDICADORES (4)'!AX35+'FONTE INDICADORES (4)'!AX50+'FONTE INDICADORES (4)'!AX62),"")</f>
        <v>0.10637879012455777</v>
      </c>
      <c r="AY8" s="309">
        <f>IFERROR(-'FONTE INDICADORES (4)'!AY111/('FONTE INDICADORES (4)'!AY35+'FONTE INDICADORES (4)'!AY50+'FONTE INDICADORES (4)'!AY62),"")</f>
        <v>0.12941761705715082</v>
      </c>
      <c r="AZ8" s="309">
        <f>IFERROR(-'FONTE INDICADORES (4)'!AZ111/('FONTE INDICADORES (4)'!AZ35+'FONTE INDICADORES (4)'!AZ50+'FONTE INDICADORES (4)'!AZ62),"")</f>
        <v>0.11069988616936366</v>
      </c>
      <c r="BA8" s="309">
        <f>IFERROR(-'FONTE INDICADORES (4)'!BA111/('FONTE INDICADORES (4)'!BA35+'FONTE INDICADORES (4)'!BA50+'FONTE INDICADORES (4)'!BA62),"")</f>
        <v>0.10628659758890067</v>
      </c>
    </row>
    <row r="9" spans="1:53" s="2" customFormat="1" ht="15" customHeight="1">
      <c r="B9" s="2" t="s">
        <v>549</v>
      </c>
      <c r="C9" s="310">
        <v>6.9960299377324925E-2</v>
      </c>
      <c r="D9" s="310">
        <v>7.6282611635643024E-2</v>
      </c>
      <c r="E9" s="310">
        <v>8.1093804986482845E-2</v>
      </c>
      <c r="F9" s="310">
        <v>8.908616163114752E-2</v>
      </c>
      <c r="G9" s="310">
        <v>7.9284919355571429E-2</v>
      </c>
      <c r="H9" s="310">
        <v>7.3461355167998801E-2</v>
      </c>
      <c r="I9" s="310">
        <v>8.104775533784038E-2</v>
      </c>
      <c r="J9" s="310">
        <v>8.2174986037005654E-2</v>
      </c>
      <c r="K9" s="310">
        <v>0.11455770925108627</v>
      </c>
      <c r="L9" s="310">
        <v>8.7746942526790439E-2</v>
      </c>
      <c r="M9" s="310">
        <v>6.9671181045449879E-2</v>
      </c>
      <c r="N9" s="310">
        <v>8.5851914184689224E-2</v>
      </c>
      <c r="O9" s="310">
        <v>7.6486293261475269E-2</v>
      </c>
      <c r="P9" s="310">
        <v>0.12508941484731087</v>
      </c>
      <c r="Q9" s="310">
        <v>8.7048260382911982E-2</v>
      </c>
      <c r="R9" s="310">
        <f>IFERROR(-'FONTE INDICADORES (4)'!R112/('FONTE INDICADORES (4)'!R36+'FONTE INDICADORES (4)'!R50+'FONTE INDICADORES (4)'!R62),"")</f>
        <v>8.3610929752123628E-2</v>
      </c>
      <c r="S9" s="310">
        <f>IFERROR(-'FONTE INDICADORES (4)'!S112/('FONTE INDICADORES (4)'!S36+'FONTE INDICADORES (4)'!S50+'FONTE INDICADORES (4)'!S62),"")</f>
        <v>9.5406365768495538E-2</v>
      </c>
      <c r="T9" s="310">
        <f>IFERROR(-'FONTE INDICADORES (4)'!T112/('FONTE INDICADORES (4)'!T36+'FONTE INDICADORES (4)'!T50+'FONTE INDICADORES (4)'!T62),"")</f>
        <v>8.9636593389421509E-2</v>
      </c>
      <c r="U9" s="310">
        <f>IFERROR(-'FONTE INDICADORES (4)'!U112/('FONTE INDICADORES (4)'!U36+'FONTE INDICADORES (4)'!U50+'FONTE INDICADORES (4)'!U62),"")</f>
        <v>0.12364844808880625</v>
      </c>
      <c r="V9" s="310">
        <f>IFERROR(-'FONTE INDICADORES (4)'!V112/('FONTE INDICADORES (4)'!V36+'FONTE INDICADORES (4)'!V50+'FONTE INDICADORES (4)'!V62),"")</f>
        <v>9.8008449942233358E-2</v>
      </c>
      <c r="W9" s="310">
        <f>IFERROR(-'FONTE INDICADORES (4)'!W112/('FONTE INDICADORES (4)'!W36+'FONTE INDICADORES (4)'!W50+'FONTE INDICADORES (4)'!W62),"")</f>
        <v>8.4712315489276227E-2</v>
      </c>
      <c r="X9" s="310">
        <f>IFERROR(-'FONTE INDICADORES (4)'!X112/('FONTE INDICADORES (4)'!X36+'FONTE INDICADORES (4)'!X50+'FONTE INDICADORES (4)'!X62),"")</f>
        <v>9.4316824772946173E-2</v>
      </c>
      <c r="Y9" s="310">
        <f>IFERROR(-'FONTE INDICADORES (4)'!Y112/('FONTE INDICADORES (4)'!Y36+'FONTE INDICADORES (4)'!Y50+'FONTE INDICADORES (4)'!Y62),"")</f>
        <v>8.4308795004144121E-2</v>
      </c>
      <c r="Z9" s="310">
        <f>IFERROR(-'FONTE INDICADORES (4)'!Z112/('FONTE INDICADORES (4)'!Z36+'FONTE INDICADORES (4)'!Z50+'FONTE INDICADORES (4)'!Z62),"")</f>
        <v>9.4436971963426139E-2</v>
      </c>
      <c r="AA9" s="310">
        <f>IFERROR(-'FONTE INDICADORES (4)'!AA112/('FONTE INDICADORES (4)'!AA36+'FONTE INDICADORES (4)'!AA50+'FONTE INDICADORES (4)'!AA62),"")</f>
        <v>8.936796777033959E-2</v>
      </c>
      <c r="AB9" s="310">
        <f>IFERROR(-'FONTE INDICADORES (4)'!AB112/('FONTE INDICADORES (4)'!AB36+'FONTE INDICADORES (4)'!AB50+'FONTE INDICADORES (4)'!AB62),"")</f>
        <v>0.11835140103510007</v>
      </c>
      <c r="AC9" s="310">
        <f>IFERROR(-'FONTE INDICADORES (4)'!AC112/('FONTE INDICADORES (4)'!AC36+'FONTE INDICADORES (4)'!AC50+'FONTE INDICADORES (4)'!AC62),"")</f>
        <v>0.13638625473387639</v>
      </c>
      <c r="AD9" s="310">
        <f>IFERROR(-'FONTE INDICADORES (4)'!AD112/('FONTE INDICADORES (4)'!AD36+'FONTE INDICADORES (4)'!AD50+'FONTE INDICADORES (4)'!AD62),"")</f>
        <v>0.11767343768399662</v>
      </c>
      <c r="AE9" s="310">
        <f>IFERROR(-'FONTE INDICADORES (4)'!AE112/('FONTE INDICADORES (4)'!AE36+'FONTE INDICADORES (4)'!AE50+'FONTE INDICADORES (4)'!AE62),"")</f>
        <v>0.12055406090219255</v>
      </c>
      <c r="AF9" s="310">
        <f>IFERROR(-'FONTE INDICADORES (4)'!AF112/('FONTE INDICADORES (4)'!AF36+'FONTE INDICADORES (4)'!AF50+'FONTE INDICADORES (4)'!AF62),"")</f>
        <v>0.1230488811436723</v>
      </c>
      <c r="AG9" s="310">
        <f>IFERROR(-'FONTE INDICADORES (4)'!AG112/('FONTE INDICADORES (4)'!AG36+'FONTE INDICADORES (4)'!AG50+'FONTE INDICADORES (4)'!AG62),"")</f>
        <v>0.11820840613083408</v>
      </c>
      <c r="AH9" s="310">
        <f>IFERROR(-'FONTE INDICADORES (4)'!AH112/('FONTE INDICADORES (4)'!AH36+'FONTE INDICADORES (4)'!AH50+'FONTE INDICADORES (4)'!AH62),"")</f>
        <v>0.12275887135645028</v>
      </c>
      <c r="AI9" s="310">
        <f>IFERROR(-'FONTE INDICADORES (4)'!AI112/('FONTE INDICADORES (4)'!AI36+'FONTE INDICADORES (4)'!AI50+'FONTE INDICADORES (4)'!AI62),"")</f>
        <v>0.10025540462525669</v>
      </c>
      <c r="AJ9" s="310">
        <f>IFERROR(-'FONTE INDICADORES (4)'!AJ112/('FONTE INDICADORES (4)'!AJ36+'FONTE INDICADORES (4)'!AJ50+'FONTE INDICADORES (4)'!AJ62),"")</f>
        <v>0.12195569912711665</v>
      </c>
      <c r="AK9" s="310">
        <f>IFERROR(-'FONTE INDICADORES (4)'!AK112/('FONTE INDICADORES (4)'!AK36+'FONTE INDICADORES (4)'!AK50+'FONTE INDICADORES (4)'!AK62),"")</f>
        <v>0.1154980946185397</v>
      </c>
      <c r="AL9" s="310">
        <f>IFERROR(-'FONTE INDICADORES (4)'!AL112/('FONTE INDICADORES (4)'!AL36+'FONTE INDICADORES (4)'!AL50+'FONTE INDICADORES (4)'!AL62),"")</f>
        <v>0.10829742994891293</v>
      </c>
      <c r="AM9" s="310">
        <f>IFERROR(-'FONTE INDICADORES (4)'!AM112/('FONTE INDICADORES (4)'!AM36+'FONTE INDICADORES (4)'!AM50+'FONTE INDICADORES (4)'!AM62),"")</f>
        <v>0.10745920281585437</v>
      </c>
      <c r="AN9" s="310">
        <f>IFERROR(-'FONTE INDICADORES (4)'!AN112/('FONTE INDICADORES (4)'!AN36+'FONTE INDICADORES (4)'!AN50+'FONTE INDICADORES (4)'!AN62),"")</f>
        <v>0.10165800442747473</v>
      </c>
      <c r="AO9" s="310">
        <f>IFERROR(-'FONTE INDICADORES (4)'!AO112/('FONTE INDICADORES (4)'!AO36+'FONTE INDICADORES (4)'!AO50+'FONTE INDICADORES (4)'!AO62),"")</f>
        <v>0.12405472941537996</v>
      </c>
      <c r="AP9" s="310">
        <f>IFERROR(-'FONTE INDICADORES (4)'!AP112/('FONTE INDICADORES (4)'!AP36+'FONTE INDICADORES (4)'!AP50+'FONTE INDICADORES (4)'!AP62),"")</f>
        <v>0.11045622947476096</v>
      </c>
      <c r="AQ9" s="310">
        <f>IFERROR(-'FONTE INDICADORES (4)'!AQ112/('FONTE INDICADORES (4)'!AQ36+'FONTE INDICADORES (4)'!AQ50+'FONTE INDICADORES (4)'!AQ62),"")</f>
        <v>0.10548153206543968</v>
      </c>
      <c r="AR9" s="310">
        <f>IFERROR(-'FONTE INDICADORES (4)'!AR112/('FONTE INDICADORES (4)'!AR36+'FONTE INDICADORES (4)'!AR50+'FONTE INDICADORES (4)'!AR62),"")</f>
        <v>0.10677154045611278</v>
      </c>
      <c r="AS9" s="310">
        <f>IFERROR(-'FONTE INDICADORES (4)'!AS112/('FONTE INDICADORES (4)'!AS36+'FONTE INDICADORES (4)'!AS50+'FONTE INDICADORES (4)'!AS62),"")</f>
        <v>0.10796373572514394</v>
      </c>
      <c r="AT9" s="310">
        <f>IFERROR(-'FONTE INDICADORES (4)'!AT112/('FONTE INDICADORES (4)'!AT36+'FONTE INDICADORES (4)'!AT50+'FONTE INDICADORES (4)'!AT62),"")</f>
        <v>0.12243569201434484</v>
      </c>
      <c r="AU9" s="310">
        <f>IFERROR(-'FONTE INDICADORES (4)'!AU112/('FONTE INDICADORES (4)'!AU36+'FONTE INDICADORES (4)'!AU50+'FONTE INDICADORES (4)'!AU62),"")</f>
        <v>0.11086145538921156</v>
      </c>
      <c r="AV9" s="310">
        <f>IFERROR(-'FONTE INDICADORES (4)'!AV112/('FONTE INDICADORES (4)'!AV36+'FONTE INDICADORES (4)'!AV50+'FONTE INDICADORES (4)'!AV62),"")</f>
        <v>0.10750174257339286</v>
      </c>
      <c r="AW9" s="310">
        <f>IFERROR(-'FONTE INDICADORES (4)'!AW112/('FONTE INDICADORES (4)'!AW36+'FONTE INDICADORES (4)'!AW50+'FONTE INDICADORES (4)'!AW62),"")</f>
        <v>0.10451376464144188</v>
      </c>
      <c r="AX9" s="310">
        <f>IFERROR(-'FONTE INDICADORES (4)'!AX112/('FONTE INDICADORES (4)'!AX36+'FONTE INDICADORES (4)'!AX50+'FONTE INDICADORES (4)'!AX62),"")</f>
        <v>0.1098451723087415</v>
      </c>
      <c r="AY9" s="310">
        <f>IFERROR(-'FONTE INDICADORES (4)'!AY112/('FONTE INDICADORES (4)'!AY36+'FONTE INDICADORES (4)'!AY50+'FONTE INDICADORES (4)'!AY62),"")</f>
        <v>0.13294809710778746</v>
      </c>
      <c r="AZ9" s="310">
        <f>IFERROR(-'FONTE INDICADORES (4)'!AZ112/('FONTE INDICADORES (4)'!AZ36+'FONTE INDICADORES (4)'!AZ50+'FONTE INDICADORES (4)'!AZ62),"")</f>
        <v>0.11392789458029019</v>
      </c>
      <c r="BA9" s="310">
        <f>IFERROR(-'FONTE INDICADORES (4)'!BA112/('FONTE INDICADORES (4)'!BA36+'FONTE INDICADORES (4)'!BA50+'FONTE INDICADORES (4)'!BA62),"")</f>
        <v>0.11133960327820427</v>
      </c>
    </row>
    <row r="10" spans="1:53" ht="15" customHeight="1">
      <c r="B10" s="11" t="s">
        <v>462</v>
      </c>
      <c r="C10" s="311">
        <v>7.26796380084445E-2</v>
      </c>
      <c r="D10" s="311">
        <v>7.7065876942587208E-2</v>
      </c>
      <c r="E10" s="311">
        <v>8.1238167861894126E-2</v>
      </c>
      <c r="F10" s="311">
        <v>8.8208313408723218E-2</v>
      </c>
      <c r="G10" s="311">
        <v>7.9948514679082719E-2</v>
      </c>
      <c r="H10" s="311">
        <v>7.5561375246236143E-2</v>
      </c>
      <c r="I10" s="311">
        <v>8.2720050184810837E-2</v>
      </c>
      <c r="J10" s="311">
        <v>8.3349391941017772E-2</v>
      </c>
      <c r="K10" s="311">
        <v>0.11267592253310701</v>
      </c>
      <c r="L10" s="311">
        <v>8.8604412095543497E-2</v>
      </c>
      <c r="M10" s="311">
        <v>7.2921536759397734E-2</v>
      </c>
      <c r="N10" s="311">
        <v>8.7202541815118148E-2</v>
      </c>
      <c r="O10" s="311">
        <v>7.5455901293999705E-2</v>
      </c>
      <c r="P10" s="311">
        <v>0.12889068863042527</v>
      </c>
      <c r="Q10" s="311">
        <v>8.8463213812681768E-2</v>
      </c>
      <c r="R10" s="311">
        <f>IFERROR(-'FONTE INDICADORES (4)'!R113/('FONTE INDICADORES (4)'!R37+'FONTE INDICADORES (4)'!R50),"")</f>
        <v>8.5887687177381419E-2</v>
      </c>
      <c r="S10" s="311">
        <f>IFERROR(-'FONTE INDICADORES (4)'!S113/('FONTE INDICADORES (4)'!S37+'FONTE INDICADORES (4)'!S50),"")</f>
        <v>9.8833490302612959E-2</v>
      </c>
      <c r="T10" s="311">
        <f>IFERROR(-'FONTE INDICADORES (4)'!T113/('FONTE INDICADORES (4)'!T37+'FONTE INDICADORES (4)'!T50),"")</f>
        <v>9.2027851659793797E-2</v>
      </c>
      <c r="U10" s="311">
        <f>IFERROR(-'FONTE INDICADORES (4)'!U113/('FONTE INDICADORES (4)'!U37+'FONTE INDICADORES (4)'!U50),"")</f>
        <v>0.12315880132726624</v>
      </c>
      <c r="V10" s="311">
        <f>IFERROR(-'FONTE INDICADORES (4)'!V113/('FONTE INDICADORES (4)'!V37+'FONTE INDICADORES (4)'!V50),"")</f>
        <v>0.10015082027405255</v>
      </c>
      <c r="W10" s="311">
        <f>IFERROR(-'FONTE INDICADORES (4)'!W113/('FONTE INDICADORES (4)'!W37+'FONTE INDICADORES (4)'!W50),"")</f>
        <v>8.3738481871357268E-2</v>
      </c>
      <c r="X10" s="311">
        <f>IFERROR(-'FONTE INDICADORES (4)'!X113/('FONTE INDICADORES (4)'!X37+'FONTE INDICADORES (4)'!X50),"")</f>
        <v>9.5698385822235069E-2</v>
      </c>
      <c r="Y10" s="311">
        <f>IFERROR(-'FONTE INDICADORES (4)'!Y113/('FONTE INDICADORES (4)'!Y37+'FONTE INDICADORES (4)'!Y50),"")</f>
        <v>9.0977291675610777E-2</v>
      </c>
      <c r="Z10" s="311">
        <f>IFERROR(-'FONTE INDICADORES (4)'!Z113/('FONTE INDICADORES (4)'!Z37+'FONTE INDICADORES (4)'!Z50),"")</f>
        <v>9.8023625719581842E-2</v>
      </c>
      <c r="AA10" s="311">
        <f>IFERROR(-'FONTE INDICADORES (4)'!AA113/('FONTE INDICADORES (4)'!AA37+'FONTE INDICADORES (4)'!AA50),"")</f>
        <v>9.2131841529810479E-2</v>
      </c>
      <c r="AB10" s="311">
        <f>IFERROR(-'FONTE INDICADORES (4)'!AB113/('FONTE INDICADORES (4)'!AB37+'FONTE INDICADORES (4)'!AB50),"")</f>
        <v>0.10799214864816162</v>
      </c>
      <c r="AC10" s="311">
        <f>IFERROR(-'FONTE INDICADORES (4)'!AC113/('FONTE INDICADORES (4)'!AC37+'FONTE INDICADORES (4)'!AC50),"")</f>
        <v>0.12981281673948225</v>
      </c>
      <c r="AD10" s="311">
        <f>IFERROR(-'FONTE INDICADORES (4)'!AD113/('FONTE INDICADORES (4)'!AD37+'FONTE INDICADORES (4)'!AD50),"")</f>
        <v>0.11717644426658076</v>
      </c>
      <c r="AE10" s="311">
        <f>IFERROR(-'FONTE INDICADORES (4)'!AE113/('FONTE INDICADORES (4)'!AE37+'FONTE INDICADORES (4)'!AE50),"")</f>
        <v>9.7504554493692497E-2</v>
      </c>
      <c r="AF10" s="311">
        <f>IFERROR(-'FONTE INDICADORES (4)'!AF113/('FONTE INDICADORES (4)'!AF37+'FONTE INDICADORES (4)'!AF50),"")</f>
        <v>0.11352140513109378</v>
      </c>
      <c r="AG10" s="311">
        <f>IFERROR(-'FONTE INDICADORES (4)'!AG113/('FONTE INDICADORES (4)'!AG37+'FONTE INDICADORES (4)'!AG50),"")</f>
        <v>0.11487629795939563</v>
      </c>
      <c r="AH10" s="311">
        <f>IFERROR(-'FONTE INDICADORES (4)'!AH113/('FONTE INDICADORES (4)'!AH37+'FONTE INDICADORES (4)'!AH50),"")</f>
        <v>0.1374282965107109</v>
      </c>
      <c r="AI10" s="311">
        <f>IFERROR(-'FONTE INDICADORES (4)'!AI113/('FONTE INDICADORES (4)'!AI37+'FONTE INDICADORES (4)'!AI50),"")</f>
        <v>0.13864502781695051</v>
      </c>
      <c r="AJ10" s="311">
        <f>IFERROR(-'FONTE INDICADORES (4)'!AJ113/('FONTE INDICADORES (4)'!AJ37+'FONTE INDICADORES (4)'!AJ50),"")</f>
        <v>0.12964331695030881</v>
      </c>
      <c r="AK10" s="311">
        <f>IFERROR(-'FONTE INDICADORES (4)'!AK113/('FONTE INDICADORES (4)'!AK37+'FONTE INDICADORES (4)'!AK50),"")</f>
        <v>0.12990206218351155</v>
      </c>
      <c r="AL10" s="311">
        <f>IFERROR(-'FONTE INDICADORES (4)'!AL113/('FONTE INDICADORES (4)'!AL37+'FONTE INDICADORES (4)'!AL50),"")</f>
        <v>0.11056182122503674</v>
      </c>
      <c r="AM10" s="311">
        <f>IFERROR(-'FONTE INDICADORES (4)'!AM113/('FONTE INDICADORES (4)'!AM37+'FONTE INDICADORES (4)'!AM50),"")</f>
        <v>0.12520687174563716</v>
      </c>
      <c r="AN10" s="311">
        <f>IFERROR(-'FONTE INDICADORES (4)'!AN113/('FONTE INDICADORES (4)'!AN37+'FONTE INDICADORES (4)'!AN50),"")</f>
        <v>0.11808586463855968</v>
      </c>
      <c r="AO10" s="311">
        <f>IFERROR(-'FONTE INDICADORES (4)'!AO113/('FONTE INDICADORES (4)'!AO37+'FONTE INDICADORES (4)'!AO50),"")</f>
        <v>0.15748724634157588</v>
      </c>
      <c r="AP10" s="311">
        <f>IFERROR(-'FONTE INDICADORES (4)'!AP113/('FONTE INDICADORES (4)'!AP37+'FONTE INDICADORES (4)'!AP50),"")</f>
        <v>0.12726836666925737</v>
      </c>
      <c r="AQ10" s="311">
        <f>IFERROR(-'FONTE INDICADORES (4)'!AQ113/('FONTE INDICADORES (4)'!AQ37+'FONTE INDICADORES (4)'!AQ50),"")</f>
        <v>0.12085308056872038</v>
      </c>
      <c r="AR10" s="311">
        <f>IFERROR(-'FONTE INDICADORES (4)'!AR113/('FONTE INDICADORES (4)'!AR37+'FONTE INDICADORES (4)'!AR50),"")</f>
        <v>0.11855320509816139</v>
      </c>
      <c r="AS10" s="311">
        <f>IFERROR(-'FONTE INDICADORES (4)'!AS113/('FONTE INDICADORES (4)'!AS37+'FONTE INDICADORES (4)'!AS50),"")</f>
        <v>0.10966050664451828</v>
      </c>
      <c r="AT10" s="311">
        <f>IFERROR(-'FONTE INDICADORES (4)'!AT113/('FONTE INDICADORES (4)'!AT37+'FONTE INDICADORES (4)'!AT50),"")</f>
        <v>0.15656097255295151</v>
      </c>
      <c r="AU10" s="311">
        <f>IFERROR(-'FONTE INDICADORES (4)'!AU113/('FONTE INDICADORES (4)'!AU37+'FONTE INDICADORES (4)'!AU50),"")</f>
        <v>0.12584711579704635</v>
      </c>
      <c r="AV10" s="311">
        <f>IFERROR(-'FONTE INDICADORES (4)'!AV113/('FONTE INDICADORES (4)'!AV37+'FONTE INDICADORES (4)'!AV50),"")</f>
        <v>0.13181924066320685</v>
      </c>
      <c r="AW10" s="311">
        <f>IFERROR(-'FONTE INDICADORES (4)'!AW113/('FONTE INDICADORES (4)'!AW37+'FONTE INDICADORES (4)'!AW50),"")</f>
        <v>0.11105323695145186</v>
      </c>
      <c r="AX10" s="311">
        <f>IFERROR(-'FONTE INDICADORES (4)'!AX113/('FONTE INDICADORES (4)'!AX37+'FONTE INDICADORES (4)'!AX50),"")</f>
        <v>0.13141145427134118</v>
      </c>
      <c r="AY10" s="311">
        <f>IFERROR(-'FONTE INDICADORES (4)'!AY113/('FONTE INDICADORES (4)'!AY37+'FONTE INDICADORES (4)'!AY50),"")</f>
        <v>0.14270039100030241</v>
      </c>
      <c r="AZ10" s="311">
        <f>IFERROR(-'FONTE INDICADORES (4)'!AZ113/('FONTE INDICADORES (4)'!AZ37+'FONTE INDICADORES (4)'!AZ50),"")</f>
        <v>0.12954738705070576</v>
      </c>
      <c r="BA10" s="311">
        <f>IFERROR(-'FONTE INDICADORES (4)'!BA113/('FONTE INDICADORES (4)'!BA37+'FONTE INDICADORES (4)'!BA50),"")</f>
        <v>0.13381999601667346</v>
      </c>
    </row>
    <row r="11" spans="1:53" ht="15" customHeight="1">
      <c r="B11" s="11" t="s">
        <v>446</v>
      </c>
      <c r="C11" s="311" t="s">
        <v>552</v>
      </c>
      <c r="D11" s="311" t="s">
        <v>552</v>
      </c>
      <c r="E11" s="311" t="s">
        <v>552</v>
      </c>
      <c r="F11" s="311" t="s">
        <v>552</v>
      </c>
      <c r="G11" s="311" t="s">
        <v>552</v>
      </c>
      <c r="H11" s="311" t="s">
        <v>552</v>
      </c>
      <c r="I11" s="311" t="s">
        <v>552</v>
      </c>
      <c r="J11" s="311" t="s">
        <v>552</v>
      </c>
      <c r="K11" s="311" t="s">
        <v>552</v>
      </c>
      <c r="L11" s="311" t="s">
        <v>552</v>
      </c>
      <c r="M11" s="311" t="s">
        <v>552</v>
      </c>
      <c r="N11" s="311" t="s">
        <v>552</v>
      </c>
      <c r="O11" s="311" t="s">
        <v>552</v>
      </c>
      <c r="P11" s="311" t="s">
        <v>552</v>
      </c>
      <c r="Q11" s="311" t="s">
        <v>552</v>
      </c>
      <c r="R11" s="311" t="str">
        <f>IFERROR(-'FONTE INDICADORES (4)'!R116/('FONTE INDICADORES (4)'!R40+'FONTE INDICADORES (4)'!R62),"")</f>
        <v/>
      </c>
      <c r="S11" s="311" t="str">
        <f>IFERROR(-'FONTE INDICADORES (4)'!S116/('FONTE INDICADORES (4)'!S40+'FONTE INDICADORES (4)'!S62),"")</f>
        <v/>
      </c>
      <c r="T11" s="311" t="str">
        <f>IFERROR(-'FONTE INDICADORES (4)'!T116/('FONTE INDICADORES (4)'!T40+'FONTE INDICADORES (4)'!T62),"")</f>
        <v/>
      </c>
      <c r="U11" s="311" t="str">
        <f>IFERROR(-'FONTE INDICADORES (4)'!U116/('FONTE INDICADORES (4)'!U40+'FONTE INDICADORES (4)'!U62),"")</f>
        <v/>
      </c>
      <c r="V11" s="311" t="str">
        <f>IFERROR(-'FONTE INDICADORES (4)'!V116/('FONTE INDICADORES (4)'!V40+'FONTE INDICADORES (4)'!V62),"")</f>
        <v/>
      </c>
      <c r="W11" s="311" t="str">
        <f>IFERROR(-'FONTE INDICADORES (4)'!W116/('FONTE INDICADORES (4)'!W40+'FONTE INDICADORES (4)'!W62),"")</f>
        <v/>
      </c>
      <c r="X11" s="311" t="str">
        <f>IFERROR(-'FONTE INDICADORES (4)'!X116/('FONTE INDICADORES (4)'!X40+'FONTE INDICADORES (4)'!X62),"")</f>
        <v/>
      </c>
      <c r="Y11" s="311" t="str">
        <f>IFERROR(-'FONTE INDICADORES (4)'!Y116/('FONTE INDICADORES (4)'!Y40+'FONTE INDICADORES (4)'!Y62),"")</f>
        <v/>
      </c>
      <c r="Z11" s="311">
        <f>IFERROR(-'FONTE INDICADORES (4)'!Z116/('FONTE INDICADORES (4)'!Z40+'FONTE INDICADORES (4)'!Z62),"")</f>
        <v>0.32967792307692306</v>
      </c>
      <c r="AA11" s="311">
        <f>IFERROR(-'FONTE INDICADORES (4)'!AA116/('FONTE INDICADORES (4)'!AA40+'FONTE INDICADORES (4)'!AA62),"")</f>
        <v>0.32967792307692306</v>
      </c>
      <c r="AB11" s="311">
        <f>IFERROR(-'FONTE INDICADORES (4)'!AB116/('FONTE INDICADORES (4)'!AB40+'FONTE INDICADORES (4)'!AB62),"")</f>
        <v>0.13646257262460582</v>
      </c>
      <c r="AC11" s="311">
        <f>IFERROR(-'FONTE INDICADORES (4)'!AC116/('FONTE INDICADORES (4)'!AC40+'FONTE INDICADORES (4)'!AC62),"")</f>
        <v>0.15021302685460966</v>
      </c>
      <c r="AD11" s="311">
        <f>IFERROR(-'FONTE INDICADORES (4)'!AD116/('FONTE INDICADORES (4)'!AD40+'FONTE INDICADORES (4)'!AD62),"")</f>
        <v>0.13619444241976131</v>
      </c>
      <c r="AE11" s="311">
        <f>IFERROR(-'FONTE INDICADORES (4)'!AE116/('FONTE INDICADORES (4)'!AE40+'FONTE INDICADORES (4)'!AE62),"")</f>
        <v>0.15259170577929673</v>
      </c>
      <c r="AF11" s="311">
        <f>IFERROR(-'FONTE INDICADORES (4)'!AF116/('FONTE INDICADORES (4)'!AF40+'FONTE INDICADORES (4)'!AF62),"")</f>
        <v>0.14403177334331635</v>
      </c>
      <c r="AG11" s="311">
        <f>IFERROR(-'FONTE INDICADORES (4)'!AG116/('FONTE INDICADORES (4)'!AG40+'FONTE INDICADORES (4)'!AG62),"")</f>
        <v>0.13098949515835198</v>
      </c>
      <c r="AH11" s="311">
        <f>IFERROR(-'FONTE INDICADORES (4)'!AH116/('FONTE INDICADORES (4)'!AH40+'FONTE INDICADORES (4)'!AH62),"")</f>
        <v>0.12965173948545394</v>
      </c>
      <c r="AI11" s="311">
        <f>IFERROR(-'FONTE INDICADORES (4)'!AI116/('FONTE INDICADORES (4)'!AI40+'FONTE INDICADORES (4)'!AI62),"")</f>
        <v>9.4793182372498494E-2</v>
      </c>
      <c r="AJ11" s="311">
        <f>IFERROR(-'FONTE INDICADORES (4)'!AJ116/('FONTE INDICADORES (4)'!AJ40+'FONTE INDICADORES (4)'!AJ62),"")</f>
        <v>0.12858217655891482</v>
      </c>
      <c r="AK11" s="311">
        <f>IFERROR(-'FONTE INDICADORES (4)'!AK116/('FONTE INDICADORES (4)'!AK40+'FONTE INDICADORES (4)'!AK62),"")</f>
        <v>0.1204259900684555</v>
      </c>
      <c r="AL11" s="311">
        <f>IFERROR(-'FONTE INDICADORES (4)'!AL116/('FONTE INDICADORES (4)'!AL40+'FONTE INDICADORES (4)'!AL62),"")</f>
        <v>0.1195747892385101</v>
      </c>
      <c r="AM11" s="311">
        <f>IFERROR(-'FONTE INDICADORES (4)'!AM116/('FONTE INDICADORES (4)'!AM40+'FONTE INDICADORES (4)'!AM62),"")</f>
        <v>0.11163163274305647</v>
      </c>
      <c r="AN11" s="311">
        <f>IFERROR(-'FONTE INDICADORES (4)'!AN116/('FONTE INDICADORES (4)'!AN40+'FONTE INDICADORES (4)'!AN62),"")</f>
        <v>0.10559005713861547</v>
      </c>
      <c r="AO11" s="311">
        <f>IFERROR(-'FONTE INDICADORES (4)'!AO116/('FONTE INDICADORES (4)'!AO40+'FONTE INDICADORES (4)'!AO62),"")</f>
        <v>0.13197598755891654</v>
      </c>
      <c r="AP11" s="311">
        <f>IFERROR(-'FONTE INDICADORES (4)'!AP116/('FONTE INDICADORES (4)'!AP40+'FONTE INDICADORES (4)'!AP62),"")</f>
        <v>0.11730065985024223</v>
      </c>
      <c r="AQ11" s="311">
        <f>IFERROR(-'FONTE INDICADORES (4)'!AQ116/('FONTE INDICADORES (4)'!AQ40+'FONTE INDICADORES (4)'!AQ62),"")</f>
        <v>0.10972633581871725</v>
      </c>
      <c r="AR11" s="311">
        <f>IFERROR(-'FONTE INDICADORES (4)'!AR116/('FONTE INDICADORES (4)'!AR40+'FONTE INDICADORES (4)'!AR62),"")</f>
        <v>0.11397238100367253</v>
      </c>
      <c r="AS11" s="311">
        <f>IFERROR(-'FONTE INDICADORES (4)'!AS116/('FONTE INDICADORES (4)'!AS40+'FONTE INDICADORES (4)'!AS62),"")</f>
        <v>0.12009414483942146</v>
      </c>
      <c r="AT11" s="311">
        <f>IFERROR(-'FONTE INDICADORES (4)'!AT116/('FONTE INDICADORES (4)'!AT40+'FONTE INDICADORES (4)'!AT62),"")</f>
        <v>0.13402547219015712</v>
      </c>
      <c r="AU11" s="311">
        <f>IFERROR(-'FONTE INDICADORES (4)'!AU116/('FONTE INDICADORES (4)'!AU40+'FONTE INDICADORES (4)'!AU62),"")</f>
        <v>0.11980984331097501</v>
      </c>
      <c r="AV11" s="311">
        <f>IFERROR(-'FONTE INDICADORES (4)'!AV116/('FONTE INDICADORES (4)'!AV40+'FONTE INDICADORES (4)'!AV62),"")</f>
        <v>0.11153036754133801</v>
      </c>
      <c r="AW11" s="311">
        <f>IFERROR(-'FONTE INDICADORES (4)'!AW116/('FONTE INDICADORES (4)'!AW40+'FONTE INDICADORES (4)'!AW62),"")</f>
        <v>0.11240885225667788</v>
      </c>
      <c r="AX11" s="311">
        <f>IFERROR(-'FONTE INDICADORES (4)'!AX116/('FONTE INDICADORES (4)'!AX40+'FONTE INDICADORES (4)'!AX62),"")</f>
        <v>0.11536311881679261</v>
      </c>
      <c r="AY11" s="311">
        <f>IFERROR(-'FONTE INDICADORES (4)'!AY116/('FONTE INDICADORES (4)'!AY40+'FONTE INDICADORES (4)'!AY62),"")</f>
        <v>0.14603534133401749</v>
      </c>
      <c r="AZ11" s="311">
        <f>IFERROR(-'FONTE INDICADORES (4)'!AZ116/('FONTE INDICADORES (4)'!AZ40+'FONTE INDICADORES (4)'!AZ62),"")</f>
        <v>0.12163940404818031</v>
      </c>
      <c r="BA11" s="311">
        <f>IFERROR(-'FONTE INDICADORES (4)'!BA116/('FONTE INDICADORES (4)'!BA40+'FONTE INDICADORES (4)'!BA62),"")</f>
        <v>0.11385326021669874</v>
      </c>
    </row>
    <row r="12" spans="1:53" ht="15" customHeight="1">
      <c r="B12" s="335" t="s">
        <v>553</v>
      </c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 cm="1">
        <f t="array" ref="AB12">SUM(-'FONTE INDICADORES (4)'!AB96:AB98)/SUM('FONTE INDICADORES (4)'!AB20:AB22)</f>
        <v>8.8677241588265968E-2</v>
      </c>
      <c r="AC12" s="311" cm="1">
        <f t="array" ref="AC12">SUM(-'FONTE INDICADORES (4)'!AC96:AC98)/SUM('FONTE INDICADORES (4)'!AC20:AC22)</f>
        <v>0.10929120937289742</v>
      </c>
      <c r="AD12" s="311" cm="1">
        <f t="array" ref="AD12">SUM(-'FONTE INDICADORES (4)'!AD96:AD98)/SUM('FONTE INDICADORES (4)'!AD20:AD22)</f>
        <v>9.9133819298448972E-2</v>
      </c>
      <c r="AE12" s="311" cm="1">
        <f t="array" ref="AE12">SUM(-'FONTE INDICADORES (4)'!AE96:AE98)/SUM('FONTE INDICADORES (4)'!AE20:AE22)</f>
        <v>0.10781609514898281</v>
      </c>
      <c r="AF12" s="311" cm="1">
        <f t="array" ref="AF12">SUM(-'FONTE INDICADORES (4)'!AF96:AF98)/SUM('FONTE INDICADORES (4)'!AF20:AF22)</f>
        <v>0.10128112664710355</v>
      </c>
      <c r="AG12" s="311" cm="1">
        <f t="array" ref="AG12">SUM(-'FONTE INDICADORES (4)'!AG96:AG98)/SUM('FONTE INDICADORES (4)'!AG20:AG22)</f>
        <v>0.10338558442488011</v>
      </c>
      <c r="AH12" s="311" cm="1">
        <f t="array" ref="AH12">SUM(-'FONTE INDICADORES (4)'!AH96:AH98)/SUM('FONTE INDICADORES (4)'!AH20:AH22)</f>
        <v>9.521159305424938E-2</v>
      </c>
      <c r="AI12" s="311" cm="1">
        <f t="array" ref="AI12">SUM(-'FONTE INDICADORES (4)'!AI96:AI98)/SUM('FONTE INDICADORES (4)'!AI20:AI22)</f>
        <v>8.9243861578181455E-2</v>
      </c>
      <c r="AJ12" s="311" cm="1">
        <f t="array" ref="AJ12">SUM(-'FONTE INDICADORES (4)'!AJ96:AJ98)/SUM('FONTE INDICADORES (4)'!AJ20:AJ22)</f>
        <v>0.10850384844846257</v>
      </c>
      <c r="AK12" s="311" cm="1">
        <f t="array" ref="AK12">SUM(-'FONTE INDICADORES (4)'!AK96:AK98)/SUM('FONTE INDICADORES (4)'!AK20:AK22)</f>
        <v>9.9070731853526536E-2</v>
      </c>
      <c r="AL12" s="311" cm="1">
        <f t="array" ref="AL12">SUM(-'FONTE INDICADORES (4)'!AL96:AL98)/SUM('FONTE INDICADORES (4)'!AL20:AL22)</f>
        <v>0.10099602878192693</v>
      </c>
      <c r="AM12" s="311" cm="1">
        <f t="array" ref="AM12">SUM(-'FONTE INDICADORES (4)'!AM96:AM98)/SUM('FONTE INDICADORES (4)'!AM20:AM22)</f>
        <v>9.1592793054930247E-2</v>
      </c>
      <c r="AN12" s="311" cm="1">
        <f t="array" ref="AN12">SUM(-'FONTE INDICADORES (4)'!AN96:AN98)/SUM('FONTE INDICADORES (4)'!AN20:AN22)</f>
        <v>9.235823209792185E-2</v>
      </c>
      <c r="AO12" s="311" cm="1">
        <f t="array" ref="AO12">SUM(-'FONTE INDICADORES (4)'!AO96:AO98)/SUM('FONTE INDICADORES (4)'!AO20:AO22)</f>
        <v>0.1305423651992432</v>
      </c>
      <c r="AP12" s="311" cm="1">
        <f t="array" ref="AP12">SUM(-'FONTE INDICADORES (4)'!AP96:AP98)/SUM('FONTE INDICADORES (4)'!AP20:AP22)</f>
        <v>0.10386230112857936</v>
      </c>
      <c r="AQ12" s="311" cm="1">
        <f t="array" ref="AQ12">SUM(-'FONTE INDICADORES (4)'!AQ96:AQ98)/SUM('FONTE INDICADORES (4)'!AQ20:AQ22)</f>
        <v>0.10168735823532787</v>
      </c>
      <c r="AR12" s="311" cm="1">
        <f t="array" ref="AR12">SUM(-'FONTE INDICADORES (4)'!AR96:AR98)/SUM('FONTE INDICADORES (4)'!AR20:AR22)</f>
        <v>0.1070394656896797</v>
      </c>
      <c r="AS12" s="311" cm="1">
        <f t="array" ref="AS12">SUM(-'FONTE INDICADORES (4)'!AS96:AS98)/SUM('FONTE INDICADORES (4)'!AS20:AS22)</f>
        <v>0.11492896716478601</v>
      </c>
      <c r="AT12" s="311" cm="1">
        <f t="array" ref="AT12">SUM(-'FONTE INDICADORES (4)'!AT96:AT98)/SUM('FONTE INDICADORES (4)'!AT20:AT22)</f>
        <v>0.136468194596228</v>
      </c>
      <c r="AU12" s="311" cm="1">
        <f t="array" ref="AU12">SUM(-'FONTE INDICADORES (4)'!AU96:AU98)/SUM('FONTE INDICADORES (4)'!AU20:AU22)</f>
        <v>0.11515939176290002</v>
      </c>
      <c r="AV12" s="311" cm="1">
        <f t="array" ref="AV12">SUM(-'FONTE INDICADORES (4)'!AV96:AV98)/SUM('FONTE INDICADORES (4)'!AV20:AV22)</f>
        <v>0.10983351943439096</v>
      </c>
      <c r="AW12" s="311" cm="1">
        <f t="array" ref="AW12">SUM(-'FONTE INDICADORES (4)'!AW96:AW98)/SUM('FONTE INDICADORES (4)'!AW20:AW22)</f>
        <v>0.11301045064734713</v>
      </c>
      <c r="AX12" s="311" cm="1">
        <f t="array" ref="AX12">SUM(-'FONTE INDICADORES (4)'!AX96:AX98)/SUM('FONTE INDICADORES (4)'!AX20:AX22)</f>
        <v>0.11839217783820802</v>
      </c>
      <c r="AY12" s="311" cm="1">
        <f t="array" ref="AY12">SUM(-'FONTE INDICADORES (4)'!AY96:AY98)/SUM('FONTE INDICADORES (4)'!AY20:AY22)</f>
        <v>0.13928378044385917</v>
      </c>
      <c r="AZ12" s="311" cm="1">
        <f t="array" ref="AZ12">SUM(-'FONTE INDICADORES (4)'!AZ96:AZ98)/SUM('FONTE INDICADORES (4)'!AZ20:AZ22)</f>
        <v>0.12025427734551676</v>
      </c>
      <c r="BA12" s="311" cm="1">
        <f t="array" ref="BA12">SUM(-'FONTE INDICADORES (4)'!BA96:BA98)/SUM('FONTE INDICADORES (4)'!BA20:BA22)</f>
        <v>0.11650347611227919</v>
      </c>
    </row>
    <row r="13" spans="1:53" ht="15" customHeight="1">
      <c r="B13" s="335" t="s">
        <v>264</v>
      </c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>
        <f>-'FONTE INDICADORES (4)'!AB99/'FONTE INDICADORES (4)'!AB23</f>
        <v>13.236305527109119</v>
      </c>
      <c r="AC13" s="311">
        <f>-'FONTE INDICADORES (4)'!AC99/'FONTE INDICADORES (4)'!AC23</f>
        <v>1.3246988122010768</v>
      </c>
      <c r="AD13" s="311">
        <f>-'FONTE INDICADORES (4)'!AD99/'FONTE INDICADORES (4)'!AD23</f>
        <v>0.56102728606723562</v>
      </c>
      <c r="AE13" s="311">
        <f>-'FONTE INDICADORES (4)'!AE99/'FONTE INDICADORES (4)'!AE23</f>
        <v>0.32424250022463019</v>
      </c>
      <c r="AF13" s="311">
        <f>-'FONTE INDICADORES (4)'!AF99/'FONTE INDICADORES (4)'!AF23</f>
        <v>0.75531416710287014</v>
      </c>
      <c r="AG13" s="311">
        <f>-'FONTE INDICADORES (4)'!AG99/'FONTE INDICADORES (4)'!AG23</f>
        <v>0.25894689620366734</v>
      </c>
      <c r="AH13" s="311">
        <f>-'FONTE INDICADORES (4)'!AH99/'FONTE INDICADORES (4)'!AH23</f>
        <v>0.21093939523666824</v>
      </c>
      <c r="AI13" s="311">
        <f>-'FONTE INDICADORES (4)'!AI99/'FONTE INDICADORES (4)'!AI23</f>
        <v>0.2033862851028396</v>
      </c>
      <c r="AJ13" s="311">
        <f>-'FONTE INDICADORES (4)'!AJ99/'FONTE INDICADORES (4)'!AJ23</f>
        <v>0.20549699086531528</v>
      </c>
      <c r="AK13" s="311">
        <f>-'FONTE INDICADORES (4)'!AK99/'FONTE INDICADORES (4)'!AK23</f>
        <v>0.21651348468125883</v>
      </c>
      <c r="AL13" s="311">
        <f>-'FONTE INDICADORES (4)'!AL99/'FONTE INDICADORES (4)'!AL23</f>
        <v>0.19197113684367628</v>
      </c>
      <c r="AM13" s="311">
        <f>-'FONTE INDICADORES (4)'!AM99/'FONTE INDICADORES (4)'!AM23</f>
        <v>0.17703600905704478</v>
      </c>
      <c r="AN13" s="311">
        <f>-'FONTE INDICADORES (4)'!AN99/'FONTE INDICADORES (4)'!AN23</f>
        <v>0.15072137824539505</v>
      </c>
      <c r="AO13" s="311">
        <f>-'FONTE INDICADORES (4)'!AO99/'FONTE INDICADORES (4)'!AO23</f>
        <v>0.15617758532657791</v>
      </c>
      <c r="AP13" s="311">
        <f>-'FONTE INDICADORES (4)'!AP99/'FONTE INDICADORES (4)'!AP23</f>
        <v>0.16746981462426455</v>
      </c>
      <c r="AQ13" s="311">
        <f>-'FONTE INDICADORES (4)'!AQ99/'FONTE INDICADORES (4)'!AQ23</f>
        <v>0.13792492265763112</v>
      </c>
      <c r="AR13" s="311">
        <f>-'FONTE INDICADORES (4)'!AR99/'FONTE INDICADORES (4)'!AR23</f>
        <v>0.1250076033584821</v>
      </c>
      <c r="AS13" s="311">
        <f>-'FONTE INDICADORES (4)'!AS99/'FONTE INDICADORES (4)'!AS23</f>
        <v>0.13703238403729576</v>
      </c>
      <c r="AT13" s="311">
        <f>-'FONTE INDICADORES (4)'!AT99/'FONTE INDICADORES (4)'!AT23</f>
        <v>0.14478535662702763</v>
      </c>
      <c r="AU13" s="311">
        <f>-'FONTE INDICADORES (4)'!AU99/'FONTE INDICADORES (4)'!AU23</f>
        <v>0.1365453126895298</v>
      </c>
      <c r="AV13" s="311">
        <f>-'FONTE INDICADORES (4)'!AV99/'FONTE INDICADORES (4)'!AV23</f>
        <v>0.11613520741318675</v>
      </c>
      <c r="AW13" s="311">
        <f>-'FONTE INDICADORES (4)'!AW99/'FONTE INDICADORES (4)'!AW23</f>
        <v>0.10394999913346116</v>
      </c>
      <c r="AX13" s="311">
        <f>-'FONTE INDICADORES (4)'!AX99/'FONTE INDICADORES (4)'!AX23</f>
        <v>0.10416376437345931</v>
      </c>
      <c r="AY13" s="311">
        <f>-'FONTE INDICADORES (4)'!AY99/'FONTE INDICADORES (4)'!AY23</f>
        <v>0.14056125434656472</v>
      </c>
      <c r="AZ13" s="311">
        <f>-'FONTE INDICADORES (4)'!AZ99/'FONTE INDICADORES (4)'!AZ23</f>
        <v>0.11682574804299624</v>
      </c>
      <c r="BA13" s="311">
        <f>-'FONTE INDICADORES (4)'!BA99/'FONTE INDICADORES (4)'!BA23</f>
        <v>9.6483598568472106E-2</v>
      </c>
    </row>
    <row r="14" spans="1:53" ht="15" customHeight="1">
      <c r="B14" s="335" t="s">
        <v>265</v>
      </c>
      <c r="C14" s="311"/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>
        <f>-'FONTE INDICADORES (4)'!Z100/('FONTE INDICADORES (4)'!Z24+'FONTE INDICADORES (4)'!Z62)</f>
        <v>2.8205128205128206E-2</v>
      </c>
      <c r="AA14" s="311">
        <f>-'FONTE INDICADORES (4)'!AA100/('FONTE INDICADORES (4)'!AA24+'FONTE INDICADORES (4)'!AA62)</f>
        <v>2.8205128205128206E-2</v>
      </c>
      <c r="AB14" s="311">
        <f>-'FONTE INDICADORES (4)'!AB100/('FONTE INDICADORES (4)'!AB24+'FONTE INDICADORES (4)'!AB62)</f>
        <v>2.2292197653917538E-2</v>
      </c>
      <c r="AC14" s="311">
        <f>-'FONTE INDICADORES (4)'!AC100/('FONTE INDICADORES (4)'!AC24+'FONTE INDICADORES (4)'!AC62)</f>
        <v>2.899322036581268</v>
      </c>
      <c r="AD14" s="311">
        <f>-'FONTE INDICADORES (4)'!AD100/('FONTE INDICADORES (4)'!AD24+'FONTE INDICADORES (4)'!AD62)</f>
        <v>0.34178091006988182</v>
      </c>
      <c r="AE14" s="311">
        <f>-'FONTE INDICADORES (4)'!AE100/('FONTE INDICADORES (4)'!AE24+'FONTE INDICADORES (4)'!AE62)</f>
        <v>0.55368981291139663</v>
      </c>
      <c r="AF14" s="311">
        <f>-'FONTE INDICADORES (4)'!AF100/('FONTE INDICADORES (4)'!AF24+'FONTE INDICADORES (4)'!AF62)</f>
        <v>0.48874401796334671</v>
      </c>
      <c r="AG14" s="311">
        <f>-'FONTE INDICADORES (4)'!AG100/('FONTE INDICADORES (4)'!AG24+'FONTE INDICADORES (4)'!AG62)</f>
        <v>0.15185407250253666</v>
      </c>
      <c r="AH14" s="311">
        <f>-'FONTE INDICADORES (4)'!AH100/('FONTE INDICADORES (4)'!AH24+'FONTE INDICADORES (4)'!AH62)</f>
        <v>0.11645768685322737</v>
      </c>
      <c r="AI14" s="311">
        <f>-'FONTE INDICADORES (4)'!AI100/('FONTE INDICADORES (4)'!AI24+'FONTE INDICADORES (4)'!AI62)</f>
        <v>7.9033038172483069E-2</v>
      </c>
      <c r="AJ14" s="311">
        <f>-'FONTE INDICADORES (4)'!AJ100/('FONTE INDICADORES (4)'!AJ24+'FONTE INDICADORES (4)'!AJ62)</f>
        <v>0.10207162032112647</v>
      </c>
      <c r="AK14" s="311">
        <f>-'FONTE INDICADORES (4)'!AK100/('FONTE INDICADORES (4)'!AK24+'FONTE INDICADORES (4)'!AK62)</f>
        <v>0.10427355755743274</v>
      </c>
      <c r="AL14" s="311">
        <f>-'FONTE INDICADORES (4)'!AL100/('FONTE INDICADORES (4)'!AL24+'FONTE INDICADORES (4)'!AL62)</f>
        <v>6.6606834609775345E-2</v>
      </c>
      <c r="AM14" s="311">
        <f>-'FONTE INDICADORES (4)'!AM100/('FONTE INDICADORES (4)'!AM24+'FONTE INDICADORES (4)'!AM62)</f>
        <v>9.2092251479141171E-2</v>
      </c>
      <c r="AN14" s="311">
        <f>-'FONTE INDICADORES (4)'!AN100/('FONTE INDICADORES (4)'!AN24+'FONTE INDICADORES (4)'!AN62)</f>
        <v>6.5835621380042883E-2</v>
      </c>
      <c r="AO14" s="311">
        <f>-'FONTE INDICADORES (4)'!AO100/('FONTE INDICADORES (4)'!AO24+'FONTE INDICADORES (4)'!AO62)</f>
        <v>7.9848511887058077E-2</v>
      </c>
      <c r="AP14" s="311">
        <f>-'FONTE INDICADORES (4)'!AP100/('FONTE INDICADORES (4)'!AP24+'FONTE INDICADORES (4)'!AP62)</f>
        <v>7.5637847543491607E-2</v>
      </c>
      <c r="AQ14" s="311">
        <f>-'FONTE INDICADORES (4)'!AQ100/('FONTE INDICADORES (4)'!AQ24+'FONTE INDICADORES (4)'!AQ62)</f>
        <v>6.8481831822899103E-2</v>
      </c>
      <c r="AR14" s="311">
        <f>-'FONTE INDICADORES (4)'!AR100/('FONTE INDICADORES (4)'!AR24+'FONTE INDICADORES (4)'!AR62)</f>
        <v>7.5097880383421092E-2</v>
      </c>
      <c r="AS14" s="311">
        <f>-'FONTE INDICADORES (4)'!AS100/('FONTE INDICADORES (4)'!AS24+'FONTE INDICADORES (4)'!AS62)</f>
        <v>8.0946647081444681E-2</v>
      </c>
      <c r="AT14" s="311">
        <f>-'FONTE INDICADORES (4)'!AT100/('FONTE INDICADORES (4)'!AT24+'FONTE INDICADORES (4)'!AT62)</f>
        <v>8.8641538657142527E-2</v>
      </c>
      <c r="AU14" s="311">
        <f>-'FONTE INDICADORES (4)'!AU100/('FONTE INDICADORES (4)'!AU24+'FONTE INDICADORES (4)'!AU62)</f>
        <v>7.8695501982322308E-2</v>
      </c>
      <c r="AV14" s="311">
        <f>-'FONTE INDICADORES (4)'!AV100/('FONTE INDICADORES (4)'!AV24+'FONTE INDICADORES (4)'!AV62)</f>
        <v>6.1758986097243437E-2</v>
      </c>
      <c r="AW14" s="311">
        <f>-'FONTE INDICADORES (4)'!AW100/('FONTE INDICADORES (4)'!AW24+'FONTE INDICADORES (4)'!AW62)</f>
        <v>7.7596625153058499E-2</v>
      </c>
      <c r="AX14" s="311">
        <f>-'FONTE INDICADORES (4)'!AX100/('FONTE INDICADORES (4)'!AX24+'FONTE INDICADORES (4)'!AX62)</f>
        <v>6.7520417959395743E-2</v>
      </c>
      <c r="AY14" s="311">
        <f>-'FONTE INDICADORES (4)'!AY100/('FONTE INDICADORES (4)'!AY24+'FONTE INDICADORES (4)'!AY62)</f>
        <v>9.8785706465601364E-2</v>
      </c>
      <c r="AZ14" s="311">
        <f>-'FONTE INDICADORES (4)'!AZ100/('FONTE INDICADORES (4)'!AZ24+'FONTE INDICADORES (4)'!AZ62)</f>
        <v>7.676186664572382E-2</v>
      </c>
      <c r="BA14" s="311">
        <f>-'FONTE INDICADORES (4)'!BA100/('FONTE INDICADORES (4)'!BA24+'FONTE INDICADORES (4)'!BA62)</f>
        <v>6.4156788255082697E-2</v>
      </c>
    </row>
    <row r="15" spans="1:53" ht="15" customHeight="1">
      <c r="B15" s="335" t="s">
        <v>266</v>
      </c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>
        <f>-'FONTE INDICADORES (4)'!AC101/'FONTE INDICADORES (4)'!AC25</f>
        <v>3.3741512124981181</v>
      </c>
      <c r="AD15" s="311">
        <f>-'FONTE INDICADORES (4)'!AD101/'FONTE INDICADORES (4)'!AD25</f>
        <v>2.5782039933772154</v>
      </c>
      <c r="AE15" s="311">
        <f>-'FONTE INDICADORES (4)'!AE101/'FONTE INDICADORES (4)'!AE25</f>
        <v>7.0509757068896857</v>
      </c>
      <c r="AF15" s="311">
        <f>-'FONTE INDICADORES (4)'!AF101/'FONTE INDICADORES (4)'!AF25</f>
        <v>4.8863645655733592</v>
      </c>
      <c r="AG15" s="311">
        <f>-'FONTE INDICADORES (4)'!AG101/'FONTE INDICADORES (4)'!AG25</f>
        <v>0.83306738713073647</v>
      </c>
      <c r="AH15" s="311">
        <f>-'FONTE INDICADORES (4)'!AH101/'FONTE INDICADORES (4)'!AH25</f>
        <v>0.91215719926512928</v>
      </c>
      <c r="AI15" s="311">
        <f>-'FONTE INDICADORES (4)'!AI101/'FONTE INDICADORES (4)'!AI25</f>
        <v>-0.23838442031342411</v>
      </c>
      <c r="AJ15" s="311">
        <f>-'FONTE INDICADORES (4)'!AJ101/'FONTE INDICADORES (4)'!AJ25</f>
        <v>0.15270383119578099</v>
      </c>
      <c r="AK15" s="311">
        <f>-'FONTE INDICADORES (4)'!AK101/'FONTE INDICADORES (4)'!AK25</f>
        <v>0.20853311689378895</v>
      </c>
      <c r="AL15" s="311">
        <f>-'FONTE INDICADORES (4)'!AL101/'FONTE INDICADORES (4)'!AL25</f>
        <v>0.1625027979131872</v>
      </c>
      <c r="AM15" s="311">
        <f>-'FONTE INDICADORES (4)'!AM101/'FONTE INDICADORES (4)'!AM25</f>
        <v>0.14171632365361875</v>
      </c>
      <c r="AN15" s="311">
        <f>-'FONTE INDICADORES (4)'!AN101/'FONTE INDICADORES (4)'!AN25</f>
        <v>0.11740466250336544</v>
      </c>
      <c r="AO15" s="311">
        <f>-'FONTE INDICADORES (4)'!AO101/'FONTE INDICADORES (4)'!AO25</f>
        <v>9.2418419832596813E-2</v>
      </c>
      <c r="AP15" s="311">
        <f>-'FONTE INDICADORES (4)'!AP101/'FONTE INDICADORES (4)'!AP25</f>
        <v>0.12442521908247289</v>
      </c>
      <c r="AQ15" s="311">
        <f>-'FONTE INDICADORES (4)'!AQ101/'FONTE INDICADORES (4)'!AQ25</f>
        <v>0.10046546308266713</v>
      </c>
      <c r="AR15" s="311">
        <f>-'FONTE INDICADORES (4)'!AR101/'FONTE INDICADORES (4)'!AR25</f>
        <v>0.12292503811301772</v>
      </c>
      <c r="AS15" s="311">
        <f>-'FONTE INDICADORES (4)'!AS101/'FONTE INDICADORES (4)'!AS25</f>
        <v>0.10214887140848077</v>
      </c>
      <c r="AT15" s="311">
        <f>-'FONTE INDICADORES (4)'!AT101/'FONTE INDICADORES (4)'!AT25</f>
        <v>8.1096554538615848E-2</v>
      </c>
      <c r="AU15" s="311">
        <f>-'FONTE INDICADORES (4)'!AU101/'FONTE INDICADORES (4)'!AU25</f>
        <v>0.10106298257148473</v>
      </c>
      <c r="AV15" s="311">
        <f>-'FONTE INDICADORES (4)'!AV101/'FONTE INDICADORES (4)'!AV25</f>
        <v>9.9783949187815191E-2</v>
      </c>
      <c r="AW15" s="311">
        <f>-'FONTE INDICADORES (4)'!AW101/'FONTE INDICADORES (4)'!AW25</f>
        <v>0.10369756239884456</v>
      </c>
      <c r="AX15" s="311">
        <f>-'FONTE INDICADORES (4)'!AX101/'FONTE INDICADORES (4)'!AX25</f>
        <v>0.11406861522142105</v>
      </c>
      <c r="AY15" s="311">
        <f>-'FONTE INDICADORES (4)'!AY101/'FONTE INDICADORES (4)'!AY25</f>
        <v>0.1729738038693131</v>
      </c>
      <c r="AZ15" s="311">
        <f>-'FONTE INDICADORES (4)'!AZ101/'FONTE INDICADORES (4)'!AZ25</f>
        <v>0.12309763791617186</v>
      </c>
      <c r="BA15" s="311">
        <f>-'FONTE INDICADORES (4)'!BA101/'FONTE INDICADORES (4)'!BA25</f>
        <v>0.12142251789190023</v>
      </c>
    </row>
    <row r="16" spans="1:53" ht="15" customHeight="1">
      <c r="B16" s="335" t="s">
        <v>268</v>
      </c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>
        <f>-'FONTE INDICADORES (4)'!AB102/'FONTE INDICADORES (4)'!AB26</f>
        <v>0.90574308823529415</v>
      </c>
      <c r="AC16" s="311">
        <f>-'FONTE INDICADORES (4)'!AC102/'FONTE INDICADORES (4)'!AC26</f>
        <v>0.4673407176513229</v>
      </c>
      <c r="AD16" s="311">
        <f>-'FONTE INDICADORES (4)'!AD102/'FONTE INDICADORES (4)'!AD26</f>
        <v>0.37805576530612245</v>
      </c>
      <c r="AE16" s="311">
        <f>-'FONTE INDICADORES (4)'!AE102/'FONTE INDICADORES (4)'!AE26</f>
        <v>0.46542878084534572</v>
      </c>
      <c r="AF16" s="311">
        <f>-'FONTE INDICADORES (4)'!AF102/'FONTE INDICADORES (4)'!AF26</f>
        <v>0.45236198762330737</v>
      </c>
      <c r="AG16" s="311">
        <f>-'FONTE INDICADORES (4)'!AG102/'FONTE INDICADORES (4)'!AG26</f>
        <v>0.31322934719815138</v>
      </c>
      <c r="AH16" s="311">
        <f>-'FONTE INDICADORES (4)'!AH102/'FONTE INDICADORES (4)'!AH26</f>
        <v>0.33130982955872051</v>
      </c>
      <c r="AI16" s="311">
        <f>-'FONTE INDICADORES (4)'!AI102/'FONTE INDICADORES (4)'!AI26</f>
        <v>0.37426869481970004</v>
      </c>
      <c r="AJ16" s="311">
        <f>-'FONTE INDICADORES (4)'!AJ102/'FONTE INDICADORES (4)'!AJ26</f>
        <v>0.42913046881114503</v>
      </c>
      <c r="AK16" s="311">
        <f>-'FONTE INDICADORES (4)'!AK102/'FONTE INDICADORES (4)'!AK26</f>
        <v>0.37915274825387185</v>
      </c>
      <c r="AL16" s="311">
        <f>-'FONTE INDICADORES (4)'!AL102/'FONTE INDICADORES (4)'!AL26</f>
        <v>0.3698199485567305</v>
      </c>
      <c r="AM16" s="311">
        <f>-'FONTE INDICADORES (4)'!AM102/'FONTE INDICADORES (4)'!AM26</f>
        <v>0.3042730056876185</v>
      </c>
      <c r="AN16" s="311">
        <f>-'FONTE INDICADORES (4)'!AN102/'FONTE INDICADORES (4)'!AN26</f>
        <v>0.29071514793190945</v>
      </c>
      <c r="AO16" s="311">
        <f>-'FONTE INDICADORES (4)'!AO102/'FONTE INDICADORES (4)'!AO26</f>
        <v>0.29460722836620684</v>
      </c>
      <c r="AP16" s="311">
        <f>-'FONTE INDICADORES (4)'!AP102/'FONTE INDICADORES (4)'!AP26</f>
        <v>0.31013801329016866</v>
      </c>
      <c r="AQ16" s="311">
        <f>-'FONTE INDICADORES (4)'!AQ102/'FONTE INDICADORES (4)'!AQ26</f>
        <v>0.28799301997807558</v>
      </c>
      <c r="AR16" s="311">
        <f>-'FONTE INDICADORES (4)'!AR102/'FONTE INDICADORES (4)'!AR26</f>
        <v>0.31240359897172237</v>
      </c>
      <c r="AS16" s="311">
        <f>-'FONTE INDICADORES (4)'!AS102/'FONTE INDICADORES (4)'!AS26</f>
        <v>0.30559713250354498</v>
      </c>
      <c r="AT16" s="311">
        <f>-'FONTE INDICADORES (4)'!AT102/'FONTE INDICADORES (4)'!AT26</f>
        <v>0.29473525190724376</v>
      </c>
      <c r="AU16" s="311">
        <f>-'FONTE INDICADORES (4)'!AU102/'FONTE INDICADORES (4)'!AU26</f>
        <v>0.29989440844732423</v>
      </c>
      <c r="AV16" s="311">
        <f>-'FONTE INDICADORES (4)'!AV102/'FONTE INDICADORES (4)'!AV26</f>
        <v>0.29412971784536462</v>
      </c>
      <c r="AW16" s="311">
        <f>-'FONTE INDICADORES (4)'!AW102/'FONTE INDICADORES (4)'!AW26</f>
        <v>0.28923725219972435</v>
      </c>
      <c r="AX16" s="311">
        <f>-'FONTE INDICADORES (4)'!AX102/'FONTE INDICADORES (4)'!AX26</f>
        <v>0.28752258013475562</v>
      </c>
      <c r="AY16" s="311">
        <f>-'FONTE INDICADORES (4)'!AY102/'FONTE INDICADORES (4)'!AY26</f>
        <v>0.45164113004035861</v>
      </c>
      <c r="AZ16" s="311">
        <f>-'FONTE INDICADORES (4)'!AZ102/'FONTE INDICADORES (4)'!AZ26</f>
        <v>0.32298350802822218</v>
      </c>
      <c r="BA16" s="311">
        <f>-'FONTE INDICADORES (4)'!BA102/'FONTE INDICADORES (4)'!BA26</f>
        <v>0.47774910057875802</v>
      </c>
    </row>
    <row r="17" spans="1:53" ht="15" customHeight="1">
      <c r="B17" s="11" t="s">
        <v>554</v>
      </c>
      <c r="C17" s="311">
        <v>2.5027984683383651E-2</v>
      </c>
      <c r="D17" s="311">
        <v>5.9480745631688529E-2</v>
      </c>
      <c r="E17" s="311">
        <v>7.8389385635394909E-2</v>
      </c>
      <c r="F17" s="311">
        <v>0.10442030968575208</v>
      </c>
      <c r="G17" s="311">
        <v>6.7097503545465356E-2</v>
      </c>
      <c r="H17" s="311">
        <v>4.8463935798681225E-2</v>
      </c>
      <c r="I17" s="311">
        <v>5.8960105855020942E-2</v>
      </c>
      <c r="J17" s="311">
        <v>6.6970098413478688E-2</v>
      </c>
      <c r="K17" s="311">
        <v>0.14342770779931049</v>
      </c>
      <c r="L17" s="311">
        <v>7.6390411116765616E-2</v>
      </c>
      <c r="M17" s="311">
        <v>4.0221281721493564E-2</v>
      </c>
      <c r="N17" s="311">
        <v>7.0116365484126641E-2</v>
      </c>
      <c r="O17" s="311">
        <v>9.4648361696277675E-2</v>
      </c>
      <c r="P17" s="311">
        <v>8.4974759022885121E-2</v>
      </c>
      <c r="Q17" s="311">
        <v>7.0099723104693507E-2</v>
      </c>
      <c r="R17" s="311">
        <f>IFERROR(-'FONTE INDICADORES (4)'!R117/'FONTE INDICADORES (4)'!R41,"")</f>
        <v>5.7505788774886657E-2</v>
      </c>
      <c r="S17" s="311">
        <f>IFERROR(-'FONTE INDICADORES (4)'!S117/'FONTE INDICADORES (4)'!S41,"")</f>
        <v>6.0248606142457417E-2</v>
      </c>
      <c r="T17" s="311">
        <f>IFERROR(-'FONTE INDICADORES (4)'!T117/'FONTE INDICADORES (4)'!T41,"")</f>
        <v>6.254609803513686E-2</v>
      </c>
      <c r="U17" s="311">
        <f>IFERROR(-'FONTE INDICADORES (4)'!U117/'FONTE INDICADORES (4)'!U41,"")</f>
        <v>0.13576320419083854</v>
      </c>
      <c r="V17" s="311">
        <f>IFERROR(-'FONTE INDICADORES (4)'!V117/'FONTE INDICADORES (4)'!V41,"")</f>
        <v>7.0409222045325251E-2</v>
      </c>
      <c r="W17" s="311">
        <f>IFERROR(-'FONTE INDICADORES (4)'!W117/'FONTE INDICADORES (4)'!W41,"")</f>
        <v>9.7131317339357578E-2</v>
      </c>
      <c r="X17" s="311">
        <f>IFERROR(-'FONTE INDICADORES (4)'!X117/'FONTE INDICADORES (4)'!X41,"")</f>
        <v>7.5165477006058065E-2</v>
      </c>
      <c r="Y17" s="311">
        <f>IFERROR(-'FONTE INDICADORES (4)'!Y117/'FONTE INDICADORES (4)'!Y41,"")</f>
        <v>3.7704471052216235E-2</v>
      </c>
      <c r="Z17" s="311">
        <f>IFERROR(-'FONTE INDICADORES (4)'!Z117/'FONTE INDICADORES (4)'!Z41,"")</f>
        <v>5.9767360569748483E-2</v>
      </c>
      <c r="AA17" s="311">
        <f>IFERROR(-'FONTE INDICADORES (4)'!AA117/'FONTE INDICADORES (4)'!AA41,"")</f>
        <v>6.1642009399566398E-2</v>
      </c>
      <c r="AB17" s="311">
        <f>IFERROR(-'FONTE INDICADORES (4)'!AB117/'FONTE INDICADORES (4)'!AB41,"")</f>
        <v>6.96561332916113E-2</v>
      </c>
      <c r="AC17" s="311">
        <f>IFERROR(-'FONTE INDICADORES (4)'!AC117/'FONTE INDICADORES (4)'!AC41,"")</f>
        <v>9.1776400521462687E-2</v>
      </c>
      <c r="AD17" s="311">
        <f>IFERROR(-'FONTE INDICADORES (4)'!AD117/'FONTE INDICADORES (4)'!AD41,"")</f>
        <v>4.5115508291025876E-2</v>
      </c>
      <c r="AE17" s="311">
        <f>IFERROR(-'FONTE INDICADORES (4)'!AE117/'FONTE INDICADORES (4)'!AE41,"")</f>
        <v>5.6413514440090365E-2</v>
      </c>
      <c r="AF17" s="311">
        <f>IFERROR(-'FONTE INDICADORES (4)'!AF117/'FONTE INDICADORES (4)'!AF41,"")</f>
        <v>6.1894828258975049E-2</v>
      </c>
      <c r="AG17" s="311">
        <f>IFERROR(-'FONTE INDICADORES (4)'!AG117/'FONTE INDICADORES (4)'!AG41,"")</f>
        <v>6.7683820043976745E-2</v>
      </c>
      <c r="AH17" s="311">
        <f>IFERROR(-'FONTE INDICADORES (4)'!AH117/'FONTE INDICADORES (4)'!AH41,"")</f>
        <v>5.8867775716768662E-2</v>
      </c>
      <c r="AI17" s="311">
        <f>IFERROR(-'FONTE INDICADORES (4)'!AI117/'FONTE INDICADORES (4)'!AI41,"")</f>
        <v>4.5249836343549121E-2</v>
      </c>
      <c r="AJ17" s="311">
        <f>IFERROR(-'FONTE INDICADORES (4)'!AJ117/'FONTE INDICADORES (4)'!AJ41,"")</f>
        <v>7.168443292038798E-2</v>
      </c>
      <c r="AK17" s="311">
        <f>IFERROR(-'FONTE INDICADORES (4)'!AK117/'FONTE INDICADORES (4)'!AK41,"")</f>
        <v>5.9437302141347674E-2</v>
      </c>
      <c r="AL17" s="311">
        <f>IFERROR(-'FONTE INDICADORES (4)'!AL117/'FONTE INDICADORES (4)'!AL41,"")</f>
        <v>5.5324064785502038E-2</v>
      </c>
      <c r="AM17" s="311">
        <f>IFERROR(-'FONTE INDICADORES (4)'!AM117/'FONTE INDICADORES (4)'!AM41,"")</f>
        <v>6.1654288541987207E-2</v>
      </c>
      <c r="AN17" s="311">
        <f>IFERROR(-'FONTE INDICADORES (4)'!AN117/'FONTE INDICADORES (4)'!AN41,"")</f>
        <v>5.994656017852424E-2</v>
      </c>
      <c r="AO17" s="311">
        <f>IFERROR(-'FONTE INDICADORES (4)'!AO117/'FONTE INDICADORES (4)'!AO41,"")</f>
        <v>4.4488615214856995E-2</v>
      </c>
      <c r="AP17" s="311">
        <f>IFERROR(-'FONTE INDICADORES (4)'!AP117/'FONTE INDICADORES (4)'!AP41,"")</f>
        <v>5.5159229729099639E-2</v>
      </c>
      <c r="AQ17" s="311">
        <f>IFERROR(-'FONTE INDICADORES (4)'!AQ117/'FONTE INDICADORES (4)'!AQ41,"")</f>
        <v>6.6284277261435362E-2</v>
      </c>
      <c r="AR17" s="311">
        <f>IFERROR(-'FONTE INDICADORES (4)'!AR117/'FONTE INDICADORES (4)'!AR41,"")</f>
        <v>5.9100545013093517E-2</v>
      </c>
      <c r="AS17" s="311">
        <f>IFERROR(-'FONTE INDICADORES (4)'!AS117/'FONTE INDICADORES (4)'!AS41,"")</f>
        <v>5.2111086102721665E-2</v>
      </c>
      <c r="AT17" s="311">
        <f>IFERROR(-'FONTE INDICADORES (4)'!AT117/'FONTE INDICADORES (4)'!AT41,"")</f>
        <v>4.2654592745862821E-2</v>
      </c>
      <c r="AU17" s="311">
        <f>IFERROR(-'FONTE INDICADORES (4)'!AU117/'FONTE INDICADORES (4)'!AU41,"")</f>
        <v>5.433824030989895E-2</v>
      </c>
      <c r="AV17" s="311">
        <f>IFERROR(-'FONTE INDICADORES (4)'!AV117/'FONTE INDICADORES (4)'!AV41,"")</f>
        <v>6.0971290797910006E-2</v>
      </c>
      <c r="AW17" s="311">
        <f>IFERROR(-'FONTE INDICADORES (4)'!AW117/'FONTE INDICADORES (4)'!AW41,"")</f>
        <v>6.0101475843588097E-2</v>
      </c>
      <c r="AX17" s="311">
        <f>IFERROR(-'FONTE INDICADORES (4)'!AX117/'FONTE INDICADORES (4)'!AX41,"")</f>
        <v>6.104412062257477E-2</v>
      </c>
      <c r="AY17" s="311">
        <f>IFERROR(-'FONTE INDICADORES (4)'!AY117/'FONTE INDICADORES (4)'!AY41,"")</f>
        <v>6.1099591789607437E-2</v>
      </c>
      <c r="AZ17" s="311">
        <f>IFERROR(-'FONTE INDICADORES (4)'!AZ117/'FONTE INDICADORES (4)'!AZ41,"")</f>
        <v>6.0815500949065356E-2</v>
      </c>
      <c r="BA17" s="311">
        <f>IFERROR(-'FONTE INDICADORES (4)'!BA117/'FONTE INDICADORES (4)'!BA41,"")</f>
        <v>7.3997721867138308E-2</v>
      </c>
    </row>
    <row r="18" spans="1:53" s="2" customFormat="1" ht="15" customHeight="1">
      <c r="B18" s="2" t="s">
        <v>555</v>
      </c>
      <c r="C18" s="310">
        <v>0.12897131419213903</v>
      </c>
      <c r="D18" s="310">
        <v>0.13296676713337596</v>
      </c>
      <c r="E18" s="310">
        <v>0.12941110551446069</v>
      </c>
      <c r="F18" s="310">
        <v>0.26962678612216434</v>
      </c>
      <c r="G18" s="310">
        <v>0.16830518237686301</v>
      </c>
      <c r="H18" s="310">
        <v>0.11958893900345091</v>
      </c>
      <c r="I18" s="310">
        <v>0.11520074086164762</v>
      </c>
      <c r="J18" s="310">
        <v>0.13417336881601999</v>
      </c>
      <c r="K18" s="310">
        <v>0.16275290800389322</v>
      </c>
      <c r="L18" s="310">
        <v>0.13209512967135012</v>
      </c>
      <c r="M18" s="310">
        <v>9.7945132028651655E-2</v>
      </c>
      <c r="N18" s="310">
        <v>0.12349070734573757</v>
      </c>
      <c r="O18" s="310">
        <v>0.11545833999083173</v>
      </c>
      <c r="P18" s="310">
        <v>0.13584523651564373</v>
      </c>
      <c r="Q18" s="310">
        <v>0.11783012388278129</v>
      </c>
      <c r="R18" s="310">
        <f>IFERROR(-'FONTE INDICADORES (4)'!R118/'FONTE INDICADORES (4)'!R42,"")</f>
        <v>0.10660281660530768</v>
      </c>
      <c r="S18" s="310">
        <f>IFERROR(-'FONTE INDICADORES (4)'!S118/'FONTE INDICADORES (4)'!S42,"")</f>
        <v>0.11408492800813813</v>
      </c>
      <c r="T18" s="310">
        <f>IFERROR(-'FONTE INDICADORES (4)'!T118/'FONTE INDICADORES (4)'!T42,"")</f>
        <v>0.13766340986439529</v>
      </c>
      <c r="U18" s="310">
        <f>IFERROR(-'FONTE INDICADORES (4)'!U118/'FONTE INDICADORES (4)'!U42,"")</f>
        <v>9.368174827672042E-2</v>
      </c>
      <c r="V18" s="310">
        <f>IFERROR(-'FONTE INDICADORES (4)'!V118/'FONTE INDICADORES (4)'!V42,"")</f>
        <v>0.11244085671713799</v>
      </c>
      <c r="W18" s="310">
        <f>IFERROR(-'FONTE INDICADORES (4)'!W118/'FONTE INDICADORES (4)'!W42,"")</f>
        <v>0.11034998918260448</v>
      </c>
      <c r="X18" s="310">
        <f>IFERROR(-'FONTE INDICADORES (4)'!X118/'FONTE INDICADORES (4)'!X42,"")</f>
        <v>0.11053220476348817</v>
      </c>
      <c r="Y18" s="310">
        <f>IFERROR(-'FONTE INDICADORES (4)'!Y118/'FONTE INDICADORES (4)'!Y42,"")</f>
        <v>0.10792358569739609</v>
      </c>
      <c r="Z18" s="310">
        <f>IFERROR(-'FONTE INDICADORES (4)'!Z118/'FONTE INDICADORES (4)'!Z42,"")</f>
        <v>0.11936298333942269</v>
      </c>
      <c r="AA18" s="310">
        <f>IFERROR(-'FONTE INDICADORES (4)'!AA118/'FONTE INDICADORES (4)'!AA42,"")</f>
        <v>0.1123565825782033</v>
      </c>
      <c r="AB18" s="310">
        <f>IFERROR(-'FONTE INDICADORES (4)'!AB118/'FONTE INDICADORES (4)'!AB42,"")</f>
        <v>8.6955921851895226E-2</v>
      </c>
      <c r="AC18" s="310">
        <f>IFERROR(-'FONTE INDICADORES (4)'!AC118/'FONTE INDICADORES (4)'!AC42,"")</f>
        <v>7.4936124084103259E-2</v>
      </c>
      <c r="AD18" s="310">
        <f>IFERROR(-'FONTE INDICADORES (4)'!AD118/'FONTE INDICADORES (4)'!AD42,"")</f>
        <v>0.12677317101979155</v>
      </c>
      <c r="AE18" s="310">
        <f>IFERROR(-'FONTE INDICADORES (4)'!AE118/'FONTE INDICADORES (4)'!AE42,"")</f>
        <v>0.13691597339462605</v>
      </c>
      <c r="AF18" s="310">
        <f>IFERROR(-'FONTE INDICADORES (4)'!AF118/'FONTE INDICADORES (4)'!AF42,"")</f>
        <v>0.10574531073804086</v>
      </c>
      <c r="AG18" s="310">
        <f>IFERROR(-'FONTE INDICADORES (4)'!AG118/'FONTE INDICADORES (4)'!AG42,"")</f>
        <v>0.11350798348496474</v>
      </c>
      <c r="AH18" s="310">
        <f>IFERROR(-'FONTE INDICADORES (4)'!AH118/'FONTE INDICADORES (4)'!AH42,"")</f>
        <v>0.11206782723513674</v>
      </c>
      <c r="AI18" s="310">
        <f>IFERROR(-'FONTE INDICADORES (4)'!AI118/'FONTE INDICADORES (4)'!AI42,"")</f>
        <v>0.11531390599199107</v>
      </c>
      <c r="AJ18" s="310">
        <f>IFERROR(-'FONTE INDICADORES (4)'!AJ118/'FONTE INDICADORES (4)'!AJ42,"")</f>
        <v>0.11504156499564586</v>
      </c>
      <c r="AK18" s="310">
        <f>IFERROR(-'FONTE INDICADORES (4)'!AK118/'FONTE INDICADORES (4)'!AK42,"")</f>
        <v>0.11404410800371229</v>
      </c>
      <c r="AL18" s="310">
        <f>IFERROR(-'FONTE INDICADORES (4)'!AL118/'FONTE INDICADORES (4)'!AL42,"")</f>
        <v>0.10496977375067131</v>
      </c>
      <c r="AM18" s="310">
        <f>IFERROR(-'FONTE INDICADORES (4)'!AM118/'FONTE INDICADORES (4)'!AM42,"")</f>
        <v>0.10571075452760426</v>
      </c>
      <c r="AN18" s="310">
        <f>IFERROR(-'FONTE INDICADORES (4)'!AN118/'FONTE INDICADORES (4)'!AN42,"")</f>
        <v>0.10049396406159429</v>
      </c>
      <c r="AO18" s="310">
        <f>IFERROR(-'FONTE INDICADORES (4)'!AO118/'FONTE INDICADORES (4)'!AO42,"")</f>
        <v>0.11333431709144325</v>
      </c>
      <c r="AP18" s="310">
        <f>IFERROR(-'FONTE INDICADORES (4)'!AP118/'FONTE INDICADORES (4)'!AP42,"")</f>
        <v>0.10625219689947779</v>
      </c>
      <c r="AQ18" s="310">
        <f>IFERROR(-'FONTE INDICADORES (4)'!AQ118/'FONTE INDICADORES (4)'!AQ42,"")</f>
        <v>9.5252026430066014E-2</v>
      </c>
      <c r="AR18" s="310">
        <f>IFERROR(-'FONTE INDICADORES (4)'!AR118/'FONTE INDICADORES (4)'!AR42,"")</f>
        <v>9.074056606019773E-2</v>
      </c>
      <c r="AS18" s="310">
        <f>IFERROR(-'FONTE INDICADORES (4)'!AS118/'FONTE INDICADORES (4)'!AS42,"")</f>
        <v>9.442005654816106E-2</v>
      </c>
      <c r="AT18" s="310">
        <f>IFERROR(-'FONTE INDICADORES (4)'!AT118/'FONTE INDICADORES (4)'!AT42,"")</f>
        <v>0.11523020296750773</v>
      </c>
      <c r="AU18" s="310">
        <f>IFERROR(-'FONTE INDICADORES (4)'!AU118/'FONTE INDICADORES (4)'!AU42,"")</f>
        <v>9.9311153844199723E-2</v>
      </c>
      <c r="AV18" s="310">
        <f>IFERROR(-'FONTE INDICADORES (4)'!AV118/'FONTE INDICADORES (4)'!AV42,"")</f>
        <v>8.0425966409737662E-2</v>
      </c>
      <c r="AW18" s="310">
        <f>IFERROR(-'FONTE INDICADORES (4)'!AW118/'FONTE INDICADORES (4)'!AW42,"")</f>
        <v>7.5827357640933263E-2</v>
      </c>
      <c r="AX18" s="310">
        <f>IFERROR(-'FONTE INDICADORES (4)'!AX118/'FONTE INDICADORES (4)'!AX42,"")</f>
        <v>7.7107852029216842E-2</v>
      </c>
      <c r="AY18" s="310">
        <f>IFERROR(-'FONTE INDICADORES (4)'!AY118/'FONTE INDICADORES (4)'!AY42,"")</f>
        <v>0.1016632737245808</v>
      </c>
      <c r="AZ18" s="310">
        <f>IFERROR(-'FONTE INDICADORES (4)'!AZ118/'FONTE INDICADORES (4)'!AZ42,"")</f>
        <v>8.4196271760437591E-2</v>
      </c>
      <c r="BA18" s="310">
        <f>IFERROR(-'FONTE INDICADORES (4)'!BA118/'FONTE INDICADORES (4)'!BA42,"")</f>
        <v>6.7856301999156501E-2</v>
      </c>
    </row>
    <row r="19" spans="1:53" ht="15" customHeight="1"/>
    <row r="20" spans="1:53" s="2" customFormat="1" ht="24.4" customHeight="1">
      <c r="A20" s="625"/>
      <c r="B20" s="625" t="s">
        <v>557</v>
      </c>
      <c r="C20" s="626" t="s">
        <v>224</v>
      </c>
      <c r="D20" s="626" t="s">
        <v>225</v>
      </c>
      <c r="E20" s="626" t="s">
        <v>226</v>
      </c>
      <c r="F20" s="626" t="s">
        <v>227</v>
      </c>
      <c r="G20" s="642">
        <v>2016</v>
      </c>
      <c r="H20" s="626" t="s">
        <v>228</v>
      </c>
      <c r="I20" s="626" t="s">
        <v>229</v>
      </c>
      <c r="J20" s="626" t="s">
        <v>230</v>
      </c>
      <c r="K20" s="626" t="s">
        <v>231</v>
      </c>
      <c r="L20" s="642">
        <v>2017</v>
      </c>
      <c r="M20" s="626" t="s">
        <v>232</v>
      </c>
      <c r="N20" s="626" t="s">
        <v>233</v>
      </c>
      <c r="O20" s="626" t="s">
        <v>234</v>
      </c>
      <c r="P20" s="626" t="s">
        <v>235</v>
      </c>
      <c r="Q20" s="642">
        <v>2018</v>
      </c>
      <c r="R20" s="626" t="s">
        <v>236</v>
      </c>
      <c r="S20" s="626" t="s">
        <v>237</v>
      </c>
      <c r="T20" s="626" t="s">
        <v>238</v>
      </c>
      <c r="U20" s="626" t="s">
        <v>239</v>
      </c>
      <c r="V20" s="642">
        <v>2019</v>
      </c>
      <c r="W20" s="626" t="s">
        <v>240</v>
      </c>
      <c r="X20" s="626" t="s">
        <v>241</v>
      </c>
      <c r="Y20" s="626" t="s">
        <v>242</v>
      </c>
      <c r="Z20" s="626" t="s">
        <v>243</v>
      </c>
      <c r="AA20" s="642">
        <v>2020</v>
      </c>
      <c r="AB20" s="626" t="s">
        <v>244</v>
      </c>
      <c r="AC20" s="626" t="s">
        <v>245</v>
      </c>
      <c r="AD20" s="626" t="s">
        <v>246</v>
      </c>
      <c r="AE20" s="626" t="s">
        <v>247</v>
      </c>
      <c r="AF20" s="642">
        <v>2021</v>
      </c>
      <c r="AG20" s="626" t="s">
        <v>248</v>
      </c>
      <c r="AH20" s="626" t="s">
        <v>249</v>
      </c>
      <c r="AI20" s="626" t="s">
        <v>250</v>
      </c>
      <c r="AJ20" s="626" t="s">
        <v>215</v>
      </c>
      <c r="AK20" s="642">
        <v>2022</v>
      </c>
      <c r="AL20" s="626" t="s">
        <v>252</v>
      </c>
      <c r="AM20" s="626" t="s">
        <v>253</v>
      </c>
      <c r="AN20" s="626" t="s">
        <v>254</v>
      </c>
      <c r="AO20" s="626" t="s">
        <v>219</v>
      </c>
      <c r="AP20" s="642">
        <v>2023</v>
      </c>
      <c r="AQ20" s="642" t="s">
        <v>223</v>
      </c>
      <c r="AR20" s="642" t="s">
        <v>256</v>
      </c>
      <c r="AS20" s="642" t="s">
        <v>357</v>
      </c>
      <c r="AT20" s="642" t="s">
        <v>358</v>
      </c>
      <c r="AU20" s="642">
        <v>2024</v>
      </c>
      <c r="AV20" s="642" t="s">
        <v>359</v>
      </c>
      <c r="AW20" s="642" t="s">
        <v>1115</v>
      </c>
      <c r="AX20" s="642" t="s">
        <v>1116</v>
      </c>
      <c r="AY20" s="642" t="s">
        <v>1117</v>
      </c>
      <c r="AZ20" s="796">
        <v>2025</v>
      </c>
      <c r="BA20" s="797" t="s">
        <v>1124</v>
      </c>
    </row>
    <row r="21" spans="1:53" ht="15" customHeight="1">
      <c r="A21" s="9"/>
      <c r="B21" s="9" t="s">
        <v>547</v>
      </c>
      <c r="C21" s="309">
        <v>0.6170741982997805</v>
      </c>
      <c r="D21" s="309">
        <v>0.668556067399936</v>
      </c>
      <c r="E21" s="309">
        <v>0.63480886395885694</v>
      </c>
      <c r="F21" s="309">
        <v>0.67215591871885227</v>
      </c>
      <c r="G21" s="309">
        <v>0.6486071698059328</v>
      </c>
      <c r="H21" s="309">
        <v>0.66056104753950717</v>
      </c>
      <c r="I21" s="309">
        <v>0.64911911171949688</v>
      </c>
      <c r="J21" s="309">
        <v>0.70110687284065176</v>
      </c>
      <c r="K21" s="309">
        <v>0.62061137199275973</v>
      </c>
      <c r="L21" s="309">
        <v>0.65840175435867798</v>
      </c>
      <c r="M21" s="309">
        <v>0.58661473373801865</v>
      </c>
      <c r="N21" s="309">
        <v>0.61398355888015455</v>
      </c>
      <c r="O21" s="309">
        <v>0.56611121641523732</v>
      </c>
      <c r="P21" s="309">
        <v>0.62518216154735762</v>
      </c>
      <c r="Q21" s="309">
        <v>0.59458230131791601</v>
      </c>
      <c r="R21" s="309">
        <f>IFERROR(-'FONTE INDICADORES (4)'!R187/('FONTE INDICADORES (4)'!R35+'FONTE INDICADORES (4)'!R50+'FONTE INDICADORES (4)'!R62),"")</f>
        <v>0.59427421092649513</v>
      </c>
      <c r="S21" s="309">
        <f>IFERROR(-'FONTE INDICADORES (4)'!S187/('FONTE INDICADORES (4)'!S35+'FONTE INDICADORES (4)'!S50+'FONTE INDICADORES (4)'!S62),"")</f>
        <v>0.5938857046407825</v>
      </c>
      <c r="T21" s="309">
        <f>IFERROR(-'FONTE INDICADORES (4)'!T187/('FONTE INDICADORES (4)'!T35+'FONTE INDICADORES (4)'!T50+'FONTE INDICADORES (4)'!T62),"")</f>
        <v>0.57293538868732619</v>
      </c>
      <c r="U21" s="309">
        <f>IFERROR(-'FONTE INDICADORES (4)'!U187/('FONTE INDICADORES (4)'!U35+'FONTE INDICADORES (4)'!U50+'FONTE INDICADORES (4)'!U62),"")</f>
        <v>0.56144281423759035</v>
      </c>
      <c r="V21" s="309">
        <f>IFERROR(-'FONTE INDICADORES (4)'!V187/('FONTE INDICADORES (4)'!V35+'FONTE INDICADORES (4)'!V50+'FONTE INDICADORES (4)'!V62),"")</f>
        <v>0.58021201383218168</v>
      </c>
      <c r="W21" s="309">
        <f>IFERROR(-'FONTE INDICADORES (4)'!W187/('FONTE INDICADORES (4)'!W35+'FONTE INDICADORES (4)'!W50+'FONTE INDICADORES (4)'!W62),"")</f>
        <v>0.58895343834099612</v>
      </c>
      <c r="X21" s="309">
        <f>IFERROR(-'FONTE INDICADORES (4)'!X187/('FONTE INDICADORES (4)'!X35+'FONTE INDICADORES (4)'!X50+'FONTE INDICADORES (4)'!X62),"")</f>
        <v>0.57357575599637456</v>
      </c>
      <c r="Y21" s="309">
        <f>IFERROR(-'FONTE INDICADORES (4)'!Y187/('FONTE INDICADORES (4)'!Y35+'FONTE INDICADORES (4)'!Y50+'FONTE INDICADORES (4)'!Y62),"")</f>
        <v>0.58419110730123236</v>
      </c>
      <c r="Z21" s="309">
        <f>IFERROR(-'FONTE INDICADORES (4)'!Z187/('FONTE INDICADORES (4)'!Z35+'FONTE INDICADORES (4)'!Z50+'FONTE INDICADORES (4)'!Z62),"")</f>
        <v>0.61861679136096748</v>
      </c>
      <c r="AA21" s="309">
        <f>IFERROR(-'FONTE INDICADORES (4)'!AA187/('FONTE INDICADORES (4)'!AA35+'FONTE INDICADORES (4)'!AA50+'FONTE INDICADORES (4)'!AA62),"")</f>
        <v>0.59170335525028772</v>
      </c>
      <c r="AB21" s="309">
        <f>IFERROR(-'FONTE INDICADORES (4)'!AB187/('FONTE INDICADORES (4)'!AB35+'FONTE INDICADORES (4)'!AB50+'FONTE INDICADORES (4)'!AB62),"")</f>
        <v>0.63514421823249889</v>
      </c>
      <c r="AC21" s="309">
        <f>IFERROR(-'FONTE INDICADORES (4)'!AC187/('FONTE INDICADORES (4)'!AC35+'FONTE INDICADORES (4)'!AC50+'FONTE INDICADORES (4)'!AC62),"")</f>
        <v>0.66170344889705635</v>
      </c>
      <c r="AD21" s="309">
        <f>IFERROR(-'FONTE INDICADORES (4)'!AD187/('FONTE INDICADORES (4)'!AD35+'FONTE INDICADORES (4)'!AD50+'FONTE INDICADORES (4)'!AD62),"")</f>
        <v>0.62155064187509512</v>
      </c>
      <c r="AE21" s="309">
        <f>IFERROR(-'FONTE INDICADORES (4)'!AE187/('FONTE INDICADORES (4)'!AE35+'FONTE INDICADORES (4)'!AE50+'FONTE INDICADORES (4)'!AE62),"")</f>
        <v>0.61070288271030793</v>
      </c>
      <c r="AF21" s="309">
        <f>IFERROR(-'FONTE INDICADORES (4)'!AF187/('FONTE INDICADORES (4)'!AF35+'FONTE INDICADORES (4)'!AF50+'FONTE INDICADORES (4)'!AF62),"")</f>
        <v>0.63162160097553222</v>
      </c>
      <c r="AG21" s="309">
        <f>IFERROR(-'FONTE INDICADORES (4)'!AG187/('FONTE INDICADORES (4)'!AG35+'FONTE INDICADORES (4)'!AG50+'FONTE INDICADORES (4)'!AG62),"")</f>
        <v>0.63374796896760566</v>
      </c>
      <c r="AH21" s="309">
        <f>IFERROR(-'FONTE INDICADORES (4)'!AH187/('FONTE INDICADORES (4)'!AH35+'FONTE INDICADORES (4)'!AH50+'FONTE INDICADORES (4)'!AH62),"")</f>
        <v>0.58788541421254326</v>
      </c>
      <c r="AI21" s="309">
        <f>IFERROR(-'FONTE INDICADORES (4)'!AI187/('FONTE INDICADORES (4)'!AI35+'FONTE INDICADORES (4)'!AI50+'FONTE INDICADORES (4)'!AI62),"")</f>
        <v>0.59724103599194445</v>
      </c>
      <c r="AJ21" s="309">
        <f>IFERROR(-'FONTE INDICADORES (4)'!AJ187/('FONTE INDICADORES (4)'!AJ35+'FONTE INDICADORES (4)'!AJ50+'FONTE INDICADORES (4)'!AJ62),"")</f>
        <v>0.59375194995489267</v>
      </c>
      <c r="AK21" s="309">
        <f>IFERROR(-'FONTE INDICADORES (4)'!AK187/('FONTE INDICADORES (4)'!AK35+'FONTE INDICADORES (4)'!AK50+'FONTE INDICADORES (4)'!AK62),"")</f>
        <v>0.60246898155893547</v>
      </c>
      <c r="AL21" s="309">
        <f>IFERROR(-'FONTE INDICADORES (4)'!AL187/('FONTE INDICADORES (4)'!AL35+'FONTE INDICADORES (4)'!AL50+'FONTE INDICADORES (4)'!AL62),"")</f>
        <v>0.56893267265042824</v>
      </c>
      <c r="AM21" s="309">
        <f>IFERROR(-'FONTE INDICADORES (4)'!AM187/('FONTE INDICADORES (4)'!AM35+'FONTE INDICADORES (4)'!AM50+'FONTE INDICADORES (4)'!AM62),"")</f>
        <v>0.55608009003379466</v>
      </c>
      <c r="AN21" s="309">
        <f>IFERROR(-'FONTE INDICADORES (4)'!AN187/('FONTE INDICADORES (4)'!AN35+'FONTE INDICADORES (4)'!AN50+'FONTE INDICADORES (4)'!AN62),"")</f>
        <v>0.55245625210584903</v>
      </c>
      <c r="AO21" s="309">
        <f>IFERROR(-'FONTE INDICADORES (4)'!AO187/('FONTE INDICADORES (4)'!AO35+'FONTE INDICADORES (4)'!AO50+'FONTE INDICADORES (4)'!AO62),"")</f>
        <v>0.58336358494862017</v>
      </c>
      <c r="AP21" s="309">
        <f>IFERROR(-'FONTE INDICADORES (4)'!AP187/('FONTE INDICADORES (4)'!AP35+'FONTE INDICADORES (4)'!AP50+'FONTE INDICADORES (4)'!AP62),"")</f>
        <v>0.56530714928117842</v>
      </c>
      <c r="AQ21" s="309">
        <f>IFERROR(-'FONTE INDICADORES (4)'!AQ187/('FONTE INDICADORES (4)'!AQ35+'FONTE INDICADORES (4)'!AQ50+'FONTE INDICADORES (4)'!AQ62),"")</f>
        <v>0.54473464735137</v>
      </c>
      <c r="AR21" s="309">
        <f>IFERROR(-'FONTE INDICADORES (4)'!AR187/('FONTE INDICADORES (4)'!AR35+'FONTE INDICADORES (4)'!AR50+'FONTE INDICADORES (4)'!AR62),"")</f>
        <v>0.67480938961928016</v>
      </c>
      <c r="AS21" s="309">
        <f>IFERROR(-'FONTE INDICADORES (4)'!AS187/('FONTE INDICADORES (4)'!AS35+'FONTE INDICADORES (4)'!AS50+'FONTE INDICADORES (4)'!AS62),"")</f>
        <v>0.55928420583672989</v>
      </c>
      <c r="AT21" s="309">
        <f>IFERROR(-'FONTE INDICADORES (4)'!AT187/('FONTE INDICADORES (4)'!AT35+'FONTE INDICADORES (4)'!AT50+'FONTE INDICADORES (4)'!AT62),"")</f>
        <v>0.57621884065055884</v>
      </c>
      <c r="AU21" s="309">
        <f>IFERROR(-'FONTE INDICADORES (4)'!AU187/('FONTE INDICADORES (4)'!AU35+'FONTE INDICADORES (4)'!AU50+'FONTE INDICADORES (4)'!AU62),"")</f>
        <v>0.58841843113716141</v>
      </c>
      <c r="AV21" s="309">
        <f>IFERROR(-'FONTE INDICADORES (4)'!AV187/('FONTE INDICADORES (4)'!AV35+'FONTE INDICADORES (4)'!AV50+'FONTE INDICADORES (4)'!AV62),"")</f>
        <v>0.57757755105223907</v>
      </c>
      <c r="AW21" s="309">
        <f>IFERROR(-'FONTE INDICADORES (4)'!AW187/('FONTE INDICADORES (4)'!AW35+'FONTE INDICADORES (4)'!AW50+'FONTE INDICADORES (4)'!AW62),"")</f>
        <v>0.57559374901174731</v>
      </c>
      <c r="AX21" s="309">
        <f>IFERROR(-'FONTE INDICADORES (4)'!AX187/('FONTE INDICADORES (4)'!AX35+'FONTE INDICADORES (4)'!AX50+'FONTE INDICADORES (4)'!AX62),"")</f>
        <v>0.56788805778243667</v>
      </c>
      <c r="AY21" s="309">
        <f>IFERROR(-'FONTE INDICADORES (4)'!AY187/('FONTE INDICADORES (4)'!AY35+'FONTE INDICADORES (4)'!AY50+'FONTE INDICADORES (4)'!AY62),"")</f>
        <v>0.59318841822689106</v>
      </c>
      <c r="AZ21" s="309">
        <f>IFERROR(-'FONTE INDICADORES (4)'!AZ187/('FONTE INDICADORES (4)'!AZ35+'FONTE INDICADORES (4)'!AZ50+'FONTE INDICADORES (4)'!AZ62),"")</f>
        <v>0.57867133668699067</v>
      </c>
      <c r="BA21" s="309">
        <f>IFERROR(-'FONTE INDICADORES (4)'!BA187/('FONTE INDICADORES (4)'!BA35+'FONTE INDICADORES (4)'!BA50+'FONTE INDICADORES (4)'!BA62),"")</f>
        <v>0.54700956032449954</v>
      </c>
    </row>
    <row r="22" spans="1:53" s="2" customFormat="1" ht="15" customHeight="1">
      <c r="B22" s="2" t="s">
        <v>549</v>
      </c>
      <c r="C22" s="310">
        <v>0.54897152011301387</v>
      </c>
      <c r="D22" s="310">
        <v>0.57743026791653496</v>
      </c>
      <c r="E22" s="310">
        <v>0.52122588974388684</v>
      </c>
      <c r="F22" s="310">
        <v>0.59418240042889159</v>
      </c>
      <c r="G22" s="310">
        <v>0.56080363242472475</v>
      </c>
      <c r="H22" s="310">
        <v>0.60301508978035245</v>
      </c>
      <c r="I22" s="310">
        <v>0.59275212693686952</v>
      </c>
      <c r="J22" s="310">
        <v>0.65513658472186909</v>
      </c>
      <c r="K22" s="310">
        <v>0.57594928424360614</v>
      </c>
      <c r="L22" s="310">
        <v>0.60716607098299691</v>
      </c>
      <c r="M22" s="310">
        <v>0.56442940427164823</v>
      </c>
      <c r="N22" s="310">
        <v>0.57434543744685418</v>
      </c>
      <c r="O22" s="310">
        <v>0.52838771551181019</v>
      </c>
      <c r="P22" s="310">
        <v>0.58796374474387569</v>
      </c>
      <c r="Q22" s="310">
        <v>0.559677595300478</v>
      </c>
      <c r="R22" s="310">
        <f>IFERROR(-'FONTE INDICADORES (4)'!R188/('FONTE INDICADORES (4)'!R36+'FONTE INDICADORES (4)'!R50+'FONTE INDICADORES (4)'!R62),"")</f>
        <v>0.57180484938043308</v>
      </c>
      <c r="S22" s="310">
        <f>IFERROR(-'FONTE INDICADORES (4)'!S188/('FONTE INDICADORES (4)'!S36+'FONTE INDICADORES (4)'!S50+'FONTE INDICADORES (4)'!S62),"")</f>
        <v>0.57150140135334304</v>
      </c>
      <c r="T22" s="310">
        <f>IFERROR(-'FONTE INDICADORES (4)'!T188/('FONTE INDICADORES (4)'!T36+'FONTE INDICADORES (4)'!T50+'FONTE INDICADORES (4)'!T62),"")</f>
        <v>0.5495945043476671</v>
      </c>
      <c r="U22" s="310">
        <f>IFERROR(-'FONTE INDICADORES (4)'!U188/('FONTE INDICADORES (4)'!U36+'FONTE INDICADORES (4)'!U50+'FONTE INDICADORES (4)'!U62),"")</f>
        <v>0.53994752138314017</v>
      </c>
      <c r="V22" s="310">
        <f>IFERROR(-'FONTE INDICADORES (4)'!V188/('FONTE INDICADORES (4)'!V36+'FONTE INDICADORES (4)'!V50+'FONTE INDICADORES (4)'!V62),"")</f>
        <v>0.55784904968026883</v>
      </c>
      <c r="W22" s="310">
        <f>IFERROR(-'FONTE INDICADORES (4)'!W188/('FONTE INDICADORES (4)'!W36+'FONTE INDICADORES (4)'!W50+'FONTE INDICADORES (4)'!W62),"")</f>
        <v>0.56850958415751196</v>
      </c>
      <c r="X22" s="310">
        <f>IFERROR(-'FONTE INDICADORES (4)'!X188/('FONTE INDICADORES (4)'!X36+'FONTE INDICADORES (4)'!X50+'FONTE INDICADORES (4)'!X62),"")</f>
        <v>0.55051752032284629</v>
      </c>
      <c r="Y22" s="310">
        <f>IFERROR(-'FONTE INDICADORES (4)'!Y188/('FONTE INDICADORES (4)'!Y36+'FONTE INDICADORES (4)'!Y50+'FONTE INDICADORES (4)'!Y62),"")</f>
        <v>0.56109405796694489</v>
      </c>
      <c r="Z22" s="310">
        <f>IFERROR(-'FONTE INDICADORES (4)'!Z188/('FONTE INDICADORES (4)'!Z36+'FONTE INDICADORES (4)'!Z50+'FONTE INDICADORES (4)'!Z62),"")</f>
        <v>0.5976383134039881</v>
      </c>
      <c r="AA22" s="310">
        <f>IFERROR(-'FONTE INDICADORES (4)'!AA188/('FONTE INDICADORES (4)'!AA36+'FONTE INDICADORES (4)'!AA50+'FONTE INDICADORES (4)'!AA62),"")</f>
        <v>0.56970976224653636</v>
      </c>
      <c r="AB22" s="310">
        <f>IFERROR(-'FONTE INDICADORES (4)'!AB188/('FONTE INDICADORES (4)'!AB36+'FONTE INDICADORES (4)'!AB50+'FONTE INDICADORES (4)'!AB62),"")</f>
        <v>0.61652131363638774</v>
      </c>
      <c r="AC22" s="310">
        <f>IFERROR(-'FONTE INDICADORES (4)'!AC188/('FONTE INDICADORES (4)'!AC36+'FONTE INDICADORES (4)'!AC50+'FONTE INDICADORES (4)'!AC62),"")</f>
        <v>0.64294496258957645</v>
      </c>
      <c r="AD22" s="310">
        <f>IFERROR(-'FONTE INDICADORES (4)'!AD188/('FONTE INDICADORES (4)'!AD36+'FONTE INDICADORES (4)'!AD50+'FONTE INDICADORES (4)'!AD62),"")</f>
        <v>0.59877787370075275</v>
      </c>
      <c r="AE22" s="310">
        <f>IFERROR(-'FONTE INDICADORES (4)'!AE188/('FONTE INDICADORES (4)'!AE36+'FONTE INDICADORES (4)'!AE50+'FONTE INDICADORES (4)'!AE62),"")</f>
        <v>0.59190301606505979</v>
      </c>
      <c r="AF22" s="310">
        <f>IFERROR(-'FONTE INDICADORES (4)'!AF188/('FONTE INDICADORES (4)'!AF36+'FONTE INDICADORES (4)'!AF50+'FONTE INDICADORES (4)'!AF62),"")</f>
        <v>0.61175461882754867</v>
      </c>
      <c r="AG22" s="310">
        <f>IFERROR(-'FONTE INDICADORES (4)'!AG188/('FONTE INDICADORES (4)'!AG36+'FONTE INDICADORES (4)'!AG50+'FONTE INDICADORES (4)'!AG62),"")</f>
        <v>0.61338855171464635</v>
      </c>
      <c r="AH22" s="310">
        <f>IFERROR(-'FONTE INDICADORES (4)'!AH188/('FONTE INDICADORES (4)'!AH36+'FONTE INDICADORES (4)'!AH50+'FONTE INDICADORES (4)'!AH62),"")</f>
        <v>0.56392549617447685</v>
      </c>
      <c r="AI22" s="310">
        <f>IFERROR(-'FONTE INDICADORES (4)'!AI188/('FONTE INDICADORES (4)'!AI36+'FONTE INDICADORES (4)'!AI50+'FONTE INDICADORES (4)'!AI62),"")</f>
        <v>0.58488725281668874</v>
      </c>
      <c r="AJ22" s="310">
        <f>IFERROR(-'FONTE INDICADORES (4)'!AJ188/('FONTE INDICADORES (4)'!AJ36+'FONTE INDICADORES (4)'!AJ50+'FONTE INDICADORES (4)'!AJ62),"")</f>
        <v>0.58288008577251749</v>
      </c>
      <c r="AK22" s="310">
        <f>IFERROR(-'FONTE INDICADORES (4)'!AK188/('FONTE INDICADORES (4)'!AK36+'FONTE INDICADORES (4)'!AK50+'FONTE INDICADORES (4)'!AK62),"")</f>
        <v>0.58589230033556339</v>
      </c>
      <c r="AL22" s="310">
        <f>IFERROR(-'FONTE INDICADORES (4)'!AL188/('FONTE INDICADORES (4)'!AL36+'FONTE INDICADORES (4)'!AL50+'FONTE INDICADORES (4)'!AL62),"")</f>
        <v>0.55602320375061387</v>
      </c>
      <c r="AM22" s="310">
        <f>IFERROR(-'FONTE INDICADORES (4)'!AM188/('FONTE INDICADORES (4)'!AM36+'FONTE INDICADORES (4)'!AM50+'FONTE INDICADORES (4)'!AM62),"")</f>
        <v>0.53417839444524273</v>
      </c>
      <c r="AN22" s="310">
        <f>IFERROR(-'FONTE INDICADORES (4)'!AN188/('FONTE INDICADORES (4)'!AN36+'FONTE INDICADORES (4)'!AN50+'FONTE INDICADORES (4)'!AN62),"")</f>
        <v>0.53150842491218286</v>
      </c>
      <c r="AO22" s="310">
        <f>IFERROR(-'FONTE INDICADORES (4)'!AO188/('FONTE INDICADORES (4)'!AO36+'FONTE INDICADORES (4)'!AO50+'FONTE INDICADORES (4)'!AO62),"")</f>
        <v>0.56400604876748173</v>
      </c>
      <c r="AP22" s="310">
        <f>IFERROR(-'FONTE INDICADORES (4)'!AP188/('FONTE INDICADORES (4)'!AP36+'FONTE INDICADORES (4)'!AP50+'FONTE INDICADORES (4)'!AP62),"")</f>
        <v>0.54646637387316421</v>
      </c>
      <c r="AQ22" s="310">
        <f>IFERROR(-'FONTE INDICADORES (4)'!AQ188/('FONTE INDICADORES (4)'!AQ36+'FONTE INDICADORES (4)'!AQ50+'FONTE INDICADORES (4)'!AQ62),"")</f>
        <v>0.53304961909445592</v>
      </c>
      <c r="AR22" s="310">
        <f>IFERROR(-'FONTE INDICADORES (4)'!AR188/('FONTE INDICADORES (4)'!AR36+'FONTE INDICADORES (4)'!AR50+'FONTE INDICADORES (4)'!AR62),"")</f>
        <v>0.6717412944212664</v>
      </c>
      <c r="AS22" s="310">
        <f>IFERROR(-'FONTE INDICADORES (4)'!AS188/('FONTE INDICADORES (4)'!AS36+'FONTE INDICADORES (4)'!AS50+'FONTE INDICADORES (4)'!AS62),"")</f>
        <v>0.55003074740009683</v>
      </c>
      <c r="AT22" s="310">
        <f>IFERROR(-'FONTE INDICADORES (4)'!AT188/('FONTE INDICADORES (4)'!AT36+'FONTE INDICADORES (4)'!AT50+'FONTE INDICADORES (4)'!AT62),"")</f>
        <v>0.55781392061475943</v>
      </c>
      <c r="AU22" s="310">
        <f>IFERROR(-'FONTE INDICADORES (4)'!AU188/('FONTE INDICADORES (4)'!AU36+'FONTE INDICADORES (4)'!AU50+'FONTE INDICADORES (4)'!AU62),"")</f>
        <v>0.57775223796770803</v>
      </c>
      <c r="AV22" s="310">
        <f>IFERROR(-'FONTE INDICADORES (4)'!AV188/('FONTE INDICADORES (4)'!AV36+'FONTE INDICADORES (4)'!AV50+'FONTE INDICADORES (4)'!AV62),"")</f>
        <v>0.56472487116968118</v>
      </c>
      <c r="AW22" s="310">
        <f>IFERROR(-'FONTE INDICADORES (4)'!AW188/('FONTE INDICADORES (4)'!AW36+'FONTE INDICADORES (4)'!AW50+'FONTE INDICADORES (4)'!AW62),"")</f>
        <v>0.5581880521267375</v>
      </c>
      <c r="AX22" s="310">
        <f>IFERROR(-'FONTE INDICADORES (4)'!AX188/('FONTE INDICADORES (4)'!AX36+'FONTE INDICADORES (4)'!AX50+'FONTE INDICADORES (4)'!AX62),"")</f>
        <v>0.55601871810230608</v>
      </c>
      <c r="AY22" s="310">
        <f>IFERROR(-'FONTE INDICADORES (4)'!AY188/('FONTE INDICADORES (4)'!AY36+'FONTE INDICADORES (4)'!AY50+'FONTE INDICADORES (4)'!AY62),"")</f>
        <v>0.56386452646784491</v>
      </c>
      <c r="AZ22" s="310">
        <f>IFERROR(-'FONTE INDICADORES (4)'!AZ188/('FONTE INDICADORES (4)'!AZ36+'FONTE INDICADORES (4)'!AZ50+'FONTE INDICADORES (4)'!AZ62),"")</f>
        <v>0.56069182786452332</v>
      </c>
      <c r="BA22" s="310">
        <f>IFERROR(-'FONTE INDICADORES (4)'!BA188/('FONTE INDICADORES (4)'!BA36+'FONTE INDICADORES (4)'!BA50+'FONTE INDICADORES (4)'!BA62),"")</f>
        <v>0.53698727910803179</v>
      </c>
    </row>
    <row r="23" spans="1:53" ht="15" customHeight="1">
      <c r="B23" s="11" t="s">
        <v>462</v>
      </c>
      <c r="C23" s="311">
        <v>0.5727175474868601</v>
      </c>
      <c r="D23" s="311">
        <v>0.59719173874718823</v>
      </c>
      <c r="E23" s="311">
        <v>0.54124417297898098</v>
      </c>
      <c r="F23" s="311">
        <v>0.61944190779270625</v>
      </c>
      <c r="G23" s="311">
        <v>0.58304047567259154</v>
      </c>
      <c r="H23" s="311">
        <v>0.64342204442163342</v>
      </c>
      <c r="I23" s="311">
        <v>0.62953122536439354</v>
      </c>
      <c r="J23" s="311">
        <v>0.69641162164157699</v>
      </c>
      <c r="K23" s="311">
        <v>0.59967928766299849</v>
      </c>
      <c r="L23" s="311">
        <v>0.64264585692530141</v>
      </c>
      <c r="M23" s="311">
        <v>0.61290311387504559</v>
      </c>
      <c r="N23" s="311">
        <v>0.61273608098845778</v>
      </c>
      <c r="O23" s="311">
        <v>0.5497253352832705</v>
      </c>
      <c r="P23" s="311">
        <v>0.62801271066276376</v>
      </c>
      <c r="Q23" s="311">
        <v>0.59461557880831306</v>
      </c>
      <c r="R23" s="311">
        <f>IFERROR(-'FONTE INDICADORES (4)'!R189/('FONTE INDICADORES (4)'!R37+'FONTE INDICADORES (4)'!R50),"")</f>
        <v>0.60823267252359547</v>
      </c>
      <c r="S23" s="311">
        <f>IFERROR(-'FONTE INDICADORES (4)'!S189/('FONTE INDICADORES (4)'!S37+'FONTE INDICADORES (4)'!S50),"")</f>
        <v>0.61121785636571879</v>
      </c>
      <c r="T23" s="311">
        <f>IFERROR(-'FONTE INDICADORES (4)'!T189/('FONTE INDICADORES (4)'!T37+'FONTE INDICADORES (4)'!T50),"")</f>
        <v>0.58349303915654049</v>
      </c>
      <c r="U23" s="311">
        <f>IFERROR(-'FONTE INDICADORES (4)'!U189/('FONTE INDICADORES (4)'!U37+'FONTE INDICADORES (4)'!U50),"")</f>
        <v>0.5505311930354152</v>
      </c>
      <c r="V23" s="311">
        <f>IFERROR(-'FONTE INDICADORES (4)'!V189/('FONTE INDICADORES (4)'!V37+'FONTE INDICADORES (4)'!V50),"")</f>
        <v>0.58739765440956937</v>
      </c>
      <c r="W23" s="311">
        <f>IFERROR(-'FONTE INDICADORES (4)'!W189/('FONTE INDICADORES (4)'!W37+'FONTE INDICADORES (4)'!W50),"")</f>
        <v>0.59926936270092268</v>
      </c>
      <c r="X23" s="311">
        <f>IFERROR(-'FONTE INDICADORES (4)'!X189/('FONTE INDICADORES (4)'!X37+'FONTE INDICADORES (4)'!X50),"")</f>
        <v>0.57730393295283711</v>
      </c>
      <c r="Y23" s="311">
        <f>IFERROR(-'FONTE INDICADORES (4)'!Y189/('FONTE INDICADORES (4)'!Y37+'FONTE INDICADORES (4)'!Y50),"")</f>
        <v>0.62217077910281915</v>
      </c>
      <c r="Z23" s="311">
        <f>IFERROR(-'FONTE INDICADORES (4)'!Z189/('FONTE INDICADORES (4)'!Z37+'FONTE INDICADORES (4)'!Z50),"")</f>
        <v>0.64376710152187988</v>
      </c>
      <c r="AA23" s="311">
        <f>IFERROR(-'FONTE INDICADORES (4)'!AA189/('FONTE INDICADORES (4)'!AA37+'FONTE INDICADORES (4)'!AA50),"")</f>
        <v>0.61108254077984447</v>
      </c>
      <c r="AB23" s="311">
        <f>IFERROR(-'FONTE INDICADORES (4)'!AB189/('FONTE INDICADORES (4)'!AB37+'FONTE INDICADORES (4)'!AB50),"")</f>
        <v>0.63850046378393899</v>
      </c>
      <c r="AC23" s="311">
        <f>IFERROR(-'FONTE INDICADORES (4)'!AC189/('FONTE INDICADORES (4)'!AC37+'FONTE INDICADORES (4)'!AC50),"")</f>
        <v>0.66781818009121685</v>
      </c>
      <c r="AD23" s="311">
        <f>IFERROR(-'FONTE INDICADORES (4)'!AD189/('FONTE INDICADORES (4)'!AD37+'FONTE INDICADORES (4)'!AD50),"")</f>
        <v>0.66882973888557773</v>
      </c>
      <c r="AE23" s="311">
        <f>IFERROR(-'FONTE INDICADORES (4)'!AE189/('FONTE INDICADORES (4)'!AE37+'FONTE INDICADORES (4)'!AE50),"")</f>
        <v>0.61376736684687727</v>
      </c>
      <c r="AF23" s="311">
        <f>IFERROR(-'FONTE INDICADORES (4)'!AF189/('FONTE INDICADORES (4)'!AF37+'FONTE INDICADORES (4)'!AF50),"")</f>
        <v>0.64804156053855444</v>
      </c>
      <c r="AG23" s="311">
        <f>IFERROR(-'FONTE INDICADORES (4)'!AG189/('FONTE INDICADORES (4)'!AG37+'FONTE INDICADORES (4)'!AG50),"")</f>
        <v>0.58725895671737571</v>
      </c>
      <c r="AH23" s="311">
        <f>IFERROR(-'FONTE INDICADORES (4)'!AH189/('FONTE INDICADORES (4)'!AH37+'FONTE INDICADORES (4)'!AH50),"")</f>
        <v>0.59782438970465279</v>
      </c>
      <c r="AI23" s="311">
        <f>IFERROR(-'FONTE INDICADORES (4)'!AI189/('FONTE INDICADORES (4)'!AI37+'FONTE INDICADORES (4)'!AI50),"")</f>
        <v>0.6363669822870337</v>
      </c>
      <c r="AJ23" s="311">
        <f>IFERROR(-'FONTE INDICADORES (4)'!AJ189/('FONTE INDICADORES (4)'!AJ37+'FONTE INDICADORES (4)'!AJ50),"")</f>
        <v>0.62767274229478476</v>
      </c>
      <c r="AK23" s="311">
        <f>IFERROR(-'FONTE INDICADORES (4)'!AK189/('FONTE INDICADORES (4)'!AK37+'FONTE INDICADORES (4)'!AK50),"")</f>
        <v>0.61213923159335837</v>
      </c>
      <c r="AL23" s="311">
        <f>IFERROR(-'FONTE INDICADORES (4)'!AL189/('FONTE INDICADORES (4)'!AL37+'FONTE INDICADORES (4)'!AL50),"")</f>
        <v>0.60419028499950322</v>
      </c>
      <c r="AM23" s="311">
        <f>IFERROR(-'FONTE INDICADORES (4)'!AM189/('FONTE INDICADORES (4)'!AM37+'FONTE INDICADORES (4)'!AM50),"")</f>
        <v>0.59854710420352508</v>
      </c>
      <c r="AN23" s="311">
        <f>IFERROR(-'FONTE INDICADORES (4)'!AN189/('FONTE INDICADORES (4)'!AN37+'FONTE INDICADORES (4)'!AN50),"")</f>
        <v>0.57986918289847955</v>
      </c>
      <c r="AO23" s="311">
        <f>IFERROR(-'FONTE INDICADORES (4)'!AO189/('FONTE INDICADORES (4)'!AO37+'FONTE INDICADORES (4)'!AO50),"")</f>
        <v>0.58504604730905141</v>
      </c>
      <c r="AP23" s="311">
        <f>IFERROR(-'FONTE INDICADORES (4)'!AP189/('FONTE INDICADORES (4)'!AP37+'FONTE INDICADORES (4)'!AP50),"")</f>
        <v>0.59205541714463739</v>
      </c>
      <c r="AQ23" s="311">
        <f>IFERROR(-'FONTE INDICADORES (4)'!AQ189/('FONTE INDICADORES (4)'!AQ37+'FONTE INDICADORES (4)'!AQ50),"")</f>
        <v>0.58871639225791084</v>
      </c>
      <c r="AR23" s="311">
        <f>IFERROR(-'FONTE INDICADORES (4)'!AR189/('FONTE INDICADORES (4)'!AR37+'FONTE INDICADORES (4)'!AR50),"")</f>
        <v>0.7145131630821655</v>
      </c>
      <c r="AS23" s="311">
        <f>IFERROR(-'FONTE INDICADORES (4)'!AS189/('FONTE INDICADORES (4)'!AS37+'FONTE INDICADORES (4)'!AS50),"")</f>
        <v>0.61313303243574047</v>
      </c>
      <c r="AT23" s="311">
        <f>IFERROR(-'FONTE INDICADORES (4)'!AT189/('FONTE INDICADORES (4)'!AT37+'FONTE INDICADORES (4)'!AT50),"")</f>
        <v>0.63704872348738972</v>
      </c>
      <c r="AU23" s="311">
        <f>IFERROR(-'FONTE INDICADORES (4)'!AU189/('FONTE INDICADORES (4)'!AU37+'FONTE INDICADORES (4)'!AU50),"")</f>
        <v>0.63808356898873475</v>
      </c>
      <c r="AV23" s="311">
        <f>IFERROR(-'FONTE INDICADORES (4)'!AV189/('FONTE INDICADORES (4)'!AV37+'FONTE INDICADORES (4)'!AV50),"")</f>
        <v>0.66911729645770568</v>
      </c>
      <c r="AW23" s="311">
        <f>IFERROR(-'FONTE INDICADORES (4)'!AW189/('FONTE INDICADORES (4)'!AW37+'FONTE INDICADORES (4)'!AW50),"")</f>
        <v>0.62700457919703245</v>
      </c>
      <c r="AX23" s="311">
        <f>IFERROR(-'FONTE INDICADORES (4)'!AX189/('FONTE INDICADORES (4)'!AX37+'FONTE INDICADORES (4)'!AX50),"")</f>
        <v>0.65212823120089469</v>
      </c>
      <c r="AY23" s="311">
        <f>IFERROR(-'FONTE INDICADORES (4)'!AY189/('FONTE INDICADORES (4)'!AY37+'FONTE INDICADORES (4)'!AY50),"")</f>
        <v>0.61263806110952024</v>
      </c>
      <c r="AZ23" s="311">
        <f>IFERROR(-'FONTE INDICADORES (4)'!AZ189/('FONTE INDICADORES (4)'!AZ37+'FONTE INDICADORES (4)'!AZ50),"")</f>
        <v>0.64019687802470815</v>
      </c>
      <c r="BA23" s="311">
        <f>IFERROR(-'FONTE INDICADORES (4)'!BA189/('FONTE INDICADORES (4)'!BA37+'FONTE INDICADORES (4)'!BA50),"")</f>
        <v>0.62979076235502174</v>
      </c>
    </row>
    <row r="24" spans="1:53" ht="15" customHeight="1">
      <c r="B24" s="11" t="s">
        <v>446</v>
      </c>
      <c r="C24" s="311" t="s">
        <v>552</v>
      </c>
      <c r="D24" s="311" t="s">
        <v>552</v>
      </c>
      <c r="E24" s="311" t="s">
        <v>552</v>
      </c>
      <c r="F24" s="311" t="s">
        <v>552</v>
      </c>
      <c r="G24" s="311" t="s">
        <v>552</v>
      </c>
      <c r="H24" s="311" t="s">
        <v>552</v>
      </c>
      <c r="I24" s="311" t="s">
        <v>552</v>
      </c>
      <c r="J24" s="311" t="s">
        <v>552</v>
      </c>
      <c r="K24" s="311" t="s">
        <v>552</v>
      </c>
      <c r="L24" s="311" t="s">
        <v>552</v>
      </c>
      <c r="M24" s="311" t="s">
        <v>552</v>
      </c>
      <c r="N24" s="311" t="s">
        <v>552</v>
      </c>
      <c r="O24" s="311" t="s">
        <v>552</v>
      </c>
      <c r="P24" s="311" t="s">
        <v>552</v>
      </c>
      <c r="Q24" s="311" t="s">
        <v>552</v>
      </c>
      <c r="R24" s="311"/>
      <c r="S24" s="311"/>
      <c r="T24" s="311"/>
      <c r="U24" s="311"/>
      <c r="V24" s="311"/>
      <c r="W24" s="311"/>
      <c r="X24" s="311"/>
      <c r="Y24" s="311"/>
      <c r="Z24" s="311">
        <f>IFERROR(-'FONTE INDICADORES (4)'!Z192/('FONTE INDICADORES (4)'!Z40+'FONTE INDICADORES (4)'!Z62),"")</f>
        <v>0.48716948717948722</v>
      </c>
      <c r="AA24" s="311">
        <f>IFERROR(-'FONTE INDICADORES (4)'!AA192/('FONTE INDICADORES (4)'!AA40+'FONTE INDICADORES (4)'!AA62),"")</f>
        <v>0.48716948717948722</v>
      </c>
      <c r="AB24" s="311">
        <f>IFERROR(-'FONTE INDICADORES (4)'!AB192/('FONTE INDICADORES (4)'!AB40+'FONTE INDICADORES (4)'!AB62),"")</f>
        <v>0.66309740187271171</v>
      </c>
      <c r="AC24" s="311">
        <f>IFERROR(-'FONTE INDICADORES (4)'!AC192/('FONTE INDICADORES (4)'!AC40+'FONTE INDICADORES (4)'!AC62),"")</f>
        <v>0.67680965380636249</v>
      </c>
      <c r="AD24" s="311">
        <f>IFERROR(-'FONTE INDICADORES (4)'!AD192/('FONTE INDICADORES (4)'!AD40+'FONTE INDICADORES (4)'!AD62),"")</f>
        <v>0.63376454155608453</v>
      </c>
      <c r="AE24" s="311">
        <f>IFERROR(-'FONTE INDICADORES (4)'!AE192/('FONTE INDICADORES (4)'!AE40+'FONTE INDICADORES (4)'!AE62),"")</f>
        <v>0.66011299023905401</v>
      </c>
      <c r="AF24" s="311">
        <f>IFERROR(-'FONTE INDICADORES (4)'!AF192/('FONTE INDICADORES (4)'!AF40+'FONTE INDICADORES (4)'!AF62),"")</f>
        <v>0.65773131373005567</v>
      </c>
      <c r="AG24" s="311">
        <f>IFERROR(-'FONTE INDICADORES (4)'!AG192/('FONTE INDICADORES (4)'!AG40+'FONTE INDICADORES (4)'!AG62),"")</f>
        <v>0.6896700282956344</v>
      </c>
      <c r="AH24" s="311">
        <f>IFERROR(-'FONTE INDICADORES (4)'!AH192/('FONTE INDICADORES (4)'!AH40+'FONTE INDICADORES (4)'!AH62),"")</f>
        <v>0.59546903149418173</v>
      </c>
      <c r="AI24" s="311">
        <f>IFERROR(-'FONTE INDICADORES (4)'!AI192/('FONTE INDICADORES (4)'!AI40+'FONTE INDICADORES (4)'!AI62),"")</f>
        <v>0.6237434204392307</v>
      </c>
      <c r="AJ24" s="311">
        <f>IFERROR(-'FONTE INDICADORES (4)'!AJ192/('FONTE INDICADORES (4)'!AJ40+'FONTE INDICADORES (4)'!AJ62),"")</f>
        <v>0.59450322218596263</v>
      </c>
      <c r="AK24" s="311">
        <f>IFERROR(-'FONTE INDICADORES (4)'!AK192/('FONTE INDICADORES (4)'!AK40+'FONTE INDICADORES (4)'!AK62),"")</f>
        <v>0.62347158473990727</v>
      </c>
      <c r="AL24" s="311">
        <f>IFERROR(-'FONTE INDICADORES (4)'!AL192/('FONTE INDICADORES (4)'!AL40+'FONTE INDICADORES (4)'!AL62),"")</f>
        <v>0.58172191919494964</v>
      </c>
      <c r="AM24" s="311">
        <f>IFERROR(-'FONTE INDICADORES (4)'!AM192/('FONTE INDICADORES (4)'!AM40+'FONTE INDICADORES (4)'!AM62),"")</f>
        <v>0.54809364691471951</v>
      </c>
      <c r="AN24" s="311">
        <f>IFERROR(-'FONTE INDICADORES (4)'!AN192/('FONTE INDICADORES (4)'!AN40+'FONTE INDICADORES (4)'!AN62),"")</f>
        <v>0.54780272555399145</v>
      </c>
      <c r="AO24" s="311">
        <f>IFERROR(-'FONTE INDICADORES (4)'!AO192/('FONTE INDICADORES (4)'!AO40+'FONTE INDICADORES (4)'!AO62),"")</f>
        <v>0.60350842038316443</v>
      </c>
      <c r="AP24" s="311">
        <f>IFERROR(-'FONTE INDICADORES (4)'!AP192/('FONTE INDICADORES (4)'!AP40+'FONTE INDICADORES (4)'!AP62),"")</f>
        <v>0.57049860848444511</v>
      </c>
      <c r="AQ24" s="311">
        <f>IFERROR(-'FONTE INDICADORES (4)'!AQ192/('FONTE INDICADORES (4)'!AQ40+'FONTE INDICADORES (4)'!AQ62),"")</f>
        <v>0.55313921212745409</v>
      </c>
      <c r="AR24" s="311">
        <f>IFERROR(-'FONTE INDICADORES (4)'!AR192/('FONTE INDICADORES (4)'!AR40+'FONTE INDICADORES (4)'!AR62),"")</f>
        <v>0.72660878264023954</v>
      </c>
      <c r="AS24" s="311">
        <f>IFERROR(-'FONTE INDICADORES (4)'!AS192/('FONTE INDICADORES (4)'!AS40+'FONTE INDICADORES (4)'!AS62),"")</f>
        <v>0.56903696245328783</v>
      </c>
      <c r="AT24" s="311">
        <f>IFERROR(-'FONTE INDICADORES (4)'!AT192/('FONTE INDICADORES (4)'!AT40+'FONTE INDICADORES (4)'!AT62),"")</f>
        <v>0.5850765606867383</v>
      </c>
      <c r="AU24" s="311">
        <f>IFERROR(-'FONTE INDICADORES (4)'!AU192/('FONTE INDICADORES (4)'!AU40+'FONTE INDICADORES (4)'!AU62),"")</f>
        <v>0.60805110174558108</v>
      </c>
      <c r="AV24" s="311">
        <f>IFERROR(-'FONTE INDICADORES (4)'!AV192/('FONTE INDICADORES (4)'!AV40+'FONTE INDICADORES (4)'!AV62),"")</f>
        <v>0.56520324859537729</v>
      </c>
      <c r="AW24" s="311">
        <f>IFERROR(-'FONTE INDICADORES (4)'!AW192/('FONTE INDICADORES (4)'!AW40+'FONTE INDICADORES (4)'!AW62),"")</f>
        <v>0.56664796597348865</v>
      </c>
      <c r="AX24" s="311">
        <f>IFERROR(-'FONTE INDICADORES (4)'!AX192/('FONTE INDICADORES (4)'!AX40+'FONTE INDICADORES (4)'!AX62),"")</f>
        <v>0.56012051108501537</v>
      </c>
      <c r="AY24" s="311">
        <f>IFERROR(-'FONTE INDICADORES (4)'!AY192/('FONTE INDICADORES (4)'!AY40+'FONTE INDICADORES (4)'!AY62),"")</f>
        <v>0.57624451840700297</v>
      </c>
      <c r="AZ24" s="311">
        <f>IFERROR(-'FONTE INDICADORES (4)'!AZ192/('FONTE INDICADORES (4)'!AZ40+'FONTE INDICADORES (4)'!AZ62),"")</f>
        <v>0.56710315106537457</v>
      </c>
      <c r="BA24" s="311">
        <f>IFERROR(-'FONTE INDICADORES (4)'!BA192/('FONTE INDICADORES (4)'!BA40+'FONTE INDICADORES (4)'!BA62),"")</f>
        <v>0.53325949679243678</v>
      </c>
    </row>
    <row r="25" spans="1:53" ht="15" customHeight="1">
      <c r="B25" s="335" t="s">
        <v>553</v>
      </c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>
        <f>-SUM('FONTE INDICADORES (4)'!AB172:AB174)/SUM('FONTE INDICADORES (4)'!AB20:AB22)</f>
        <v>0.61438598721088311</v>
      </c>
      <c r="AC25" s="311">
        <f>-SUM('FONTE INDICADORES (4)'!AC172:AC174)/SUM('FONTE INDICADORES (4)'!AC20:AC22)</f>
        <v>0.63301327018164677</v>
      </c>
      <c r="AD25" s="311">
        <f>-SUM('FONTE INDICADORES (4)'!AD172:AD174)/SUM('FONTE INDICADORES (4)'!AD20:AD22)</f>
        <v>0.59628363505515525</v>
      </c>
      <c r="AE25" s="311">
        <f>-SUM('FONTE INDICADORES (4)'!AE172:AE174)/SUM('FONTE INDICADORES (4)'!AE20:AE22)</f>
        <v>0.61069758194158863</v>
      </c>
      <c r="AF25" s="311">
        <f>-SUM('FONTE INDICADORES (4)'!AF172:AF174)/SUM('FONTE INDICADORES (4)'!AF20:AF22)</f>
        <v>0.61324911864682274</v>
      </c>
      <c r="AG25" s="311">
        <f>-SUM('FONTE INDICADORES (4)'!AG172:AG174)/SUM('FONTE INDICADORES (4)'!AG20:AG22)</f>
        <v>0.65542759626142877</v>
      </c>
      <c r="AH25" s="311">
        <f>-SUM('FONTE INDICADORES (4)'!AH172:AH174)/SUM('FONTE INDICADORES (4)'!AH20:AH22)</f>
        <v>0.5906525063139545</v>
      </c>
      <c r="AI25" s="311">
        <f>-SUM('FONTE INDICADORES (4)'!AI172:AI174)/SUM('FONTE INDICADORES (4)'!AI20:AI22)</f>
        <v>0.60963214794075782</v>
      </c>
      <c r="AJ25" s="311">
        <f>-SUM('FONTE INDICADORES (4)'!AJ172:AJ174)/SUM('FONTE INDICADORES (4)'!AJ20:AJ22)</f>
        <v>0.57479730317499567</v>
      </c>
      <c r="AK25" s="311">
        <f>-SUM('FONTE INDICADORES (4)'!AK172:AK174)/SUM('FONTE INDICADORES (4)'!AK20:AK22)</f>
        <v>0.60675450878635284</v>
      </c>
      <c r="AL25" s="311">
        <f>-SUM('FONTE INDICADORES (4)'!AL172:AL174)/SUM('FONTE INDICADORES (4)'!AL20:AL22)</f>
        <v>0.55711514382902805</v>
      </c>
      <c r="AM25" s="311">
        <f>-SUM('FONTE INDICADORES (4)'!AM172:AM174)/SUM('FONTE INDICADORES (4)'!AM20:AM22)</f>
        <v>0.50868494157939126</v>
      </c>
      <c r="AN25" s="311">
        <f>-SUM('FONTE INDICADORES (4)'!AN172:AN174)/SUM('FONTE INDICADORES (4)'!AN20:AN22)</f>
        <v>0.51709230435668152</v>
      </c>
      <c r="AO25" s="311">
        <f>-SUM('FONTE INDICADORES (4)'!AO172:AO174)/SUM('FONTE INDICADORES (4)'!AO20:AO22)</f>
        <v>0.59746538739242028</v>
      </c>
      <c r="AP25" s="311">
        <f>-SUM('FONTE INDICADORES (4)'!AP172:AP174)/SUM('FONTE INDICADORES (4)'!AP20:AP22)</f>
        <v>0.54496455011170841</v>
      </c>
      <c r="AQ25" s="311">
        <f>-SUM('FONTE INDICADORES (4)'!AQ172:AQ174)/SUM('FONTE INDICADORES (4)'!AQ20:AQ22)</f>
        <v>0.52202707239421775</v>
      </c>
      <c r="AR25" s="311">
        <f>-SUM('FONTE INDICADORES (4)'!AR172:AR174)/SUM('FONTE INDICADORES (4)'!AR20:AR22)</f>
        <v>0.78081281138697534</v>
      </c>
      <c r="AS25" s="311">
        <f>-SUM('FONTE INDICADORES (4)'!AS172:AS174)/SUM('FONTE INDICADORES (4)'!AS20:AS22)</f>
        <v>0.55985374097794038</v>
      </c>
      <c r="AT25" s="311">
        <f>-SUM('FONTE INDICADORES (4)'!AT172:AT174)/SUM('FONTE INDICADORES (4)'!AT20:AT22)</f>
        <v>0.55575764909093117</v>
      </c>
      <c r="AU25" s="311">
        <f>-SUM('FONTE INDICADORES (4)'!AU172:AU174)/SUM('FONTE INDICADORES (4)'!AU20:AU22)</f>
        <v>0.60448032051993383</v>
      </c>
      <c r="AV25" s="311">
        <f>-SUM('FONTE INDICADORES (4)'!AV172:AV174)/SUM('FONTE INDICADORES (4)'!AV20:AV22)</f>
        <v>0.56081877556730597</v>
      </c>
      <c r="AW25" s="311">
        <f>-SUM('FONTE INDICADORES (4)'!AW172:AW174)/SUM('FONTE INDICADORES (4)'!AW20:AW22)</f>
        <v>0.57064884905634727</v>
      </c>
      <c r="AX25" s="311">
        <f>-SUM('FONTE INDICADORES (4)'!AX172:AX174)/SUM('FONTE INDICADORES (4)'!AX20:AX22)</f>
        <v>0.56444610516528615</v>
      </c>
      <c r="AY25" s="311">
        <f>-SUM('FONTE INDICADORES (4)'!AY172:AY174)/SUM('FONTE INDICADORES (4)'!AY20:AY22)</f>
        <v>0.55216624876815845</v>
      </c>
      <c r="AZ25" s="311">
        <f>-SUM('FONTE INDICADORES (4)'!AZ172:AZ174)/SUM('FONTE INDICADORES (4)'!AZ20:AZ22)</f>
        <v>0.56197038824499201</v>
      </c>
      <c r="BA25" s="311">
        <f>-SUM('FONTE INDICADORES (4)'!BA172:BA174)/SUM('FONTE INDICADORES (4)'!BA20:BA22)</f>
        <v>0.52049537797285617</v>
      </c>
    </row>
    <row r="26" spans="1:53" ht="15" customHeight="1">
      <c r="B26" s="335" t="s">
        <v>264</v>
      </c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>
        <f>-'FONTE INDICADORES (4)'!AB175/'FONTE INDICADORES (4)'!AB23</f>
        <v>14.00362258177379</v>
      </c>
      <c r="AC26" s="311">
        <f>-'FONTE INDICADORES (4)'!AC175/'FONTE INDICADORES (4)'!AC23</f>
        <v>1.941777569384475</v>
      </c>
      <c r="AD26" s="311">
        <f>-'FONTE INDICADORES (4)'!AD175/'FONTE INDICADORES (4)'!AD23</f>
        <v>1.0860717682364167</v>
      </c>
      <c r="AE26" s="311">
        <f>-'FONTE INDICADORES (4)'!AE175/'FONTE INDICADORES (4)'!AE23</f>
        <v>0.89367451756588367</v>
      </c>
      <c r="AF26" s="311">
        <f>-'FONTE INDICADORES (4)'!AF175/'FONTE INDICADORES (4)'!AF23</f>
        <v>1.3199817938346365</v>
      </c>
      <c r="AG26" s="311">
        <f>-'FONTE INDICADORES (4)'!AG175/'FONTE INDICADORES (4)'!AG23</f>
        <v>0.79858688947456957</v>
      </c>
      <c r="AH26" s="311">
        <f>-'FONTE INDICADORES (4)'!AH175/'FONTE INDICADORES (4)'!AH23</f>
        <v>0.66145811036431357</v>
      </c>
      <c r="AI26" s="311">
        <f>-'FONTE INDICADORES (4)'!AI175/'FONTE INDICADORES (4)'!AI23</f>
        <v>0.68728151863904974</v>
      </c>
      <c r="AJ26" s="311">
        <f>-'FONTE INDICADORES (4)'!AJ175/'FONTE INDICADORES (4)'!AJ23</f>
        <v>0.70790465035297101</v>
      </c>
      <c r="AK26" s="311">
        <f>-'FONTE INDICADORES (4)'!AK175/'FONTE INDICADORES (4)'!AK23</f>
        <v>0.70929390864211195</v>
      </c>
      <c r="AL26" s="311">
        <f>-'FONTE INDICADORES (4)'!AL175/'FONTE INDICADORES (4)'!AL23</f>
        <v>0.66056915185277709</v>
      </c>
      <c r="AM26" s="311">
        <f>-'FONTE INDICADORES (4)'!AM175/'FONTE INDICADORES (4)'!AM23</f>
        <v>0.64372215323935433</v>
      </c>
      <c r="AN26" s="311">
        <f>-'FONTE INDICADORES (4)'!AN175/'FONTE INDICADORES (4)'!AN23</f>
        <v>0.60601422041918762</v>
      </c>
      <c r="AO26" s="311">
        <f>-'FONTE INDICADORES (4)'!AO175/'FONTE INDICADORES (4)'!AO23</f>
        <v>0.62841208122226144</v>
      </c>
      <c r="AP26" s="311">
        <f>-'FONTE INDICADORES (4)'!AP175/'FONTE INDICADORES (4)'!AP23</f>
        <v>0.63318674046907386</v>
      </c>
      <c r="AQ26" s="311">
        <f>-'FONTE INDICADORES (4)'!AQ175/'FONTE INDICADORES (4)'!AQ23</f>
        <v>0.62307205730701243</v>
      </c>
      <c r="AR26" s="311">
        <f>-'FONTE INDICADORES (4)'!AR175/'FONTE INDICADORES (4)'!AR23</f>
        <v>0.66951084710852138</v>
      </c>
      <c r="AS26" s="311">
        <f>-'FONTE INDICADORES (4)'!AS175/'FONTE INDICADORES (4)'!AS23</f>
        <v>0.60951654772085706</v>
      </c>
      <c r="AT26" s="311">
        <f>-'FONTE INDICADORES (4)'!AT175/'FONTE INDICADORES (4)'!AT23</f>
        <v>0.63450298623457646</v>
      </c>
      <c r="AU26" s="311">
        <f>-'FONTE INDICADORES (4)'!AU175/'FONTE INDICADORES (4)'!AU23</f>
        <v>0.63376339094290302</v>
      </c>
      <c r="AV26" s="311">
        <f>-'FONTE INDICADORES (4)'!AV175/'FONTE INDICADORES (4)'!AV23</f>
        <v>0.58322314716672086</v>
      </c>
      <c r="AW26" s="311">
        <f>-'FONTE INDICADORES (4)'!AW175/'FONTE INDICADORES (4)'!AW23</f>
        <v>0.59494823612080494</v>
      </c>
      <c r="AX26" s="311">
        <f>-'FONTE INDICADORES (4)'!AX175/'FONTE INDICADORES (4)'!AX23</f>
        <v>0.58236505582310127</v>
      </c>
      <c r="AY26" s="311">
        <f>-'FONTE INDICADORES (4)'!AY175/'FONTE INDICADORES (4)'!AY23</f>
        <v>0.61943243615735422</v>
      </c>
      <c r="AZ26" s="311">
        <f>-'FONTE INDICADORES (4)'!AZ175/'FONTE INDICADORES (4)'!AZ23</f>
        <v>0.59579083740983185</v>
      </c>
      <c r="BA26" s="311">
        <f>-'FONTE INDICADORES (4)'!BA175/'FONTE INDICADORES (4)'!BA23</f>
        <v>0.56293504148002993</v>
      </c>
    </row>
    <row r="27" spans="1:53" ht="15" customHeight="1">
      <c r="B27" s="335" t="s">
        <v>265</v>
      </c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>
        <f>-'FONTE INDICADORES (4)'!Z176/('FONTE INDICADORES (4)'!Z24+'FONTE INDICADORES (4)'!Z62)</f>
        <v>7.4358974358974358E-2</v>
      </c>
      <c r="AA27" s="311">
        <f>-'FONTE INDICADORES (4)'!AA176/('FONTE INDICADORES (4)'!AA24+'FONTE INDICADORES (4)'!AA62)</f>
        <v>7.4358974358974358E-2</v>
      </c>
      <c r="AB27" s="311">
        <f>-'FONTE INDICADORES (4)'!AB176/('FONTE INDICADORES (4)'!AB24+'FONTE INDICADORES (4)'!AB62)</f>
        <v>6.8792261406994265E-2</v>
      </c>
      <c r="AC27" s="311">
        <f>-'FONTE INDICADORES (4)'!AC176/('FONTE INDICADORES (4)'!AC24+'FONTE INDICADORES (4)'!AC62)</f>
        <v>2.9703519000487089</v>
      </c>
      <c r="AD27" s="311">
        <f>-'FONTE INDICADORES (4)'!AD176/('FONTE INDICADORES (4)'!AD24+'FONTE INDICADORES (4)'!AD62)</f>
        <v>0.7101337369505597</v>
      </c>
      <c r="AE27" s="311">
        <f>-'FONTE INDICADORES (4)'!AE176/('FONTE INDICADORES (4)'!AE24+'FONTE INDICADORES (4)'!AE62)</f>
        <v>0.94935413885272613</v>
      </c>
      <c r="AF27" s="311">
        <f>-'FONTE INDICADORES (4)'!AF176/('FONTE INDICADORES (4)'!AF24+'FONTE INDICADORES (4)'!AF62)</f>
        <v>0.87063014995790289</v>
      </c>
      <c r="AG27" s="311">
        <f>-'FONTE INDICADORES (4)'!AG176/('FONTE INDICADORES (4)'!AG24+'FONTE INDICADORES (4)'!AG62)</f>
        <v>0.4077575869384743</v>
      </c>
      <c r="AH27" s="311">
        <f>-'FONTE INDICADORES (4)'!AH176/('FONTE INDICADORES (4)'!AH24+'FONTE INDICADORES (4)'!AH62)</f>
        <v>0.50031592692961147</v>
      </c>
      <c r="AI27" s="311">
        <f>-'FONTE INDICADORES (4)'!AI176/('FONTE INDICADORES (4)'!AI24+'FONTE INDICADORES (4)'!AI62)</f>
        <v>0.46133454870154028</v>
      </c>
      <c r="AJ27" s="311">
        <f>-'FONTE INDICADORES (4)'!AJ176/('FONTE INDICADORES (4)'!AJ24+'FONTE INDICADORES (4)'!AJ62)</f>
        <v>0.45496631717570785</v>
      </c>
      <c r="AK27" s="311">
        <f>-'FONTE INDICADORES (4)'!AK176/('FONTE INDICADORES (4)'!AK24+'FONTE INDICADORES (4)'!AK62)</f>
        <v>0.46078675851750256</v>
      </c>
      <c r="AL27" s="311">
        <f>-'FONTE INDICADORES (4)'!AL176/('FONTE INDICADORES (4)'!AL24+'FONTE INDICADORES (4)'!AL62)</f>
        <v>0.44194454052072457</v>
      </c>
      <c r="AM27" s="311">
        <f>-'FONTE INDICADORES (4)'!AM176/('FONTE INDICADORES (4)'!AM24+'FONTE INDICADORES (4)'!AM62)</f>
        <v>0.50941957326986576</v>
      </c>
      <c r="AN27" s="311">
        <f>-'FONTE INDICADORES (4)'!AN176/('FONTE INDICADORES (4)'!AN24+'FONTE INDICADORES (4)'!AN62)</f>
        <v>0.50079831118771334</v>
      </c>
      <c r="AO27" s="311">
        <f>-'FONTE INDICADORES (4)'!AO176/('FONTE INDICADORES (4)'!AO24+'FONTE INDICADORES (4)'!AO62)</f>
        <v>0.50277265547029393</v>
      </c>
      <c r="AP27" s="311">
        <f>-'FONTE INDICADORES (4)'!AP176/('FONTE INDICADORES (4)'!AP24+'FONTE INDICADORES (4)'!AP62)</f>
        <v>0.48969990381003847</v>
      </c>
      <c r="AQ27" s="311">
        <f>-'FONTE INDICADORES (4)'!AQ176/('FONTE INDICADORES (4)'!AQ24+'FONTE INDICADORES (4)'!AQ62)</f>
        <v>0.47475228217687615</v>
      </c>
      <c r="AR27" s="311">
        <f>-'FONTE INDICADORES (4)'!AR176/('FONTE INDICADORES (4)'!AR24+'FONTE INDICADORES (4)'!AR62)</f>
        <v>0.44875118131497232</v>
      </c>
      <c r="AS27" s="311">
        <f>-'FONTE INDICADORES (4)'!AS176/('FONTE INDICADORES (4)'!AS24+'FONTE INDICADORES (4)'!AS62)</f>
        <v>0.45738638154618183</v>
      </c>
      <c r="AT27" s="311">
        <f>-'FONTE INDICADORES (4)'!AT176/('FONTE INDICADORES (4)'!AT24+'FONTE INDICADORES (4)'!AT62)</f>
        <v>0.46573505784990232</v>
      </c>
      <c r="AU27" s="311">
        <f>-'FONTE INDICADORES (4)'!AU176/('FONTE INDICADORES (4)'!AU24+'FONTE INDICADORES (4)'!AU62)</f>
        <v>0.46181137672363798</v>
      </c>
      <c r="AV27" s="311">
        <f>-'FONTE INDICADORES (4)'!AV176/('FONTE INDICADORES (4)'!AV24+'FONTE INDICADORES (4)'!AV62)</f>
        <v>0.40283754931268134</v>
      </c>
      <c r="AW27" s="311">
        <f>-'FONTE INDICADORES (4)'!AW176/('FONTE INDICADORES (4)'!AW24+'FONTE INDICADORES (4)'!AW62)</f>
        <v>0.43750410898659314</v>
      </c>
      <c r="AX27" s="311">
        <f>-'FONTE INDICADORES (4)'!AX176/('FONTE INDICADORES (4)'!AX24+'FONTE INDICADORES (4)'!AX62)</f>
        <v>0.4427626098531785</v>
      </c>
      <c r="AY27" s="311">
        <f>-'FONTE INDICADORES (4)'!AY176/('FONTE INDICADORES (4)'!AY24+'FONTE INDICADORES (4)'!AY62)</f>
        <v>0.48490344200570257</v>
      </c>
      <c r="AZ27" s="311">
        <f>-'FONTE INDICADORES (4)'!AZ176/('FONTE INDICADORES (4)'!AZ24+'FONTE INDICADORES (4)'!AZ62)</f>
        <v>0.44305433865141758</v>
      </c>
      <c r="BA27" s="311">
        <f>-'FONTE INDICADORES (4)'!BA176/('FONTE INDICADORES (4)'!BA24+'FONTE INDICADORES (4)'!BA62)</f>
        <v>0.39114959413819272</v>
      </c>
    </row>
    <row r="28" spans="1:53" ht="15" customHeight="1">
      <c r="B28" s="335" t="s">
        <v>266</v>
      </c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>
        <f>-'FONTE INDICADORES (4)'!AC177/'FONTE INDICADORES (4)'!AC25</f>
        <v>3.4206511985608312</v>
      </c>
      <c r="AD28" s="311">
        <f>-'FONTE INDICADORES (4)'!AD177/'FONTE INDICADORES (4)'!AD25</f>
        <v>2.6247541237187062</v>
      </c>
      <c r="AE28" s="311">
        <f>-'FONTE INDICADORES (4)'!AE177/'FONTE INDICADORES (4)'!AE25</f>
        <v>7.2847471127041024</v>
      </c>
      <c r="AF28" s="311">
        <f>-'FONTE INDICADORES (4)'!AF177/'FONTE INDICADORES (4)'!AF25</f>
        <v>5.0235606746248482</v>
      </c>
      <c r="AG28" s="311">
        <f>-'FONTE INDICADORES (4)'!AG177/'FONTE INDICADORES (4)'!AG25</f>
        <v>2.8919303895460455</v>
      </c>
      <c r="AH28" s="311">
        <f>-'FONTE INDICADORES (4)'!AH177/'FONTE INDICADORES (4)'!AH25</f>
        <v>0.45512627162795799</v>
      </c>
      <c r="AI28" s="311">
        <f>-'FONTE INDICADORES (4)'!AI177/'FONTE INDICADORES (4)'!AI25</f>
        <v>0.87012123004139563</v>
      </c>
      <c r="AJ28" s="311">
        <f>-'FONTE INDICADORES (4)'!AJ177/'FONTE INDICADORES (4)'!AJ25</f>
        <v>0.6207270040186661</v>
      </c>
      <c r="AK28" s="311">
        <f>-'FONTE INDICADORES (4)'!AK177/'FONTE INDICADORES (4)'!AK25</f>
        <v>0.83759044945102601</v>
      </c>
      <c r="AL28" s="311">
        <f>-'FONTE INDICADORES (4)'!AL177/'FONTE INDICADORES (4)'!AL25</f>
        <v>0.7750047349300091</v>
      </c>
      <c r="AM28" s="311">
        <f>-'FONTE INDICADORES (4)'!AM177/'FONTE INDICADORES (4)'!AM25</f>
        <v>0.7349083984704925</v>
      </c>
      <c r="AN28" s="311">
        <f>-'FONTE INDICADORES (4)'!AN177/'FONTE INDICADORES (4)'!AN25</f>
        <v>0.69684075044489535</v>
      </c>
      <c r="AO28" s="311">
        <f>-'FONTE INDICADORES (4)'!AO177/'FONTE INDICADORES (4)'!AO25</f>
        <v>0.63766800269489454</v>
      </c>
      <c r="AP28" s="311">
        <f>-'FONTE INDICADORES (4)'!AP177/'FONTE INDICADORES (4)'!AP25</f>
        <v>0.70324227769790437</v>
      </c>
      <c r="AQ28" s="311">
        <f>-'FONTE INDICADORES (4)'!AQ177/'FONTE INDICADORES (4)'!AQ25</f>
        <v>0.64483550352160013</v>
      </c>
      <c r="AR28" s="311">
        <f>-'FONTE INDICADORES (4)'!AR177/'FONTE INDICADORES (4)'!AR25</f>
        <v>0.62802070940528643</v>
      </c>
      <c r="AS28" s="311">
        <f>-'FONTE INDICADORES (4)'!AS177/'FONTE INDICADORES (4)'!AS25</f>
        <v>0.56111368248655957</v>
      </c>
      <c r="AT28" s="311">
        <f>-'FONTE INDICADORES (4)'!AT177/'FONTE INDICADORES (4)'!AT25</f>
        <v>0.69310431293881647</v>
      </c>
      <c r="AU28" s="311">
        <f>-'FONTE INDICADORES (4)'!AU177/'FONTE INDICADORES (4)'!AU25</f>
        <v>0.63237821130997196</v>
      </c>
      <c r="AV28" s="311">
        <f>-'FONTE INDICADORES (4)'!AV177/'FONTE INDICADORES (4)'!AV25</f>
        <v>0.60911467049713208</v>
      </c>
      <c r="AW28" s="311">
        <f>-'FONTE INDICADORES (4)'!AW177/'FONTE INDICADORES (4)'!AW25</f>
        <v>0.50416597112851369</v>
      </c>
      <c r="AX28" s="311">
        <f>-'FONTE INDICADORES (4)'!AX177/'FONTE INDICADORES (4)'!AX25</f>
        <v>0.51323097143795959</v>
      </c>
      <c r="AY28" s="311">
        <f>-'FONTE INDICADORES (4)'!AY177/'FONTE INDICADORES (4)'!AY25</f>
        <v>0.62132528092101258</v>
      </c>
      <c r="AZ28" s="311">
        <f>-'FONTE INDICADORES (4)'!AZ177/'FONTE INDICADORES (4)'!AZ25</f>
        <v>0.56126569506404811</v>
      </c>
      <c r="BA28" s="311">
        <f>-'FONTE INDICADORES (4)'!BA177/'FONTE INDICADORES (4)'!BA25</f>
        <v>0.58543569396616257</v>
      </c>
    </row>
    <row r="29" spans="1:53" ht="15" customHeight="1">
      <c r="B29" s="335" t="s">
        <v>268</v>
      </c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>
        <f>-'FONTE INDICADORES (4)'!AB178/'FONTE INDICADORES (4)'!AB26</f>
        <v>1.6348970798319327</v>
      </c>
      <c r="AC29" s="311">
        <f>-'FONTE INDICADORES (4)'!AC178/'FONTE INDICADORES (4)'!AC26</f>
        <v>1.2585414063066329</v>
      </c>
      <c r="AD29" s="311">
        <f>-'FONTE INDICADORES (4)'!AD178/'FONTE INDICADORES (4)'!AD26</f>
        <v>1.2676476020408163</v>
      </c>
      <c r="AE29" s="311">
        <f>-'FONTE INDICADORES (4)'!AE178/'FONTE INDICADORES (4)'!AE26</f>
        <v>1.2344246274126558</v>
      </c>
      <c r="AF29" s="311">
        <f>-'FONTE INDICADORES (4)'!AF178/'FONTE INDICADORES (4)'!AF26</f>
        <v>1.2601556277188897</v>
      </c>
      <c r="AG29" s="311">
        <f>-'FONTE INDICADORES (4)'!AG178/'FONTE INDICADORES (4)'!AG26</f>
        <v>1.0004621606008088</v>
      </c>
      <c r="AH29" s="311">
        <f>-'FONTE INDICADORES (4)'!AH178/'FONTE INDICADORES (4)'!AH26</f>
        <v>0.95610553350455285</v>
      </c>
      <c r="AI29" s="311">
        <f>-'FONTE INDICADORES (4)'!AI178/'FONTE INDICADORES (4)'!AI26</f>
        <v>0.91059461759387295</v>
      </c>
      <c r="AJ29" s="311">
        <f>-'FONTE INDICADORES (4)'!AJ178/'FONTE INDICADORES (4)'!AJ26</f>
        <v>0.89633716834937782</v>
      </c>
      <c r="AK29" s="311">
        <f>-'FONTE INDICADORES (4)'!AK178/'FONTE INDICADORES (4)'!AK26</f>
        <v>0.92575159429092013</v>
      </c>
      <c r="AL29" s="311">
        <f>-'FONTE INDICADORES (4)'!AL178/'FONTE INDICADORES (4)'!AL26</f>
        <v>0.84674192626464706</v>
      </c>
      <c r="AM29" s="311">
        <f>-'FONTE INDICADORES (4)'!AM178/'FONTE INDICADORES (4)'!AM26</f>
        <v>0.77232025667201398</v>
      </c>
      <c r="AN29" s="311">
        <f>-'FONTE INDICADORES (4)'!AN178/'FONTE INDICADORES (4)'!AN26</f>
        <v>0.78045475820954346</v>
      </c>
      <c r="AO29" s="311">
        <f>-'FONTE INDICADORES (4)'!AO178/'FONTE INDICADORES (4)'!AO26</f>
        <v>0.7924523999543952</v>
      </c>
      <c r="AP29" s="311">
        <f>-'FONTE INDICADORES (4)'!AP178/'FONTE INDICADORES (4)'!AP26</f>
        <v>0.7947861645936275</v>
      </c>
      <c r="AQ29" s="311">
        <f>-'FONTE INDICADORES (4)'!AQ178/'FONTE INDICADORES (4)'!AQ26</f>
        <v>0.79735564554016869</v>
      </c>
      <c r="AR29" s="311">
        <f>-'FONTE INDICADORES (4)'!AR178/'FONTE INDICADORES (4)'!AR26</f>
        <v>0.8537703513281919</v>
      </c>
      <c r="AS29" s="311">
        <f>-'FONTE INDICADORES (4)'!AS178/'FONTE INDICADORES (4)'!AS26</f>
        <v>0.81619268945958723</v>
      </c>
      <c r="AT29" s="311">
        <f>-'FONTE INDICADORES (4)'!AT178/'FONTE INDICADORES (4)'!AT26</f>
        <v>0.7775511745600121</v>
      </c>
      <c r="AU29" s="311">
        <f>-'FONTE INDICADORES (4)'!AU178/'FONTE INDICADORES (4)'!AU26</f>
        <v>0.80829373650107994</v>
      </c>
      <c r="AV29" s="311">
        <f>-'FONTE INDICADORES (4)'!AV178/'FONTE INDICADORES (4)'!AV26</f>
        <v>0.79598387687797723</v>
      </c>
      <c r="AW29" s="311">
        <f>-'FONTE INDICADORES (4)'!AW178/'FONTE INDICADORES (4)'!AW26</f>
        <v>0.7946173009646984</v>
      </c>
      <c r="AX29" s="311">
        <f>-'FONTE INDICADORES (4)'!AX178/'FONTE INDICADORES (4)'!AX26</f>
        <v>0.76202845426616206</v>
      </c>
      <c r="AY29" s="311">
        <f>-'FONTE INDICADORES (4)'!AY178/'FONTE INDICADORES (4)'!AY26</f>
        <v>0.8183001016107716</v>
      </c>
      <c r="AZ29" s="311">
        <f>-'FONTE INDICADORES (4)'!AZ178/'FONTE INDICADORES (4)'!AZ26</f>
        <v>0.7907986451104787</v>
      </c>
      <c r="BA29" s="311">
        <f>-'FONTE INDICADORES (4)'!BA178/'FONTE INDICADORES (4)'!BA26</f>
        <v>0.82343969967151576</v>
      </c>
    </row>
    <row r="30" spans="1:53" ht="15" customHeight="1">
      <c r="B30" s="11" t="s">
        <v>554</v>
      </c>
      <c r="C30" s="311">
        <v>0.15660995010386919</v>
      </c>
      <c r="D30" s="311">
        <v>0.15352589988947832</v>
      </c>
      <c r="E30" s="311">
        <v>0.14621373788479466</v>
      </c>
      <c r="F30" s="311">
        <v>0.15295233831925592</v>
      </c>
      <c r="G30" s="311">
        <v>0.15240766373118578</v>
      </c>
      <c r="H30" s="311">
        <v>0.12203416913463225</v>
      </c>
      <c r="I30" s="311">
        <v>0.10697425359536555</v>
      </c>
      <c r="J30" s="311">
        <v>0.12075379945395093</v>
      </c>
      <c r="K30" s="311">
        <v>0.21188827896513027</v>
      </c>
      <c r="L30" s="311">
        <v>0.13726332672504493</v>
      </c>
      <c r="M30" s="311">
        <v>0.12523259219569655</v>
      </c>
      <c r="N30" s="311">
        <v>0.12707349699129109</v>
      </c>
      <c r="O30" s="311">
        <v>0.15228296823344278</v>
      </c>
      <c r="P30" s="311">
        <v>0.16532897134323296</v>
      </c>
      <c r="Q30" s="311">
        <v>0.14118487076983866</v>
      </c>
      <c r="R30" s="311">
        <f>IFERROR(-'FONTE INDICADORES (4)'!R193/'FONTE INDICADORES (4)'!R41,"")</f>
        <v>0.15412598377250092</v>
      </c>
      <c r="S30" s="311">
        <f>IFERROR(-'FONTE INDICADORES (4)'!S193/'FONTE INDICADORES (4)'!S41,"")</f>
        <v>0.1640631642473607</v>
      </c>
      <c r="T30" s="311">
        <f>IFERROR(-'FONTE INDICADORES (4)'!T193/'FONTE INDICADORES (4)'!T41,"")</f>
        <v>0.16555899001827182</v>
      </c>
      <c r="U30" s="311">
        <f>IFERROR(-'FONTE INDICADORES (4)'!U193/'FONTE INDICADORES (4)'!U41,"")</f>
        <v>0.27808813457122816</v>
      </c>
      <c r="V30" s="311">
        <f>IFERROR(-'FONTE INDICADORES (4)'!V193/'FONTE INDICADORES (4)'!V41,"")</f>
        <v>0.17718718938129532</v>
      </c>
      <c r="W30" s="311">
        <f>IFERROR(-'FONTE INDICADORES (4)'!W193/'FONTE INDICADORES (4)'!W41,"")</f>
        <v>0.17623954992410498</v>
      </c>
      <c r="X30" s="311">
        <f>IFERROR(-'FONTE INDICADORES (4)'!X193/'FONTE INDICADORES (4)'!X41,"")</f>
        <v>0.17920138922001802</v>
      </c>
      <c r="Y30" s="311">
        <f>IFERROR(-'FONTE INDICADORES (4)'!Y193/'FONTE INDICADORES (4)'!Y41,"")</f>
        <v>0.13424533358844115</v>
      </c>
      <c r="Z30" s="311">
        <f>IFERROR(-'FONTE INDICADORES (4)'!Z193/'FONTE INDICADORES (4)'!Z41,"")</f>
        <v>0.15688655046739428</v>
      </c>
      <c r="AA30" s="311">
        <f>IFERROR(-'FONTE INDICADORES (4)'!AA193/'FONTE INDICADORES (4)'!AA41,"")</f>
        <v>0.15628038928268134</v>
      </c>
      <c r="AB30" s="311">
        <f>IFERROR(-'FONTE INDICADORES (4)'!AB193/'FONTE INDICADORES (4)'!AB41,"")</f>
        <v>0.18688134502234011</v>
      </c>
      <c r="AC30" s="311">
        <f>IFERROR(-'FONTE INDICADORES (4)'!AC193/'FONTE INDICADORES (4)'!AC41,"")</f>
        <v>0.30777598877591494</v>
      </c>
      <c r="AD30" s="311">
        <f>IFERROR(-'FONTE INDICADORES (4)'!AD193/'FONTE INDICADORES (4)'!AD41,"")</f>
        <v>0.22927272971261178</v>
      </c>
      <c r="AE30" s="311">
        <f>IFERROR(-'FONTE INDICADORES (4)'!AE193/'FONTE INDICADORES (4)'!AE41,"")</f>
        <v>0.24992501462765321</v>
      </c>
      <c r="AF30" s="311">
        <f>IFERROR(-'FONTE INDICADORES (4)'!AF193/'FONTE INDICADORES (4)'!AF41,"")</f>
        <v>0.24351576101354147</v>
      </c>
      <c r="AG30" s="311">
        <f>IFERROR(-'FONTE INDICADORES (4)'!AG193/'FONTE INDICADORES (4)'!AG41,"")</f>
        <v>0.33242810964216141</v>
      </c>
      <c r="AH30" s="311">
        <f>IFERROR(-'FONTE INDICADORES (4)'!AH193/'FONTE INDICADORES (4)'!AH41,"")</f>
        <v>0.35152944727630342</v>
      </c>
      <c r="AI30" s="311">
        <f>IFERROR(-'FONTE INDICADORES (4)'!AI193/'FONTE INDICADORES (4)'!AI41,"")</f>
        <v>0.34761192882022923</v>
      </c>
      <c r="AJ30" s="311">
        <f>IFERROR(-'FONTE INDICADORES (4)'!AJ193/'FONTE INDICADORES (4)'!AJ41,"")</f>
        <v>0.417432536252761</v>
      </c>
      <c r="AK30" s="311">
        <f>IFERROR(-'FONTE INDICADORES (4)'!AK193/'FONTE INDICADORES (4)'!AK41,"")</f>
        <v>0.36285750858399873</v>
      </c>
      <c r="AL30" s="311">
        <f>IFERROR(-'FONTE INDICADORES (4)'!AL193/'FONTE INDICADORES (4)'!AL41,"")</f>
        <v>0.36400345511413917</v>
      </c>
      <c r="AM30" s="311">
        <f>IFERROR(-'FONTE INDICADORES (4)'!AM193/'FONTE INDICADORES (4)'!AM41,"")</f>
        <v>0.37349778358103441</v>
      </c>
      <c r="AN30" s="311">
        <f>IFERROR(-'FONTE INDICADORES (4)'!AN193/'FONTE INDICADORES (4)'!AN41,"")</f>
        <v>0.38805923402922554</v>
      </c>
      <c r="AO30" s="311">
        <f>IFERROR(-'FONTE INDICADORES (4)'!AO193/'FONTE INDICADORES (4)'!AO41,"")</f>
        <v>0.36421676343718296</v>
      </c>
      <c r="AP30" s="311">
        <f>IFERROR(-'FONTE INDICADORES (4)'!AP193/'FONTE INDICADORES (4)'!AP41,"")</f>
        <v>0.37251068024151557</v>
      </c>
      <c r="AQ30" s="311">
        <f>IFERROR(-'FONTE INDICADORES (4)'!AQ193/'FONTE INDICADORES (4)'!AQ41,"")</f>
        <v>0.37077798653054345</v>
      </c>
      <c r="AR30" s="311">
        <f>IFERROR(-'FONTE INDICADORES (4)'!AR193/'FONTE INDICADORES (4)'!AR41,"")</f>
        <v>0.37103251740300897</v>
      </c>
      <c r="AS30" s="311">
        <f>IFERROR(-'FONTE INDICADORES (4)'!AS193/'FONTE INDICADORES (4)'!AS41,"")</f>
        <v>0.38531901033410626</v>
      </c>
      <c r="AT30" s="311">
        <f>IFERROR(-'FONTE INDICADORES (4)'!AT193/'FONTE INDICADORES (4)'!AT41,"")</f>
        <v>0.37119819259984049</v>
      </c>
      <c r="AU30" s="311">
        <f>IFERROR(-'FONTE INDICADORES (4)'!AU193/'FONTE INDICADORES (4)'!AU41,"")</f>
        <v>0.37453492134123978</v>
      </c>
      <c r="AV30" s="311">
        <f>IFERROR(-'FONTE INDICADORES (4)'!AV193/'FONTE INDICADORES (4)'!AV41,"")</f>
        <v>0.43766029968472125</v>
      </c>
      <c r="AW30" s="311">
        <f>IFERROR(-'FONTE INDICADORES (4)'!AW193/'FONTE INDICADORES (4)'!AW41,"")</f>
        <v>0.43735784497082614</v>
      </c>
      <c r="AX30" s="311">
        <f>IFERROR(-'FONTE INDICADORES (4)'!AX193/'FONTE INDICADORES (4)'!AX41,"")</f>
        <v>0.43033674755313872</v>
      </c>
      <c r="AY30" s="311">
        <f>IFERROR(-'FONTE INDICADORES (4)'!AY193/'FONTE INDICADORES (4)'!AY41,"")</f>
        <v>0.44842509754219301</v>
      </c>
      <c r="AZ30" s="311">
        <f>IFERROR(-'FONTE INDICADORES (4)'!AZ193/'FONTE INDICADORES (4)'!AZ41,"")</f>
        <v>0.43842274120651031</v>
      </c>
      <c r="BA30" s="311">
        <f>IFERROR(-'FONTE INDICADORES (4)'!BA193/'FONTE INDICADORES (4)'!BA41,"")</f>
        <v>0.44848900692770177</v>
      </c>
    </row>
    <row r="31" spans="1:53" s="2" customFormat="1" ht="15" customHeight="1">
      <c r="B31" s="2" t="s">
        <v>555</v>
      </c>
      <c r="C31" s="310">
        <v>0.84222531293976965</v>
      </c>
      <c r="D31" s="310">
        <v>0.84193693820358273</v>
      </c>
      <c r="E31" s="310">
        <v>0.92824863515766232</v>
      </c>
      <c r="F31" s="310">
        <v>1.2103466954248152</v>
      </c>
      <c r="G31" s="310">
        <v>0.96402694591128912</v>
      </c>
      <c r="H31" s="310">
        <v>0.93606256910649333</v>
      </c>
      <c r="I31" s="310">
        <v>0.89411108092657621</v>
      </c>
      <c r="J31" s="310">
        <v>0.91452183126471687</v>
      </c>
      <c r="K31" s="310">
        <v>0.89685263508013069</v>
      </c>
      <c r="L31" s="310">
        <v>0.91070028673158432</v>
      </c>
      <c r="M31" s="310">
        <v>0.68545336109698152</v>
      </c>
      <c r="N31" s="310">
        <v>0.95816735772843709</v>
      </c>
      <c r="O31" s="310">
        <v>0.84739582473502351</v>
      </c>
      <c r="P31" s="310">
        <v>0.92793207797451815</v>
      </c>
      <c r="Q31" s="310">
        <v>0.84957756662812312</v>
      </c>
      <c r="R31" s="310">
        <f>IFERROR(-'FONTE INDICADORES (4)'!R194/'FONTE INDICADORES (4)'!R42,"")</f>
        <v>0.87290069219194888</v>
      </c>
      <c r="S31" s="310">
        <f>IFERROR(-'FONTE INDICADORES (4)'!S194/'FONTE INDICADORES (4)'!S42,"")</f>
        <v>0.82354061510079568</v>
      </c>
      <c r="T31" s="310">
        <f>IFERROR(-'FONTE INDICADORES (4)'!T194/'FONTE INDICADORES (4)'!T42,"")</f>
        <v>0.84070673622544967</v>
      </c>
      <c r="U31" s="310">
        <f>IFERROR(-'FONTE INDICADORES (4)'!U194/'FONTE INDICADORES (4)'!U42,"")</f>
        <v>0.76481448165560906</v>
      </c>
      <c r="V31" s="310">
        <f>IFERROR(-'FONTE INDICADORES (4)'!V194/'FONTE INDICADORES (4)'!V42,"")</f>
        <v>0.82180394436079407</v>
      </c>
      <c r="W31" s="310">
        <f>IFERROR(-'FONTE INDICADORES (4)'!W194/'FONTE INDICADORES (4)'!W42,"")</f>
        <v>0.8048226467741697</v>
      </c>
      <c r="X31" s="310">
        <f>IFERROR(-'FONTE INDICADORES (4)'!X194/'FONTE INDICADORES (4)'!X42,"")</f>
        <v>0.82977424468438354</v>
      </c>
      <c r="Y31" s="310">
        <f>IFERROR(-'FONTE INDICADORES (4)'!Y194/'FONTE INDICADORES (4)'!Y42,"")</f>
        <v>0.85844312661788702</v>
      </c>
      <c r="Z31" s="310">
        <f>IFERROR(-'FONTE INDICADORES (4)'!Z194/'FONTE INDICADORES (4)'!Z42,"")</f>
        <v>0.82258059340364986</v>
      </c>
      <c r="AA31" s="310">
        <f>IFERROR(-'FONTE INDICADORES (4)'!AA194/'FONTE INDICADORES (4)'!AA42,"")</f>
        <v>0.82848141737125169</v>
      </c>
      <c r="AB31" s="310">
        <f>IFERROR(-'FONTE INDICADORES (4)'!AB194/'FONTE INDICADORES (4)'!AB42,"")</f>
        <v>0.81941852079881539</v>
      </c>
      <c r="AC31" s="310">
        <f>IFERROR(-'FONTE INDICADORES (4)'!AC194/'FONTE INDICADORES (4)'!AC42,"")</f>
        <v>0.8670560702583906</v>
      </c>
      <c r="AD31" s="310">
        <f>IFERROR(-'FONTE INDICADORES (4)'!AD194/'FONTE INDICADORES (4)'!AD42,"")</f>
        <v>0.91383908086122279</v>
      </c>
      <c r="AE31" s="310">
        <f>IFERROR(-'FONTE INDICADORES (4)'!AE194/'FONTE INDICADORES (4)'!AE42,"")</f>
        <v>0.83091349185362973</v>
      </c>
      <c r="AF31" s="310">
        <f>IFERROR(-'FONTE INDICADORES (4)'!AF194/'FONTE INDICADORES (4)'!AF42,"")</f>
        <v>0.85596008703000048</v>
      </c>
      <c r="AG31" s="310">
        <f>IFERROR(-'FONTE INDICADORES (4)'!AG194/'FONTE INDICADORES (4)'!AG42,"")</f>
        <v>0.85535459826811355</v>
      </c>
      <c r="AH31" s="310">
        <f>IFERROR(-'FONTE INDICADORES (4)'!AH194/'FONTE INDICADORES (4)'!AH42,"")</f>
        <v>0.84623162722818723</v>
      </c>
      <c r="AI31" s="310">
        <f>IFERROR(-'FONTE INDICADORES (4)'!AI194/'FONTE INDICADORES (4)'!AI42,"")</f>
        <v>0.73984008878014218</v>
      </c>
      <c r="AJ31" s="310">
        <f>IFERROR(-'FONTE INDICADORES (4)'!AJ194/'FONTE INDICADORES (4)'!AJ42,"")</f>
        <v>0.70399541105804242</v>
      </c>
      <c r="AK31" s="310">
        <f>IFERROR(-'FONTE INDICADORES (4)'!AK194/'FONTE INDICADORES (4)'!AK42,"")</f>
        <v>0.78175217419996712</v>
      </c>
      <c r="AL31" s="310">
        <f>IFERROR(-'FONTE INDICADORES (4)'!AL194/'FONTE INDICADORES (4)'!AL42,"")</f>
        <v>0.68715349977278672</v>
      </c>
      <c r="AM31" s="310">
        <f>IFERROR(-'FONTE INDICADORES (4)'!AM194/'FONTE INDICADORES (4)'!AM42,"")</f>
        <v>0.74642835948365061</v>
      </c>
      <c r="AN31" s="310">
        <f>IFERROR(-'FONTE INDICADORES (4)'!AN194/'FONTE INDICADORES (4)'!AN42,"")</f>
        <v>0.73770760351823383</v>
      </c>
      <c r="AO31" s="310">
        <f>IFERROR(-'FONTE INDICADORES (4)'!AO194/'FONTE INDICADORES (4)'!AO42,"")</f>
        <v>0.74732804612273207</v>
      </c>
      <c r="AP31" s="310">
        <f>IFERROR(-'FONTE INDICADORES (4)'!AP194/'FONTE INDICADORES (4)'!AP42,"")</f>
        <v>0.73070975790825321</v>
      </c>
      <c r="AQ31" s="310">
        <f>IFERROR(-'FONTE INDICADORES (4)'!AQ194/'FONTE INDICADORES (4)'!AQ42,"")</f>
        <v>0.64331909434141576</v>
      </c>
      <c r="AR31" s="310">
        <f>IFERROR(-'FONTE INDICADORES (4)'!AR194/'FONTE INDICADORES (4)'!AR42,"")</f>
        <v>0.70155242939592799</v>
      </c>
      <c r="AS31" s="310">
        <f>IFERROR(-'FONTE INDICADORES (4)'!AS194/'FONTE INDICADORES (4)'!AS42,"")</f>
        <v>0.63985934214247175</v>
      </c>
      <c r="AT31" s="310">
        <f>IFERROR(-'FONTE INDICADORES (4)'!AT194/'FONTE INDICADORES (4)'!AT42,"")</f>
        <v>0.72988521073813706</v>
      </c>
      <c r="AU31" s="310">
        <f>IFERROR(-'FONTE INDICADORES (4)'!AU194/'FONTE INDICADORES (4)'!AU42,"")</f>
        <v>0.67959308518321482</v>
      </c>
      <c r="AV31" s="310">
        <f>IFERROR(-'FONTE INDICADORES (4)'!AV194/'FONTE INDICADORES (4)'!AV42,"")</f>
        <v>0.68521059121536887</v>
      </c>
      <c r="AW31" s="310">
        <f>IFERROR(-'FONTE INDICADORES (4)'!AW194/'FONTE INDICADORES (4)'!AW42,"")</f>
        <v>0.71827338151634945</v>
      </c>
      <c r="AX31" s="310">
        <f>IFERROR(-'FONTE INDICADORES (4)'!AX194/'FONTE INDICADORES (4)'!AX42,"")</f>
        <v>0.66811552508102356</v>
      </c>
      <c r="AY31" s="310">
        <f>IFERROR(-'FONTE INDICADORES (4)'!AY194/'FONTE INDICADORES (4)'!AY42,"")</f>
        <v>0.82371382781840885</v>
      </c>
      <c r="AZ31" s="310">
        <f>IFERROR(-'FONTE INDICADORES (4)'!AZ194/'FONTE INDICADORES (4)'!AZ42,"")</f>
        <v>0.72629237989108353</v>
      </c>
      <c r="BA31" s="310">
        <f>IFERROR(-'FONTE INDICADORES (4)'!BA194/'FONTE INDICADORES (4)'!BA42,"")</f>
        <v>0.62323334737617841</v>
      </c>
    </row>
    <row r="32" spans="1:53" ht="15" customHeight="1"/>
    <row r="33" spans="1:53" s="2" customFormat="1" ht="24.4" customHeight="1">
      <c r="A33" s="625"/>
      <c r="B33" s="625" t="s">
        <v>559</v>
      </c>
      <c r="C33" s="626" t="s">
        <v>224</v>
      </c>
      <c r="D33" s="626" t="s">
        <v>225</v>
      </c>
      <c r="E33" s="626" t="s">
        <v>226</v>
      </c>
      <c r="F33" s="626" t="s">
        <v>227</v>
      </c>
      <c r="G33" s="642">
        <v>2016</v>
      </c>
      <c r="H33" s="626" t="s">
        <v>228</v>
      </c>
      <c r="I33" s="626" t="s">
        <v>229</v>
      </c>
      <c r="J33" s="626" t="s">
        <v>230</v>
      </c>
      <c r="K33" s="626" t="s">
        <v>231</v>
      </c>
      <c r="L33" s="642">
        <v>2017</v>
      </c>
      <c r="M33" s="626" t="s">
        <v>232</v>
      </c>
      <c r="N33" s="626" t="s">
        <v>233</v>
      </c>
      <c r="O33" s="626" t="s">
        <v>234</v>
      </c>
      <c r="P33" s="626" t="s">
        <v>235</v>
      </c>
      <c r="Q33" s="642">
        <v>2018</v>
      </c>
      <c r="R33" s="626" t="s">
        <v>236</v>
      </c>
      <c r="S33" s="626" t="s">
        <v>237</v>
      </c>
      <c r="T33" s="626" t="s">
        <v>238</v>
      </c>
      <c r="U33" s="626" t="s">
        <v>239</v>
      </c>
      <c r="V33" s="642">
        <v>2019</v>
      </c>
      <c r="W33" s="626" t="s">
        <v>240</v>
      </c>
      <c r="X33" s="626" t="s">
        <v>241</v>
      </c>
      <c r="Y33" s="626" t="s">
        <v>242</v>
      </c>
      <c r="Z33" s="626" t="s">
        <v>243</v>
      </c>
      <c r="AA33" s="642">
        <v>2020</v>
      </c>
      <c r="AB33" s="626" t="s">
        <v>244</v>
      </c>
      <c r="AC33" s="626" t="s">
        <v>245</v>
      </c>
      <c r="AD33" s="626" t="s">
        <v>246</v>
      </c>
      <c r="AE33" s="626" t="s">
        <v>247</v>
      </c>
      <c r="AF33" s="642">
        <v>2021</v>
      </c>
      <c r="AG33" s="626" t="s">
        <v>248</v>
      </c>
      <c r="AH33" s="626" t="s">
        <v>249</v>
      </c>
      <c r="AI33" s="626" t="s">
        <v>250</v>
      </c>
      <c r="AJ33" s="626" t="s">
        <v>215</v>
      </c>
      <c r="AK33" s="642">
        <v>2022</v>
      </c>
      <c r="AL33" s="626" t="s">
        <v>252</v>
      </c>
      <c r="AM33" s="626" t="s">
        <v>253</v>
      </c>
      <c r="AN33" s="626" t="s">
        <v>254</v>
      </c>
      <c r="AO33" s="626" t="s">
        <v>219</v>
      </c>
      <c r="AP33" s="642">
        <v>2023</v>
      </c>
      <c r="AQ33" s="642" t="s">
        <v>223</v>
      </c>
      <c r="AR33" s="642" t="s">
        <v>256</v>
      </c>
      <c r="AS33" s="642" t="s">
        <v>357</v>
      </c>
      <c r="AT33" s="642" t="s">
        <v>358</v>
      </c>
      <c r="AU33" s="642">
        <v>2024</v>
      </c>
      <c r="AV33" s="642" t="s">
        <v>359</v>
      </c>
      <c r="AW33" s="642" t="s">
        <v>1115</v>
      </c>
      <c r="AX33" s="642" t="s">
        <v>1116</v>
      </c>
      <c r="AY33" s="642" t="s">
        <v>1117</v>
      </c>
      <c r="AZ33" s="796">
        <v>2025</v>
      </c>
      <c r="BA33" s="797" t="s">
        <v>1124</v>
      </c>
    </row>
    <row r="34" spans="1:53" ht="15" customHeight="1">
      <c r="A34" s="9"/>
      <c r="B34" s="9" t="s">
        <v>547</v>
      </c>
      <c r="C34" s="309">
        <v>0.5397537939730267</v>
      </c>
      <c r="D34" s="309">
        <v>0.58130483345070205</v>
      </c>
      <c r="E34" s="309">
        <v>0.55816006628648995</v>
      </c>
      <c r="F34" s="309">
        <v>0.5952206093478668</v>
      </c>
      <c r="G34" s="309">
        <v>0.56905615406971466</v>
      </c>
      <c r="H34" s="309">
        <v>0.57499514566138477</v>
      </c>
      <c r="I34" s="309">
        <v>0.59232835236736114</v>
      </c>
      <c r="J34" s="309">
        <v>0.62272386929641022</v>
      </c>
      <c r="K34" s="309">
        <v>0.53310866375220101</v>
      </c>
      <c r="L34" s="309">
        <v>0.58095127944757285</v>
      </c>
      <c r="M34" s="309">
        <v>0.5399358618147877</v>
      </c>
      <c r="N34" s="309">
        <v>0.57276850807689117</v>
      </c>
      <c r="O34" s="309">
        <v>0.53823847171399897</v>
      </c>
      <c r="P34" s="309">
        <v>0.57269897392199287</v>
      </c>
      <c r="Q34" s="309">
        <v>0.55399477537202757</v>
      </c>
      <c r="R34" s="309">
        <f>IFERROR(-'FONTE INDICADORES (4)'!R187/('FONTE INDICADORES (4)'!R35+'FONTE INDICADORES (4)'!R73),"")</f>
        <v>0.54487172014673479</v>
      </c>
      <c r="S34" s="309">
        <f>IFERROR(-'FONTE INDICADORES (4)'!S187/('FONTE INDICADORES (4)'!S35+'FONTE INDICADORES (4)'!S73),"")</f>
        <v>0.54285683768470117</v>
      </c>
      <c r="T34" s="309">
        <f>IFERROR(-'FONTE INDICADORES (4)'!T187/('FONTE INDICADORES (4)'!T35+'FONTE INDICADORES (4)'!T73),"")</f>
        <v>0.53003691987883805</v>
      </c>
      <c r="U34" s="309">
        <f>IFERROR(-'FONTE INDICADORES (4)'!U187/('FONTE INDICADORES (4)'!U35+'FONTE INDICADORES (4)'!U73),"")</f>
        <v>0.51077765741863301</v>
      </c>
      <c r="V34" s="309">
        <f>IFERROR(-'FONTE INDICADORES (4)'!V187/('FONTE INDICADORES (4)'!V35+'FONTE INDICADORES (4)'!V73),"")</f>
        <v>0.53178999603696442</v>
      </c>
      <c r="W34" s="309">
        <f>IFERROR(-'FONTE INDICADORES (4)'!W187/('FONTE INDICADORES (4)'!W35+'FONTE INDICADORES (4)'!W73),"")</f>
        <v>0.54642059561101586</v>
      </c>
      <c r="X34" s="309">
        <f>IFERROR(-'FONTE INDICADORES (4)'!X187/('FONTE INDICADORES (4)'!X35+'FONTE INDICADORES (4)'!X73),"")</f>
        <v>0.52136862261407635</v>
      </c>
      <c r="Y34" s="309">
        <f>IFERROR(-'FONTE INDICADORES (4)'!Y187/('FONTE INDICADORES (4)'!Y35+'FONTE INDICADORES (4)'!Y73),"")</f>
        <v>0.54069407168162609</v>
      </c>
      <c r="Z34" s="309">
        <f>IFERROR(-'FONTE INDICADORES (4)'!Z187/('FONTE INDICADORES (4)'!Z35+'FONTE INDICADORES (4)'!Z73),"")</f>
        <v>0.57722121265382098</v>
      </c>
      <c r="AA34" s="309">
        <f>IFERROR(-'FONTE INDICADORES (4)'!AA187/('FONTE INDICADORES (4)'!AA35+'FONTE INDICADORES (4)'!AA73),"")</f>
        <v>0.54674698848479042</v>
      </c>
      <c r="AB34" s="309">
        <f>IFERROR(-'FONTE INDICADORES (4)'!AB187/('FONTE INDICADORES (4)'!AB35+'FONTE INDICADORES (4)'!AB73),"")</f>
        <v>0.59535257300468014</v>
      </c>
      <c r="AC34" s="309">
        <f>IFERROR(-'FONTE INDICADORES (4)'!AC187/('FONTE INDICADORES (4)'!AC35+'FONTE INDICADORES (4)'!AC73),"")</f>
        <v>0.62104896289649114</v>
      </c>
      <c r="AD34" s="309">
        <f>IFERROR(-'FONTE INDICADORES (4)'!AD187/('FONTE INDICADORES (4)'!AD35+'FONTE INDICADORES (4)'!AD73),"")</f>
        <v>0.59706356889096612</v>
      </c>
      <c r="AE34" s="309">
        <f>IFERROR(-'FONTE INDICADORES (4)'!AE187/('FONTE INDICADORES (4)'!AE35+'FONTE INDICADORES (4)'!AE73),"")</f>
        <v>0.57197796479663643</v>
      </c>
      <c r="AF34" s="309">
        <f>IFERROR(-'FONTE INDICADORES (4)'!AF187/('FONTE INDICADORES (4)'!AF35+'FONTE INDICADORES (4)'!AF73),"")</f>
        <v>0.59588122825696799</v>
      </c>
      <c r="AG34" s="309">
        <f>IFERROR(-'FONTE INDICADORES (4)'!AG187/('FONTE INDICADORES (4)'!AG35+'FONTE INDICADORES (4)'!AG73),"")</f>
        <v>0.5866389193596353</v>
      </c>
      <c r="AH34" s="309">
        <f>IFERROR(-'FONTE INDICADORES (4)'!AH187/('FONTE INDICADORES (4)'!AH35+'FONTE INDICADORES (4)'!AH73),"")</f>
        <v>0.5541297108566472</v>
      </c>
      <c r="AI34" s="309">
        <f>IFERROR(-'FONTE INDICADORES (4)'!AI187/('FONTE INDICADORES (4)'!AI35+'FONTE INDICADORES (4)'!AI73),"")</f>
        <v>0.54696913192759733</v>
      </c>
      <c r="AJ34" s="309">
        <f>IFERROR(-'FONTE INDICADORES (4)'!AJ187/('FONTE INDICADORES (4)'!AJ35+'FONTE INDICADORES (4)'!AJ73),"")</f>
        <v>0.54112210147432016</v>
      </c>
      <c r="AK34" s="309">
        <f>IFERROR(-'FONTE INDICADORES (4)'!AK187/('FONTE INDICADORES (4)'!AK35+'FONTE INDICADORES (4)'!AK73),"")</f>
        <v>0.55617900302179824</v>
      </c>
      <c r="AL34" s="309">
        <f>IFERROR(-'FONTE INDICADORES (4)'!AL187/('FONTE INDICADORES (4)'!AL35+'FONTE INDICADORES (4)'!AL73),"")</f>
        <v>0.50835026566570019</v>
      </c>
      <c r="AM34" s="309">
        <f>IFERROR(-'FONTE INDICADORES (4)'!AM187/('FONTE INDICADORES (4)'!AM35+'FONTE INDICADORES (4)'!AM73),"")</f>
        <v>0.49903614020265424</v>
      </c>
      <c r="AN34" s="309">
        <f>IFERROR(-'FONTE INDICADORES (4)'!AN187/('FONTE INDICADORES (4)'!AN35+'FONTE INDICADORES (4)'!AN73),"")</f>
        <v>0.48431057616469875</v>
      </c>
      <c r="AO34" s="309">
        <f>IFERROR(-'FONTE INDICADORES (4)'!AO187/('FONTE INDICADORES (4)'!AO35+'FONTE INDICADORES (4)'!AO73),"")</f>
        <v>0.51506240039061613</v>
      </c>
      <c r="AP34" s="309">
        <f>IFERROR(-'FONTE INDICADORES (4)'!AP187/('FONTE INDICADORES (4)'!AP35+'FONTE INDICADORES (4)'!AP73),"")</f>
        <v>0.50162671401746872</v>
      </c>
      <c r="AQ34" s="309">
        <f>IFERROR(-'FONTE INDICADORES (4)'!AQ187/('FONTE INDICADORES (4)'!AQ35+'FONTE INDICADORES (4)'!AQ73),"")</f>
        <v>0.49490818774684164</v>
      </c>
      <c r="AR34" s="309">
        <f>IFERROR(-'FONTE INDICADORES (4)'!AR187/('FONTE INDICADORES (4)'!AR35+'FONTE INDICADORES (4)'!AR73),"")</f>
        <v>0.60868029960772274</v>
      </c>
      <c r="AS34" s="309">
        <f>IFERROR(-'FONTE INDICADORES (4)'!AS187/('FONTE INDICADORES (4)'!AS35+'FONTE INDICADORES (4)'!AS73),"")</f>
        <v>0.49951445047623616</v>
      </c>
      <c r="AT34" s="309">
        <f>IFERROR(-'FONTE INDICADORES (4)'!AT187/('FONTE INDICADORES (4)'!AT35+'FONTE INDICADORES (4)'!AT73),"")</f>
        <v>0.51627256475705496</v>
      </c>
      <c r="AU34" s="309">
        <f>IFERROR(-'FONTE INDICADORES (4)'!AU187/('FONTE INDICADORES (4)'!AU35+'FONTE INDICADORES (4)'!AU73),"")</f>
        <v>0.52939878985962452</v>
      </c>
      <c r="AV34" s="309">
        <f>IFERROR(-'FONTE INDICADORES (4)'!AV187/('FONTE INDICADORES (4)'!AV35+'FONTE INDICADORES (4)'!AV73),"")</f>
        <v>0.51664546074333129</v>
      </c>
      <c r="AW34" s="309">
        <f>IFERROR(-'FONTE INDICADORES (4)'!AW187/('FONTE INDICADORES (4)'!AW35+'FONTE INDICADORES (4)'!AW73),"")</f>
        <v>0.5088520937141624</v>
      </c>
      <c r="AX34" s="309">
        <f>IFERROR(-'FONTE INDICADORES (4)'!AX187/('FONTE INDICADORES (4)'!AX35+'FONTE INDICADORES (4)'!AX73),"")</f>
        <v>0.49203340933751505</v>
      </c>
      <c r="AY34" s="309">
        <f>IFERROR(-'FONTE INDICADORES (4)'!AY187/('FONTE INDICADORES (4)'!AY35+'FONTE INDICADORES (4)'!AY73),"")</f>
        <v>0.51855148566888987</v>
      </c>
      <c r="AZ34" s="309">
        <f>IFERROR(-'FONTE INDICADORES (4)'!AZ187/('FONTE INDICADORES (4)'!AZ35+'FONTE INDICADORES (4)'!AZ73),"")</f>
        <v>0.50890147672340014</v>
      </c>
      <c r="BA34" s="309">
        <f>IFERROR(-'FONTE INDICADORES (4)'!BA187/('FONTE INDICADORES (4)'!BA35+'FONTE INDICADORES (4)'!BA73),"")</f>
        <v>0.4840313723214365</v>
      </c>
    </row>
    <row r="35" spans="1:53" s="2" customFormat="1" ht="15" customHeight="1">
      <c r="B35" s="2" t="s">
        <v>549</v>
      </c>
      <c r="C35" s="310">
        <v>0.47700566389031246</v>
      </c>
      <c r="D35" s="310">
        <v>0.49581256475629348</v>
      </c>
      <c r="E35" s="310">
        <v>0.45429661757096851</v>
      </c>
      <c r="F35" s="310">
        <v>0.52152256930469354</v>
      </c>
      <c r="G35" s="310">
        <v>0.48749244710512901</v>
      </c>
      <c r="H35" s="310">
        <v>0.52529009086825096</v>
      </c>
      <c r="I35" s="310">
        <v>0.54590582031297918</v>
      </c>
      <c r="J35" s="310">
        <v>0.58554412747472329</v>
      </c>
      <c r="K35" s="310">
        <v>0.49397520904023351</v>
      </c>
      <c r="L35" s="310">
        <v>0.53756426632665721</v>
      </c>
      <c r="M35" s="310">
        <v>0.52094962790483157</v>
      </c>
      <c r="N35" s="310">
        <v>0.53688537642208201</v>
      </c>
      <c r="O35" s="310">
        <v>0.50492108365546895</v>
      </c>
      <c r="P35" s="310">
        <v>0.54011317163697348</v>
      </c>
      <c r="Q35" s="310">
        <v>0.52344641669413405</v>
      </c>
      <c r="R35" s="310">
        <f>IFERROR(-'FONTE INDICADORES (4)'!R188/('FONTE INDICADORES (4)'!R36+'FONTE INDICADORES (4)'!R74),"")</f>
        <v>0.52350364286209938</v>
      </c>
      <c r="S35" s="310">
        <f>IFERROR(-'FONTE INDICADORES (4)'!S188/('FONTE INDICADORES (4)'!S36+'FONTE INDICADORES (4)'!S74),"")</f>
        <v>0.52096454430091155</v>
      </c>
      <c r="T35" s="310">
        <f>IFERROR(-'FONTE INDICADORES (4)'!T188/('FONTE INDICADORES (4)'!T36+'FONTE INDICADORES (4)'!T74),"")</f>
        <v>0.5075729222548121</v>
      </c>
      <c r="U35" s="310">
        <f>IFERROR(-'FONTE INDICADORES (4)'!U188/('FONTE INDICADORES (4)'!U36+'FONTE INDICADORES (4)'!U74),"")</f>
        <v>0.48854096700525451</v>
      </c>
      <c r="V35" s="310">
        <f>IFERROR(-'FONTE INDICADORES (4)'!V188/('FONTE INDICADORES (4)'!V36+'FONTE INDICADORES (4)'!V74),"")</f>
        <v>0.5098608926678887</v>
      </c>
      <c r="W35" s="310">
        <f>IFERROR(-'FONTE INDICADORES (4)'!W188/('FONTE INDICADORES (4)'!W36+'FONTE INDICADORES (4)'!W74),"")</f>
        <v>0.52192713897121101</v>
      </c>
      <c r="X35" s="310">
        <f>IFERROR(-'FONTE INDICADORES (4)'!X188/('FONTE INDICADORES (4)'!X36+'FONTE INDICADORES (4)'!X74),"")</f>
        <v>0.49800011878480632</v>
      </c>
      <c r="Y35" s="310">
        <f>IFERROR(-'FONTE INDICADORES (4)'!Y188/('FONTE INDICADORES (4)'!Y36+'FONTE INDICADORES (4)'!Y74),"")</f>
        <v>0.5173033244842159</v>
      </c>
      <c r="Z35" s="310">
        <f>IFERROR(-'FONTE INDICADORES (4)'!Z188/('FONTE INDICADORES (4)'!Z36+'FONTE INDICADORES (4)'!Z74),"")</f>
        <v>0.55679706032401666</v>
      </c>
      <c r="AA35" s="310">
        <f>IFERROR(-'FONTE INDICADORES (4)'!AA188/('FONTE INDICADORES (4)'!AA36+'FONTE INDICADORES (4)'!AA74),"")</f>
        <v>0.52371854218954672</v>
      </c>
      <c r="AB35" s="310">
        <f>IFERROR(-'FONTE INDICADORES (4)'!AB188/('FONTE INDICADORES (4)'!AB36+'FONTE INDICADORES (4)'!AB74),"")</f>
        <v>0.57553600828199047</v>
      </c>
      <c r="AC35" s="310">
        <f>IFERROR(-'FONTE INDICADORES (4)'!AC188/('FONTE INDICADORES (4)'!AC36+'FONTE INDICADORES (4)'!AC74),"")</f>
        <v>0.60242754157958833</v>
      </c>
      <c r="AD35" s="310">
        <f>IFERROR(-'FONTE INDICADORES (4)'!AD188/('FONTE INDICADORES (4)'!AD36+'FONTE INDICADORES (4)'!AD74),"")</f>
        <v>0.57432514998640227</v>
      </c>
      <c r="AE35" s="310">
        <f>IFERROR(-'FONTE INDICADORES (4)'!AE188/('FONTE INDICADORES (4)'!AE36+'FONTE INDICADORES (4)'!AE74),"")</f>
        <v>0.55372367445807558</v>
      </c>
      <c r="AF35" s="310">
        <f>IFERROR(-'FONTE INDICADORES (4)'!AF188/('FONTE INDICADORES (4)'!AF36+'FONTE INDICADORES (4)'!AF74),"")</f>
        <v>0.5759755177163548</v>
      </c>
      <c r="AG35" s="310">
        <f>IFERROR(-'FONTE INDICADORES (4)'!AG188/('FONTE INDICADORES (4)'!AG36+'FONTE INDICADORES (4)'!AG74),"")</f>
        <v>0.56853359042137797</v>
      </c>
      <c r="AH35" s="310">
        <f>IFERROR(-'FONTE INDICADORES (4)'!AH188/('FONTE INDICADORES (4)'!AH36+'FONTE INDICADORES (4)'!AH74),"")</f>
        <v>0.53303787392332114</v>
      </c>
      <c r="AI35" s="310">
        <f>IFERROR(-'FONTE INDICADORES (4)'!AI188/('FONTE INDICADORES (4)'!AI36+'FONTE INDICADORES (4)'!AI74),"")</f>
        <v>0.53689008400645089</v>
      </c>
      <c r="AJ35" s="310">
        <f>IFERROR(-'FONTE INDICADORES (4)'!AJ188/('FONTE INDICADORES (4)'!AJ36+'FONTE INDICADORES (4)'!AJ74),"")</f>
        <v>0.53248032913355758</v>
      </c>
      <c r="AK35" s="310">
        <f>IFERROR(-'FONTE INDICADORES (4)'!AK188/('FONTE INDICADORES (4)'!AK36+'FONTE INDICADORES (4)'!AK74),"")</f>
        <v>0.54207735619813191</v>
      </c>
      <c r="AL35" s="310">
        <f>IFERROR(-'FONTE INDICADORES (4)'!AL188/('FONTE INDICADORES (4)'!AL36+'FONTE INDICADORES (4)'!AL74),"")</f>
        <v>0.49638811963010071</v>
      </c>
      <c r="AM35" s="310">
        <f>IFERROR(-'FONTE INDICADORES (4)'!AM188/('FONTE INDICADORES (4)'!AM36+'FONTE INDICADORES (4)'!AM74),"")</f>
        <v>0.47931066541038625</v>
      </c>
      <c r="AN35" s="310">
        <f>IFERROR(-'FONTE INDICADORES (4)'!AN188/('FONTE INDICADORES (4)'!AN36+'FONTE INDICADORES (4)'!AN74),"")</f>
        <v>0.46570723345389714</v>
      </c>
      <c r="AO35" s="310">
        <f>IFERROR(-'FONTE INDICADORES (4)'!AO188/('FONTE INDICADORES (4)'!AO36+'FONTE INDICADORES (4)'!AO74),"")</f>
        <v>0.49715533522778482</v>
      </c>
      <c r="AP35" s="310">
        <f>IFERROR(-'FONTE INDICADORES (4)'!AP188/('FONTE INDICADORES (4)'!AP36+'FONTE INDICADORES (4)'!AP74),"")</f>
        <v>0.48452378022726122</v>
      </c>
      <c r="AQ35" s="310">
        <f>IFERROR(-'FONTE INDICADORES (4)'!AQ188/('FONTE INDICADORES (4)'!AQ36+'FONTE INDICADORES (4)'!AQ74),"")</f>
        <v>0.48461421509108837</v>
      </c>
      <c r="AR35" s="310">
        <f>IFERROR(-'FONTE INDICADORES (4)'!AR188/('FONTE INDICADORES (4)'!AR36+'FONTE INDICADORES (4)'!AR74),"")</f>
        <v>0.60637665873502489</v>
      </c>
      <c r="AS35" s="310">
        <f>IFERROR(-'FONTE INDICADORES (4)'!AS188/('FONTE INDICADORES (4)'!AS36+'FONTE INDICADORES (4)'!AS74),"")</f>
        <v>0.49109339732708729</v>
      </c>
      <c r="AT35" s="310">
        <f>IFERROR(-'FONTE INDICADORES (4)'!AT188/('FONTE INDICADORES (4)'!AT36+'FONTE INDICADORES (4)'!AT74),"")</f>
        <v>0.49976543175513455</v>
      </c>
      <c r="AU35" s="310">
        <f>IFERROR(-'FONTE INDICADORES (4)'!AU188/('FONTE INDICADORES (4)'!AU36+'FONTE INDICADORES (4)'!AU74),"")</f>
        <v>0.51993295698594666</v>
      </c>
      <c r="AV35" s="310">
        <f>IFERROR(-'FONTE INDICADORES (4)'!AV188/('FONTE INDICADORES (4)'!AV36+'FONTE INDICADORES (4)'!AV74),"")</f>
        <v>0.50488314125255951</v>
      </c>
      <c r="AW35" s="310">
        <f>IFERROR(-'FONTE INDICADORES (4)'!AW188/('FONTE INDICADORES (4)'!AW36+'FONTE INDICADORES (4)'!AW74),"")</f>
        <v>0.49308366571424844</v>
      </c>
      <c r="AX35" s="310">
        <f>IFERROR(-'FONTE INDICADORES (4)'!AX188/('FONTE INDICADORES (4)'!AX36+'FONTE INDICADORES (4)'!AX74),"")</f>
        <v>0.48134817380519679</v>
      </c>
      <c r="AY35" s="310">
        <f>IFERROR(-'FONTE INDICADORES (4)'!AY188/('FONTE INDICADORES (4)'!AY36+'FONTE INDICADORES (4)'!AY74),"")</f>
        <v>0.49157845821561313</v>
      </c>
      <c r="AZ35" s="310">
        <f>IFERROR(-'FONTE INDICADORES (4)'!AZ188/('FONTE INDICADORES (4)'!AZ36+'FONTE INDICADORES (4)'!AZ74),"")</f>
        <v>0.49248380182261586</v>
      </c>
      <c r="BA35" s="310">
        <f>IFERROR(-'FONTE INDICADORES (4)'!BA188/('FONTE INDICADORES (4)'!BA36+'FONTE INDICADORES (4)'!BA74),"")</f>
        <v>0.47449523072821098</v>
      </c>
    </row>
    <row r="36" spans="1:53" ht="15" customHeight="1">
      <c r="B36" s="11" t="s">
        <v>462</v>
      </c>
      <c r="C36" s="311">
        <v>0.49330962221745706</v>
      </c>
      <c r="D36" s="311">
        <v>0.5102066355331718</v>
      </c>
      <c r="E36" s="311">
        <v>0.47010840879124682</v>
      </c>
      <c r="F36" s="311">
        <v>0.54202792226715335</v>
      </c>
      <c r="G36" s="311">
        <v>0.50425913972716085</v>
      </c>
      <c r="H36" s="311">
        <v>0.5557175214134954</v>
      </c>
      <c r="I36" s="311">
        <v>0.57854386332198615</v>
      </c>
      <c r="J36" s="311">
        <v>0.61946761601799549</v>
      </c>
      <c r="K36" s="311">
        <v>0.5112749350339254</v>
      </c>
      <c r="L36" s="311">
        <v>0.56588996359833688</v>
      </c>
      <c r="M36" s="311">
        <v>0.5616853292423406</v>
      </c>
      <c r="N36" s="311">
        <v>0.57152200835026701</v>
      </c>
      <c r="O36" s="311">
        <v>0.52526777554080073</v>
      </c>
      <c r="P36" s="311">
        <v>0.57494467874485711</v>
      </c>
      <c r="Q36" s="311">
        <v>0.55467785598485164</v>
      </c>
      <c r="R36" s="311">
        <f>IFERROR(-'FONTE INDICADORES (4)'!R189/('FONTE INDICADORES (4)'!R37+'FONTE INDICADORES (4)'!R75),"")</f>
        <v>0.55378090326230478</v>
      </c>
      <c r="S36" s="311">
        <f>IFERROR(-'FONTE INDICADORES (4)'!S189/('FONTE INDICADORES (4)'!S37+'FONTE INDICADORES (4)'!S75),"")</f>
        <v>0.55592297766220677</v>
      </c>
      <c r="T36" s="311">
        <f>IFERROR(-'FONTE INDICADORES (4)'!T189/('FONTE INDICADORES (4)'!T37+'FONTE INDICADORES (4)'!T75),"")</f>
        <v>0.53803488264014054</v>
      </c>
      <c r="U36" s="311">
        <f>IFERROR(-'FONTE INDICADORES (4)'!U189/('FONTE INDICADORES (4)'!U37+'FONTE INDICADORES (4)'!U75),"")</f>
        <v>0.49731238759417151</v>
      </c>
      <c r="V36" s="311">
        <f>IFERROR(-'FONTE INDICADORES (4)'!V189/('FONTE INDICADORES (4)'!V37+'FONTE INDICADORES (4)'!V75),"")</f>
        <v>0.53534625666762892</v>
      </c>
      <c r="W36" s="311">
        <f>IFERROR(-'FONTE INDICADORES (4)'!W189/('FONTE INDICADORES (4)'!W37+'FONTE INDICADORES (4)'!W75),"")</f>
        <v>0.54770614926615946</v>
      </c>
      <c r="X36" s="311">
        <f>IFERROR(-'FONTE INDICADORES (4)'!X189/('FONTE INDICADORES (4)'!X37+'FONTE INDICADORES (4)'!X75),"")</f>
        <v>0.51993012908210756</v>
      </c>
      <c r="Y36" s="311">
        <f>IFERROR(-'FONTE INDICADORES (4)'!Y189/('FONTE INDICADORES (4)'!Y37+'FONTE INDICADORES (4)'!Y75),"")</f>
        <v>0.56813864907341416</v>
      </c>
      <c r="Z36" s="311">
        <f>IFERROR(-'FONTE INDICADORES (4)'!Z189/('FONTE INDICADORES (4)'!Z37+'FONTE INDICADORES (4)'!Z75),"")</f>
        <v>0.5971234639675389</v>
      </c>
      <c r="AA36" s="311">
        <f>IFERROR(-'FONTE INDICADORES (4)'!AA189/('FONTE INDICADORES (4)'!AA37+'FONTE INDICADORES (4)'!AA75),"")</f>
        <v>0.55844386513131328</v>
      </c>
      <c r="AB36" s="311">
        <f>IFERROR(-'FONTE INDICADORES (4)'!AB189/('FONTE INDICADORES (4)'!AB37+'FONTE INDICADORES (4)'!AB75),"")</f>
        <v>0.60082609661569031</v>
      </c>
      <c r="AC36" s="311">
        <f>IFERROR(-'FONTE INDICADORES (4)'!AC189/('FONTE INDICADORES (4)'!AC37+'FONTE INDICADORES (4)'!AC75),"")</f>
        <v>0.63410046467338277</v>
      </c>
      <c r="AD36" s="311">
        <f>IFERROR(-'FONTE INDICADORES (4)'!AD189/('FONTE INDICADORES (4)'!AD37+'FONTE INDICADORES (4)'!AD75),"")</f>
        <v>0.65121684594860607</v>
      </c>
      <c r="AE36" s="311">
        <f>IFERROR(-'FONTE INDICADORES (4)'!AE189/('FONTE INDICADORES (4)'!AE37+'FONTE INDICADORES (4)'!AE75),"")</f>
        <v>0.59068835788078133</v>
      </c>
      <c r="AF36" s="311">
        <f>IFERROR(-'FONTE INDICADORES (4)'!AF189/('FONTE INDICADORES (4)'!AF37+'FONTE INDICADORES (4)'!AF75),"")</f>
        <v>0.61958596662101517</v>
      </c>
      <c r="AG36" s="311">
        <f>IFERROR(-'FONTE INDICADORES (4)'!AG189/('FONTE INDICADORES (4)'!AG37+'FONTE INDICADORES (4)'!AG75),"")</f>
        <v>0.56134652304261035</v>
      </c>
      <c r="AH36" s="311">
        <f>IFERROR(-'FONTE INDICADORES (4)'!AH189/('FONTE INDICADORES (4)'!AH37+'FONTE INDICADORES (4)'!AH75),"")</f>
        <v>0.58185207646763015</v>
      </c>
      <c r="AI36" s="311">
        <f>IFERROR(-'FONTE INDICADORES (4)'!AI189/('FONTE INDICADORES (4)'!AI37+'FONTE INDICADORES (4)'!AI75),"")</f>
        <v>0.58314657701179828</v>
      </c>
      <c r="AJ36" s="311">
        <f>IFERROR(-'FONTE INDICADORES (4)'!AJ189/('FONTE INDICADORES (4)'!AJ37+'FONTE INDICADORES (4)'!AJ75),"")</f>
        <v>0.59413801807438849</v>
      </c>
      <c r="AK36" s="311">
        <f>IFERROR(-'FONTE INDICADORES (4)'!AK189/('FONTE INDICADORES (4)'!AK37+'FONTE INDICADORES (4)'!AK75),"")</f>
        <v>0.57993986018221588</v>
      </c>
      <c r="AL36" s="311">
        <f>IFERROR(-'FONTE INDICADORES (4)'!AL189/('FONTE INDICADORES (4)'!AL37+'FONTE INDICADORES (4)'!AL75),"")</f>
        <v>0.54026083489948173</v>
      </c>
      <c r="AM36" s="311">
        <f>IFERROR(-'FONTE INDICADORES (4)'!AM189/('FONTE INDICADORES (4)'!AM37+'FONTE INDICADORES (4)'!AM75),"")</f>
        <v>0.53644930662708012</v>
      </c>
      <c r="AN36" s="311">
        <f>IFERROR(-'FONTE INDICADORES (4)'!AN189/('FONTE INDICADORES (4)'!AN37+'FONTE INDICADORES (4)'!AN75),"")</f>
        <v>0.49611929503802094</v>
      </c>
      <c r="AO36" s="311">
        <f>IFERROR(-'FONTE INDICADORES (4)'!AO189/('FONTE INDICADORES (4)'!AO37+'FONTE INDICADORES (4)'!AO75),"")</f>
        <v>0.50104288201611891</v>
      </c>
      <c r="AP36" s="311">
        <f>IFERROR(-'FONTE INDICADORES (4)'!AP189/('FONTE INDICADORES (4)'!AP37+'FONTE INDICADORES (4)'!AP75),"")</f>
        <v>0.51830004018071985</v>
      </c>
      <c r="AQ36" s="311">
        <f>IFERROR(-'FONTE INDICADORES (4)'!AQ189/('FONTE INDICADORES (4)'!AQ37+'FONTE INDICADORES (4)'!AQ75),"")</f>
        <v>0.53427857643780297</v>
      </c>
      <c r="AR36" s="311">
        <f>IFERROR(-'FONTE INDICADORES (4)'!AR189/('FONTE INDICADORES (4)'!AR37+'FONTE INDICADORES (4)'!AR75),"")</f>
        <v>0.65059595234389511</v>
      </c>
      <c r="AS36" s="311">
        <f>IFERROR(-'FONTE INDICADORES (4)'!AS189/('FONTE INDICADORES (4)'!AS37+'FONTE INDICADORES (4)'!AS75),"")</f>
        <v>0.53261618972463343</v>
      </c>
      <c r="AT36" s="311">
        <f>IFERROR(-'FONTE INDICADORES (4)'!AT189/('FONTE INDICADORES (4)'!AT37+'FONTE INDICADORES (4)'!AT75),"")</f>
        <v>0.5647259342911517</v>
      </c>
      <c r="AU36" s="311">
        <f>IFERROR(-'FONTE INDICADORES (4)'!AU189/('FONTE INDICADORES (4)'!AU37+'FONTE INDICADORES (4)'!AU75),"")</f>
        <v>0.56987214471992609</v>
      </c>
      <c r="AV36" s="311">
        <f>IFERROR(-'FONTE INDICADORES (4)'!AV189/('FONTE INDICADORES (4)'!AV37+'FONTE INDICADORES (4)'!AV75),"")</f>
        <v>0.58977615451414889</v>
      </c>
      <c r="AW36" s="311">
        <f>IFERROR(-'FONTE INDICADORES (4)'!AW189/('FONTE INDICADORES (4)'!AW37+'FONTE INDICADORES (4)'!AW75),"")</f>
        <v>0.53599253592410168</v>
      </c>
      <c r="AX36" s="311">
        <f>IFERROR(-'FONTE INDICADORES (4)'!AX189/('FONTE INDICADORES (4)'!AX37+'FONTE INDICADORES (4)'!AX75),"")</f>
        <v>0.53918350546238136</v>
      </c>
      <c r="AY36" s="311">
        <f>IFERROR(-'FONTE INDICADORES (4)'!AY189/('FONTE INDICADORES (4)'!AY37+'FONTE INDICADORES (4)'!AY75),"")</f>
        <v>0.51950853360052018</v>
      </c>
      <c r="AZ36" s="311">
        <f>IFERROR(-'FONTE INDICADORES (4)'!AZ189/('FONTE INDICADORES (4)'!AZ37+'FONTE INDICADORES (4)'!AZ75),"")</f>
        <v>0.54577502855383753</v>
      </c>
      <c r="BA36" s="311">
        <f>IFERROR(-'FONTE INDICADORES (4)'!BA189/('FONTE INDICADORES (4)'!BA37+'FONTE INDICADORES (4)'!BA75),"")</f>
        <v>0.52973500239999616</v>
      </c>
    </row>
    <row r="37" spans="1:53" ht="15" customHeight="1">
      <c r="B37" s="11" t="s">
        <v>446</v>
      </c>
      <c r="C37" s="311" t="s">
        <v>552</v>
      </c>
      <c r="D37" s="311" t="s">
        <v>552</v>
      </c>
      <c r="E37" s="311" t="s">
        <v>552</v>
      </c>
      <c r="F37" s="311" t="s">
        <v>552</v>
      </c>
      <c r="G37" s="311" t="s">
        <v>552</v>
      </c>
      <c r="H37" s="311" t="s">
        <v>552</v>
      </c>
      <c r="I37" s="311" t="s">
        <v>552</v>
      </c>
      <c r="J37" s="311" t="s">
        <v>552</v>
      </c>
      <c r="K37" s="311" t="s">
        <v>552</v>
      </c>
      <c r="L37" s="311" t="s">
        <v>552</v>
      </c>
      <c r="M37" s="311" t="s">
        <v>552</v>
      </c>
      <c r="N37" s="311" t="s">
        <v>552</v>
      </c>
      <c r="O37" s="311" t="s">
        <v>552</v>
      </c>
      <c r="P37" s="311" t="s">
        <v>552</v>
      </c>
      <c r="Q37" s="311" t="s">
        <v>552</v>
      </c>
      <c r="R37" s="311" t="str">
        <f>IFERROR(-'FONTE INDICADORES (4)'!R192/('FONTE INDICADORES (4)'!R40+'FONTE INDICADORES (4)'!R78),"")</f>
        <v/>
      </c>
      <c r="S37" s="311" t="str">
        <f>IFERROR(-'FONTE INDICADORES (4)'!S192/('FONTE INDICADORES (4)'!S40+'FONTE INDICADORES (4)'!S78),"")</f>
        <v/>
      </c>
      <c r="T37" s="311" t="str">
        <f>IFERROR(-'FONTE INDICADORES (4)'!T192/('FONTE INDICADORES (4)'!T40+'FONTE INDICADORES (4)'!T78),"")</f>
        <v/>
      </c>
      <c r="U37" s="311" t="str">
        <f>IFERROR(-'FONTE INDICADORES (4)'!U192/('FONTE INDICADORES (4)'!U40+'FONTE INDICADORES (4)'!U78),"")</f>
        <v/>
      </c>
      <c r="V37" s="311" t="str">
        <f>IFERROR(-'FONTE INDICADORES (4)'!V192/('FONTE INDICADORES (4)'!V40+'FONTE INDICADORES (4)'!V78),"")</f>
        <v/>
      </c>
      <c r="W37" s="311" t="str">
        <f>IFERROR(-'FONTE INDICADORES (4)'!W192/('FONTE INDICADORES (4)'!W40+'FONTE INDICADORES (4)'!W78),"")</f>
        <v/>
      </c>
      <c r="X37" s="311" t="str">
        <f>IFERROR(-'FONTE INDICADORES (4)'!X192/('FONTE INDICADORES (4)'!X40+'FONTE INDICADORES (4)'!X78),"")</f>
        <v/>
      </c>
      <c r="Y37" s="311" t="str">
        <f>IFERROR(-'FONTE INDICADORES (4)'!Y192/('FONTE INDICADORES (4)'!Y40+'FONTE INDICADORES (4)'!Y78),"")</f>
        <v/>
      </c>
      <c r="Z37" s="311">
        <f>IFERROR(-'FONTE INDICADORES (4)'!Z192/('FONTE INDICADORES (4)'!Z40+'FONTE INDICADORES (4)'!Z78),"")</f>
        <v>0.18205787943847176</v>
      </c>
      <c r="AA37" s="311">
        <f>IFERROR(-'FONTE INDICADORES (4)'!AA192/('FONTE INDICADORES (4)'!AA40+'FONTE INDICADORES (4)'!AA78),"")</f>
        <v>0.18205787943847176</v>
      </c>
      <c r="AB37" s="311">
        <f>IFERROR(-'FONTE INDICADORES (4)'!AB192/('FONTE INDICADORES (4)'!AB40+'FONTE INDICADORES (4)'!AB78),"")</f>
        <v>0.60766963924916395</v>
      </c>
      <c r="AC37" s="311">
        <f>IFERROR(-'FONTE INDICADORES (4)'!AC192/('FONTE INDICADORES (4)'!AC40+'FONTE INDICADORES (4)'!AC78),"")</f>
        <v>0.62087782532586477</v>
      </c>
      <c r="AD37" s="311">
        <f>IFERROR(-'FONTE INDICADORES (4)'!AD192/('FONTE INDICADORES (4)'!AD40+'FONTE INDICADORES (4)'!AD78),"")</f>
        <v>0.59655917574101258</v>
      </c>
      <c r="AE37" s="311">
        <f>IFERROR(-'FONTE INDICADORES (4)'!AE192/('FONTE INDICADORES (4)'!AE40+'FONTE INDICADORES (4)'!AE78),"")</f>
        <v>0.59751219207353812</v>
      </c>
      <c r="AF37" s="311">
        <f>IFERROR(-'FONTE INDICADORES (4)'!AF192/('FONTE INDICADORES (4)'!AF40+'FONTE INDICADORES (4)'!AF78),"")</f>
        <v>0.60505881530465744</v>
      </c>
      <c r="AG37" s="311">
        <f>IFERROR(-'FONTE INDICADORES (4)'!AG192/('FONTE INDICADORES (4)'!AG40+'FONTE INDICADORES (4)'!AG78),"")</f>
        <v>0.62199607327592632</v>
      </c>
      <c r="AH37" s="311">
        <f>IFERROR(-'FONTE INDICADORES (4)'!AH192/('FONTE INDICADORES (4)'!AH40+'FONTE INDICADORES (4)'!AH78),"")</f>
        <v>0.55282827506639265</v>
      </c>
      <c r="AI37" s="311">
        <f>IFERROR(-'FONTE INDICADORES (4)'!AI192/('FONTE INDICADORES (4)'!AI40+'FONTE INDICADORES (4)'!AI78),"")</f>
        <v>0.5679183606925855</v>
      </c>
      <c r="AJ37" s="311">
        <f>IFERROR(-'FONTE INDICADORES (4)'!AJ192/('FONTE INDICADORES (4)'!AJ40+'FONTE INDICADORES (4)'!AJ78),"")</f>
        <v>0.53209595483964311</v>
      </c>
      <c r="AK37" s="311">
        <f>IFERROR(-'FONTE INDICADORES (4)'!AK192/('FONTE INDICADORES (4)'!AK40+'FONTE INDICADORES (4)'!AK78),"")</f>
        <v>0.56638174816529685</v>
      </c>
      <c r="AL37" s="311">
        <f>IFERROR(-'FONTE INDICADORES (4)'!AL192/('FONTE INDICADORES (4)'!AL40+'FONTE INDICADORES (4)'!AL78),"")</f>
        <v>0.50983475364088993</v>
      </c>
      <c r="AM37" s="311">
        <f>IFERROR(-'FONTE INDICADORES (4)'!AM192/('FONTE INDICADORES (4)'!AM40+'FONTE INDICADORES (4)'!AM78),"")</f>
        <v>0.48727327408212823</v>
      </c>
      <c r="AN37" s="311">
        <f>IFERROR(-'FONTE INDICADORES (4)'!AN192/('FONTE INDICADORES (4)'!AN40+'FONTE INDICADORES (4)'!AN78),"")</f>
        <v>0.47629137651574738</v>
      </c>
      <c r="AO37" s="311">
        <f>IFERROR(-'FONTE INDICADORES (4)'!AO192/('FONTE INDICADORES (4)'!AO40+'FONTE INDICADORES (4)'!AO78),"")</f>
        <v>0.52943842518144413</v>
      </c>
      <c r="AP37" s="311">
        <f>IFERROR(-'FONTE INDICADORES (4)'!AP192/('FONTE INDICADORES (4)'!AP40+'FONTE INDICADORES (4)'!AP78),"")</f>
        <v>0.50084638010550131</v>
      </c>
      <c r="AQ37" s="311">
        <f>IFERROR(-'FONTE INDICADORES (4)'!AQ192/('FONTE INDICADORES (4)'!AQ40+'FONTE INDICADORES (4)'!AQ78),"")</f>
        <v>0.49136242672175867</v>
      </c>
      <c r="AR37" s="311">
        <f>IFERROR(-'FONTE INDICADORES (4)'!AR192/('FONTE INDICADORES (4)'!AR40+'FONTE INDICADORES (4)'!AR78),"")</f>
        <v>0.6443345827267517</v>
      </c>
      <c r="AS37" s="311">
        <f>IFERROR(-'FONTE INDICADORES (4)'!AS192/('FONTE INDICADORES (4)'!AS40+'FONTE INDICADORES (4)'!AS78),"")</f>
        <v>0.50503039862506405</v>
      </c>
      <c r="AT37" s="311">
        <f>IFERROR(-'FONTE INDICADORES (4)'!AT192/('FONTE INDICADORES (4)'!AT40+'FONTE INDICADORES (4)'!AT78),"")</f>
        <v>0.51800929610765012</v>
      </c>
      <c r="AU37" s="311">
        <f>IFERROR(-'FONTE INDICADORES (4)'!AU192/('FONTE INDICADORES (4)'!AU40+'FONTE INDICADORES (4)'!AU78),"")</f>
        <v>0.53931534341239618</v>
      </c>
      <c r="AV37" s="311">
        <f>IFERROR(-'FONTE INDICADORES (4)'!AV192/('FONTE INDICADORES (4)'!AV40+'FONTE INDICADORES (4)'!AV78),"")</f>
        <v>0.49982563923105988</v>
      </c>
      <c r="AW37" s="311">
        <f>IFERROR(-'FONTE INDICADORES (4)'!AW192/('FONTE INDICADORES (4)'!AW40+'FONTE INDICADORES (4)'!AW78),"")</f>
        <v>0.49961153521430041</v>
      </c>
      <c r="AX37" s="311">
        <f>IFERROR(-'FONTE INDICADORES (4)'!AX192/('FONTE INDICADORES (4)'!AX40+'FONTE INDICADORES (4)'!AX78),"")</f>
        <v>0.48354904714386848</v>
      </c>
      <c r="AY37" s="311">
        <f>IFERROR(-'FONTE INDICADORES (4)'!AY192/('FONTE INDICADORES (4)'!AY40+'FONTE INDICADORES (4)'!AY78),"")</f>
        <v>0.50071728176638852</v>
      </c>
      <c r="AZ37" s="311">
        <f>IFERROR(-'FONTE INDICADORES (4)'!AZ192/('FONTE INDICADORES (4)'!AZ40+'FONTE INDICADORES (4)'!AZ78),"")</f>
        <v>0.49577233070676047</v>
      </c>
      <c r="BA37" s="311">
        <f>IFERROR(-'FONTE INDICADORES (4)'!BA192/('FONTE INDICADORES (4)'!BA40+'FONTE INDICADORES (4)'!BA78),"")</f>
        <v>0.46936209102540671</v>
      </c>
    </row>
    <row r="38" spans="1:53" ht="15" customHeight="1">
      <c r="B38" s="335" t="s">
        <v>553</v>
      </c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>
        <f>-SUM('FONTE INDICADORES (4)'!Z172:Z174)/(SUM('FONTE INDICADORES (4)'!Z20:Z22)+SUM('FONTE INDICADORES (4)'!Z58:Z60))</f>
        <v>0.51279927907839795</v>
      </c>
      <c r="AA38" s="311">
        <f>-SUM('FONTE INDICADORES (4)'!AA172:AA174)/(SUM('FONTE INDICADORES (4)'!AA20:AA22)+SUM('FONTE INDICADORES (4)'!AA58:AA60))</f>
        <v>0.51279927907839795</v>
      </c>
      <c r="AB38" s="311">
        <f>-SUM('FONTE INDICADORES (4)'!AB172:AB174)/(SUM('FONTE INDICADORES (4)'!AB20:AB22)+SUM('FONTE INDICADORES (4)'!AB58:AB60))</f>
        <v>0.5629126794742928</v>
      </c>
      <c r="AC38" s="311">
        <f>-SUM('FONTE INDICADORES (4)'!AC172:AC174)/(SUM('FONTE INDICADORES (4)'!AC20:AC22)+SUM('FONTE INDICADORES (4)'!AC58:AC60))</f>
        <v>0.57976219461197254</v>
      </c>
      <c r="AD38" s="311">
        <f>-SUM('FONTE INDICADORES (4)'!AD172:AD174)/(SUM('FONTE INDICADORES (4)'!AD20:AD22)+SUM('FONTE INDICADORES (4)'!AD58:AD60))</f>
        <v>0.55975481711684538</v>
      </c>
      <c r="AE38" s="311">
        <f>-SUM('FONTE INDICADORES (4)'!AE172:AE174)/(SUM('FONTE INDICADORES (4)'!AE20:AE22)+SUM('FONTE INDICADORES (4)'!AE58:AE60))</f>
        <v>0.54824114037218263</v>
      </c>
      <c r="AF38" s="311">
        <f>-SUM('FONTE INDICADORES (4)'!AF172:AF174)/(SUM('FONTE INDICADORES (4)'!AF20:AF22)+SUM('FONTE INDICADORES (4)'!AF58:AF60))</f>
        <v>0.56233283868448869</v>
      </c>
      <c r="AG38" s="311">
        <f>-SUM('FONTE INDICADORES (4)'!AG172:AG174)/(SUM('FONTE INDICADORES (4)'!AG20:AG22)+SUM('FONTE INDICADORES (4)'!AG58:AG60))</f>
        <v>0.58629509363462484</v>
      </c>
      <c r="AH38" s="311">
        <f>-SUM('FONTE INDICADORES (4)'!AH172:AH174)/(SUM('FONTE INDICADORES (4)'!AH20:AH22)+SUM('FONTE INDICADORES (4)'!AH58:AH60))</f>
        <v>0.54531930119068761</v>
      </c>
      <c r="AI38" s="311">
        <f>-SUM('FONTE INDICADORES (4)'!AI172:AI174)/(SUM('FONTE INDICADORES (4)'!AI20:AI22)+SUM('FONTE INDICADORES (4)'!AI58:AI60))</f>
        <v>0.54793517754898191</v>
      </c>
      <c r="AJ38" s="311">
        <f>-SUM('FONTE INDICADORES (4)'!AJ172:AJ174)/(SUM('FONTE INDICADORES (4)'!AJ20:AJ22)+SUM('FONTE INDICADORES (4)'!AJ58:AJ60))</f>
        <v>0.50494432891430552</v>
      </c>
      <c r="AK38" s="311">
        <f>-SUM('FONTE INDICADORES (4)'!AK172:AK174)/(SUM('FONTE INDICADORES (4)'!AK20:AK22)+SUM('FONTE INDICADORES (4)'!AK58:AK60))</f>
        <v>0.54498346249254848</v>
      </c>
      <c r="AL38" s="311">
        <f>-SUM('FONTE INDICADORES (4)'!AL172:AL174)/(SUM('FONTE INDICADORES (4)'!AL20:AL22)+SUM('FONTE INDICADORES (4)'!AL58:AL60))</f>
        <v>0.47445778680107797</v>
      </c>
      <c r="AM38" s="311">
        <f>-SUM('FONTE INDICADORES (4)'!AM172:AM174)/(SUM('FONTE INDICADORES (4)'!AM20:AM22)+SUM('FONTE INDICADORES (4)'!AM58:AM60))</f>
        <v>0.44015516922654685</v>
      </c>
      <c r="AN38" s="311">
        <f>-SUM('FONTE INDICADORES (4)'!AN172:AN174)/(SUM('FONTE INDICADORES (4)'!AN20:AN22)+SUM('FONTE INDICADORES (4)'!AN58:AN60))</f>
        <v>0.43233287153666228</v>
      </c>
      <c r="AO38" s="311">
        <f>-SUM('FONTE INDICADORES (4)'!AO172:AO174)/(SUM('FONTE INDICADORES (4)'!AO20:AO22)+SUM('FONTE INDICADORES (4)'!AO58:AO60))</f>
        <v>0.50277298243629953</v>
      </c>
      <c r="AP38" s="311">
        <f>-SUM('FONTE INDICADORES (4)'!AP172:AP174)/(SUM('FONTE INDICADORES (4)'!AP20:AP22)+SUM('FONTE INDICADORES (4)'!AP58:AP60))</f>
        <v>0.46239164351235829</v>
      </c>
      <c r="AQ38" s="311">
        <f>-SUM('FONTE INDICADORES (4)'!AQ172:AQ174)/(SUM('FONTE INDICADORES (4)'!AQ20:AQ22)+SUM('FONTE INDICADORES (4)'!AQ58:AQ60))</f>
        <v>0.44649883647133487</v>
      </c>
      <c r="AR38" s="311">
        <f>-SUM('FONTE INDICADORES (4)'!AR172:AR174)/(SUM('FONTE INDICADORES (4)'!AR20:AR22)+SUM('FONTE INDICADORES (4)'!AR58:AR60))</f>
        <v>0.66231801217174946</v>
      </c>
      <c r="AS38" s="311">
        <f>-SUM('FONTE INDICADORES (4)'!AS172:AS174)/(SUM('FONTE INDICADORES (4)'!AS20:AS22)+SUM('FONTE INDICADORES (4)'!AS58:AS60))</f>
        <v>0.47521959285459653</v>
      </c>
      <c r="AT38" s="311">
        <f>-SUM('FONTE INDICADORES (4)'!AT172:AT174)/(SUM('FONTE INDICADORES (4)'!AT20:AT22)+SUM('FONTE INDICADORES (4)'!AT58:AT60))</f>
        <v>0.46896563646470862</v>
      </c>
      <c r="AU38" s="311">
        <f>-SUM('FONTE INDICADORES (4)'!AU172:AU174)/(SUM('FONTE INDICADORES (4)'!AU20:AU22)+SUM('FONTE INDICADORES (4)'!AU58:AU60))</f>
        <v>0.51319850457631355</v>
      </c>
      <c r="AV38" s="311">
        <f>-SUM('FONTE INDICADORES (4)'!AV172:AV174)/(SUM('FONTE INDICADORES (4)'!AV20:AV22)+SUM('FONTE INDICADORES (4)'!AV58:AV60))</f>
        <v>0.47085705833699937</v>
      </c>
      <c r="AW38" s="311">
        <f>-SUM('FONTE INDICADORES (4)'!AW172:AW174)/(SUM('FONTE INDICADORES (4)'!AW20:AW22)+SUM('FONTE INDICADORES (4)'!AW58:AW60))</f>
        <v>0.47616153758892832</v>
      </c>
      <c r="AX38" s="311">
        <f>-SUM('FONTE INDICADORES (4)'!AX172:AX174)/(SUM('FONTE INDICADORES (4)'!AX20:AX22)+SUM('FONTE INDICADORES (4)'!AX58:AX60))</f>
        <v>0.45534836196758466</v>
      </c>
      <c r="AY38" s="311">
        <f>-SUM('FONTE INDICADORES (4)'!AY172:AY174)/(SUM('FONTE INDICADORES (4)'!AY20:AY22)+SUM('FONTE INDICADORES (4)'!AY58:AY60))</f>
        <v>0.45209953615976534</v>
      </c>
      <c r="AZ38" s="311">
        <f>-SUM('FONTE INDICADORES (4)'!AZ172:AZ174)/(SUM('FONTE INDICADORES (4)'!AZ20:AZ22)+SUM('FONTE INDICADORES (4)'!AZ58:AZ60))</f>
        <v>0.46332364498851369</v>
      </c>
      <c r="BA38" s="311">
        <f>-SUM('FONTE INDICADORES (4)'!BA172:BA174)/(SUM('FONTE INDICADORES (4)'!BA20:BA22)+SUM('FONTE INDICADORES (4)'!BA58:BA60))</f>
        <v>0.4302579616268799</v>
      </c>
    </row>
    <row r="39" spans="1:53" ht="15" customHeight="1">
      <c r="B39" s="335" t="s">
        <v>264</v>
      </c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>
        <f>-'FONTE INDICADORES (4)'!Z175/('FONTE INDICADORES (4)'!Z23+'FONTE INDICADORES (4)'!Z61)</f>
        <v>8.9080459770114945E-2</v>
      </c>
      <c r="AA39" s="311">
        <f>-'FONTE INDICADORES (4)'!AA175/('FONTE INDICADORES (4)'!AA23+'FONTE INDICADORES (4)'!AA61)</f>
        <v>8.9080459770114945E-2</v>
      </c>
      <c r="AB39" s="311">
        <f>-'FONTE INDICADORES (4)'!AB175/('FONTE INDICADORES (4)'!AB23+'FONTE INDICADORES (4)'!AB61)</f>
        <v>13.6223658576841</v>
      </c>
      <c r="AC39" s="311">
        <f>-'FONTE INDICADORES (4)'!AC175/('FONTE INDICADORES (4)'!AC23+'FONTE INDICADORES (4)'!AC61)</f>
        <v>1.8692590554104274</v>
      </c>
      <c r="AD39" s="311">
        <f>-'FONTE INDICADORES (4)'!AD175/('FONTE INDICADORES (4)'!AD23+'FONTE INDICADORES (4)'!AD61)</f>
        <v>1.0433803937829818</v>
      </c>
      <c r="AE39" s="311">
        <f>-'FONTE INDICADORES (4)'!AE175/('FONTE INDICADORES (4)'!AE23+'FONTE INDICADORES (4)'!AE61)</f>
        <v>0.84772443490618021</v>
      </c>
      <c r="AF39" s="311">
        <f>-'FONTE INDICADORES (4)'!AF175/('FONTE INDICADORES (4)'!AF23+'FONTE INDICADORES (4)'!AF61)</f>
        <v>1.2604808190386827</v>
      </c>
      <c r="AG39" s="311">
        <f>-'FONTE INDICADORES (4)'!AG175/('FONTE INDICADORES (4)'!AG23+'FONTE INDICADORES (4)'!AG61)</f>
        <v>0.74820582332482211</v>
      </c>
      <c r="AH39" s="311">
        <f>-'FONTE INDICADORES (4)'!AH175/('FONTE INDICADORES (4)'!AH23+'FONTE INDICADORES (4)'!AH61)</f>
        <v>0.61752950893927683</v>
      </c>
      <c r="AI39" s="311">
        <f>-'FONTE INDICADORES (4)'!AI175/('FONTE INDICADORES (4)'!AI23+'FONTE INDICADORES (4)'!AI61)</f>
        <v>0.63434991497545801</v>
      </c>
      <c r="AJ39" s="311">
        <f>-'FONTE INDICADORES (4)'!AJ175/('FONTE INDICADORES (4)'!AJ23+'FONTE INDICADORES (4)'!AJ61)</f>
        <v>0.65171901259993981</v>
      </c>
      <c r="AK39" s="311">
        <f>-'FONTE INDICADORES (4)'!AK175/('FONTE INDICADORES (4)'!AK23+'FONTE INDICADORES (4)'!AK61)</f>
        <v>0.65774518476474564</v>
      </c>
      <c r="AL39" s="311">
        <f>-'FONTE INDICADORES (4)'!AL175/('FONTE INDICADORES (4)'!AL23+'FONTE INDICADORES (4)'!AL61)</f>
        <v>0.60525775984826635</v>
      </c>
      <c r="AM39" s="311">
        <f>-'FONTE INDICADORES (4)'!AM175/('FONTE INDICADORES (4)'!AM23+'FONTE INDICADORES (4)'!AM61)</f>
        <v>0.59705496601883867</v>
      </c>
      <c r="AN39" s="311">
        <f>-'FONTE INDICADORES (4)'!AN175/('FONTE INDICADORES (4)'!AN23+'FONTE INDICADORES (4)'!AN61)</f>
        <v>0.55862587166337674</v>
      </c>
      <c r="AO39" s="311">
        <f>-'FONTE INDICADORES (4)'!AO175/('FONTE INDICADORES (4)'!AO23+'FONTE INDICADORES (4)'!AO61)</f>
        <v>0.58642427796510777</v>
      </c>
      <c r="AP39" s="311">
        <f>-'FONTE INDICADORES (4)'!AP175/('FONTE INDICADORES (4)'!AP23+'FONTE INDICADORES (4)'!AP61)</f>
        <v>0.58580846658982666</v>
      </c>
      <c r="AQ39" s="311">
        <f>-'FONTE INDICADORES (4)'!AQ175/('FONTE INDICADORES (4)'!AQ23+'FONTE INDICADORES (4)'!AQ61)</f>
        <v>0.58132017850930129</v>
      </c>
      <c r="AR39" s="311">
        <f>-'FONTE INDICADORES (4)'!AR175/('FONTE INDICADORES (4)'!AR23+'FONTE INDICADORES (4)'!AR61)</f>
        <v>0.633923039036558</v>
      </c>
      <c r="AS39" s="311">
        <f>-'FONTE INDICADORES (4)'!AS175/('FONTE INDICADORES (4)'!AS23+'FONTE INDICADORES (4)'!AS61)</f>
        <v>0.57435428400271715</v>
      </c>
      <c r="AT39" s="311">
        <f>-'FONTE INDICADORES (4)'!AT175/('FONTE INDICADORES (4)'!AT23+'FONTE INDICADORES (4)'!AT61)</f>
        <v>0.59368260624866143</v>
      </c>
      <c r="AU39" s="311">
        <f>-'FONTE INDICADORES (4)'!AU175/('FONTE INDICADORES (4)'!AU23+'FONTE INDICADORES (4)'!AU61)</f>
        <v>0.59540123092045161</v>
      </c>
      <c r="AV39" s="311">
        <f>-'FONTE INDICADORES (4)'!AV175/('FONTE INDICADORES (4)'!AV23+'FONTE INDICADORES (4)'!AV61)</f>
        <v>0.54481698732176642</v>
      </c>
      <c r="AW39" s="311">
        <f>-'FONTE INDICADORES (4)'!AW175/('FONTE INDICADORES (4)'!AW23+'FONTE INDICADORES (4)'!AW61)</f>
        <v>0.55647838818014494</v>
      </c>
      <c r="AX39" s="311">
        <f>-'FONTE INDICADORES (4)'!AX175/('FONTE INDICADORES (4)'!AX23+'FONTE INDICADORES (4)'!AX61)</f>
        <v>0.54183174024854852</v>
      </c>
      <c r="AY39" s="311">
        <f>-'FONTE INDICADORES (4)'!AY175/('FONTE INDICADORES (4)'!AY23+'FONTE INDICADORES (4)'!AY61)</f>
        <v>0.57145112302048962</v>
      </c>
      <c r="AZ39" s="311">
        <f>-'FONTE INDICADORES (4)'!AZ175/('FONTE INDICADORES (4)'!AZ23+'FONTE INDICADORES (4)'!AZ61)</f>
        <v>0.5542291932659591</v>
      </c>
      <c r="BA39" s="311">
        <f>-'FONTE INDICADORES (4)'!BA175/('FONTE INDICADORES (4)'!BA23+'FONTE INDICADORES (4)'!BA61)</f>
        <v>0.52936994974705132</v>
      </c>
    </row>
    <row r="40" spans="1:53" ht="15" customHeight="1">
      <c r="B40" s="335" t="s">
        <v>265</v>
      </c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>
        <f>-'FONTE INDICADORES (4)'!Z176/('FONTE INDICADORES (4)'!Z24+'FONTE INDICADORES (4)'!Z62)</f>
        <v>7.4358974358974358E-2</v>
      </c>
      <c r="AA40" s="311">
        <f>-'FONTE INDICADORES (4)'!AA176/('FONTE INDICADORES (4)'!AA24+'FONTE INDICADORES (4)'!AA62)</f>
        <v>7.4358974358974358E-2</v>
      </c>
      <c r="AB40" s="311">
        <f>-'FONTE INDICADORES (4)'!AB176/('FONTE INDICADORES (4)'!AB24+'FONTE INDICADORES (4)'!AB62)</f>
        <v>6.8792261406994265E-2</v>
      </c>
      <c r="AC40" s="311">
        <f>-'FONTE INDICADORES (4)'!AC176/('FONTE INDICADORES (4)'!AC24+'FONTE INDICADORES (4)'!AC62)</f>
        <v>2.9703519000487089</v>
      </c>
      <c r="AD40" s="311">
        <f>-'FONTE INDICADORES (4)'!AD176/('FONTE INDICADORES (4)'!AD24+'FONTE INDICADORES (4)'!AD62)</f>
        <v>0.7101337369505597</v>
      </c>
      <c r="AE40" s="311">
        <f>-'FONTE INDICADORES (4)'!AE176/('FONTE INDICADORES (4)'!AE24+'FONTE INDICADORES (4)'!AE62)</f>
        <v>0.94935413885272613</v>
      </c>
      <c r="AF40" s="311">
        <f>-'FONTE INDICADORES (4)'!AF176/('FONTE INDICADORES (4)'!AF24+'FONTE INDICADORES (4)'!AF62)</f>
        <v>0.87063014995790289</v>
      </c>
      <c r="AG40" s="311">
        <f>-'FONTE INDICADORES (4)'!AG176/('FONTE INDICADORES (4)'!AG24+'FONTE INDICADORES (4)'!AG62)</f>
        <v>0.4077575869384743</v>
      </c>
      <c r="AH40" s="311">
        <f>-'FONTE INDICADORES (4)'!AH176/('FONTE INDICADORES (4)'!AH24+'FONTE INDICADORES (4)'!AH62)</f>
        <v>0.50031592692961147</v>
      </c>
      <c r="AI40" s="311">
        <f>-'FONTE INDICADORES (4)'!AI176/('FONTE INDICADORES (4)'!AI24+'FONTE INDICADORES (4)'!AI62)</f>
        <v>0.46133454870154028</v>
      </c>
      <c r="AJ40" s="311">
        <f>-'FONTE INDICADORES (4)'!AJ176/('FONTE INDICADORES (4)'!AJ24+'FONTE INDICADORES (4)'!AJ62)</f>
        <v>0.45496631717570785</v>
      </c>
      <c r="AK40" s="311">
        <f>-'FONTE INDICADORES (4)'!AK176/('FONTE INDICADORES (4)'!AK24+'FONTE INDICADORES (4)'!AK62)</f>
        <v>0.46078675851750256</v>
      </c>
      <c r="AL40" s="311">
        <f>-'FONTE INDICADORES (4)'!AL176/('FONTE INDICADORES (4)'!AL24+'FONTE INDICADORES (4)'!AL62)</f>
        <v>0.44194454052072457</v>
      </c>
      <c r="AM40" s="311">
        <f>-'FONTE INDICADORES (4)'!AM176/('FONTE INDICADORES (4)'!AM24+'FONTE INDICADORES (4)'!AM62)</f>
        <v>0.50941957326986576</v>
      </c>
      <c r="AN40" s="311">
        <f>-'FONTE INDICADORES (4)'!AN176/('FONTE INDICADORES (4)'!AN24+'FONTE INDICADORES (4)'!AN62)</f>
        <v>0.50079831118771334</v>
      </c>
      <c r="AO40" s="311">
        <f>-'FONTE INDICADORES (4)'!AO176/('FONTE INDICADORES (4)'!AO24+'FONTE INDICADORES (4)'!AO62)</f>
        <v>0.50277265547029393</v>
      </c>
      <c r="AP40" s="311">
        <f>-'FONTE INDICADORES (4)'!AP176/('FONTE INDICADORES (4)'!AP24+'FONTE INDICADORES (4)'!AP62)</f>
        <v>0.48969990381003847</v>
      </c>
      <c r="AQ40" s="311">
        <f>-'FONTE INDICADORES (4)'!AQ176/('FONTE INDICADORES (4)'!AQ24+'FONTE INDICADORES (4)'!AQ62)</f>
        <v>0.47475228217687615</v>
      </c>
      <c r="AR40" s="311">
        <f>-'FONTE INDICADORES (4)'!AR176/('FONTE INDICADORES (4)'!AR24+'FONTE INDICADORES (4)'!AR62)</f>
        <v>0.44875118131497232</v>
      </c>
      <c r="AS40" s="311">
        <f>-'FONTE INDICADORES (4)'!AS176/('FONTE INDICADORES (4)'!AS24+'FONTE INDICADORES (4)'!AS62)</f>
        <v>0.45738638154618183</v>
      </c>
      <c r="AT40" s="311">
        <f>-'FONTE INDICADORES (4)'!AT176/('FONTE INDICADORES (4)'!AT24+'FONTE INDICADORES (4)'!AT62)</f>
        <v>0.46573505784990232</v>
      </c>
      <c r="AU40" s="311">
        <f>-'FONTE INDICADORES (4)'!AU176/('FONTE INDICADORES (4)'!AU24+'FONTE INDICADORES (4)'!AU62)</f>
        <v>0.46181137672363798</v>
      </c>
      <c r="AV40" s="311">
        <f>-'FONTE INDICADORES (4)'!AV176/('FONTE INDICADORES (4)'!AV24+'FONTE INDICADORES (4)'!AV62)</f>
        <v>0.40283754931268134</v>
      </c>
      <c r="AW40" s="311">
        <f>-'FONTE INDICADORES (4)'!AW176/('FONTE INDICADORES (4)'!AW24+'FONTE INDICADORES (4)'!AW62)</f>
        <v>0.43750410898659314</v>
      </c>
      <c r="AX40" s="311">
        <f>-'FONTE INDICADORES (4)'!AX176/('FONTE INDICADORES (4)'!AX24+'FONTE INDICADORES (4)'!AX62)</f>
        <v>0.4427626098531785</v>
      </c>
      <c r="AY40" s="311">
        <f>-'FONTE INDICADORES (4)'!AY176/('FONTE INDICADORES (4)'!AY24+'FONTE INDICADORES (4)'!AY62)</f>
        <v>0.48490344200570257</v>
      </c>
      <c r="AZ40" s="311">
        <f>-'FONTE INDICADORES (4)'!AZ176/('FONTE INDICADORES (4)'!AZ24+'FONTE INDICADORES (4)'!AZ62)</f>
        <v>0.44305433865141758</v>
      </c>
      <c r="BA40" s="311">
        <f>-'FONTE INDICADORES (4)'!BA176/('FONTE INDICADORES (4)'!BA24+'FONTE INDICADORES (4)'!BA62)</f>
        <v>0.39114959413819272</v>
      </c>
    </row>
    <row r="41" spans="1:53" ht="15" customHeight="1">
      <c r="B41" s="335" t="s">
        <v>266</v>
      </c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>
        <f>-'FONTE INDICADORES (4)'!AC177/('FONTE INDICADORES (4)'!AC25+'FONTE INDICADORES (4)'!AC63)</f>
        <v>3.4206511985608312</v>
      </c>
      <c r="AD41" s="311">
        <f>-'FONTE INDICADORES (4)'!AD177/('FONTE INDICADORES (4)'!AD25+'FONTE INDICADORES (4)'!AD63)</f>
        <v>2.6247541237187062</v>
      </c>
      <c r="AE41" s="311">
        <f>-'FONTE INDICADORES (4)'!AE177/('FONTE INDICADORES (4)'!AE25+'FONTE INDICADORES (4)'!AE63)</f>
        <v>7.2847471127041024</v>
      </c>
      <c r="AF41" s="311">
        <f>-'FONTE INDICADORES (4)'!AF177/('FONTE INDICADORES (4)'!AF25+'FONTE INDICADORES (4)'!AF63)</f>
        <v>5.0235606746248482</v>
      </c>
      <c r="AG41" s="311">
        <f>-'FONTE INDICADORES (4)'!AG177/('FONTE INDICADORES (4)'!AG25+'FONTE INDICADORES (4)'!AG63)</f>
        <v>2.4622198787239653</v>
      </c>
      <c r="AH41" s="311">
        <f>-'FONTE INDICADORES (4)'!AH177/('FONTE INDICADORES (4)'!AH25+'FONTE INDICADORES (4)'!AH63)</f>
        <v>0.42722195052894391</v>
      </c>
      <c r="AI41" s="311">
        <f>-'FONTE INDICADORES (4)'!AI177/('FONTE INDICADORES (4)'!AI25+'FONTE INDICADORES (4)'!AI63)</f>
        <v>0.84859276774900516</v>
      </c>
      <c r="AJ41" s="311">
        <f>-'FONTE INDICADORES (4)'!AJ177/('FONTE INDICADORES (4)'!AJ25+'FONTE INDICADORES (4)'!AJ63)</f>
        <v>0.60601059414159786</v>
      </c>
      <c r="AK41" s="311">
        <f>-'FONTE INDICADORES (4)'!AK177/('FONTE INDICADORES (4)'!AK25+'FONTE INDICADORES (4)'!AK63)</f>
        <v>0.80342441758626726</v>
      </c>
      <c r="AL41" s="311">
        <f>-'FONTE INDICADORES (4)'!AL177/('FONTE INDICADORES (4)'!AL25+'FONTE INDICADORES (4)'!AL63)</f>
        <v>0.75704290495652315</v>
      </c>
      <c r="AM41" s="311">
        <f>-'FONTE INDICADORES (4)'!AM177/('FONTE INDICADORES (4)'!AM25+'FONTE INDICADORES (4)'!AM63)</f>
        <v>0.71879271241682818</v>
      </c>
      <c r="AN41" s="311">
        <f>-'FONTE INDICADORES (4)'!AN177/('FONTE INDICADORES (4)'!AN25+'FONTE INDICADORES (4)'!AN63)</f>
        <v>0.6779339423752635</v>
      </c>
      <c r="AO41" s="311">
        <f>-'FONTE INDICADORES (4)'!AO177/('FONTE INDICADORES (4)'!AO25+'FONTE INDICADORES (4)'!AO63)</f>
        <v>0.62148040154027639</v>
      </c>
      <c r="AP41" s="311">
        <f>-'FONTE INDICADORES (4)'!AP177/('FONTE INDICADORES (4)'!AP25+'FONTE INDICADORES (4)'!AP63)</f>
        <v>0.68592748720912444</v>
      </c>
      <c r="AQ41" s="311">
        <f>-'FONTE INDICADORES (4)'!AQ177/('FONTE INDICADORES (4)'!AQ25+'FONTE INDICADORES (4)'!AQ63)</f>
        <v>0.62814584214874369</v>
      </c>
      <c r="AR41" s="311">
        <f>-'FONTE INDICADORES (4)'!AR177/('FONTE INDICADORES (4)'!AR25+'FONTE INDICADORES (4)'!AR63)</f>
        <v>0.61172768538070088</v>
      </c>
      <c r="AS41" s="311">
        <f>-'FONTE INDICADORES (4)'!AS177/('FONTE INDICADORES (4)'!AS25+'FONTE INDICADORES (4)'!AS63)</f>
        <v>0.54474909914191649</v>
      </c>
      <c r="AT41" s="311">
        <f>-'FONTE INDICADORES (4)'!AT177/('FONTE INDICADORES (4)'!AT25+'FONTE INDICADORES (4)'!AT63)</f>
        <v>0.67377906338998061</v>
      </c>
      <c r="AU41" s="311">
        <f>-'FONTE INDICADORES (4)'!AU177/('FONTE INDICADORES (4)'!AU25+'FONTE INDICADORES (4)'!AU63)</f>
        <v>0.61511628687001496</v>
      </c>
      <c r="AV41" s="311">
        <f>-'FONTE INDICADORES (4)'!AV177/('FONTE INDICADORES (4)'!AV25+'FONTE INDICADORES (4)'!AV63)</f>
        <v>0.59197385171992611</v>
      </c>
      <c r="AW41" s="311">
        <f>-'FONTE INDICADORES (4)'!AW177/('FONTE INDICADORES (4)'!AW25+'FONTE INDICADORES (4)'!AW63)</f>
        <v>0.48614838739025612</v>
      </c>
      <c r="AX41" s="311">
        <f>-'FONTE INDICADORES (4)'!AX177/('FONTE INDICADORES (4)'!AX25+'FONTE INDICADORES (4)'!AX63)</f>
        <v>0.49366336293522511</v>
      </c>
      <c r="AY41" s="311">
        <f>-'FONTE INDICADORES (4)'!AY177/('FONTE INDICADORES (4)'!AY25+'FONTE INDICADORES (4)'!AY63)</f>
        <v>0.59240639483058344</v>
      </c>
      <c r="AZ41" s="311">
        <f>-'FONTE INDICADORES (4)'!AZ177/('FONTE INDICADORES (4)'!AZ25+'FONTE INDICADORES (4)'!AZ63)</f>
        <v>0.54030340536510679</v>
      </c>
      <c r="BA41" s="311">
        <f>-'FONTE INDICADORES (4)'!BA177/('FONTE INDICADORES (4)'!BA25+'FONTE INDICADORES (4)'!BA63)</f>
        <v>0.56396508143698321</v>
      </c>
    </row>
    <row r="42" spans="1:53" ht="15" customHeight="1">
      <c r="B42" s="335" t="s">
        <v>268</v>
      </c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>
        <f>-'FONTE INDICADORES (4)'!Z178/('FONTE INDICADORES (4)'!Z26+'FONTE INDICADORES (4)'!Z64)</f>
        <v>3.5714285714285712E-2</v>
      </c>
      <c r="AA42" s="311">
        <f>-'FONTE INDICADORES (4)'!AA178/('FONTE INDICADORES (4)'!AA26+'FONTE INDICADORES (4)'!AA64)</f>
        <v>3.5714285714285712E-2</v>
      </c>
      <c r="AB42" s="311">
        <f>-'FONTE INDICADORES (4)'!AB178/('FONTE INDICADORES (4)'!AB26+'FONTE INDICADORES (4)'!AB64)</f>
        <v>1.4750374762636431</v>
      </c>
      <c r="AC42" s="311">
        <f>-'FONTE INDICADORES (4)'!AC178/('FONTE INDICADORES (4)'!AC26+'FONTE INDICADORES (4)'!AC64)</f>
        <v>1.1831726965800682</v>
      </c>
      <c r="AD42" s="311">
        <f>-'FONTE INDICADORES (4)'!AD178/('FONTE INDICADORES (4)'!AD26+'FONTE INDICADORES (4)'!AD64)</f>
        <v>1.2587431502414652</v>
      </c>
      <c r="AE42" s="311">
        <f>-'FONTE INDICADORES (4)'!AE178/('FONTE INDICADORES (4)'!AE26+'FONTE INDICADORES (4)'!AE64)</f>
        <v>1.2350281104864336</v>
      </c>
      <c r="AF42" s="311">
        <f>-'FONTE INDICADORES (4)'!AF178/('FONTE INDICADORES (4)'!AF26+'FONTE INDICADORES (4)'!AF64)</f>
        <v>1.24054526811026</v>
      </c>
      <c r="AG42" s="311">
        <f>-'FONTE INDICADORES (4)'!AG178/('FONTE INDICADORES (4)'!AG26+'FONTE INDICADORES (4)'!AG64)</f>
        <v>1.0123933122880862</v>
      </c>
      <c r="AH42" s="311">
        <f>-'FONTE INDICADORES (4)'!AH178/('FONTE INDICADORES (4)'!AH26+'FONTE INDICADORES (4)'!AH64)</f>
        <v>0.96059113300492616</v>
      </c>
      <c r="AI42" s="311">
        <f>-'FONTE INDICADORES (4)'!AI178/('FONTE INDICADORES (4)'!AI26+'FONTE INDICADORES (4)'!AI64)</f>
        <v>0.89278823590759759</v>
      </c>
      <c r="AJ42" s="311">
        <f>-'FONTE INDICADORES (4)'!AJ178/('FONTE INDICADORES (4)'!AJ26+'FONTE INDICADORES (4)'!AJ64)</f>
        <v>0.83546104464546256</v>
      </c>
      <c r="AK42" s="311">
        <f>-'FONTE INDICADORES (4)'!AK178/('FONTE INDICADORES (4)'!AK26+'FONTE INDICADORES (4)'!AK64)</f>
        <v>0.8974755280783101</v>
      </c>
      <c r="AL42" s="311">
        <f>-'FONTE INDICADORES (4)'!AL178/('FONTE INDICADORES (4)'!AL26+'FONTE INDICADORES (4)'!AL64)</f>
        <v>0.81447372942510565</v>
      </c>
      <c r="AM42" s="311">
        <f>-'FONTE INDICADORES (4)'!AM178/('FONTE INDICADORES (4)'!AM26+'FONTE INDICADORES (4)'!AM64)</f>
        <v>0.74279061938958713</v>
      </c>
      <c r="AN42" s="311">
        <f>-'FONTE INDICADORES (4)'!AN178/('FONTE INDICADORES (4)'!AN26+'FONTE INDICADORES (4)'!AN64)</f>
        <v>0.75105495234934327</v>
      </c>
      <c r="AO42" s="311">
        <f>-'FONTE INDICADORES (4)'!AO178/('FONTE INDICADORES (4)'!AO26+'FONTE INDICADORES (4)'!AO64)</f>
        <v>0.76550144276305643</v>
      </c>
      <c r="AP42" s="311">
        <f>-'FONTE INDICADORES (4)'!AP178/('FONTE INDICADORES (4)'!AP26+'FONTE INDICADORES (4)'!AP64)</f>
        <v>0.76554191557802143</v>
      </c>
      <c r="AQ42" s="311">
        <f>-'FONTE INDICADORES (4)'!AQ178/('FONTE INDICADORES (4)'!AQ26+'FONTE INDICADORES (4)'!AQ64)</f>
        <v>0.77342563256803087</v>
      </c>
      <c r="AR42" s="311">
        <f>-'FONTE INDICADORES (4)'!AR178/('FONTE INDICADORES (4)'!AR26+'FONTE INDICADORES (4)'!AR64)</f>
        <v>0.82452002648129763</v>
      </c>
      <c r="AS42" s="311">
        <f>-'FONTE INDICADORES (4)'!AS178/('FONTE INDICADORES (4)'!AS26+'FONTE INDICADORES (4)'!AS64)</f>
        <v>0.78432597134692184</v>
      </c>
      <c r="AT42" s="311">
        <f>-'FONTE INDICADORES (4)'!AT178/('FONTE INDICADORES (4)'!AT26+'FONTE INDICADORES (4)'!AT64)</f>
        <v>0.74967956187368912</v>
      </c>
      <c r="AU42" s="311">
        <f>-'FONTE INDICADORES (4)'!AU178/('FONTE INDICADORES (4)'!AU26+'FONTE INDICADORES (4)'!AU64)</f>
        <v>0.77998082561031523</v>
      </c>
      <c r="AV42" s="311">
        <f>-'FONTE INDICADORES (4)'!AV178/('FONTE INDICADORES (4)'!AV26+'FONTE INDICADORES (4)'!AV64)</f>
        <v>0.76107856602292789</v>
      </c>
      <c r="AW42" s="311">
        <f>-'FONTE INDICADORES (4)'!AW178/('FONTE INDICADORES (4)'!AW26+'FONTE INDICADORES (4)'!AW64)</f>
        <v>0.75478941671072175</v>
      </c>
      <c r="AX42" s="311">
        <f>-'FONTE INDICADORES (4)'!AX178/('FONTE INDICADORES (4)'!AX26+'FONTE INDICADORES (4)'!AX64)</f>
        <v>0.71480872221741232</v>
      </c>
      <c r="AY42" s="311">
        <f>-'FONTE INDICADORES (4)'!AY178/('FONTE INDICADORES (4)'!AY26+'FONTE INDICADORES (4)'!AY64)</f>
        <v>0.75076872433849406</v>
      </c>
      <c r="AZ42" s="311">
        <f>-'FONTE INDICADORES (4)'!AZ178/('FONTE INDICADORES (4)'!AZ26+'FONTE INDICADORES (4)'!AZ64)</f>
        <v>0.74444001110405</v>
      </c>
      <c r="BA42" s="311">
        <f>-'FONTE INDICADORES (4)'!BA178/('FONTE INDICADORES (4)'!BA26+'FONTE INDICADORES (4)'!BA64)</f>
        <v>0.74197924558219841</v>
      </c>
    </row>
    <row r="43" spans="1:53" ht="15" customHeight="1">
      <c r="B43" s="11" t="s">
        <v>554</v>
      </c>
      <c r="C43" s="311">
        <v>0.1591581081104847</v>
      </c>
      <c r="D43" s="311">
        <v>0.14782441237629387</v>
      </c>
      <c r="E43" s="311">
        <v>0.1363263694147043</v>
      </c>
      <c r="F43" s="311">
        <v>0.14186179679915878</v>
      </c>
      <c r="G43" s="311">
        <v>0.14612588230606416</v>
      </c>
      <c r="H43" s="311">
        <v>0.11840591399274611</v>
      </c>
      <c r="I43" s="311">
        <v>0.10137662118397503</v>
      </c>
      <c r="J43" s="311">
        <v>0.11506181226489748</v>
      </c>
      <c r="K43" s="311">
        <v>0.20005687384297205</v>
      </c>
      <c r="L43" s="311">
        <v>0.1309920405188342</v>
      </c>
      <c r="M43" s="311">
        <v>0.12356632226780856</v>
      </c>
      <c r="N43" s="311">
        <v>0.12189168159559316</v>
      </c>
      <c r="O43" s="311">
        <v>0.14573149657044679</v>
      </c>
      <c r="P43" s="311">
        <v>0.15753590765486616</v>
      </c>
      <c r="Q43" s="311">
        <v>0.13629768292046485</v>
      </c>
      <c r="R43" s="311">
        <f>IFERROR(-'FONTE INDICADORES (4)'!R193/('FONTE INDICADORES (4)'!R41+'FONTE INDICADORES (4)'!R79),"")</f>
        <v>0.15069632534461552</v>
      </c>
      <c r="S43" s="311">
        <f>IFERROR(-'FONTE INDICADORES (4)'!S193/('FONTE INDICADORES (4)'!S41+'FONTE INDICADORES (4)'!S79),"")</f>
        <v>0.15307489633378929</v>
      </c>
      <c r="T43" s="311">
        <f>IFERROR(-'FONTE INDICADORES (4)'!T193/('FONTE INDICADORES (4)'!T41+'FONTE INDICADORES (4)'!T79),"")</f>
        <v>0.15566929422665018</v>
      </c>
      <c r="U43" s="311">
        <f>IFERROR(-'FONTE INDICADORES (4)'!U193/('FONTE INDICADORES (4)'!U41+'FONTE INDICADORES (4)'!U79),"")</f>
        <v>0.26210449251264034</v>
      </c>
      <c r="V43" s="311">
        <f>IFERROR(-'FONTE INDICADORES (4)'!V193/('FONTE INDICADORES (4)'!V41+'FONTE INDICADORES (4)'!V79),"")</f>
        <v>0.16809904145416318</v>
      </c>
      <c r="W43" s="311">
        <f>IFERROR(-'FONTE INDICADORES (4)'!W193/('FONTE INDICADORES (4)'!W41+'FONTE INDICADORES (4)'!W79),"")</f>
        <v>0.17163109693171258</v>
      </c>
      <c r="X43" s="311">
        <f>IFERROR(-'FONTE INDICADORES (4)'!X193/('FONTE INDICADORES (4)'!X41+'FONTE INDICADORES (4)'!X79),"")</f>
        <v>0.17270146172605597</v>
      </c>
      <c r="Y43" s="311">
        <f>IFERROR(-'FONTE INDICADORES (4)'!Y193/('FONTE INDICADORES (4)'!Y41+'FONTE INDICADORES (4)'!Y79),"")</f>
        <v>0.13270503395596486</v>
      </c>
      <c r="Z43" s="311">
        <f>IFERROR(-'FONTE INDICADORES (4)'!Z193/('FONTE INDICADORES (4)'!Z41+'FONTE INDICADORES (4)'!Z79),"")</f>
        <v>0.15303182936124052</v>
      </c>
      <c r="AA43" s="311">
        <f>IFERROR(-'FONTE INDICADORES (4)'!AA193/('FONTE INDICADORES (4)'!AA41+'FONTE INDICADORES (4)'!AA79),"")</f>
        <v>0.15280613251034711</v>
      </c>
      <c r="AB43" s="311">
        <f>IFERROR(-'FONTE INDICADORES (4)'!AB193/('FONTE INDICADORES (4)'!AB41+'FONTE INDICADORES (4)'!AB79),"")</f>
        <v>0.18705406256899484</v>
      </c>
      <c r="AC43" s="311">
        <f>IFERROR(-'FONTE INDICADORES (4)'!AC193/('FONTE INDICADORES (4)'!AC41+'FONTE INDICADORES (4)'!AC79),"")</f>
        <v>0.30430248920669944</v>
      </c>
      <c r="AD43" s="311">
        <f>IFERROR(-'FONTE INDICADORES (4)'!AD193/('FONTE INDICADORES (4)'!AD41+'FONTE INDICADORES (4)'!AD79),"")</f>
        <v>0.2260720322506406</v>
      </c>
      <c r="AE43" s="311">
        <f>IFERROR(-'FONTE INDICADORES (4)'!AE193/('FONTE INDICADORES (4)'!AE41+'FONTE INDICADORES (4)'!AE79),"")</f>
        <v>0.24766196887561298</v>
      </c>
      <c r="AF43" s="311">
        <f>IFERROR(-'FONTE INDICADORES (4)'!AF193/('FONTE INDICADORES (4)'!AF41+'FONTE INDICADORES (4)'!AF79),"")</f>
        <v>0.24124625911822353</v>
      </c>
      <c r="AG43" s="311">
        <f>IFERROR(-'FONTE INDICADORES (4)'!AG193/('FONTE INDICADORES (4)'!AG41+'FONTE INDICADORES (4)'!AG79),"")</f>
        <v>0.31874882706202495</v>
      </c>
      <c r="AH43" s="311">
        <f>IFERROR(-'FONTE INDICADORES (4)'!AH193/('FONTE INDICADORES (4)'!AH41+'FONTE INDICADORES (4)'!AH79),"")</f>
        <v>0.33422129440191078</v>
      </c>
      <c r="AI43" s="311">
        <f>IFERROR(-'FONTE INDICADORES (4)'!AI193/('FONTE INDICADORES (4)'!AI41+'FONTE INDICADORES (4)'!AI79),"")</f>
        <v>0.32971631394945422</v>
      </c>
      <c r="AJ43" s="311">
        <f>IFERROR(-'FONTE INDICADORES (4)'!AJ193/('FONTE INDICADORES (4)'!AJ41+'FONTE INDICADORES (4)'!AJ79),"")</f>
        <v>0.38578230809510711</v>
      </c>
      <c r="AK43" s="311">
        <f>IFERROR(-'FONTE INDICADORES (4)'!AK193/('FONTE INDICADORES (4)'!AK41+'FONTE INDICADORES (4)'!AK79),"")</f>
        <v>0.3428611585362098</v>
      </c>
      <c r="AL43" s="311">
        <f>IFERROR(-'FONTE INDICADORES (4)'!AL193/('FONTE INDICADORES (4)'!AL41+'FONTE INDICADORES (4)'!AL79),"")</f>
        <v>0.3526891225743875</v>
      </c>
      <c r="AM43" s="311">
        <f>IFERROR(-'FONTE INDICADORES (4)'!AM193/('FONTE INDICADORES (4)'!AM41+'FONTE INDICADORES (4)'!AM79),"")</f>
        <v>0.35030216281886029</v>
      </c>
      <c r="AN43" s="311">
        <f>IFERROR(-'FONTE INDICADORES (4)'!AN193/('FONTE INDICADORES (4)'!AN41+'FONTE INDICADORES (4)'!AN79),"")</f>
        <v>0.36556926918232729</v>
      </c>
      <c r="AO43" s="311">
        <f>IFERROR(-'FONTE INDICADORES (4)'!AO193/('FONTE INDICADORES (4)'!AO41+'FONTE INDICADORES (4)'!AO79),"")</f>
        <v>0.341664997616064</v>
      </c>
      <c r="AP43" s="311">
        <f>IFERROR(-'FONTE INDICADORES (4)'!AP193/('FONTE INDICADORES (4)'!AP41+'FONTE INDICADORES (4)'!AP79),"")</f>
        <v>0.3524713349810481</v>
      </c>
      <c r="AQ43" s="311">
        <f>IFERROR(-'FONTE INDICADORES (4)'!AQ193/('FONTE INDICADORES (4)'!AQ41+'FONTE INDICADORES (4)'!AQ79),"")</f>
        <v>0.37594819890279418</v>
      </c>
      <c r="AR43" s="311">
        <f>IFERROR(-'FONTE INDICADORES (4)'!AR193/('FONTE INDICADORES (4)'!AR41+'FONTE INDICADORES (4)'!AR79),"")</f>
        <v>0.35949112941197375</v>
      </c>
      <c r="AS43" s="311">
        <f>IFERROR(-'FONTE INDICADORES (4)'!AS193/('FONTE INDICADORES (4)'!AS41+'FONTE INDICADORES (4)'!AS79),"")</f>
        <v>0.3668135927736742</v>
      </c>
      <c r="AT43" s="311">
        <f>IFERROR(-'FONTE INDICADORES (4)'!AT193/('FONTE INDICADORES (4)'!AT41+'FONTE INDICADORES (4)'!AT79),"")</f>
        <v>0.35279409127416594</v>
      </c>
      <c r="AU43" s="311">
        <f>IFERROR(-'FONTE INDICADORES (4)'!AU193/('FONTE INDICADORES (4)'!AU41+'FONTE INDICADORES (4)'!AU79),"")</f>
        <v>0.36303335377927676</v>
      </c>
      <c r="AV43" s="311">
        <f>IFERROR(-'FONTE INDICADORES (4)'!AV193/('FONTE INDICADORES (4)'!AV41+'FONTE INDICADORES (4)'!AV79),"")</f>
        <v>0.41828977143318075</v>
      </c>
      <c r="AW43" s="311">
        <f>IFERROR(-'FONTE INDICADORES (4)'!AW193/('FONTE INDICADORES (4)'!AW41+'FONTE INDICADORES (4)'!AW79),"")</f>
        <v>0.40596159426193218</v>
      </c>
      <c r="AX43" s="311">
        <f>IFERROR(-'FONTE INDICADORES (4)'!AX193/('FONTE INDICADORES (4)'!AX41+'FONTE INDICADORES (4)'!AX79),"")</f>
        <v>0.39845913182848003</v>
      </c>
      <c r="AY43" s="311">
        <f>IFERROR(-'FONTE INDICADORES (4)'!AY193/('FONTE INDICADORES (4)'!AY41+'FONTE INDICADORES (4)'!AY79),"")</f>
        <v>0.41103564240029894</v>
      </c>
      <c r="AZ43" s="311">
        <f>IFERROR(-'FONTE INDICADORES (4)'!AZ193/('FONTE INDICADORES (4)'!AZ41+'FONTE INDICADORES (4)'!AZ79),"")</f>
        <v>0.40832193459630833</v>
      </c>
      <c r="BA43" s="311">
        <f>IFERROR(-'FONTE INDICADORES (4)'!BA193/('FONTE INDICADORES (4)'!BA41+'FONTE INDICADORES (4)'!BA79),"")</f>
        <v>0.42882959476604704</v>
      </c>
    </row>
    <row r="44" spans="1:53" s="2" customFormat="1" ht="15" customHeight="1">
      <c r="B44" s="2" t="s">
        <v>555</v>
      </c>
      <c r="C44" s="310">
        <v>0.73974772995812532</v>
      </c>
      <c r="D44" s="310">
        <v>0.75137532990345735</v>
      </c>
      <c r="E44" s="310">
        <v>0.82742818481709701</v>
      </c>
      <c r="F44" s="310">
        <v>1.1476031960289832</v>
      </c>
      <c r="G44" s="310">
        <v>0.87065924546132223</v>
      </c>
      <c r="H44" s="310">
        <v>0.83582509542455008</v>
      </c>
      <c r="I44" s="310">
        <v>0.80039094628390184</v>
      </c>
      <c r="J44" s="310">
        <v>0.82525280721892036</v>
      </c>
      <c r="K44" s="310">
        <v>0.81182735597873767</v>
      </c>
      <c r="L44" s="310">
        <v>0.81852499865541029</v>
      </c>
      <c r="M44" s="310">
        <v>0.62920871330638439</v>
      </c>
      <c r="N44" s="310">
        <v>0.91274364867521185</v>
      </c>
      <c r="O44" s="310">
        <v>0.80147245753759866</v>
      </c>
      <c r="P44" s="310">
        <v>0.85811517133396631</v>
      </c>
      <c r="Q44" s="310">
        <v>0.79373637200456404</v>
      </c>
      <c r="R44" s="310">
        <f>IFERROR(-'FONTE INDICADORES (4)'!R194/('FONTE INDICADORES (4)'!R42+'FONTE INDICADORES (4)'!R80),"")</f>
        <v>0.81513769067571551</v>
      </c>
      <c r="S44" s="310">
        <f>IFERROR(-'FONTE INDICADORES (4)'!S194/('FONTE INDICADORES (4)'!S42+'FONTE INDICADORES (4)'!S80),"")</f>
        <v>0.77461377259521469</v>
      </c>
      <c r="T44" s="310">
        <f>IFERROR(-'FONTE INDICADORES (4)'!T194/('FONTE INDICADORES (4)'!T42+'FONTE INDICADORES (4)'!T80),"")</f>
        <v>0.79337327282467018</v>
      </c>
      <c r="U44" s="310">
        <f>IFERROR(-'FONTE INDICADORES (4)'!U194/('FONTE INDICADORES (4)'!U42+'FONTE INDICADORES (4)'!U80),"")</f>
        <v>0.7339040755356121</v>
      </c>
      <c r="V44" s="310">
        <f>IFERROR(-'FONTE INDICADORES (4)'!V194/('FONTE INDICADORES (4)'!V42+'FONTE INDICADORES (4)'!V80),"")</f>
        <v>0.77679679030790916</v>
      </c>
      <c r="W44" s="310">
        <f>IFERROR(-'FONTE INDICADORES (4)'!W194/('FONTE INDICADORES (4)'!W42+'FONTE INDICADORES (4)'!W80),"")</f>
        <v>0.84068634857505653</v>
      </c>
      <c r="X44" s="310">
        <f>IFERROR(-'FONTE INDICADORES (4)'!X194/('FONTE INDICADORES (4)'!X42+'FONTE INDICADORES (4)'!X80),"")</f>
        <v>0.79709006469772181</v>
      </c>
      <c r="Y44" s="310">
        <f>IFERROR(-'FONTE INDICADORES (4)'!Y194/('FONTE INDICADORES (4)'!Y42+'FONTE INDICADORES (4)'!Y80),"")</f>
        <v>0.8330245531746876</v>
      </c>
      <c r="Z44" s="310">
        <f>IFERROR(-'FONTE INDICADORES (4)'!Z194/('FONTE INDICADORES (4)'!Z42+'FONTE INDICADORES (4)'!Z80),"")</f>
        <v>0.77909292260037333</v>
      </c>
      <c r="AA44" s="310">
        <f>IFERROR(-'FONTE INDICADORES (4)'!AA194/('FONTE INDICADORES (4)'!AA42+'FONTE INDICADORES (4)'!AA80),"")</f>
        <v>0.81062468045475888</v>
      </c>
      <c r="AB44" s="310">
        <f>IFERROR(-'FONTE INDICADORES (4)'!AB194/('FONTE INDICADORES (4)'!AB42+'FONTE INDICADORES (4)'!AB80),"")</f>
        <v>0.80057039410893038</v>
      </c>
      <c r="AC44" s="310">
        <f>IFERROR(-'FONTE INDICADORES (4)'!AC194/('FONTE INDICADORES (4)'!AC42+'FONTE INDICADORES (4)'!AC80),"")</f>
        <v>0.82908344524394628</v>
      </c>
      <c r="AD44" s="310">
        <f>IFERROR(-'FONTE INDICADORES (4)'!AD194/('FONTE INDICADORES (4)'!AD42+'FONTE INDICADORES (4)'!AD80),"")</f>
        <v>0.89509635896651318</v>
      </c>
      <c r="AE44" s="310">
        <f>IFERROR(-'FONTE INDICADORES (4)'!AE194/('FONTE INDICADORES (4)'!AE42+'FONTE INDICADORES (4)'!AE80),"")</f>
        <v>0.78901602361048873</v>
      </c>
      <c r="AF44" s="310">
        <f>IFERROR(-'FONTE INDICADORES (4)'!AF194/('FONTE INDICADORES (4)'!AF42+'FONTE INDICADORES (4)'!AF80),"")</f>
        <v>0.82636562488908305</v>
      </c>
      <c r="AG44" s="310">
        <f>IFERROR(-'FONTE INDICADORES (4)'!AG194/('FONTE INDICADORES (4)'!AG42+'FONTE INDICADORES (4)'!AG80),"")</f>
        <v>0.7807017251326448</v>
      </c>
      <c r="AH44" s="310">
        <f>IFERROR(-'FONTE INDICADORES (4)'!AH194/('FONTE INDICADORES (4)'!AH42+'FONTE INDICADORES (4)'!AH80),"")</f>
        <v>0.77426892776071576</v>
      </c>
      <c r="AI44" s="310">
        <f>IFERROR(-'FONTE INDICADORES (4)'!AI194/('FONTE INDICADORES (4)'!AI42+'FONTE INDICADORES (4)'!AI80),"")</f>
        <v>0.66004145108622725</v>
      </c>
      <c r="AJ44" s="310">
        <f>IFERROR(-'FONTE INDICADORES (4)'!AJ194/('FONTE INDICADORES (4)'!AJ42+'FONTE INDICADORES (4)'!AJ80),"")</f>
        <v>0.62648476945904275</v>
      </c>
      <c r="AK44" s="310">
        <f>IFERROR(-'FONTE INDICADORES (4)'!AK194/('FONTE INDICADORES (4)'!AK42+'FONTE INDICADORES (4)'!AK80),"")</f>
        <v>0.7047934852762755</v>
      </c>
      <c r="AL44" s="310">
        <f>IFERROR(-'FONTE INDICADORES (4)'!AL194/('FONTE INDICADORES (4)'!AL42+'FONTE INDICADORES (4)'!AL80),"")</f>
        <v>0.61886135384447483</v>
      </c>
      <c r="AM44" s="310">
        <f>IFERROR(-'FONTE INDICADORES (4)'!AM194/('FONTE INDICADORES (4)'!AM42+'FONTE INDICADORES (4)'!AM80),"")</f>
        <v>0.67071550622859755</v>
      </c>
      <c r="AN44" s="310">
        <f>IFERROR(-'FONTE INDICADORES (4)'!AN194/('FONTE INDICADORES (4)'!AN42+'FONTE INDICADORES (4)'!AN80),"")</f>
        <v>0.64966497470941909</v>
      </c>
      <c r="AO44" s="310">
        <f>IFERROR(-'FONTE INDICADORES (4)'!AO194/('FONTE INDICADORES (4)'!AO42+'FONTE INDICADORES (4)'!AO80),"")</f>
        <v>0.66913166932293022</v>
      </c>
      <c r="AP44" s="310">
        <f>IFERROR(-'FONTE INDICADORES (4)'!AP194/('FONTE INDICADORES (4)'!AP42+'FONTE INDICADORES (4)'!AP80),"")</f>
        <v>0.65294628046029435</v>
      </c>
      <c r="AQ44" s="310">
        <f>IFERROR(-'FONTE INDICADORES (4)'!AQ194/('FONTE INDICADORES (4)'!AQ42+'FONTE INDICADORES (4)'!AQ80),"")</f>
        <v>0.58121463409552709</v>
      </c>
      <c r="AR44" s="310">
        <f>IFERROR(-'FONTE INDICADORES (4)'!AR194/('FONTE INDICADORES (4)'!AR42+'FONTE INDICADORES (4)'!AR80),"")</f>
        <v>0.62861173789673819</v>
      </c>
      <c r="AS44" s="310">
        <f>IFERROR(-'FONTE INDICADORES (4)'!AS194/('FONTE INDICADORES (4)'!AS42+'FONTE INDICADORES (4)'!AS80),"")</f>
        <v>0.57306882748363785</v>
      </c>
      <c r="AT44" s="310">
        <f>IFERROR(-'FONTE INDICADORES (4)'!AT194/('FONTE INDICADORES (4)'!AT42+'FONTE INDICADORES (4)'!AT80),"")</f>
        <v>0.65413763872534814</v>
      </c>
      <c r="AU44" s="310">
        <f>IFERROR(-'FONTE INDICADORES (4)'!AU194/('FONTE INDICADORES (4)'!AU42+'FONTE INDICADORES (4)'!AU80),"")</f>
        <v>0.61011923904376353</v>
      </c>
      <c r="AV44" s="310">
        <f>IFERROR(-'FONTE INDICADORES (4)'!AV194/('FONTE INDICADORES (4)'!AV42+'FONTE INDICADORES (4)'!AV80),"")</f>
        <v>0.61563523526606156</v>
      </c>
      <c r="AW44" s="310">
        <f>IFERROR(-'FONTE INDICADORES (4)'!AW194/('FONTE INDICADORES (4)'!AW42+'FONTE INDICADORES (4)'!AW80),"")</f>
        <v>0.63903492313224031</v>
      </c>
      <c r="AX44" s="310">
        <f>IFERROR(-'FONTE INDICADORES (4)'!AX194/('FONTE INDICADORES (4)'!AX42+'FONTE INDICADORES (4)'!AX80),"")</f>
        <v>0.58297753117250839</v>
      </c>
      <c r="AY44" s="310">
        <f>IFERROR(-'FONTE INDICADORES (4)'!AY194/('FONTE INDICADORES (4)'!AY42+'FONTE INDICADORES (4)'!AY80),"")</f>
        <v>0.73582515100662782</v>
      </c>
      <c r="AZ44" s="310">
        <f>IFERROR(-'FONTE INDICADORES (4)'!AZ194/('FONTE INDICADORES (4)'!AZ42+'FONTE INDICADORES (4)'!AZ80),"")</f>
        <v>0.64524222230315587</v>
      </c>
      <c r="BA44" s="310">
        <f>IFERROR(-'FONTE INDICADORES (4)'!BA194/('FONTE INDICADORES (4)'!BA42+'FONTE INDICADORES (4)'!BA80),"")</f>
        <v>0.55744566794888872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71D1-2D6C-4BBD-969F-F397B302F4F4}">
  <sheetPr>
    <tabColor rgb="FFCCCCFF"/>
  </sheetPr>
  <dimension ref="A1:AR97"/>
  <sheetViews>
    <sheetView showGridLines="0" zoomScale="75" zoomScaleNormal="75" workbookViewId="0">
      <pane xSplit="3" ySplit="7" topLeftCell="AB23" activePane="bottomRight" state="frozen"/>
      <selection pane="topRight" activeCell="AX226" sqref="AX226"/>
      <selection pane="bottomLeft" activeCell="AX226" sqref="AX226"/>
      <selection pane="bottomRight"/>
    </sheetView>
  </sheetViews>
  <sheetFormatPr defaultRowHeight="15" outlineLevelCol="2"/>
  <cols>
    <col min="1" max="1" width="3.5703125" customWidth="1"/>
    <col min="2" max="2" width="74" hidden="1" customWidth="1"/>
    <col min="3" max="3" width="65.5703125" customWidth="1"/>
    <col min="4" max="4" width="11.42578125" customWidth="1" outlineLevel="1"/>
    <col min="5" max="7" width="12.42578125" customWidth="1" outlineLevel="1"/>
    <col min="8" max="8" width="11.42578125" customWidth="1"/>
    <col min="9" max="9" width="11.42578125" customWidth="1" outlineLevel="1"/>
    <col min="10" max="11" width="12.42578125" customWidth="1" outlineLevel="1"/>
    <col min="12" max="12" width="11.42578125" customWidth="1" outlineLevel="1"/>
    <col min="13" max="13" width="11.42578125" customWidth="1"/>
    <col min="14" max="14" width="11.42578125" customWidth="1" outlineLevel="1"/>
    <col min="15" max="16" width="12.42578125" customWidth="1" outlineLevel="1"/>
    <col min="17" max="17" width="11.42578125" customWidth="1" outlineLevel="1"/>
    <col min="18" max="18" width="11.42578125" customWidth="1"/>
    <col min="19" max="19" width="11.42578125" customWidth="1" outlineLevel="1"/>
    <col min="20" max="20" width="12" customWidth="1" outlineLevel="1"/>
    <col min="21" max="21" width="12.42578125" customWidth="1" outlineLevel="1"/>
    <col min="22" max="22" width="11.42578125" customWidth="1" outlineLevel="1"/>
    <col min="23" max="23" width="11.42578125" customWidth="1"/>
    <col min="24" max="26" width="12.42578125" customWidth="1" outlineLevel="2"/>
    <col min="27" max="27" width="11.42578125" customWidth="1" outlineLevel="2"/>
    <col min="28" max="28" width="11.42578125" customWidth="1"/>
    <col min="29" max="32" width="12.42578125" hidden="1" customWidth="1" outlineLevel="1"/>
    <col min="33" max="33" width="11.42578125" customWidth="1" collapsed="1"/>
    <col min="34" max="34" width="11.42578125" customWidth="1" outlineLevel="1"/>
    <col min="35" max="35" width="12.42578125" customWidth="1" outlineLevel="1"/>
    <col min="36" max="37" width="11.42578125" customWidth="1" outlineLevel="1"/>
    <col min="38" max="38" width="11.42578125" bestFit="1" customWidth="1"/>
    <col min="39" max="42" width="11.42578125" customWidth="1" outlineLevel="1"/>
    <col min="43" max="43" width="11.42578125" customWidth="1"/>
    <col min="44" max="44" width="4.5703125" customWidth="1"/>
  </cols>
  <sheetData>
    <row r="1" spans="1:44" ht="15" customHeight="1">
      <c r="A1" s="61"/>
      <c r="B1" s="61"/>
      <c r="C1" s="61"/>
      <c r="D1" s="61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</row>
    <row r="2" spans="1:44" ht="15.75">
      <c r="A2" s="61"/>
      <c r="B2" s="61"/>
      <c r="C2" s="61"/>
      <c r="D2" s="61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</row>
    <row r="3" spans="1:44" ht="27" customHeight="1">
      <c r="A3" s="99"/>
      <c r="B3" s="99" t="s">
        <v>356</v>
      </c>
      <c r="C3" s="99" t="s">
        <v>601</v>
      </c>
      <c r="D3" s="61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</row>
    <row r="4" spans="1:44"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>
        <v>25</v>
      </c>
      <c r="AB4">
        <v>26</v>
      </c>
      <c r="AC4">
        <v>27</v>
      </c>
      <c r="AD4">
        <v>28</v>
      </c>
      <c r="AE4">
        <v>29</v>
      </c>
      <c r="AF4">
        <v>30</v>
      </c>
      <c r="AG4">
        <v>31</v>
      </c>
      <c r="AH4">
        <v>32</v>
      </c>
      <c r="AI4">
        <v>33</v>
      </c>
      <c r="AJ4">
        <v>34</v>
      </c>
      <c r="AK4">
        <v>35</v>
      </c>
      <c r="AL4">
        <v>36</v>
      </c>
      <c r="AM4">
        <v>37</v>
      </c>
      <c r="AN4">
        <v>38</v>
      </c>
      <c r="AO4">
        <v>39</v>
      </c>
      <c r="AP4">
        <v>40</v>
      </c>
      <c r="AQ4">
        <v>41</v>
      </c>
    </row>
    <row r="5" spans="1:44" ht="6.75" customHeight="1" thickBot="1"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</row>
    <row r="6" spans="1:44" ht="15.75" thickBot="1">
      <c r="A6" s="28"/>
      <c r="B6" s="28" t="s">
        <v>2</v>
      </c>
      <c r="C6" s="28" t="s">
        <v>32</v>
      </c>
      <c r="D6" s="35" t="s">
        <v>188</v>
      </c>
      <c r="E6" s="35" t="s">
        <v>189</v>
      </c>
      <c r="F6" s="35" t="s">
        <v>190</v>
      </c>
      <c r="G6" s="35" t="s">
        <v>191</v>
      </c>
      <c r="H6" s="38">
        <v>2016</v>
      </c>
      <c r="I6" s="35" t="s">
        <v>192</v>
      </c>
      <c r="J6" s="35" t="s">
        <v>193</v>
      </c>
      <c r="K6" s="35" t="s">
        <v>194</v>
      </c>
      <c r="L6" s="35" t="s">
        <v>195</v>
      </c>
      <c r="M6" s="38">
        <v>2017</v>
      </c>
      <c r="N6" s="35" t="s">
        <v>196</v>
      </c>
      <c r="O6" s="35" t="s">
        <v>197</v>
      </c>
      <c r="P6" s="35" t="s">
        <v>198</v>
      </c>
      <c r="Q6" s="35" t="s">
        <v>199</v>
      </c>
      <c r="R6" s="38">
        <v>2018</v>
      </c>
      <c r="S6" s="35" t="s">
        <v>200</v>
      </c>
      <c r="T6" s="35" t="s">
        <v>201</v>
      </c>
      <c r="U6" s="35" t="s">
        <v>202</v>
      </c>
      <c r="V6" s="35" t="s">
        <v>203</v>
      </c>
      <c r="W6" s="38">
        <v>2019</v>
      </c>
      <c r="X6" s="35" t="s">
        <v>204</v>
      </c>
      <c r="Y6" s="35" t="s">
        <v>205</v>
      </c>
      <c r="Z6" s="35" t="s">
        <v>206</v>
      </c>
      <c r="AA6" s="35" t="s">
        <v>207</v>
      </c>
      <c r="AB6" s="38">
        <v>2020</v>
      </c>
      <c r="AC6" s="35" t="s">
        <v>208</v>
      </c>
      <c r="AD6" s="35" t="s">
        <v>209</v>
      </c>
      <c r="AE6" s="35" t="s">
        <v>210</v>
      </c>
      <c r="AF6" s="35" t="s">
        <v>211</v>
      </c>
      <c r="AG6" s="38">
        <v>2021</v>
      </c>
      <c r="AH6" s="35" t="s">
        <v>386</v>
      </c>
      <c r="AI6" s="35" t="s">
        <v>387</v>
      </c>
      <c r="AJ6" s="35" t="s">
        <v>388</v>
      </c>
      <c r="AK6" s="35" t="s">
        <v>389</v>
      </c>
      <c r="AL6" s="38" t="s">
        <v>390</v>
      </c>
      <c r="AM6" s="35" t="s">
        <v>391</v>
      </c>
      <c r="AN6" s="35" t="s">
        <v>392</v>
      </c>
      <c r="AO6" s="35" t="s">
        <v>393</v>
      </c>
      <c r="AP6" s="35" t="s">
        <v>394</v>
      </c>
      <c r="AQ6" s="38" t="s">
        <v>395</v>
      </c>
    </row>
    <row r="7" spans="1:44">
      <c r="A7" s="28"/>
      <c r="B7" s="28" t="s">
        <v>2</v>
      </c>
      <c r="C7" s="28" t="s">
        <v>32</v>
      </c>
      <c r="D7" s="35" t="s">
        <v>224</v>
      </c>
      <c r="E7" s="35" t="s">
        <v>225</v>
      </c>
      <c r="F7" s="35" t="s">
        <v>226</v>
      </c>
      <c r="G7" s="35" t="s">
        <v>227</v>
      </c>
      <c r="H7" s="38">
        <v>2016</v>
      </c>
      <c r="I7" s="35" t="s">
        <v>228</v>
      </c>
      <c r="J7" s="35" t="s">
        <v>229</v>
      </c>
      <c r="K7" s="35" t="s">
        <v>230</v>
      </c>
      <c r="L7" s="35" t="s">
        <v>231</v>
      </c>
      <c r="M7" s="38">
        <v>2017</v>
      </c>
      <c r="N7" s="35" t="s">
        <v>232</v>
      </c>
      <c r="O7" s="35" t="s">
        <v>233</v>
      </c>
      <c r="P7" s="35" t="s">
        <v>234</v>
      </c>
      <c r="Q7" s="35" t="s">
        <v>235</v>
      </c>
      <c r="R7" s="38">
        <v>2018</v>
      </c>
      <c r="S7" s="35" t="s">
        <v>236</v>
      </c>
      <c r="T7" s="35" t="s">
        <v>237</v>
      </c>
      <c r="U7" s="35" t="s">
        <v>238</v>
      </c>
      <c r="V7" s="35" t="s">
        <v>239</v>
      </c>
      <c r="W7" s="38">
        <v>2019</v>
      </c>
      <c r="X7" s="35" t="s">
        <v>240</v>
      </c>
      <c r="Y7" s="35" t="s">
        <v>241</v>
      </c>
      <c r="Z7" s="35" t="s">
        <v>242</v>
      </c>
      <c r="AA7" s="35" t="s">
        <v>243</v>
      </c>
      <c r="AB7" s="38">
        <v>2020</v>
      </c>
      <c r="AC7" s="35" t="s">
        <v>244</v>
      </c>
      <c r="AD7" s="35" t="s">
        <v>245</v>
      </c>
      <c r="AE7" s="35" t="s">
        <v>246</v>
      </c>
      <c r="AF7" s="35" t="s">
        <v>247</v>
      </c>
      <c r="AG7" s="38">
        <v>2021</v>
      </c>
      <c r="AH7" s="35" t="s">
        <v>397</v>
      </c>
      <c r="AI7" s="35" t="s">
        <v>398</v>
      </c>
      <c r="AJ7" s="35" t="s">
        <v>399</v>
      </c>
      <c r="AK7" s="35" t="s">
        <v>400</v>
      </c>
      <c r="AL7" s="38" t="s">
        <v>390</v>
      </c>
      <c r="AM7" s="35" t="s">
        <v>401</v>
      </c>
      <c r="AN7" s="35" t="s">
        <v>402</v>
      </c>
      <c r="AO7" s="35" t="s">
        <v>403</v>
      </c>
      <c r="AP7" s="35" t="s">
        <v>404</v>
      </c>
      <c r="AQ7" s="38" t="s">
        <v>395</v>
      </c>
      <c r="AR7" s="285"/>
    </row>
    <row r="8" spans="1:44">
      <c r="A8" s="9"/>
      <c r="B8" s="9" t="s">
        <v>258</v>
      </c>
      <c r="C8" s="9" t="s">
        <v>259</v>
      </c>
      <c r="D8" s="117">
        <v>306636.79729729268</v>
      </c>
      <c r="E8" s="117">
        <v>274306.7512371731</v>
      </c>
      <c r="F8" s="117">
        <v>298515.75263123499</v>
      </c>
      <c r="G8" s="117">
        <v>321110.40095796413</v>
      </c>
      <c r="H8" s="118">
        <v>1200569.7021236648</v>
      </c>
      <c r="I8" s="117">
        <v>363428.16202039085</v>
      </c>
      <c r="J8" s="117">
        <v>380408.93326195487</v>
      </c>
      <c r="K8" s="117">
        <v>356399.13188662275</v>
      </c>
      <c r="L8" s="117">
        <v>372620.93646319874</v>
      </c>
      <c r="M8" s="118">
        <v>1472857.163632167</v>
      </c>
      <c r="N8" s="117">
        <v>435178.92439298524</v>
      </c>
      <c r="O8" s="117">
        <v>375477.21229234047</v>
      </c>
      <c r="P8" s="117">
        <v>410314.94054789108</v>
      </c>
      <c r="Q8" s="117">
        <v>463585.47318609315</v>
      </c>
      <c r="R8" s="118">
        <v>1684556.5504193099</v>
      </c>
      <c r="S8" s="117">
        <v>447499.07085686206</v>
      </c>
      <c r="T8" s="117">
        <v>443928.21781320474</v>
      </c>
      <c r="U8" s="117">
        <v>497274.04422084999</v>
      </c>
      <c r="V8" s="117">
        <v>374882.13236149336</v>
      </c>
      <c r="W8" s="118">
        <v>1763583.4652524099</v>
      </c>
      <c r="X8" s="117">
        <v>472999.15802340291</v>
      </c>
      <c r="Y8" s="117">
        <v>443355.76378291484</v>
      </c>
      <c r="Z8" s="117">
        <v>635864.27365499991</v>
      </c>
      <c r="AA8" s="117">
        <v>539882.5192331532</v>
      </c>
      <c r="AB8" s="118">
        <v>2092101.7146944709</v>
      </c>
      <c r="AC8" s="117">
        <v>496488.51130000001</v>
      </c>
      <c r="AD8" s="117">
        <v>512782.96380000003</v>
      </c>
      <c r="AE8" s="117">
        <v>632880.05135000008</v>
      </c>
      <c r="AF8" s="117">
        <v>719861.62354000006</v>
      </c>
      <c r="AG8" s="118">
        <v>2362013.1499900003</v>
      </c>
      <c r="AH8" s="117">
        <f t="shared" ref="AH8:AK8" si="0">AH9+AH19+AH27</f>
        <v>829059</v>
      </c>
      <c r="AI8" s="117">
        <f t="shared" si="0"/>
        <v>881570.42999999993</v>
      </c>
      <c r="AJ8" s="117">
        <f t="shared" si="0"/>
        <v>1428956.3149999999</v>
      </c>
      <c r="AK8" s="117">
        <f t="shared" si="0"/>
        <v>542106</v>
      </c>
      <c r="AL8" s="118">
        <f>SUM(AH8:AK8)</f>
        <v>3681691.7450000001</v>
      </c>
      <c r="AM8" s="117">
        <f>AM9+AM19+AM27</f>
        <v>1060874</v>
      </c>
      <c r="AN8" s="117">
        <f t="shared" ref="AN8:AP8" si="1">AN9+AN19+AN27</f>
        <v>1132504</v>
      </c>
      <c r="AO8" s="117">
        <f t="shared" si="1"/>
        <v>1260640</v>
      </c>
      <c r="AP8" s="117">
        <f t="shared" si="1"/>
        <v>1210004</v>
      </c>
      <c r="AQ8" s="118">
        <f>SUM(AM8:AP8)</f>
        <v>4664022</v>
      </c>
      <c r="AR8" s="285"/>
    </row>
    <row r="9" spans="1:44">
      <c r="A9" s="5"/>
      <c r="B9" s="5" t="s">
        <v>260</v>
      </c>
      <c r="C9" s="5" t="s">
        <v>261</v>
      </c>
      <c r="D9" s="119">
        <v>218068.18025729267</v>
      </c>
      <c r="E9" s="119">
        <v>204924.82363717307</v>
      </c>
      <c r="F9" s="119">
        <v>218016.97780123501</v>
      </c>
      <c r="G9" s="119">
        <v>231474.28320796415</v>
      </c>
      <c r="H9" s="141">
        <v>872484.26490366494</v>
      </c>
      <c r="I9" s="119">
        <v>225814.80685039086</v>
      </c>
      <c r="J9" s="119">
        <v>253499.91484195483</v>
      </c>
      <c r="K9" s="119">
        <v>223444.97083662279</v>
      </c>
      <c r="L9" s="119">
        <v>263613.12988319877</v>
      </c>
      <c r="M9" s="141">
        <v>966372.82241216721</v>
      </c>
      <c r="N9" s="119">
        <v>232408.56226298524</v>
      </c>
      <c r="O9" s="119">
        <v>219542.65458234053</v>
      </c>
      <c r="P9" s="119">
        <v>257454.62589789109</v>
      </c>
      <c r="Q9" s="119">
        <v>308738.47648609313</v>
      </c>
      <c r="R9" s="141">
        <v>1018144.31922931</v>
      </c>
      <c r="S9" s="119">
        <v>265590.93042686209</v>
      </c>
      <c r="T9" s="119">
        <v>259512.84920320474</v>
      </c>
      <c r="U9" s="119">
        <v>304987.43214085</v>
      </c>
      <c r="V9" s="119">
        <v>287160.05994149332</v>
      </c>
      <c r="W9" s="141">
        <v>1117251.2717124103</v>
      </c>
      <c r="X9" s="119">
        <v>299932.46758340293</v>
      </c>
      <c r="Y9" s="119">
        <v>286275.38978291483</v>
      </c>
      <c r="Z9" s="119">
        <v>309163.23565499991</v>
      </c>
      <c r="AA9" s="119">
        <v>302040.74950315332</v>
      </c>
      <c r="AB9" s="141">
        <v>1197411.842524471</v>
      </c>
      <c r="AC9" s="119">
        <v>301546.54121</v>
      </c>
      <c r="AD9" s="119">
        <v>298520.54684000002</v>
      </c>
      <c r="AE9" s="119">
        <v>278990.35178999999</v>
      </c>
      <c r="AF9" s="119">
        <v>359096.59004000004</v>
      </c>
      <c r="AG9" s="141">
        <v>1238154.02988</v>
      </c>
      <c r="AH9" s="119">
        <f>SUM(AH10:AH18)</f>
        <v>502068</v>
      </c>
      <c r="AI9" s="119">
        <f t="shared" ref="AI9:AK9" si="2">SUM(AI10:AI18)</f>
        <v>470768.43</v>
      </c>
      <c r="AJ9" s="119">
        <f t="shared" si="2"/>
        <v>895826.31499999994</v>
      </c>
      <c r="AK9" s="119">
        <f t="shared" si="2"/>
        <v>125587</v>
      </c>
      <c r="AL9" s="141">
        <v>1994248.8599999999</v>
      </c>
      <c r="AM9" s="119">
        <f t="shared" ref="AM9:AP9" si="3">SUM(AM10:AM18)</f>
        <v>587373</v>
      </c>
      <c r="AN9" s="119">
        <f t="shared" si="3"/>
        <v>651547</v>
      </c>
      <c r="AO9" s="119">
        <f t="shared" si="3"/>
        <v>749785</v>
      </c>
      <c r="AP9" s="119">
        <f t="shared" si="3"/>
        <v>680746</v>
      </c>
      <c r="AQ9" s="141">
        <f t="shared" ref="AQ9:AQ15" si="4">SUM(AM9:AP9)</f>
        <v>2669451</v>
      </c>
      <c r="AR9" s="285"/>
    </row>
    <row r="10" spans="1:44">
      <c r="A10" s="11"/>
      <c r="B10" s="11" t="s">
        <v>262</v>
      </c>
      <c r="C10" s="11" t="s">
        <v>262</v>
      </c>
      <c r="D10" s="120">
        <v>205928.60085017027</v>
      </c>
      <c r="E10" s="120">
        <v>193301.22333676607</v>
      </c>
      <c r="F10" s="120">
        <v>208700.72586123503</v>
      </c>
      <c r="G10" s="120">
        <v>236010.46787549357</v>
      </c>
      <c r="H10" s="142">
        <v>918234.18418999994</v>
      </c>
      <c r="I10" s="120">
        <v>214028.75715039085</v>
      </c>
      <c r="J10" s="120">
        <v>243694.72966195483</v>
      </c>
      <c r="K10" s="120">
        <v>213268.78855662278</v>
      </c>
      <c r="L10" s="120">
        <v>242113.22219319872</v>
      </c>
      <c r="M10" s="142">
        <v>913105.49756216723</v>
      </c>
      <c r="N10" s="120">
        <v>216667.09510298524</v>
      </c>
      <c r="O10" s="120">
        <v>209048.60740234054</v>
      </c>
      <c r="P10" s="120">
        <v>245748.8221778911</v>
      </c>
      <c r="Q10" s="120">
        <v>288835.23492609314</v>
      </c>
      <c r="R10" s="142">
        <v>960299.75960930996</v>
      </c>
      <c r="S10" s="120">
        <v>252704.55294686207</v>
      </c>
      <c r="T10" s="120">
        <v>242710.97243320473</v>
      </c>
      <c r="U10" s="120">
        <v>286877.93122084998</v>
      </c>
      <c r="V10" s="120">
        <v>253995.77302149331</v>
      </c>
      <c r="W10" s="142">
        <v>1036289.2296224101</v>
      </c>
      <c r="X10" s="120">
        <v>288437.10982340295</v>
      </c>
      <c r="Y10" s="120">
        <v>272412.71835291485</v>
      </c>
      <c r="Z10" s="120">
        <v>296666.25223499991</v>
      </c>
      <c r="AA10" s="120">
        <v>276811.38236315333</v>
      </c>
      <c r="AB10" s="142">
        <v>1134327.4627744709</v>
      </c>
      <c r="AC10" s="120">
        <v>102353.31213999999</v>
      </c>
      <c r="AD10" s="120">
        <v>97747.342810000002</v>
      </c>
      <c r="AE10" s="120">
        <v>70903.211729999995</v>
      </c>
      <c r="AF10" s="120">
        <v>104435.68768</v>
      </c>
      <c r="AG10" s="142">
        <v>375439.55435999995</v>
      </c>
      <c r="AH10" s="120">
        <v>134800</v>
      </c>
      <c r="AI10" s="120">
        <v>144887.43</v>
      </c>
      <c r="AJ10" s="120">
        <v>149639.315</v>
      </c>
      <c r="AK10" s="120">
        <v>159708</v>
      </c>
      <c r="AL10" s="154">
        <v>589034.745</v>
      </c>
      <c r="AM10" s="120">
        <v>108357</v>
      </c>
      <c r="AN10" s="120">
        <v>160720</v>
      </c>
      <c r="AO10" s="120">
        <v>259061</v>
      </c>
      <c r="AP10" s="120">
        <v>36331</v>
      </c>
      <c r="AQ10" s="142">
        <f t="shared" si="4"/>
        <v>564469</v>
      </c>
      <c r="AR10" s="285"/>
    </row>
    <row r="11" spans="1:44">
      <c r="A11" s="11"/>
      <c r="B11" s="11" t="s">
        <v>263</v>
      </c>
      <c r="C11" s="11" t="s">
        <v>263</v>
      </c>
      <c r="D11" s="120">
        <v>0</v>
      </c>
      <c r="E11" s="120">
        <v>0</v>
      </c>
      <c r="F11" s="120">
        <v>0</v>
      </c>
      <c r="G11" s="120">
        <v>0</v>
      </c>
      <c r="H11" s="142">
        <v>0</v>
      </c>
      <c r="I11" s="120">
        <v>0</v>
      </c>
      <c r="J11" s="120">
        <v>0</v>
      </c>
      <c r="K11" s="120">
        <v>0</v>
      </c>
      <c r="L11" s="120">
        <v>0</v>
      </c>
      <c r="M11" s="142">
        <v>0</v>
      </c>
      <c r="N11" s="120">
        <v>0</v>
      </c>
      <c r="O11" s="120">
        <v>0</v>
      </c>
      <c r="P11" s="120">
        <v>0</v>
      </c>
      <c r="Q11" s="120">
        <v>0</v>
      </c>
      <c r="R11" s="142">
        <v>0</v>
      </c>
      <c r="S11" s="120">
        <v>0</v>
      </c>
      <c r="T11" s="120">
        <v>0</v>
      </c>
      <c r="U11" s="120">
        <v>0</v>
      </c>
      <c r="V11" s="120">
        <v>0</v>
      </c>
      <c r="W11" s="142">
        <v>0</v>
      </c>
      <c r="X11" s="120">
        <v>0</v>
      </c>
      <c r="Y11" s="120">
        <v>0</v>
      </c>
      <c r="Z11" s="120">
        <v>55.539000000000001</v>
      </c>
      <c r="AA11" s="120">
        <v>442.16998000000001</v>
      </c>
      <c r="AB11" s="142">
        <v>497.70898</v>
      </c>
      <c r="AC11" s="120">
        <v>207267.38247000001</v>
      </c>
      <c r="AD11" s="120">
        <v>204071.52911999996</v>
      </c>
      <c r="AE11" s="120">
        <v>200938.49518999999</v>
      </c>
      <c r="AF11" s="120">
        <v>224796.31309000004</v>
      </c>
      <c r="AG11" s="142">
        <v>837073.71987000003</v>
      </c>
      <c r="AH11" s="120">
        <v>321638</v>
      </c>
      <c r="AI11" s="120">
        <v>265571</v>
      </c>
      <c r="AJ11" s="120">
        <v>617289</v>
      </c>
      <c r="AK11" s="120">
        <v>-105763</v>
      </c>
      <c r="AL11" s="154">
        <v>1098734</v>
      </c>
      <c r="AM11" s="120">
        <v>287194</v>
      </c>
      <c r="AN11" s="120">
        <v>235622</v>
      </c>
      <c r="AO11" s="120">
        <v>296947</v>
      </c>
      <c r="AP11" s="120">
        <v>401071</v>
      </c>
      <c r="AQ11" s="142">
        <f t="shared" si="4"/>
        <v>1220834</v>
      </c>
      <c r="AR11" s="285"/>
    </row>
    <row r="12" spans="1:44">
      <c r="A12" s="11"/>
      <c r="B12" s="11" t="s">
        <v>264</v>
      </c>
      <c r="C12" s="11" t="s">
        <v>264</v>
      </c>
      <c r="D12" s="120">
        <v>0</v>
      </c>
      <c r="E12" s="120">
        <v>0</v>
      </c>
      <c r="F12" s="120">
        <v>0</v>
      </c>
      <c r="G12" s="120">
        <v>0</v>
      </c>
      <c r="H12" s="142">
        <v>0</v>
      </c>
      <c r="I12" s="120">
        <v>0</v>
      </c>
      <c r="J12" s="120">
        <v>0</v>
      </c>
      <c r="K12" s="120">
        <v>0</v>
      </c>
      <c r="L12" s="120">
        <v>0</v>
      </c>
      <c r="M12" s="142">
        <v>0</v>
      </c>
      <c r="N12" s="120">
        <v>0</v>
      </c>
      <c r="O12" s="120">
        <v>0</v>
      </c>
      <c r="P12" s="120">
        <v>0</v>
      </c>
      <c r="Q12" s="120">
        <v>0</v>
      </c>
      <c r="R12" s="142">
        <v>0</v>
      </c>
      <c r="S12" s="120">
        <v>0</v>
      </c>
      <c r="T12" s="120">
        <v>0</v>
      </c>
      <c r="U12" s="120">
        <v>0</v>
      </c>
      <c r="V12" s="120">
        <v>0</v>
      </c>
      <c r="W12" s="142">
        <v>0</v>
      </c>
      <c r="X12" s="120">
        <v>0</v>
      </c>
      <c r="Y12" s="120">
        <v>0</v>
      </c>
      <c r="Z12" s="120">
        <v>0</v>
      </c>
      <c r="AA12" s="120">
        <v>0</v>
      </c>
      <c r="AB12" s="142">
        <v>0</v>
      </c>
      <c r="AC12" s="120">
        <v>-26142.165929999999</v>
      </c>
      <c r="AD12" s="120">
        <v>-15890.276810000003</v>
      </c>
      <c r="AE12" s="120">
        <v>-1194.7964500000016</v>
      </c>
      <c r="AF12" s="120">
        <v>9820.5491499999989</v>
      </c>
      <c r="AG12" s="142">
        <v>-33406.690040000001</v>
      </c>
      <c r="AH12" s="120">
        <v>24410</v>
      </c>
      <c r="AI12" s="120">
        <v>27383</v>
      </c>
      <c r="AJ12" s="120">
        <v>57214</v>
      </c>
      <c r="AK12" s="120">
        <v>-7244</v>
      </c>
      <c r="AL12" s="142">
        <v>101763</v>
      </c>
      <c r="AM12" s="120">
        <v>97220</v>
      </c>
      <c r="AN12" s="120">
        <v>162995</v>
      </c>
      <c r="AO12" s="120">
        <v>83391</v>
      </c>
      <c r="AP12" s="120">
        <v>119936</v>
      </c>
      <c r="AQ12" s="142">
        <f t="shared" si="4"/>
        <v>463542</v>
      </c>
      <c r="AR12" s="285"/>
    </row>
    <row r="13" spans="1:44">
      <c r="A13" s="11"/>
      <c r="B13" s="11" t="s">
        <v>265</v>
      </c>
      <c r="C13" s="11" t="s">
        <v>265</v>
      </c>
      <c r="D13" s="120">
        <v>0</v>
      </c>
      <c r="E13" s="120">
        <v>0</v>
      </c>
      <c r="F13" s="120">
        <v>0</v>
      </c>
      <c r="G13" s="120">
        <v>0</v>
      </c>
      <c r="H13" s="142">
        <v>0</v>
      </c>
      <c r="I13" s="120">
        <v>0</v>
      </c>
      <c r="J13" s="120">
        <v>0</v>
      </c>
      <c r="K13" s="120">
        <v>0</v>
      </c>
      <c r="L13" s="120">
        <v>0</v>
      </c>
      <c r="M13" s="142">
        <v>0</v>
      </c>
      <c r="N13" s="120">
        <v>0</v>
      </c>
      <c r="O13" s="120">
        <v>0</v>
      </c>
      <c r="P13" s="120">
        <v>0</v>
      </c>
      <c r="Q13" s="120">
        <v>0</v>
      </c>
      <c r="R13" s="142">
        <v>0</v>
      </c>
      <c r="S13" s="120">
        <v>0</v>
      </c>
      <c r="T13" s="120">
        <v>0</v>
      </c>
      <c r="U13" s="120">
        <v>0</v>
      </c>
      <c r="V13" s="120">
        <v>0</v>
      </c>
      <c r="W13" s="142">
        <v>0</v>
      </c>
      <c r="X13" s="120">
        <v>0</v>
      </c>
      <c r="Y13" s="120">
        <v>0</v>
      </c>
      <c r="Z13" s="120">
        <v>0</v>
      </c>
      <c r="AA13" s="120">
        <v>0</v>
      </c>
      <c r="AB13" s="142">
        <v>0</v>
      </c>
      <c r="AC13" s="120">
        <v>30.243200000000002</v>
      </c>
      <c r="AD13" s="120">
        <v>-703.26945999999998</v>
      </c>
      <c r="AE13" s="120">
        <v>2635.4137600000004</v>
      </c>
      <c r="AF13" s="120">
        <v>1172.3518700000004</v>
      </c>
      <c r="AG13" s="142">
        <v>3134.7393700000007</v>
      </c>
      <c r="AH13" s="120">
        <v>11614</v>
      </c>
      <c r="AI13" s="120">
        <v>14022</v>
      </c>
      <c r="AJ13" s="120">
        <v>27860</v>
      </c>
      <c r="AK13" s="120">
        <v>23730</v>
      </c>
      <c r="AL13" s="142">
        <v>77226</v>
      </c>
      <c r="AM13" s="120">
        <v>31345</v>
      </c>
      <c r="AN13" s="120">
        <v>26555</v>
      </c>
      <c r="AO13" s="120">
        <v>33691</v>
      </c>
      <c r="AP13" s="120">
        <v>34448</v>
      </c>
      <c r="AQ13" s="142">
        <f t="shared" si="4"/>
        <v>126039</v>
      </c>
      <c r="AR13" s="285"/>
    </row>
    <row r="14" spans="1:44">
      <c r="A14" s="11"/>
      <c r="B14" s="11" t="s">
        <v>266</v>
      </c>
      <c r="C14" s="11" t="s">
        <v>266</v>
      </c>
      <c r="D14" s="120">
        <v>0</v>
      </c>
      <c r="E14" s="120">
        <v>0</v>
      </c>
      <c r="F14" s="120">
        <v>0</v>
      </c>
      <c r="G14" s="120">
        <v>0</v>
      </c>
      <c r="H14" s="142">
        <v>0</v>
      </c>
      <c r="I14" s="120">
        <v>0</v>
      </c>
      <c r="J14" s="120">
        <v>0</v>
      </c>
      <c r="K14" s="120">
        <v>0</v>
      </c>
      <c r="L14" s="120">
        <v>0</v>
      </c>
      <c r="M14" s="142">
        <v>0</v>
      </c>
      <c r="N14" s="120">
        <v>0</v>
      </c>
      <c r="O14" s="120">
        <v>0</v>
      </c>
      <c r="P14" s="120">
        <v>0</v>
      </c>
      <c r="Q14" s="120">
        <v>0</v>
      </c>
      <c r="R14" s="142">
        <v>0</v>
      </c>
      <c r="S14" s="120">
        <v>0</v>
      </c>
      <c r="T14" s="120">
        <v>0</v>
      </c>
      <c r="U14" s="120">
        <v>0</v>
      </c>
      <c r="V14" s="120">
        <v>0</v>
      </c>
      <c r="W14" s="142">
        <v>0</v>
      </c>
      <c r="X14" s="120">
        <v>0</v>
      </c>
      <c r="Y14" s="120">
        <v>0</v>
      </c>
      <c r="Z14" s="120">
        <v>0</v>
      </c>
      <c r="AA14" s="120">
        <v>0</v>
      </c>
      <c r="AB14" s="142">
        <v>0</v>
      </c>
      <c r="AC14" s="120">
        <v>0</v>
      </c>
      <c r="AD14" s="120">
        <v>-1111.2993100000001</v>
      </c>
      <c r="AE14" s="120">
        <v>-1499.4540499999996</v>
      </c>
      <c r="AF14" s="120">
        <v>-3068.3097600000001</v>
      </c>
      <c r="AG14" s="142">
        <v>-5679.0631199999998</v>
      </c>
      <c r="AH14" s="120">
        <v>-1990</v>
      </c>
      <c r="AI14" s="120">
        <v>-1578</v>
      </c>
      <c r="AJ14" s="120">
        <v>2245</v>
      </c>
      <c r="AK14" s="120">
        <v>19722</v>
      </c>
      <c r="AL14" s="142">
        <v>18399</v>
      </c>
      <c r="AM14" s="120">
        <v>13978</v>
      </c>
      <c r="AN14" s="120">
        <v>18672</v>
      </c>
      <c r="AO14" s="120">
        <v>24969</v>
      </c>
      <c r="AP14" s="120">
        <v>33686</v>
      </c>
      <c r="AQ14" s="142">
        <f t="shared" si="4"/>
        <v>91305</v>
      </c>
      <c r="AR14" s="285"/>
    </row>
    <row r="15" spans="1:44">
      <c r="A15" s="11"/>
      <c r="B15" s="11" t="s">
        <v>267</v>
      </c>
      <c r="C15" s="11" t="s">
        <v>268</v>
      </c>
      <c r="D15" s="120">
        <v>0</v>
      </c>
      <c r="E15" s="120">
        <v>0</v>
      </c>
      <c r="F15" s="120">
        <v>0</v>
      </c>
      <c r="G15" s="120">
        <v>0</v>
      </c>
      <c r="H15" s="142">
        <v>0</v>
      </c>
      <c r="I15" s="120">
        <v>0</v>
      </c>
      <c r="J15" s="120">
        <v>0</v>
      </c>
      <c r="K15" s="120">
        <v>0</v>
      </c>
      <c r="L15" s="120">
        <v>0</v>
      </c>
      <c r="M15" s="142">
        <v>0</v>
      </c>
      <c r="N15" s="120">
        <v>0</v>
      </c>
      <c r="O15" s="120">
        <v>0</v>
      </c>
      <c r="P15" s="120">
        <v>0</v>
      </c>
      <c r="Q15" s="120">
        <v>0</v>
      </c>
      <c r="R15" s="142">
        <v>0</v>
      </c>
      <c r="S15" s="120">
        <v>0</v>
      </c>
      <c r="T15" s="120">
        <v>0</v>
      </c>
      <c r="U15" s="120">
        <v>0</v>
      </c>
      <c r="V15" s="120">
        <v>0</v>
      </c>
      <c r="W15" s="142">
        <v>0</v>
      </c>
      <c r="X15" s="120">
        <v>0</v>
      </c>
      <c r="Y15" s="120">
        <v>0</v>
      </c>
      <c r="Z15" s="120">
        <v>0</v>
      </c>
      <c r="AA15" s="120">
        <v>0</v>
      </c>
      <c r="AB15" s="142">
        <v>0</v>
      </c>
      <c r="AC15" s="120">
        <v>-124.48341000000001</v>
      </c>
      <c r="AD15" s="120">
        <v>-265.90536000000003</v>
      </c>
      <c r="AE15" s="120">
        <v>-633.96879999999987</v>
      </c>
      <c r="AF15" s="120">
        <v>-952.80201000000011</v>
      </c>
      <c r="AG15" s="142">
        <v>-1977.15958</v>
      </c>
      <c r="AH15" s="120">
        <v>-73</v>
      </c>
      <c r="AI15" s="120">
        <v>249</v>
      </c>
      <c r="AJ15" s="120">
        <v>1017</v>
      </c>
      <c r="AK15" s="120">
        <v>2223</v>
      </c>
      <c r="AL15" s="142">
        <v>3416</v>
      </c>
      <c r="AM15" s="120">
        <v>2666</v>
      </c>
      <c r="AN15" s="120">
        <v>4531</v>
      </c>
      <c r="AO15" s="120">
        <v>5196</v>
      </c>
      <c r="AP15" s="120">
        <v>5236</v>
      </c>
      <c r="AQ15" s="142">
        <f t="shared" si="4"/>
        <v>17629</v>
      </c>
      <c r="AR15" s="285"/>
    </row>
    <row r="16" spans="1:44">
      <c r="A16" s="11"/>
      <c r="B16" s="11" t="s">
        <v>269</v>
      </c>
      <c r="C16" s="11" t="s">
        <v>269</v>
      </c>
      <c r="D16" s="120">
        <v>10879.326935822401</v>
      </c>
      <c r="E16" s="120">
        <v>10156.355570207003</v>
      </c>
      <c r="F16" s="120">
        <v>8493.8030399999989</v>
      </c>
      <c r="G16" s="120">
        <v>-4734.9436560294043</v>
      </c>
      <c r="H16" s="142">
        <v>24794.541889999997</v>
      </c>
      <c r="I16" s="120">
        <v>9884.6331099999989</v>
      </c>
      <c r="J16" s="120">
        <v>8570.1071700000011</v>
      </c>
      <c r="K16" s="120">
        <v>9116.4090699999997</v>
      </c>
      <c r="L16" s="120">
        <v>20355.676689999997</v>
      </c>
      <c r="M16" s="142">
        <v>47926.82604</v>
      </c>
      <c r="N16" s="120">
        <v>14238.89248</v>
      </c>
      <c r="O16" s="120">
        <v>9331.6300500000016</v>
      </c>
      <c r="P16" s="120">
        <v>10434.51382</v>
      </c>
      <c r="Q16" s="120">
        <v>18606.603039999991</v>
      </c>
      <c r="R16" s="142">
        <v>52611.639389999997</v>
      </c>
      <c r="S16" s="120">
        <v>11259.94118</v>
      </c>
      <c r="T16" s="120">
        <v>9930.3495700000003</v>
      </c>
      <c r="U16" s="120">
        <v>10077.425780000001</v>
      </c>
      <c r="V16" s="120">
        <v>23188.290009999997</v>
      </c>
      <c r="W16" s="142">
        <v>54456.006540000002</v>
      </c>
      <c r="X16" s="120">
        <v>6992.8752500000001</v>
      </c>
      <c r="Y16" s="120">
        <v>10779.93607</v>
      </c>
      <c r="Z16" s="120">
        <v>7565.497739999998</v>
      </c>
      <c r="AA16" s="120">
        <v>17143.477029999998</v>
      </c>
      <c r="AB16" s="142">
        <v>42481.786089999994</v>
      </c>
      <c r="AC16" s="120">
        <v>11128.263289999999</v>
      </c>
      <c r="AD16" s="120">
        <v>8173.9680500000004</v>
      </c>
      <c r="AE16" s="120">
        <v>3266.4812700000002</v>
      </c>
      <c r="AF16" s="120">
        <v>17534.295980000003</v>
      </c>
      <c r="AG16" s="142">
        <v>40103.008589999998</v>
      </c>
      <c r="AH16" s="120">
        <v>6766</v>
      </c>
      <c r="AI16" s="120">
        <v>14697</v>
      </c>
      <c r="AJ16" s="120">
        <v>34416</v>
      </c>
      <c r="AK16" s="120">
        <v>43298</v>
      </c>
      <c r="AL16" s="142">
        <v>99177</v>
      </c>
      <c r="AM16" s="120">
        <v>39460</v>
      </c>
      <c r="AN16" s="120">
        <v>35861</v>
      </c>
      <c r="AO16" s="120">
        <v>39746</v>
      </c>
      <c r="AP16" s="120">
        <v>40861</v>
      </c>
      <c r="AQ16" s="142">
        <f>SUM(AM16:AP16)</f>
        <v>155928</v>
      </c>
      <c r="AR16" s="285"/>
    </row>
    <row r="17" spans="1:44">
      <c r="A17" s="11"/>
      <c r="B17" s="11" t="s">
        <v>270</v>
      </c>
      <c r="C17" s="11" t="s">
        <v>270</v>
      </c>
      <c r="D17" s="120">
        <v>1260.2524713</v>
      </c>
      <c r="E17" s="120">
        <v>1467.2447302</v>
      </c>
      <c r="F17" s="120">
        <v>822.44889999999987</v>
      </c>
      <c r="G17" s="120">
        <v>198.75898850000044</v>
      </c>
      <c r="H17" s="142">
        <v>3748.7050900000004</v>
      </c>
      <c r="I17" s="120">
        <v>1901.41659</v>
      </c>
      <c r="J17" s="120">
        <v>1235.0780099999999</v>
      </c>
      <c r="K17" s="120">
        <v>1059.7732099999996</v>
      </c>
      <c r="L17" s="120">
        <v>1144.231</v>
      </c>
      <c r="M17" s="142">
        <v>5340.4988099999991</v>
      </c>
      <c r="N17" s="120">
        <v>1502.5746799999999</v>
      </c>
      <c r="O17" s="120">
        <v>1162.41713</v>
      </c>
      <c r="P17" s="120">
        <v>1271.2899</v>
      </c>
      <c r="Q17" s="120">
        <v>1296.6385199999995</v>
      </c>
      <c r="R17" s="142">
        <v>5232.9202299999997</v>
      </c>
      <c r="S17" s="120">
        <v>1626.4363000000001</v>
      </c>
      <c r="T17" s="120">
        <v>6871.5272000000004</v>
      </c>
      <c r="U17" s="120">
        <v>8032.0751400000008</v>
      </c>
      <c r="V17" s="120">
        <v>9975.9969099999998</v>
      </c>
      <c r="W17" s="142">
        <v>26506.035550000001</v>
      </c>
      <c r="X17" s="120">
        <v>4502.4825099999998</v>
      </c>
      <c r="Y17" s="120">
        <v>3082.7353600000001</v>
      </c>
      <c r="Z17" s="120">
        <v>4875.9466800000009</v>
      </c>
      <c r="AA17" s="120">
        <v>7643.7201299999988</v>
      </c>
      <c r="AB17" s="142">
        <v>20104.884679999999</v>
      </c>
      <c r="AC17" s="120">
        <v>7033.98945</v>
      </c>
      <c r="AD17" s="120">
        <v>6498.4578000000001</v>
      </c>
      <c r="AE17" s="120">
        <v>4574.9691400000011</v>
      </c>
      <c r="AF17" s="120">
        <v>5358.5040399999989</v>
      </c>
      <c r="AG17" s="142">
        <v>23465.920430000002</v>
      </c>
      <c r="AH17" s="120">
        <v>4903</v>
      </c>
      <c r="AI17" s="120">
        <v>5537</v>
      </c>
      <c r="AJ17" s="120">
        <v>6146</v>
      </c>
      <c r="AK17" s="120">
        <v>6819</v>
      </c>
      <c r="AL17" s="142">
        <v>23405</v>
      </c>
      <c r="AM17" s="120">
        <v>7153</v>
      </c>
      <c r="AN17" s="120">
        <v>6591</v>
      </c>
      <c r="AO17" s="120">
        <v>6784</v>
      </c>
      <c r="AP17" s="120">
        <v>9177</v>
      </c>
      <c r="AQ17" s="142">
        <f t="shared" ref="AQ17" si="5">SUM(AM17:AP17)</f>
        <v>29705</v>
      </c>
      <c r="AR17" s="285"/>
    </row>
    <row r="18" spans="1:44">
      <c r="A18" s="11"/>
      <c r="B18" s="11" t="s">
        <v>360</v>
      </c>
      <c r="C18" s="11" t="s">
        <v>360</v>
      </c>
      <c r="D18" s="120"/>
      <c r="E18" s="120"/>
      <c r="F18" s="120"/>
      <c r="G18" s="120"/>
      <c r="H18" s="154"/>
      <c r="I18" s="120"/>
      <c r="J18" s="120"/>
      <c r="K18" s="120"/>
      <c r="L18" s="120"/>
      <c r="M18" s="154"/>
      <c r="N18" s="120"/>
      <c r="O18" s="120"/>
      <c r="P18" s="120"/>
      <c r="Q18" s="120"/>
      <c r="R18" s="154"/>
      <c r="S18" s="120"/>
      <c r="T18" s="120"/>
      <c r="U18" s="120"/>
      <c r="V18" s="120"/>
      <c r="W18" s="154"/>
      <c r="X18" s="120"/>
      <c r="Y18" s="120"/>
      <c r="Z18" s="120"/>
      <c r="AA18" s="120"/>
      <c r="AB18" s="154"/>
      <c r="AC18" s="120"/>
      <c r="AD18" s="120"/>
      <c r="AE18" s="120"/>
      <c r="AF18" s="120"/>
      <c r="AG18" s="154"/>
      <c r="AH18" s="120">
        <v>0</v>
      </c>
      <c r="AI18" s="120">
        <v>0</v>
      </c>
      <c r="AJ18" s="120">
        <v>0</v>
      </c>
      <c r="AK18" s="120">
        <v>-16906</v>
      </c>
      <c r="AL18" s="142">
        <v>-16906</v>
      </c>
      <c r="AM18" s="120">
        <v>0</v>
      </c>
      <c r="AN18" s="120">
        <v>0</v>
      </c>
      <c r="AO18" s="120">
        <v>0</v>
      </c>
      <c r="AP18" s="120">
        <v>0</v>
      </c>
      <c r="AQ18" s="142">
        <f>SUM(AM18:AP18)</f>
        <v>0</v>
      </c>
      <c r="AR18" s="285"/>
    </row>
    <row r="19" spans="1:44">
      <c r="A19" s="5"/>
      <c r="B19" s="5" t="s">
        <v>272</v>
      </c>
      <c r="C19" s="5" t="s">
        <v>361</v>
      </c>
      <c r="D19" s="119">
        <v>88568.617039999997</v>
      </c>
      <c r="E19" s="119">
        <v>69381.927600000025</v>
      </c>
      <c r="F19" s="119">
        <v>80498.774829999966</v>
      </c>
      <c r="G19" s="119">
        <v>89636.117749999961</v>
      </c>
      <c r="H19" s="141">
        <v>328085.43721999996</v>
      </c>
      <c r="I19" s="119">
        <v>137613.35517</v>
      </c>
      <c r="J19" s="119">
        <v>126909.01842000002</v>
      </c>
      <c r="K19" s="119">
        <v>132954.16104999997</v>
      </c>
      <c r="L19" s="119">
        <v>109007.80658</v>
      </c>
      <c r="M19" s="141">
        <v>506484.34121999994</v>
      </c>
      <c r="N19" s="119">
        <v>202770.36212999999</v>
      </c>
      <c r="O19" s="119">
        <v>155934.55770999996</v>
      </c>
      <c r="P19" s="119">
        <v>152860.31464999999</v>
      </c>
      <c r="Q19" s="119">
        <v>154846.99670000002</v>
      </c>
      <c r="R19" s="141">
        <v>666412.23118999996</v>
      </c>
      <c r="S19" s="119">
        <v>181908.14042999997</v>
      </c>
      <c r="T19" s="119">
        <v>184415.36861</v>
      </c>
      <c r="U19" s="119">
        <v>192286.61207999996</v>
      </c>
      <c r="V19" s="119">
        <v>87722.072420000026</v>
      </c>
      <c r="W19" s="141">
        <v>646332.19353999989</v>
      </c>
      <c r="X19" s="119">
        <v>173066.69043999998</v>
      </c>
      <c r="Y19" s="119">
        <v>157080.37399999998</v>
      </c>
      <c r="Z19" s="119">
        <v>326701.038</v>
      </c>
      <c r="AA19" s="119">
        <v>237841.76972999994</v>
      </c>
      <c r="AB19" s="141">
        <v>894689.87216999999</v>
      </c>
      <c r="AC19" s="119">
        <v>78898.343970000002</v>
      </c>
      <c r="AD19" s="119">
        <v>46476.665019999993</v>
      </c>
      <c r="AE19" s="119">
        <v>38120.106820000008</v>
      </c>
      <c r="AF19" s="119">
        <v>17383.04105</v>
      </c>
      <c r="AG19" s="141">
        <v>180878.15686000002</v>
      </c>
      <c r="AH19" s="119">
        <f>SUM(AH20:AH26)</f>
        <v>41505</v>
      </c>
      <c r="AI19" s="119">
        <f t="shared" ref="AI19:AK19" si="6">SUM(AI20:AI26)</f>
        <v>32138</v>
      </c>
      <c r="AJ19" s="119">
        <f t="shared" si="6"/>
        <v>33560</v>
      </c>
      <c r="AK19" s="119">
        <f t="shared" si="6"/>
        <v>34445</v>
      </c>
      <c r="AL19" s="141">
        <v>141647</v>
      </c>
      <c r="AM19" s="119">
        <f>SUM(AM20:AM26)</f>
        <v>40329</v>
      </c>
      <c r="AN19" s="119">
        <f>SUM(AN20:AN26)</f>
        <v>38282</v>
      </c>
      <c r="AO19" s="119">
        <f>SUM(AO20:AO26)</f>
        <v>38471</v>
      </c>
      <c r="AP19" s="119">
        <f>SUM(AP20:AP26)</f>
        <v>40168</v>
      </c>
      <c r="AQ19" s="141">
        <f t="shared" ref="AQ19:AQ26" si="7">SUM(AM19:AP19)</f>
        <v>157250</v>
      </c>
      <c r="AR19" s="285"/>
    </row>
    <row r="20" spans="1:44">
      <c r="A20" s="11"/>
      <c r="B20" s="11" t="s">
        <v>274</v>
      </c>
      <c r="C20" s="11" t="s">
        <v>275</v>
      </c>
      <c r="D20" s="120">
        <v>2647.0067100000001</v>
      </c>
      <c r="E20" s="120">
        <v>1952.4398799999999</v>
      </c>
      <c r="F20" s="120">
        <v>2407.8960200000006</v>
      </c>
      <c r="G20" s="120">
        <v>3315.3241000000007</v>
      </c>
      <c r="H20" s="142">
        <v>10322.666710000001</v>
      </c>
      <c r="I20" s="120">
        <v>4176.1040299999995</v>
      </c>
      <c r="J20" s="120">
        <v>3162.8367600000001</v>
      </c>
      <c r="K20" s="120">
        <v>3505.1761800000008</v>
      </c>
      <c r="L20" s="120">
        <v>1963.8138999999985</v>
      </c>
      <c r="M20" s="142">
        <v>12807.93087</v>
      </c>
      <c r="N20" s="120">
        <v>3304.5078399999998</v>
      </c>
      <c r="O20" s="120">
        <v>3253.8506100000004</v>
      </c>
      <c r="P20" s="120">
        <v>5337.9667099999997</v>
      </c>
      <c r="Q20" s="120">
        <v>5233.4943700000013</v>
      </c>
      <c r="R20" s="142">
        <v>17129.819530000001</v>
      </c>
      <c r="S20" s="120">
        <v>3301.2249200000001</v>
      </c>
      <c r="T20" s="120">
        <v>5259.4952200000007</v>
      </c>
      <c r="U20" s="120">
        <v>6234.6843599999993</v>
      </c>
      <c r="V20" s="120">
        <v>-10842.58921</v>
      </c>
      <c r="W20" s="142">
        <v>3952.8152900000005</v>
      </c>
      <c r="X20" s="120">
        <v>1703.64267</v>
      </c>
      <c r="Y20" s="120">
        <v>3467.6972700000006</v>
      </c>
      <c r="Z20" s="120">
        <v>1797.0754999999999</v>
      </c>
      <c r="AA20" s="120">
        <v>1574.3457599999988</v>
      </c>
      <c r="AB20" s="142">
        <v>8542.761199999999</v>
      </c>
      <c r="AC20" s="120">
        <v>1704.3182099999999</v>
      </c>
      <c r="AD20" s="120">
        <v>1410.9515200000001</v>
      </c>
      <c r="AE20" s="120">
        <v>150.92835000000014</v>
      </c>
      <c r="AF20" s="120">
        <v>0</v>
      </c>
      <c r="AG20" s="142">
        <v>3266.1980800000001</v>
      </c>
      <c r="AH20" s="120">
        <v>0</v>
      </c>
      <c r="AI20" s="120">
        <v>0</v>
      </c>
      <c r="AJ20" s="120">
        <v>0</v>
      </c>
      <c r="AK20" s="120">
        <v>0</v>
      </c>
      <c r="AL20" s="142">
        <v>0</v>
      </c>
      <c r="AM20" s="120">
        <v>0</v>
      </c>
      <c r="AN20" s="120">
        <v>0</v>
      </c>
      <c r="AO20" s="120">
        <v>0</v>
      </c>
      <c r="AP20" s="120">
        <v>0</v>
      </c>
      <c r="AQ20" s="142">
        <f t="shared" si="7"/>
        <v>0</v>
      </c>
      <c r="AR20" s="285"/>
    </row>
    <row r="21" spans="1:44">
      <c r="A21" s="11"/>
      <c r="B21" s="11" t="s">
        <v>276</v>
      </c>
      <c r="C21" s="11" t="s">
        <v>277</v>
      </c>
      <c r="D21" s="120">
        <v>4285.8790399999989</v>
      </c>
      <c r="E21" s="120">
        <v>4691.1730400000006</v>
      </c>
      <c r="F21" s="120">
        <v>5568.6564500000013</v>
      </c>
      <c r="G21" s="120">
        <v>3208.091919999998</v>
      </c>
      <c r="H21" s="142">
        <v>17753.800449999999</v>
      </c>
      <c r="I21" s="120">
        <v>5934.3816799999995</v>
      </c>
      <c r="J21" s="120">
        <v>6516.12799</v>
      </c>
      <c r="K21" s="120">
        <v>6664.3183199999985</v>
      </c>
      <c r="L21" s="120">
        <v>4843.2561200000009</v>
      </c>
      <c r="M21" s="142">
        <v>23958.08411</v>
      </c>
      <c r="N21" s="120">
        <v>3594.8093799999997</v>
      </c>
      <c r="O21" s="120">
        <v>6440.9302399999997</v>
      </c>
      <c r="P21" s="120">
        <v>6855.6991100000014</v>
      </c>
      <c r="Q21" s="120">
        <v>5554.7250000000004</v>
      </c>
      <c r="R21" s="142">
        <v>22446.16373</v>
      </c>
      <c r="S21" s="120">
        <v>4537.7527599999994</v>
      </c>
      <c r="T21" s="120">
        <v>7374.7725</v>
      </c>
      <c r="U21" s="120">
        <v>8317.0072400000008</v>
      </c>
      <c r="V21" s="120">
        <v>1586.4728599999994</v>
      </c>
      <c r="W21" s="142">
        <v>21816.005359999999</v>
      </c>
      <c r="X21" s="120">
        <v>7522.6654600000002</v>
      </c>
      <c r="Y21" s="120">
        <v>5522.9755500000001</v>
      </c>
      <c r="Z21" s="120">
        <v>2932.4690900000001</v>
      </c>
      <c r="AA21" s="120">
        <v>3191.3905000000018</v>
      </c>
      <c r="AB21" s="142">
        <v>19169.500600000003</v>
      </c>
      <c r="AC21" s="120">
        <v>1828.2783700000002</v>
      </c>
      <c r="AD21" s="120">
        <v>1886.86608</v>
      </c>
      <c r="AE21" s="120">
        <v>1465.4596200000001</v>
      </c>
      <c r="AF21" s="120">
        <v>207.5212399999993</v>
      </c>
      <c r="AG21" s="142">
        <v>5388.1253099999994</v>
      </c>
      <c r="AH21" s="120">
        <v>0</v>
      </c>
      <c r="AI21" s="120">
        <v>0</v>
      </c>
      <c r="AJ21" s="120">
        <v>0</v>
      </c>
      <c r="AK21" s="120">
        <v>0</v>
      </c>
      <c r="AL21" s="142">
        <v>0</v>
      </c>
      <c r="AM21" s="120">
        <v>0</v>
      </c>
      <c r="AN21" s="120">
        <v>0</v>
      </c>
      <c r="AO21" s="120">
        <v>0</v>
      </c>
      <c r="AP21" s="120">
        <v>0</v>
      </c>
      <c r="AQ21" s="142">
        <f t="shared" si="7"/>
        <v>0</v>
      </c>
      <c r="AR21" s="285"/>
    </row>
    <row r="22" spans="1:44">
      <c r="A22" s="11"/>
      <c r="B22" s="11" t="s">
        <v>278</v>
      </c>
      <c r="C22" s="11" t="s">
        <v>279</v>
      </c>
      <c r="D22" s="120">
        <v>9361.4164399999972</v>
      </c>
      <c r="E22" s="120">
        <v>9111.0661300000029</v>
      </c>
      <c r="F22" s="120">
        <v>11235.22236</v>
      </c>
      <c r="G22" s="120">
        <v>5881.2237400000022</v>
      </c>
      <c r="H22" s="142">
        <v>35588.928670000001</v>
      </c>
      <c r="I22" s="120">
        <v>13263.41056</v>
      </c>
      <c r="J22" s="120">
        <v>14628.899679999999</v>
      </c>
      <c r="K22" s="120">
        <v>16625.004559999998</v>
      </c>
      <c r="L22" s="120">
        <v>14212.87918</v>
      </c>
      <c r="M22" s="142">
        <v>58730.193979999996</v>
      </c>
      <c r="N22" s="120">
        <v>16806.66678</v>
      </c>
      <c r="O22" s="120">
        <v>19265.73403</v>
      </c>
      <c r="P22" s="120">
        <v>17745.830249999999</v>
      </c>
      <c r="Q22" s="120">
        <v>21413.885629999997</v>
      </c>
      <c r="R22" s="142">
        <v>75232.116689999995</v>
      </c>
      <c r="S22" s="120">
        <v>21932.11764</v>
      </c>
      <c r="T22" s="120">
        <v>25230.258200000004</v>
      </c>
      <c r="U22" s="120">
        <v>25964.108329999999</v>
      </c>
      <c r="V22" s="120">
        <v>7336.0333799999953</v>
      </c>
      <c r="W22" s="142">
        <v>80462.517550000004</v>
      </c>
      <c r="X22" s="120">
        <v>21301.937030000001</v>
      </c>
      <c r="Y22" s="120">
        <v>16936.899909999996</v>
      </c>
      <c r="Z22" s="120">
        <v>32964.355299999996</v>
      </c>
      <c r="AA22" s="120">
        <v>31465.817230000004</v>
      </c>
      <c r="AB22" s="142">
        <v>102669.00946999999</v>
      </c>
      <c r="AC22" s="120">
        <v>12644.4887</v>
      </c>
      <c r="AD22" s="120">
        <v>14225.909539999999</v>
      </c>
      <c r="AE22" s="120">
        <v>12723.674129999996</v>
      </c>
      <c r="AF22" s="120">
        <v>12770.426940000005</v>
      </c>
      <c r="AG22" s="142">
        <v>52364.499309999999</v>
      </c>
      <c r="AH22" s="120">
        <v>12829</v>
      </c>
      <c r="AI22" s="120">
        <v>11573</v>
      </c>
      <c r="AJ22" s="120">
        <v>10914</v>
      </c>
      <c r="AK22" s="120">
        <v>10135</v>
      </c>
      <c r="AL22" s="142">
        <v>45451</v>
      </c>
      <c r="AM22" s="120">
        <v>9835</v>
      </c>
      <c r="AN22" s="120">
        <v>9894</v>
      </c>
      <c r="AO22" s="120">
        <v>9455</v>
      </c>
      <c r="AP22" s="120">
        <v>9191</v>
      </c>
      <c r="AQ22" s="142">
        <f t="shared" si="7"/>
        <v>38375</v>
      </c>
      <c r="AR22" s="285"/>
    </row>
    <row r="23" spans="1:44">
      <c r="A23" s="11"/>
      <c r="B23" s="11" t="s">
        <v>362</v>
      </c>
      <c r="C23" s="11" t="s">
        <v>281</v>
      </c>
      <c r="D23" s="120">
        <v>26125</v>
      </c>
      <c r="E23" s="120">
        <v>22866.000000000007</v>
      </c>
      <c r="F23" s="120">
        <v>22500.000000000007</v>
      </c>
      <c r="G23" s="120">
        <v>19684.368059999986</v>
      </c>
      <c r="H23" s="142">
        <v>91175.368060000008</v>
      </c>
      <c r="I23" s="120">
        <v>29851.235389999998</v>
      </c>
      <c r="J23" s="120">
        <v>26250.789220000002</v>
      </c>
      <c r="K23" s="120">
        <v>26755.961689999996</v>
      </c>
      <c r="L23" s="120">
        <v>26975.38513000001</v>
      </c>
      <c r="M23" s="142">
        <v>109833.37143</v>
      </c>
      <c r="N23" s="120">
        <v>27957.785030000003</v>
      </c>
      <c r="O23" s="120">
        <v>29093.127759999999</v>
      </c>
      <c r="P23" s="120">
        <v>27761.318029999995</v>
      </c>
      <c r="Q23" s="120">
        <v>25639.407750000017</v>
      </c>
      <c r="R23" s="142">
        <v>110451.63857000001</v>
      </c>
      <c r="S23" s="120">
        <v>26772.866249999999</v>
      </c>
      <c r="T23" s="120">
        <v>27887.497800000005</v>
      </c>
      <c r="U23" s="120">
        <v>27291.314809999982</v>
      </c>
      <c r="V23" s="120">
        <v>25164.458940000011</v>
      </c>
      <c r="W23" s="142">
        <v>107116.1378</v>
      </c>
      <c r="X23" s="120">
        <v>29050.265769999998</v>
      </c>
      <c r="Y23" s="120">
        <v>29131.783630000005</v>
      </c>
      <c r="Z23" s="120">
        <v>29096.444869999988</v>
      </c>
      <c r="AA23" s="120">
        <v>29172.094370000006</v>
      </c>
      <c r="AB23" s="142">
        <v>116450.58864</v>
      </c>
      <c r="AC23" s="120">
        <v>34602.20938</v>
      </c>
      <c r="AD23" s="120">
        <v>30231.405919999994</v>
      </c>
      <c r="AE23" s="120">
        <v>30370.021090000009</v>
      </c>
      <c r="AF23" s="120">
        <v>30618.520860000001</v>
      </c>
      <c r="AG23" s="142">
        <v>125822.15725</v>
      </c>
      <c r="AH23" s="120">
        <v>31384</v>
      </c>
      <c r="AI23" s="120">
        <v>30627</v>
      </c>
      <c r="AJ23" s="120">
        <v>31475</v>
      </c>
      <c r="AK23" s="120">
        <v>31581</v>
      </c>
      <c r="AL23" s="142">
        <v>125067</v>
      </c>
      <c r="AM23" s="120">
        <v>33341</v>
      </c>
      <c r="AN23" s="120">
        <v>31736</v>
      </c>
      <c r="AO23" s="120">
        <v>31689</v>
      </c>
      <c r="AP23" s="120">
        <v>32025</v>
      </c>
      <c r="AQ23" s="142">
        <f t="shared" si="7"/>
        <v>128791</v>
      </c>
      <c r="AR23" s="285"/>
    </row>
    <row r="24" spans="1:44">
      <c r="A24" s="11"/>
      <c r="B24" s="11" t="s">
        <v>282</v>
      </c>
      <c r="C24" s="11" t="s">
        <v>283</v>
      </c>
      <c r="D24" s="120">
        <v>28265.000000000004</v>
      </c>
      <c r="E24" s="120">
        <v>27732.000000000025</v>
      </c>
      <c r="F24" s="120">
        <v>35462.999999999956</v>
      </c>
      <c r="G24" s="120">
        <v>53717.819041525501</v>
      </c>
      <c r="H24" s="142">
        <v>145177.81904152548</v>
      </c>
      <c r="I24" s="120">
        <v>67159.019610000003</v>
      </c>
      <c r="J24" s="120">
        <v>72317.752950000009</v>
      </c>
      <c r="K24" s="120">
        <v>73247.401939999996</v>
      </c>
      <c r="L24" s="120">
        <v>52474.558749999997</v>
      </c>
      <c r="M24" s="142">
        <v>265198.73325000005</v>
      </c>
      <c r="N24" s="120">
        <v>61590.879689999994</v>
      </c>
      <c r="O24" s="120">
        <v>86143.474319999994</v>
      </c>
      <c r="P24" s="120">
        <v>87810.21037999999</v>
      </c>
      <c r="Q24" s="120">
        <v>86925.616560000009</v>
      </c>
      <c r="R24" s="142">
        <v>322470.18094999995</v>
      </c>
      <c r="S24" s="120">
        <v>100659.71281</v>
      </c>
      <c r="T24" s="120">
        <v>108968.95843000001</v>
      </c>
      <c r="U24" s="120">
        <v>116132.95714999997</v>
      </c>
      <c r="V24" s="120">
        <v>96409.608730000022</v>
      </c>
      <c r="W24" s="142">
        <v>422171.23712000001</v>
      </c>
      <c r="X24" s="120">
        <v>106793.66065999999</v>
      </c>
      <c r="Y24" s="120">
        <v>95081.823250000001</v>
      </c>
      <c r="Z24" s="120">
        <v>235299.88246000002</v>
      </c>
      <c r="AA24" s="120">
        <v>149988.01143999994</v>
      </c>
      <c r="AB24" s="142">
        <v>587163.37780999998</v>
      </c>
      <c r="AC24" s="120">
        <v>21981.241460000001</v>
      </c>
      <c r="AD24" s="120">
        <v>-2296.3428399999998</v>
      </c>
      <c r="AE24" s="120">
        <v>-7818.3075499999977</v>
      </c>
      <c r="AF24" s="120">
        <v>-27347.608170000003</v>
      </c>
      <c r="AG24" s="142">
        <v>-15481.017100000001</v>
      </c>
      <c r="AH24" s="120">
        <v>-8907</v>
      </c>
      <c r="AI24" s="120">
        <v>-11273</v>
      </c>
      <c r="AJ24" s="120">
        <v>-9961</v>
      </c>
      <c r="AK24" s="120">
        <v>-8568</v>
      </c>
      <c r="AL24" s="142">
        <v>-38710</v>
      </c>
      <c r="AM24" s="120">
        <v>-4155</v>
      </c>
      <c r="AN24" s="120">
        <v>-4215</v>
      </c>
      <c r="AO24" s="120">
        <v>-3979</v>
      </c>
      <c r="AP24" s="120">
        <v>-2332</v>
      </c>
      <c r="AQ24" s="142">
        <f t="shared" si="7"/>
        <v>-14681</v>
      </c>
      <c r="AR24" s="285"/>
    </row>
    <row r="25" spans="1:44">
      <c r="A25" s="11"/>
      <c r="B25" s="11" t="s">
        <v>284</v>
      </c>
      <c r="C25" s="11" t="s">
        <v>285</v>
      </c>
      <c r="D25" s="120">
        <v>4403</v>
      </c>
      <c r="E25" s="120">
        <v>3029.2485499999848</v>
      </c>
      <c r="F25" s="120">
        <v>3323.9999999999955</v>
      </c>
      <c r="G25" s="120">
        <v>3829.2908884744661</v>
      </c>
      <c r="H25" s="142">
        <v>14585.539438474447</v>
      </c>
      <c r="I25" s="120">
        <v>3604.4377599999998</v>
      </c>
      <c r="J25" s="120">
        <v>4032.6118200000001</v>
      </c>
      <c r="K25" s="120">
        <v>6156.2983599999998</v>
      </c>
      <c r="L25" s="120">
        <v>8537.9135000000024</v>
      </c>
      <c r="M25" s="142">
        <v>22331.261440000002</v>
      </c>
      <c r="N25" s="120">
        <v>4944.19049</v>
      </c>
      <c r="O25" s="120">
        <v>9218.3194700000004</v>
      </c>
      <c r="P25" s="120">
        <v>7349.2901699999984</v>
      </c>
      <c r="Q25" s="120">
        <v>10079.867390000001</v>
      </c>
      <c r="R25" s="142">
        <v>31591.667519999995</v>
      </c>
      <c r="S25" s="120">
        <v>6645.6103600000006</v>
      </c>
      <c r="T25" s="120">
        <v>9694.3864600000015</v>
      </c>
      <c r="U25" s="120">
        <v>12310.321969999999</v>
      </c>
      <c r="V25" s="120">
        <v>-31931.91228</v>
      </c>
      <c r="W25" s="142">
        <v>-3281.5934899999993</v>
      </c>
      <c r="X25" s="120">
        <v>6694.5188499999995</v>
      </c>
      <c r="Y25" s="120">
        <v>6939.1943900000006</v>
      </c>
      <c r="Z25" s="120">
        <v>24610.81078</v>
      </c>
      <c r="AA25" s="120">
        <v>22450.110430000001</v>
      </c>
      <c r="AB25" s="142">
        <v>60694.634449999998</v>
      </c>
      <c r="AC25" s="120">
        <v>6137.8078499999992</v>
      </c>
      <c r="AD25" s="120">
        <v>1017.8748000000007</v>
      </c>
      <c r="AE25" s="120">
        <v>1228.3311800000001</v>
      </c>
      <c r="AF25" s="120">
        <v>1134.1801799999996</v>
      </c>
      <c r="AG25" s="142">
        <v>9518.1940099999993</v>
      </c>
      <c r="AH25" s="120">
        <v>6199</v>
      </c>
      <c r="AI25" s="120">
        <v>1211</v>
      </c>
      <c r="AJ25" s="120">
        <v>1132</v>
      </c>
      <c r="AK25" s="120">
        <v>1297</v>
      </c>
      <c r="AL25" s="142">
        <v>9838</v>
      </c>
      <c r="AM25" s="120">
        <v>1308</v>
      </c>
      <c r="AN25" s="120">
        <v>867</v>
      </c>
      <c r="AO25" s="120">
        <v>1306</v>
      </c>
      <c r="AP25" s="120">
        <v>1284</v>
      </c>
      <c r="AQ25" s="142">
        <f t="shared" si="7"/>
        <v>4765</v>
      </c>
      <c r="AR25" s="285"/>
    </row>
    <row r="26" spans="1:44">
      <c r="A26" s="11"/>
      <c r="B26" s="11" t="s">
        <v>286</v>
      </c>
      <c r="C26" s="11" t="s">
        <v>286</v>
      </c>
      <c r="D26" s="120">
        <v>13481.314849999999</v>
      </c>
      <c r="E26" s="120">
        <v>0</v>
      </c>
      <c r="F26" s="120">
        <v>0</v>
      </c>
      <c r="G26" s="120">
        <v>0</v>
      </c>
      <c r="H26" s="142">
        <v>13481.314849999999</v>
      </c>
      <c r="I26" s="120">
        <v>13624.76614</v>
      </c>
      <c r="J26" s="120">
        <v>0</v>
      </c>
      <c r="K26" s="120">
        <v>0</v>
      </c>
      <c r="L26" s="120">
        <v>0</v>
      </c>
      <c r="M26" s="142">
        <v>13624.76614</v>
      </c>
      <c r="N26" s="120">
        <v>84571.522920000003</v>
      </c>
      <c r="O26" s="120">
        <v>2519.1212800000012</v>
      </c>
      <c r="P26" s="120">
        <v>0</v>
      </c>
      <c r="Q26" s="120">
        <v>0</v>
      </c>
      <c r="R26" s="142">
        <v>87090.64420000001</v>
      </c>
      <c r="S26" s="120">
        <v>18058.85569</v>
      </c>
      <c r="T26" s="120">
        <v>0</v>
      </c>
      <c r="U26" s="120">
        <v>-3963.7817800000012</v>
      </c>
      <c r="V26" s="120">
        <v>0</v>
      </c>
      <c r="W26" s="142">
        <v>14095.073909999999</v>
      </c>
      <c r="X26" s="120">
        <v>0</v>
      </c>
      <c r="Y26" s="120">
        <v>0</v>
      </c>
      <c r="Z26" s="120">
        <v>0</v>
      </c>
      <c r="AA26" s="120">
        <v>0</v>
      </c>
      <c r="AB26" s="142">
        <v>0</v>
      </c>
      <c r="AC26" s="120">
        <v>0</v>
      </c>
      <c r="AD26" s="120">
        <v>0</v>
      </c>
      <c r="AE26" s="120">
        <v>0</v>
      </c>
      <c r="AF26" s="120">
        <v>0</v>
      </c>
      <c r="AG26" s="142">
        <v>0</v>
      </c>
      <c r="AH26" s="120">
        <v>0</v>
      </c>
      <c r="AI26" s="120">
        <v>0</v>
      </c>
      <c r="AJ26" s="120">
        <v>0</v>
      </c>
      <c r="AK26" s="120">
        <v>0</v>
      </c>
      <c r="AL26" s="142">
        <v>0</v>
      </c>
      <c r="AM26" s="120">
        <v>0</v>
      </c>
      <c r="AN26" s="120">
        <v>0</v>
      </c>
      <c r="AO26" s="120">
        <v>0</v>
      </c>
      <c r="AP26" s="120">
        <v>0</v>
      </c>
      <c r="AQ26" s="142">
        <f t="shared" si="7"/>
        <v>0</v>
      </c>
      <c r="AR26" s="285"/>
    </row>
    <row r="27" spans="1:44">
      <c r="A27" s="5"/>
      <c r="B27" s="5" t="s">
        <v>287</v>
      </c>
      <c r="C27" s="5" t="s">
        <v>363</v>
      </c>
      <c r="D27" s="119">
        <v>0</v>
      </c>
      <c r="E27" s="119">
        <v>0</v>
      </c>
      <c r="F27" s="119">
        <v>0</v>
      </c>
      <c r="G27" s="119">
        <v>0</v>
      </c>
      <c r="H27" s="141">
        <v>0</v>
      </c>
      <c r="I27" s="119">
        <v>0</v>
      </c>
      <c r="J27" s="119">
        <v>0</v>
      </c>
      <c r="K27" s="119">
        <v>0</v>
      </c>
      <c r="L27" s="119">
        <v>0</v>
      </c>
      <c r="M27" s="141">
        <v>0</v>
      </c>
      <c r="N27" s="119">
        <v>0</v>
      </c>
      <c r="O27" s="119">
        <v>0</v>
      </c>
      <c r="P27" s="119">
        <v>0</v>
      </c>
      <c r="Q27" s="119">
        <v>0</v>
      </c>
      <c r="R27" s="141">
        <v>0</v>
      </c>
      <c r="S27" s="119">
        <v>0</v>
      </c>
      <c r="T27" s="119">
        <v>0</v>
      </c>
      <c r="U27" s="119">
        <v>0</v>
      </c>
      <c r="V27" s="119">
        <v>0</v>
      </c>
      <c r="W27" s="141">
        <v>0</v>
      </c>
      <c r="X27" s="119">
        <v>0</v>
      </c>
      <c r="Y27" s="119">
        <v>0</v>
      </c>
      <c r="Z27" s="119">
        <v>0</v>
      </c>
      <c r="AA27" s="119">
        <v>0</v>
      </c>
      <c r="AB27" s="141">
        <v>0</v>
      </c>
      <c r="AC27" s="119">
        <v>116043.62612</v>
      </c>
      <c r="AD27" s="119">
        <v>167785.75193999999</v>
      </c>
      <c r="AE27" s="119">
        <v>315769.59274000011</v>
      </c>
      <c r="AF27" s="119">
        <v>343381.99244999996</v>
      </c>
      <c r="AG27" s="141">
        <v>942980.96325000003</v>
      </c>
      <c r="AH27" s="119">
        <f>SUM(AH28:AH38)</f>
        <v>285486</v>
      </c>
      <c r="AI27" s="119">
        <f t="shared" ref="AI27:AK27" si="8">SUM(AI28:AI38)</f>
        <v>378664</v>
      </c>
      <c r="AJ27" s="119">
        <f t="shared" si="8"/>
        <v>499570</v>
      </c>
      <c r="AK27" s="119">
        <f t="shared" si="8"/>
        <v>382074</v>
      </c>
      <c r="AL27" s="141">
        <v>1545794</v>
      </c>
      <c r="AM27" s="119">
        <f>SUM(AM28:AM38)</f>
        <v>433172</v>
      </c>
      <c r="AN27" s="119">
        <f>SUM(AN28:AN38)</f>
        <v>442675</v>
      </c>
      <c r="AO27" s="119">
        <f>SUM(AO28:AO38)</f>
        <v>472384</v>
      </c>
      <c r="AP27" s="119">
        <f>SUM(AP28:AP38)</f>
        <v>489090</v>
      </c>
      <c r="AQ27" s="141">
        <f>SUM(AM27:AP27)</f>
        <v>1837321</v>
      </c>
      <c r="AR27" s="285"/>
    </row>
    <row r="28" spans="1:44">
      <c r="A28" s="11"/>
      <c r="B28" s="11" t="s">
        <v>289</v>
      </c>
      <c r="C28" s="11" t="s">
        <v>290</v>
      </c>
      <c r="D28" s="120">
        <v>0</v>
      </c>
      <c r="E28" s="120">
        <v>0</v>
      </c>
      <c r="F28" s="120">
        <v>0</v>
      </c>
      <c r="G28" s="120">
        <v>0</v>
      </c>
      <c r="H28" s="142">
        <v>0</v>
      </c>
      <c r="I28" s="120">
        <v>0</v>
      </c>
      <c r="J28" s="120">
        <v>0</v>
      </c>
      <c r="K28" s="120">
        <v>0</v>
      </c>
      <c r="L28" s="120">
        <v>0</v>
      </c>
      <c r="M28" s="142">
        <v>0</v>
      </c>
      <c r="N28" s="120">
        <v>0</v>
      </c>
      <c r="O28" s="120">
        <v>0</v>
      </c>
      <c r="P28" s="120">
        <v>0</v>
      </c>
      <c r="Q28" s="120">
        <v>0</v>
      </c>
      <c r="R28" s="142">
        <v>0</v>
      </c>
      <c r="S28" s="120">
        <v>0</v>
      </c>
      <c r="T28" s="120">
        <v>0</v>
      </c>
      <c r="U28" s="120">
        <v>0</v>
      </c>
      <c r="V28" s="120">
        <v>0</v>
      </c>
      <c r="W28" s="142">
        <v>0</v>
      </c>
      <c r="X28" s="120">
        <v>0</v>
      </c>
      <c r="Y28" s="120">
        <v>0</v>
      </c>
      <c r="Z28" s="120">
        <v>0</v>
      </c>
      <c r="AA28" s="120">
        <v>0</v>
      </c>
      <c r="AB28" s="142">
        <v>0</v>
      </c>
      <c r="AC28" s="120">
        <v>9996.3251700000001</v>
      </c>
      <c r="AD28" s="120">
        <v>15800.894779999999</v>
      </c>
      <c r="AE28" s="120">
        <v>25326.22653</v>
      </c>
      <c r="AF28" s="120">
        <v>30358.872930000001</v>
      </c>
      <c r="AG28" s="142">
        <v>81482.319409999996</v>
      </c>
      <c r="AH28" s="120">
        <v>27614</v>
      </c>
      <c r="AI28" s="120">
        <v>26089</v>
      </c>
      <c r="AJ28" s="120">
        <v>38791</v>
      </c>
      <c r="AK28" s="120">
        <v>32576</v>
      </c>
      <c r="AL28" s="142">
        <v>125072</v>
      </c>
      <c r="AM28" s="120">
        <v>38093</v>
      </c>
      <c r="AN28" s="120">
        <v>44789</v>
      </c>
      <c r="AO28" s="120">
        <v>40333</v>
      </c>
      <c r="AP28" s="120">
        <v>45235</v>
      </c>
      <c r="AQ28" s="142">
        <f t="shared" ref="AQ28:AQ38" si="9">SUM(AM28:AP28)</f>
        <v>168450</v>
      </c>
      <c r="AR28" s="285"/>
    </row>
    <row r="29" spans="1:44">
      <c r="A29" s="11"/>
      <c r="B29" s="11" t="s">
        <v>291</v>
      </c>
      <c r="C29" s="11" t="s">
        <v>292</v>
      </c>
      <c r="D29" s="120">
        <v>0</v>
      </c>
      <c r="E29" s="120">
        <v>0</v>
      </c>
      <c r="F29" s="120">
        <v>0</v>
      </c>
      <c r="G29" s="120">
        <v>0</v>
      </c>
      <c r="H29" s="142">
        <v>0</v>
      </c>
      <c r="I29" s="120">
        <v>0</v>
      </c>
      <c r="J29" s="120">
        <v>0</v>
      </c>
      <c r="K29" s="120">
        <v>0</v>
      </c>
      <c r="L29" s="120">
        <v>0</v>
      </c>
      <c r="M29" s="142">
        <v>0</v>
      </c>
      <c r="N29" s="120">
        <v>0</v>
      </c>
      <c r="O29" s="120">
        <v>0</v>
      </c>
      <c r="P29" s="120">
        <v>0</v>
      </c>
      <c r="Q29" s="120">
        <v>0</v>
      </c>
      <c r="R29" s="142">
        <v>0</v>
      </c>
      <c r="S29" s="120">
        <v>0</v>
      </c>
      <c r="T29" s="120">
        <v>0</v>
      </c>
      <c r="U29" s="120">
        <v>0</v>
      </c>
      <c r="V29" s="120">
        <v>0</v>
      </c>
      <c r="W29" s="142">
        <v>0</v>
      </c>
      <c r="X29" s="120">
        <v>0</v>
      </c>
      <c r="Y29" s="120">
        <v>0</v>
      </c>
      <c r="Z29" s="120">
        <v>0</v>
      </c>
      <c r="AA29" s="120">
        <v>0</v>
      </c>
      <c r="AB29" s="142">
        <v>0</v>
      </c>
      <c r="AC29" s="120">
        <v>77995.33941</v>
      </c>
      <c r="AD29" s="120">
        <v>100105.40303999999</v>
      </c>
      <c r="AE29" s="120">
        <v>209429.62568000003</v>
      </c>
      <c r="AF29" s="120">
        <v>202800.24335000003</v>
      </c>
      <c r="AG29" s="142">
        <v>590330.61148000008</v>
      </c>
      <c r="AH29" s="120">
        <v>129927</v>
      </c>
      <c r="AI29" s="120">
        <v>177505</v>
      </c>
      <c r="AJ29" s="120">
        <v>234232</v>
      </c>
      <c r="AK29" s="120">
        <v>130471</v>
      </c>
      <c r="AL29" s="142">
        <v>672135</v>
      </c>
      <c r="AM29" s="120">
        <v>171652</v>
      </c>
      <c r="AN29" s="120">
        <v>159849</v>
      </c>
      <c r="AO29" s="120">
        <v>160439</v>
      </c>
      <c r="AP29" s="120">
        <v>164411</v>
      </c>
      <c r="AQ29" s="142">
        <f t="shared" si="9"/>
        <v>656351</v>
      </c>
      <c r="AR29" s="285"/>
    </row>
    <row r="30" spans="1:44">
      <c r="A30" s="11"/>
      <c r="B30" s="11" t="s">
        <v>278</v>
      </c>
      <c r="C30" s="11" t="s">
        <v>279</v>
      </c>
      <c r="D30" s="120">
        <v>0</v>
      </c>
      <c r="E30" s="120">
        <v>0</v>
      </c>
      <c r="F30" s="120">
        <v>0</v>
      </c>
      <c r="G30" s="120">
        <v>0</v>
      </c>
      <c r="H30" s="142">
        <v>0</v>
      </c>
      <c r="I30" s="120">
        <v>0</v>
      </c>
      <c r="J30" s="120">
        <v>0</v>
      </c>
      <c r="K30" s="120">
        <v>0</v>
      </c>
      <c r="L30" s="120">
        <v>0</v>
      </c>
      <c r="M30" s="142">
        <v>0</v>
      </c>
      <c r="N30" s="120">
        <v>0</v>
      </c>
      <c r="O30" s="120">
        <v>0</v>
      </c>
      <c r="P30" s="120">
        <v>0</v>
      </c>
      <c r="Q30" s="120">
        <v>0</v>
      </c>
      <c r="R30" s="142">
        <v>0</v>
      </c>
      <c r="S30" s="120">
        <v>0</v>
      </c>
      <c r="T30" s="120">
        <v>0</v>
      </c>
      <c r="U30" s="120">
        <v>0</v>
      </c>
      <c r="V30" s="120">
        <v>0</v>
      </c>
      <c r="W30" s="142">
        <v>0</v>
      </c>
      <c r="X30" s="120">
        <v>0</v>
      </c>
      <c r="Y30" s="120">
        <v>0</v>
      </c>
      <c r="Z30" s="120">
        <v>0</v>
      </c>
      <c r="AA30" s="120">
        <v>0</v>
      </c>
      <c r="AB30" s="142">
        <v>0</v>
      </c>
      <c r="AC30" s="120">
        <v>13344.21117</v>
      </c>
      <c r="AD30" s="120">
        <v>16520.48747</v>
      </c>
      <c r="AE30" s="120">
        <v>18838.53082</v>
      </c>
      <c r="AF30" s="120">
        <v>23199.461979999996</v>
      </c>
      <c r="AG30" s="142">
        <v>71902.691439999995</v>
      </c>
      <c r="AH30" s="120">
        <v>22337</v>
      </c>
      <c r="AI30" s="120">
        <v>23211</v>
      </c>
      <c r="AJ30" s="120">
        <v>23352</v>
      </c>
      <c r="AK30" s="120">
        <v>16344</v>
      </c>
      <c r="AL30" s="142">
        <v>85244</v>
      </c>
      <c r="AM30" s="120">
        <v>17835</v>
      </c>
      <c r="AN30" s="120">
        <v>18739</v>
      </c>
      <c r="AO30" s="120">
        <v>19307</v>
      </c>
      <c r="AP30" s="120">
        <v>18420</v>
      </c>
      <c r="AQ30" s="142">
        <f t="shared" si="9"/>
        <v>74301</v>
      </c>
      <c r="AR30" s="285"/>
    </row>
    <row r="31" spans="1:44">
      <c r="A31" s="11"/>
      <c r="B31" s="11" t="s">
        <v>293</v>
      </c>
      <c r="C31" s="11" t="s">
        <v>294</v>
      </c>
      <c r="D31" s="120">
        <v>0</v>
      </c>
      <c r="E31" s="120">
        <v>0</v>
      </c>
      <c r="F31" s="120">
        <v>0</v>
      </c>
      <c r="G31" s="120">
        <v>0</v>
      </c>
      <c r="H31" s="142">
        <v>0</v>
      </c>
      <c r="I31" s="120">
        <v>0</v>
      </c>
      <c r="J31" s="120">
        <v>0</v>
      </c>
      <c r="K31" s="120">
        <v>0</v>
      </c>
      <c r="L31" s="120">
        <v>0</v>
      </c>
      <c r="M31" s="142">
        <v>0</v>
      </c>
      <c r="N31" s="120">
        <v>0</v>
      </c>
      <c r="O31" s="120">
        <v>0</v>
      </c>
      <c r="P31" s="120">
        <v>0</v>
      </c>
      <c r="Q31" s="120">
        <v>0</v>
      </c>
      <c r="R31" s="142">
        <v>0</v>
      </c>
      <c r="S31" s="120">
        <v>0</v>
      </c>
      <c r="T31" s="120">
        <v>0</v>
      </c>
      <c r="U31" s="120">
        <v>0</v>
      </c>
      <c r="V31" s="120">
        <v>0</v>
      </c>
      <c r="W31" s="142">
        <v>0</v>
      </c>
      <c r="X31" s="120">
        <v>0</v>
      </c>
      <c r="Y31" s="120">
        <v>0</v>
      </c>
      <c r="Z31" s="120">
        <v>0</v>
      </c>
      <c r="AA31" s="120">
        <v>0</v>
      </c>
      <c r="AB31" s="142">
        <v>0</v>
      </c>
      <c r="AC31" s="120">
        <v>0</v>
      </c>
      <c r="AD31" s="120">
        <v>1115.6157800000001</v>
      </c>
      <c r="AE31" s="120">
        <v>5017.2139999999999</v>
      </c>
      <c r="AF31" s="120">
        <v>6475.7491800000007</v>
      </c>
      <c r="AG31" s="142">
        <v>12608.578960000001</v>
      </c>
      <c r="AH31" s="120">
        <v>9623</v>
      </c>
      <c r="AI31" s="120">
        <v>12207</v>
      </c>
      <c r="AJ31" s="120">
        <v>15800</v>
      </c>
      <c r="AK31" s="120">
        <v>19698</v>
      </c>
      <c r="AL31" s="142">
        <v>57327</v>
      </c>
      <c r="AM31" s="120">
        <v>26198</v>
      </c>
      <c r="AN31" s="120">
        <v>38695</v>
      </c>
      <c r="AO31" s="120">
        <v>44278</v>
      </c>
      <c r="AP31" s="120">
        <v>51072</v>
      </c>
      <c r="AQ31" s="142">
        <f t="shared" si="9"/>
        <v>160243</v>
      </c>
      <c r="AR31" s="285"/>
    </row>
    <row r="32" spans="1:44">
      <c r="A32" s="11"/>
      <c r="B32" s="11" t="s">
        <v>295</v>
      </c>
      <c r="C32" s="11" t="s">
        <v>296</v>
      </c>
      <c r="D32" s="120">
        <v>0</v>
      </c>
      <c r="E32" s="120">
        <v>0</v>
      </c>
      <c r="F32" s="120">
        <v>0</v>
      </c>
      <c r="G32" s="120">
        <v>0</v>
      </c>
      <c r="H32" s="142">
        <v>0</v>
      </c>
      <c r="I32" s="120">
        <v>0</v>
      </c>
      <c r="J32" s="120">
        <v>0</v>
      </c>
      <c r="K32" s="120">
        <v>0</v>
      </c>
      <c r="L32" s="120">
        <v>0</v>
      </c>
      <c r="M32" s="142">
        <v>0</v>
      </c>
      <c r="N32" s="120">
        <v>0</v>
      </c>
      <c r="O32" s="120">
        <v>0</v>
      </c>
      <c r="P32" s="120">
        <v>0</v>
      </c>
      <c r="Q32" s="120">
        <v>0</v>
      </c>
      <c r="R32" s="142">
        <v>0</v>
      </c>
      <c r="S32" s="120">
        <v>0</v>
      </c>
      <c r="T32" s="120">
        <v>0</v>
      </c>
      <c r="U32" s="120">
        <v>0</v>
      </c>
      <c r="V32" s="120">
        <v>0</v>
      </c>
      <c r="W32" s="142">
        <v>0</v>
      </c>
      <c r="X32" s="120">
        <v>0</v>
      </c>
      <c r="Y32" s="120">
        <v>0</v>
      </c>
      <c r="Z32" s="120">
        <v>0</v>
      </c>
      <c r="AA32" s="120">
        <v>0</v>
      </c>
      <c r="AB32" s="142">
        <v>0</v>
      </c>
      <c r="AC32" s="120">
        <v>14707.750370000002</v>
      </c>
      <c r="AD32" s="120">
        <v>34243.350870000002</v>
      </c>
      <c r="AE32" s="120">
        <v>50129.761829999989</v>
      </c>
      <c r="AF32" s="120">
        <v>63928.733469999999</v>
      </c>
      <c r="AG32" s="142">
        <v>163009.59654</v>
      </c>
      <c r="AH32" s="120">
        <v>56926</v>
      </c>
      <c r="AI32" s="120">
        <v>63794</v>
      </c>
      <c r="AJ32" s="120">
        <v>79334</v>
      </c>
      <c r="AK32" s="120">
        <v>69331</v>
      </c>
      <c r="AL32" s="142">
        <v>269385</v>
      </c>
      <c r="AM32" s="120">
        <v>64879</v>
      </c>
      <c r="AN32" s="120">
        <v>60889</v>
      </c>
      <c r="AO32" s="120">
        <v>66844</v>
      </c>
      <c r="AP32" s="120">
        <v>66359</v>
      </c>
      <c r="AQ32" s="142">
        <f t="shared" si="9"/>
        <v>258971</v>
      </c>
      <c r="AR32" s="285"/>
    </row>
    <row r="33" spans="1:44">
      <c r="A33" s="11"/>
      <c r="B33" s="11" t="s">
        <v>274</v>
      </c>
      <c r="C33" s="11" t="s">
        <v>275</v>
      </c>
      <c r="D33" s="120">
        <v>0</v>
      </c>
      <c r="E33" s="120">
        <v>0</v>
      </c>
      <c r="F33" s="120">
        <v>0</v>
      </c>
      <c r="G33" s="120">
        <v>0</v>
      </c>
      <c r="H33" s="142">
        <v>0</v>
      </c>
      <c r="I33" s="120">
        <v>0</v>
      </c>
      <c r="J33" s="120">
        <v>0</v>
      </c>
      <c r="K33" s="120">
        <v>0</v>
      </c>
      <c r="L33" s="120">
        <v>0</v>
      </c>
      <c r="M33" s="142">
        <v>0</v>
      </c>
      <c r="N33" s="120">
        <v>0</v>
      </c>
      <c r="O33" s="120">
        <v>0</v>
      </c>
      <c r="P33" s="120">
        <v>0</v>
      </c>
      <c r="Q33" s="120">
        <v>0</v>
      </c>
      <c r="R33" s="142">
        <v>0</v>
      </c>
      <c r="S33" s="120">
        <v>0</v>
      </c>
      <c r="T33" s="120">
        <v>0</v>
      </c>
      <c r="U33" s="120">
        <v>0</v>
      </c>
      <c r="V33" s="120">
        <v>0</v>
      </c>
      <c r="W33" s="142">
        <v>0</v>
      </c>
      <c r="X33" s="120">
        <v>0</v>
      </c>
      <c r="Y33" s="120">
        <v>0</v>
      </c>
      <c r="Z33" s="120">
        <v>0</v>
      </c>
      <c r="AA33" s="120">
        <v>0</v>
      </c>
      <c r="AB33" s="142">
        <v>0</v>
      </c>
      <c r="AC33" s="120">
        <v>0</v>
      </c>
      <c r="AD33" s="120">
        <v>0</v>
      </c>
      <c r="AE33" s="120">
        <v>6379.6751800000002</v>
      </c>
      <c r="AF33" s="120">
        <v>8454.2459299999991</v>
      </c>
      <c r="AG33" s="142">
        <v>14833.921109999999</v>
      </c>
      <c r="AH33" s="120">
        <v>6028</v>
      </c>
      <c r="AI33" s="120">
        <v>13727</v>
      </c>
      <c r="AJ33" s="120">
        <v>20491</v>
      </c>
      <c r="AK33" s="120">
        <v>14749</v>
      </c>
      <c r="AL33" s="142">
        <v>54994</v>
      </c>
      <c r="AM33" s="120">
        <v>21581</v>
      </c>
      <c r="AN33" s="120">
        <v>23032</v>
      </c>
      <c r="AO33" s="120">
        <v>30344</v>
      </c>
      <c r="AP33" s="120">
        <v>28879</v>
      </c>
      <c r="AQ33" s="142">
        <f t="shared" si="9"/>
        <v>103836</v>
      </c>
      <c r="AR33" s="285"/>
    </row>
    <row r="34" spans="1:44">
      <c r="A34" s="11"/>
      <c r="B34" s="11" t="s">
        <v>276</v>
      </c>
      <c r="C34" s="11" t="s">
        <v>277</v>
      </c>
      <c r="D34" s="120">
        <v>0</v>
      </c>
      <c r="E34" s="120">
        <v>0</v>
      </c>
      <c r="F34" s="120">
        <v>0</v>
      </c>
      <c r="G34" s="120">
        <v>0</v>
      </c>
      <c r="H34" s="142">
        <v>0</v>
      </c>
      <c r="I34" s="120">
        <v>0</v>
      </c>
      <c r="J34" s="120">
        <v>0</v>
      </c>
      <c r="K34" s="120">
        <v>0</v>
      </c>
      <c r="L34" s="120">
        <v>0</v>
      </c>
      <c r="M34" s="142">
        <v>0</v>
      </c>
      <c r="N34" s="120">
        <v>0</v>
      </c>
      <c r="O34" s="120">
        <v>0</v>
      </c>
      <c r="P34" s="120">
        <v>0</v>
      </c>
      <c r="Q34" s="120">
        <v>0</v>
      </c>
      <c r="R34" s="142">
        <v>0</v>
      </c>
      <c r="S34" s="120">
        <v>0</v>
      </c>
      <c r="T34" s="120">
        <v>0</v>
      </c>
      <c r="U34" s="120">
        <v>0</v>
      </c>
      <c r="V34" s="120">
        <v>0</v>
      </c>
      <c r="W34" s="142">
        <v>0</v>
      </c>
      <c r="X34" s="120">
        <v>0</v>
      </c>
      <c r="Y34" s="120">
        <v>0</v>
      </c>
      <c r="Z34" s="120">
        <v>0</v>
      </c>
      <c r="AA34" s="120">
        <v>0</v>
      </c>
      <c r="AB34" s="142">
        <v>0</v>
      </c>
      <c r="AC34" s="120">
        <v>0</v>
      </c>
      <c r="AD34" s="120">
        <v>0</v>
      </c>
      <c r="AE34" s="120">
        <v>625.17274999999995</v>
      </c>
      <c r="AF34" s="120">
        <v>7527.6387500000001</v>
      </c>
      <c r="AG34" s="142">
        <v>8152.8114999999998</v>
      </c>
      <c r="AH34" s="120">
        <v>29931</v>
      </c>
      <c r="AI34" s="120">
        <v>56516</v>
      </c>
      <c r="AJ34" s="120">
        <v>78055</v>
      </c>
      <c r="AK34" s="120">
        <v>90656</v>
      </c>
      <c r="AL34" s="142">
        <v>255158</v>
      </c>
      <c r="AM34" s="120">
        <v>84791</v>
      </c>
      <c r="AN34" s="120">
        <v>85412</v>
      </c>
      <c r="AO34" s="120">
        <v>101694</v>
      </c>
      <c r="AP34" s="120">
        <v>106181</v>
      </c>
      <c r="AQ34" s="142">
        <f t="shared" si="9"/>
        <v>378078</v>
      </c>
      <c r="AR34" s="285"/>
    </row>
    <row r="35" spans="1:44">
      <c r="A35" s="11"/>
      <c r="B35" s="11" t="s">
        <v>297</v>
      </c>
      <c r="C35" s="11" t="s">
        <v>298</v>
      </c>
      <c r="D35" s="120">
        <v>0</v>
      </c>
      <c r="E35" s="120">
        <v>0</v>
      </c>
      <c r="F35" s="120">
        <v>0</v>
      </c>
      <c r="G35" s="120">
        <v>0</v>
      </c>
      <c r="H35" s="142">
        <v>0</v>
      </c>
      <c r="I35" s="120">
        <v>0</v>
      </c>
      <c r="J35" s="120">
        <v>0</v>
      </c>
      <c r="K35" s="120">
        <v>0</v>
      </c>
      <c r="L35" s="120">
        <v>0</v>
      </c>
      <c r="M35" s="142">
        <v>0</v>
      </c>
      <c r="N35" s="120">
        <v>0</v>
      </c>
      <c r="O35" s="120">
        <v>0</v>
      </c>
      <c r="P35" s="120">
        <v>0</v>
      </c>
      <c r="Q35" s="120">
        <v>0</v>
      </c>
      <c r="R35" s="142">
        <v>0</v>
      </c>
      <c r="S35" s="120">
        <v>0</v>
      </c>
      <c r="T35" s="120">
        <v>0</v>
      </c>
      <c r="U35" s="120">
        <v>0</v>
      </c>
      <c r="V35" s="120">
        <v>0</v>
      </c>
      <c r="W35" s="142">
        <v>0</v>
      </c>
      <c r="X35" s="120">
        <v>0</v>
      </c>
      <c r="Y35" s="120">
        <v>0</v>
      </c>
      <c r="Z35" s="120">
        <v>0</v>
      </c>
      <c r="AA35" s="120">
        <v>0</v>
      </c>
      <c r="AB35" s="142">
        <v>0</v>
      </c>
      <c r="AC35" s="120">
        <v>0</v>
      </c>
      <c r="AD35" s="120">
        <v>0</v>
      </c>
      <c r="AE35" s="120">
        <v>0</v>
      </c>
      <c r="AF35" s="120">
        <v>14.02482</v>
      </c>
      <c r="AG35" s="142">
        <v>14.02482</v>
      </c>
      <c r="AH35" s="120">
        <v>1993</v>
      </c>
      <c r="AI35" s="120">
        <v>3351</v>
      </c>
      <c r="AJ35" s="120">
        <v>6410</v>
      </c>
      <c r="AK35" s="120">
        <v>4734</v>
      </c>
      <c r="AL35" s="142">
        <v>16488</v>
      </c>
      <c r="AM35" s="120">
        <v>6119</v>
      </c>
      <c r="AN35" s="120">
        <v>8626</v>
      </c>
      <c r="AO35" s="120">
        <v>6395</v>
      </c>
      <c r="AP35" s="120">
        <v>5407</v>
      </c>
      <c r="AQ35" s="142">
        <f t="shared" si="9"/>
        <v>26547</v>
      </c>
      <c r="AR35" s="285"/>
    </row>
    <row r="36" spans="1:44">
      <c r="A36" s="11"/>
      <c r="B36" s="11" t="s">
        <v>364</v>
      </c>
      <c r="C36" s="11" t="s">
        <v>365</v>
      </c>
      <c r="D36" s="120"/>
      <c r="E36" s="120"/>
      <c r="F36" s="120"/>
      <c r="G36" s="120"/>
      <c r="H36" s="142"/>
      <c r="I36" s="120"/>
      <c r="J36" s="120"/>
      <c r="K36" s="120"/>
      <c r="L36" s="120"/>
      <c r="M36" s="142"/>
      <c r="N36" s="120"/>
      <c r="O36" s="120"/>
      <c r="P36" s="120"/>
      <c r="Q36" s="120"/>
      <c r="R36" s="142"/>
      <c r="S36" s="120"/>
      <c r="T36" s="120"/>
      <c r="U36" s="120"/>
      <c r="V36" s="120"/>
      <c r="W36" s="142"/>
      <c r="X36" s="120"/>
      <c r="Y36" s="120"/>
      <c r="Z36" s="120"/>
      <c r="AA36" s="120"/>
      <c r="AB36" s="142"/>
      <c r="AC36" s="120">
        <v>0</v>
      </c>
      <c r="AD36" s="120">
        <v>0</v>
      </c>
      <c r="AE36" s="120">
        <v>23.385950000000005</v>
      </c>
      <c r="AF36" s="120">
        <v>623.02203999999983</v>
      </c>
      <c r="AG36" s="142">
        <v>646.40798999999981</v>
      </c>
      <c r="AH36" s="120">
        <v>1083</v>
      </c>
      <c r="AI36" s="120">
        <v>2180</v>
      </c>
      <c r="AJ36" s="120">
        <v>2996</v>
      </c>
      <c r="AK36" s="120">
        <v>3332</v>
      </c>
      <c r="AL36" s="142">
        <v>9591</v>
      </c>
      <c r="AM36" s="120">
        <v>1776</v>
      </c>
      <c r="AN36" s="120">
        <v>2350</v>
      </c>
      <c r="AO36" s="120">
        <v>2447</v>
      </c>
      <c r="AP36" s="120">
        <v>2708</v>
      </c>
      <c r="AQ36" s="142">
        <f t="shared" si="9"/>
        <v>9281</v>
      </c>
      <c r="AR36" s="285"/>
    </row>
    <row r="37" spans="1:44">
      <c r="A37" s="11"/>
      <c r="B37" s="11" t="s">
        <v>300</v>
      </c>
      <c r="C37" s="11" t="s">
        <v>301</v>
      </c>
      <c r="D37" s="120"/>
      <c r="E37" s="120"/>
      <c r="F37" s="120"/>
      <c r="G37" s="120"/>
      <c r="H37" s="142"/>
      <c r="I37" s="120"/>
      <c r="J37" s="120"/>
      <c r="K37" s="120"/>
      <c r="L37" s="120"/>
      <c r="M37" s="142"/>
      <c r="N37" s="120"/>
      <c r="O37" s="120"/>
      <c r="P37" s="120"/>
      <c r="Q37" s="120"/>
      <c r="R37" s="142"/>
      <c r="S37" s="120"/>
      <c r="T37" s="120"/>
      <c r="U37" s="120"/>
      <c r="V37" s="120"/>
      <c r="W37" s="142"/>
      <c r="X37" s="120"/>
      <c r="Y37" s="120"/>
      <c r="Z37" s="120"/>
      <c r="AA37" s="120"/>
      <c r="AB37" s="142"/>
      <c r="AC37" s="120"/>
      <c r="AD37" s="120"/>
      <c r="AE37" s="120"/>
      <c r="AF37" s="120"/>
      <c r="AG37" s="142"/>
      <c r="AH37" s="120">
        <v>24</v>
      </c>
      <c r="AI37" s="120">
        <v>84</v>
      </c>
      <c r="AJ37" s="120">
        <v>98</v>
      </c>
      <c r="AK37" s="120">
        <v>169</v>
      </c>
      <c r="AL37" s="142">
        <v>375</v>
      </c>
      <c r="AM37" s="120">
        <v>235</v>
      </c>
      <c r="AN37" s="120">
        <v>285</v>
      </c>
      <c r="AO37" s="120">
        <v>294</v>
      </c>
      <c r="AP37" s="120">
        <v>407</v>
      </c>
      <c r="AQ37" s="142">
        <f t="shared" si="9"/>
        <v>1221</v>
      </c>
      <c r="AR37" s="285"/>
    </row>
    <row r="38" spans="1:44">
      <c r="A38" s="11"/>
      <c r="B38" s="11" t="s">
        <v>302</v>
      </c>
      <c r="C38" s="11" t="s">
        <v>303</v>
      </c>
      <c r="D38" s="120"/>
      <c r="E38" s="120"/>
      <c r="F38" s="120"/>
      <c r="G38" s="120"/>
      <c r="H38" s="142"/>
      <c r="I38" s="120"/>
      <c r="J38" s="120"/>
      <c r="K38" s="120"/>
      <c r="L38" s="120"/>
      <c r="M38" s="142"/>
      <c r="N38" s="120"/>
      <c r="O38" s="120"/>
      <c r="P38" s="120"/>
      <c r="Q38" s="120"/>
      <c r="R38" s="142"/>
      <c r="S38" s="120"/>
      <c r="T38" s="120"/>
      <c r="U38" s="120"/>
      <c r="V38" s="120"/>
      <c r="W38" s="142"/>
      <c r="X38" s="120"/>
      <c r="Y38" s="120"/>
      <c r="Z38" s="120"/>
      <c r="AA38" s="120"/>
      <c r="AB38" s="142"/>
      <c r="AC38" s="120"/>
      <c r="AD38" s="120"/>
      <c r="AE38" s="120"/>
      <c r="AF38" s="120"/>
      <c r="AG38" s="142"/>
      <c r="AH38" s="120">
        <v>0</v>
      </c>
      <c r="AI38" s="120">
        <v>0</v>
      </c>
      <c r="AJ38" s="120">
        <v>11</v>
      </c>
      <c r="AK38" s="120">
        <v>14</v>
      </c>
      <c r="AL38" s="142">
        <v>25</v>
      </c>
      <c r="AM38" s="120">
        <v>13</v>
      </c>
      <c r="AN38" s="120">
        <v>9</v>
      </c>
      <c r="AO38" s="120">
        <v>9</v>
      </c>
      <c r="AP38" s="120">
        <v>11</v>
      </c>
      <c r="AQ38" s="142">
        <f t="shared" si="9"/>
        <v>42</v>
      </c>
      <c r="AR38" s="285"/>
    </row>
    <row r="39" spans="1:44">
      <c r="A39" s="9"/>
      <c r="B39" s="9" t="s">
        <v>304</v>
      </c>
      <c r="C39" s="9" t="s">
        <v>305</v>
      </c>
      <c r="D39" s="122">
        <v>0</v>
      </c>
      <c r="E39" s="122">
        <v>0</v>
      </c>
      <c r="F39" s="122">
        <v>0</v>
      </c>
      <c r="G39" s="122">
        <v>0</v>
      </c>
      <c r="H39" s="143">
        <v>0</v>
      </c>
      <c r="I39" s="122">
        <v>0</v>
      </c>
      <c r="J39" s="122">
        <v>0</v>
      </c>
      <c r="K39" s="122">
        <v>0</v>
      </c>
      <c r="L39" s="122">
        <v>0</v>
      </c>
      <c r="M39" s="143">
        <v>0</v>
      </c>
      <c r="N39" s="122">
        <v>0</v>
      </c>
      <c r="O39" s="122">
        <v>0</v>
      </c>
      <c r="P39" s="122">
        <v>0</v>
      </c>
      <c r="Q39" s="122">
        <v>0</v>
      </c>
      <c r="R39" s="143">
        <v>0</v>
      </c>
      <c r="S39" s="122">
        <v>0</v>
      </c>
      <c r="T39" s="122">
        <v>0</v>
      </c>
      <c r="U39" s="122">
        <v>0</v>
      </c>
      <c r="V39" s="122">
        <v>0</v>
      </c>
      <c r="W39" s="143">
        <v>0</v>
      </c>
      <c r="X39" s="122">
        <v>0</v>
      </c>
      <c r="Y39" s="122">
        <v>0</v>
      </c>
      <c r="Z39" s="122">
        <v>0</v>
      </c>
      <c r="AA39" s="122">
        <v>0</v>
      </c>
      <c r="AB39" s="143">
        <v>0</v>
      </c>
      <c r="AC39" s="122">
        <v>-1781.4667399999998</v>
      </c>
      <c r="AD39" s="122">
        <v>-21658.209200000005</v>
      </c>
      <c r="AE39" s="122">
        <v>-24240.573229999998</v>
      </c>
      <c r="AF39" s="122">
        <v>-27746.284649999998</v>
      </c>
      <c r="AG39" s="143">
        <v>-75426.533819999997</v>
      </c>
      <c r="AH39" s="130">
        <v>-46700</v>
      </c>
      <c r="AI39" s="130">
        <v>-70176</v>
      </c>
      <c r="AJ39" s="130">
        <v>-96249</v>
      </c>
      <c r="AK39" s="130">
        <v>-92070</v>
      </c>
      <c r="AL39" s="509">
        <v>-305196</v>
      </c>
      <c r="AM39" s="130">
        <v>-87829</v>
      </c>
      <c r="AN39" s="130">
        <v>-90149</v>
      </c>
      <c r="AO39" s="130">
        <v>-104196</v>
      </c>
      <c r="AP39" s="130">
        <v>-103636</v>
      </c>
      <c r="AQ39" s="509">
        <f>SUM(AM39:AP39)</f>
        <v>-385810</v>
      </c>
      <c r="AR39" s="285"/>
    </row>
    <row r="40" spans="1:44">
      <c r="A40" s="11"/>
      <c r="B40" s="11"/>
      <c r="C40" s="11"/>
      <c r="D40" s="120"/>
      <c r="E40" s="120"/>
      <c r="F40" s="120"/>
      <c r="G40" s="120"/>
      <c r="H40" s="142"/>
      <c r="I40" s="120"/>
      <c r="J40" s="120"/>
      <c r="K40" s="120"/>
      <c r="L40" s="120"/>
      <c r="M40" s="142"/>
      <c r="N40" s="120"/>
      <c r="O40" s="120"/>
      <c r="P40" s="120"/>
      <c r="Q40" s="120"/>
      <c r="R40" s="142"/>
      <c r="S40" s="120"/>
      <c r="T40" s="120"/>
      <c r="U40" s="120"/>
      <c r="V40" s="120"/>
      <c r="W40" s="142"/>
      <c r="X40" s="120"/>
      <c r="Y40" s="120"/>
      <c r="Z40" s="120"/>
      <c r="AA40" s="120"/>
      <c r="AB40" s="142"/>
      <c r="AC40" s="120"/>
      <c r="AD40" s="120"/>
      <c r="AE40" s="120"/>
      <c r="AF40" s="120"/>
      <c r="AG40" s="185"/>
      <c r="AH40" s="136"/>
      <c r="AI40" s="136"/>
      <c r="AJ40" s="136"/>
      <c r="AK40" s="136"/>
      <c r="AL40" s="510"/>
      <c r="AM40" s="136"/>
      <c r="AN40" s="214"/>
      <c r="AO40" s="136"/>
      <c r="AP40" s="136"/>
      <c r="AQ40" s="510"/>
      <c r="AR40" s="285"/>
    </row>
    <row r="41" spans="1:44">
      <c r="A41" s="54"/>
      <c r="B41" s="54" t="s">
        <v>306</v>
      </c>
      <c r="C41" s="9" t="s">
        <v>307</v>
      </c>
      <c r="D41" s="122">
        <v>-12453.154839999999</v>
      </c>
      <c r="E41" s="122">
        <v>-13327.701679999998</v>
      </c>
      <c r="F41" s="122">
        <v>-17608.093830000002</v>
      </c>
      <c r="G41" s="122">
        <v>-20717.561589999994</v>
      </c>
      <c r="H41" s="143">
        <v>-64106.511939999997</v>
      </c>
      <c r="I41" s="122">
        <v>-21010.350930000001</v>
      </c>
      <c r="J41" s="122">
        <v>-20583.432040000003</v>
      </c>
      <c r="K41" s="122">
        <v>-22631.823019999989</v>
      </c>
      <c r="L41" s="122">
        <v>-29543.228969999996</v>
      </c>
      <c r="M41" s="143">
        <v>-93768.834959999978</v>
      </c>
      <c r="N41" s="122">
        <v>-28115.11174</v>
      </c>
      <c r="O41" s="122">
        <v>-26436.952160000001</v>
      </c>
      <c r="P41" s="122">
        <v>-29415.879860000015</v>
      </c>
      <c r="Q41" s="122">
        <v>-2277.0186299999987</v>
      </c>
      <c r="R41" s="143">
        <v>-86244.96239000003</v>
      </c>
      <c r="S41" s="122">
        <v>-28036.43275</v>
      </c>
      <c r="T41" s="122">
        <v>-30255.899729999994</v>
      </c>
      <c r="U41" s="122">
        <v>-31845.563979999999</v>
      </c>
      <c r="V41" s="122">
        <v>-24406.541239999999</v>
      </c>
      <c r="W41" s="143">
        <v>-114544.43769999998</v>
      </c>
      <c r="X41" s="122">
        <v>-30500.91994</v>
      </c>
      <c r="Y41" s="122">
        <v>-28159.054630000002</v>
      </c>
      <c r="Z41" s="122">
        <v>-43884.79458999999</v>
      </c>
      <c r="AA41" s="122">
        <v>-37313.735299999978</v>
      </c>
      <c r="AB41" s="143">
        <v>-139858.50445999997</v>
      </c>
      <c r="AC41" s="122">
        <v>-34651.087630000002</v>
      </c>
      <c r="AD41" s="122">
        <v>-42476.204289999987</v>
      </c>
      <c r="AE41" s="122">
        <v>-50963.072759999981</v>
      </c>
      <c r="AF41" s="122">
        <v>-62417.958160000009</v>
      </c>
      <c r="AG41" s="143">
        <v>-190508.32283999998</v>
      </c>
      <c r="AH41" s="130">
        <f>SUM(AH42:AH45)</f>
        <v>-50558</v>
      </c>
      <c r="AI41" s="130">
        <f t="shared" ref="AI41:AK41" si="10">SUM(AI42:AI45)</f>
        <v>-74233</v>
      </c>
      <c r="AJ41" s="130">
        <f t="shared" si="10"/>
        <v>-89069</v>
      </c>
      <c r="AK41" s="130">
        <f t="shared" si="10"/>
        <v>214909</v>
      </c>
      <c r="AL41" s="509">
        <f>SUM(AH41:AK41)</f>
        <v>1049</v>
      </c>
      <c r="AM41" s="130">
        <f>SUM(AM42:AM45)</f>
        <v>-53848</v>
      </c>
      <c r="AN41" s="130">
        <f t="shared" ref="AN41" si="11">SUM(AN42:AN45)</f>
        <v>-89490</v>
      </c>
      <c r="AO41" s="130">
        <f>SUM(AO42:AO45)</f>
        <v>-94269</v>
      </c>
      <c r="AP41" s="130">
        <f t="shared" ref="AP41" si="12">SUM(AP42:AP45)</f>
        <v>-89377</v>
      </c>
      <c r="AQ41" s="509">
        <f>SUM(AM41:AP41)</f>
        <v>-326984</v>
      </c>
      <c r="AR41" s="285"/>
    </row>
    <row r="42" spans="1:44">
      <c r="A42" s="11"/>
      <c r="B42" s="11" t="s">
        <v>310</v>
      </c>
      <c r="C42" s="11" t="s">
        <v>311</v>
      </c>
      <c r="D42" s="120">
        <v>-2216.6877699999995</v>
      </c>
      <c r="E42" s="120">
        <v>-4126.8672299999998</v>
      </c>
      <c r="F42" s="120">
        <v>-6310.178469999998</v>
      </c>
      <c r="G42" s="120">
        <v>-9359.9636399999981</v>
      </c>
      <c r="H42" s="142">
        <v>-22013.697109999994</v>
      </c>
      <c r="I42" s="120">
        <v>-6669.2848099999983</v>
      </c>
      <c r="J42" s="120">
        <v>-7482.5691600000036</v>
      </c>
      <c r="K42" s="120">
        <v>-8903.9532499999932</v>
      </c>
      <c r="L42" s="120">
        <v>-15634.739829999995</v>
      </c>
      <c r="M42" s="142">
        <v>-38690.547049999994</v>
      </c>
      <c r="N42" s="120">
        <v>-8155.6838599999992</v>
      </c>
      <c r="O42" s="120">
        <v>-10933.564439999995</v>
      </c>
      <c r="P42" s="120">
        <v>-14467.978350000012</v>
      </c>
      <c r="Q42" s="120">
        <v>-13158.086229999997</v>
      </c>
      <c r="R42" s="142">
        <v>-46715.312879999998</v>
      </c>
      <c r="S42" s="120">
        <v>-10460.7711</v>
      </c>
      <c r="T42" s="120">
        <v>-11110.768909999995</v>
      </c>
      <c r="U42" s="120">
        <v>-12026.777290000004</v>
      </c>
      <c r="V42" s="120">
        <v>-11909.429629999995</v>
      </c>
      <c r="W42" s="142">
        <v>-45507.746929999994</v>
      </c>
      <c r="X42" s="120">
        <v>-16810.195630000002</v>
      </c>
      <c r="Y42" s="120">
        <v>-11807.021240000002</v>
      </c>
      <c r="Z42" s="120">
        <v>-12318.089829999999</v>
      </c>
      <c r="AA42" s="120">
        <v>-14215.174809999995</v>
      </c>
      <c r="AB42" s="142">
        <v>-55150.481509999998</v>
      </c>
      <c r="AC42" s="120">
        <v>-13579.38731</v>
      </c>
      <c r="AD42" s="120">
        <v>-19664.983889999992</v>
      </c>
      <c r="AE42" s="120">
        <v>-15965.393460000007</v>
      </c>
      <c r="AF42" s="120">
        <v>-20353.055479999981</v>
      </c>
      <c r="AG42" s="142">
        <v>-69562.820139999982</v>
      </c>
      <c r="AH42" s="136">
        <v>-22135</v>
      </c>
      <c r="AI42" s="136">
        <v>-24184</v>
      </c>
      <c r="AJ42" s="136">
        <v>-24123</v>
      </c>
      <c r="AK42" s="136">
        <v>-29860</v>
      </c>
      <c r="AL42" s="150">
        <f>SUM(AH42:AK42)</f>
        <v>-100302</v>
      </c>
      <c r="AM42" s="136">
        <v>-26198</v>
      </c>
      <c r="AN42" s="136">
        <v>-29655</v>
      </c>
      <c r="AO42" s="136">
        <v>-30628</v>
      </c>
      <c r="AP42" s="136">
        <v>-23555</v>
      </c>
      <c r="AQ42" s="150">
        <f t="shared" ref="AQ42:AQ59" si="13">SUM(AM42:AP42)</f>
        <v>-110036</v>
      </c>
      <c r="AR42" s="285"/>
    </row>
    <row r="43" spans="1:44">
      <c r="A43" s="11"/>
      <c r="B43" s="11" t="s">
        <v>312</v>
      </c>
      <c r="C43" s="11" t="s">
        <v>313</v>
      </c>
      <c r="D43" s="120">
        <v>-10236.467070000001</v>
      </c>
      <c r="E43" s="120">
        <v>-9200.8344499999985</v>
      </c>
      <c r="F43" s="120">
        <v>-11297.915360000003</v>
      </c>
      <c r="G43" s="120">
        <v>-11357.597949999996</v>
      </c>
      <c r="H43" s="142">
        <v>-42092.814830000003</v>
      </c>
      <c r="I43" s="120">
        <v>-14341.066120000001</v>
      </c>
      <c r="J43" s="120">
        <v>-13100.862879999999</v>
      </c>
      <c r="K43" s="120">
        <v>-13727.869769999996</v>
      </c>
      <c r="L43" s="120">
        <v>-13908.489140000001</v>
      </c>
      <c r="M43" s="142">
        <v>-55078.287909999999</v>
      </c>
      <c r="N43" s="120">
        <v>-19959.427879999999</v>
      </c>
      <c r="O43" s="120">
        <v>-15503.953720000003</v>
      </c>
      <c r="P43" s="120">
        <v>-14948.065090000004</v>
      </c>
      <c r="Q43" s="120">
        <v>-19379.219710000001</v>
      </c>
      <c r="R43" s="142">
        <v>-69790.666400000002</v>
      </c>
      <c r="S43" s="120">
        <v>-17575.661649999998</v>
      </c>
      <c r="T43" s="120">
        <v>-19145.130819999998</v>
      </c>
      <c r="U43" s="120">
        <v>-19809.04639</v>
      </c>
      <c r="V43" s="120">
        <v>-12484.056950000004</v>
      </c>
      <c r="W43" s="142">
        <v>-69013.895810000002</v>
      </c>
      <c r="X43" s="120">
        <v>-13690.724309999998</v>
      </c>
      <c r="Y43" s="120">
        <v>-16342.020769999999</v>
      </c>
      <c r="Z43" s="120">
        <v>-31538.017269999997</v>
      </c>
      <c r="AA43" s="120">
        <v>-23100.433669999988</v>
      </c>
      <c r="AB43" s="142">
        <v>-84671.196019999974</v>
      </c>
      <c r="AC43" s="120">
        <v>-21071.70032</v>
      </c>
      <c r="AD43" s="120">
        <v>-24620.228289999999</v>
      </c>
      <c r="AE43" s="120">
        <v>-40932.313639999978</v>
      </c>
      <c r="AF43" s="120">
        <v>-42064.903360000026</v>
      </c>
      <c r="AG43" s="142">
        <v>-128689.14561000001</v>
      </c>
      <c r="AH43" s="136">
        <v>-39868</v>
      </c>
      <c r="AI43" s="136">
        <v>-50049</v>
      </c>
      <c r="AJ43" s="136">
        <v>-64950</v>
      </c>
      <c r="AK43" s="136">
        <v>-51963</v>
      </c>
      <c r="AL43" s="150">
        <f t="shared" ref="AL43:AL45" si="14">SUM(AH43:AK43)</f>
        <v>-206830</v>
      </c>
      <c r="AM43" s="136">
        <v>-58331</v>
      </c>
      <c r="AN43" s="136">
        <v>-59835</v>
      </c>
      <c r="AO43" s="136">
        <v>-63421</v>
      </c>
      <c r="AP43" s="136">
        <v>-65582</v>
      </c>
      <c r="AQ43" s="150">
        <f t="shared" si="13"/>
        <v>-247169</v>
      </c>
      <c r="AR43" s="285"/>
    </row>
    <row r="44" spans="1:44">
      <c r="A44" s="11"/>
      <c r="B44" s="11" t="s">
        <v>314</v>
      </c>
      <c r="C44" s="11" t="s">
        <v>315</v>
      </c>
      <c r="D44" s="120">
        <v>0</v>
      </c>
      <c r="E44" s="120">
        <v>0</v>
      </c>
      <c r="F44" s="120">
        <v>0</v>
      </c>
      <c r="G44" s="120">
        <v>0</v>
      </c>
      <c r="H44" s="142">
        <v>0</v>
      </c>
      <c r="I44" s="120">
        <v>0</v>
      </c>
      <c r="J44" s="120">
        <v>0</v>
      </c>
      <c r="K44" s="120">
        <v>0</v>
      </c>
      <c r="L44" s="120">
        <v>0</v>
      </c>
      <c r="M44" s="142">
        <v>0</v>
      </c>
      <c r="N44" s="120">
        <v>0</v>
      </c>
      <c r="O44" s="120">
        <v>0</v>
      </c>
      <c r="P44" s="120">
        <v>0</v>
      </c>
      <c r="Q44" s="120">
        <v>0</v>
      </c>
      <c r="R44" s="142">
        <v>0</v>
      </c>
      <c r="S44" s="120">
        <v>0</v>
      </c>
      <c r="T44" s="120">
        <v>0</v>
      </c>
      <c r="U44" s="120">
        <v>-9.745989999999999</v>
      </c>
      <c r="V44" s="120">
        <v>-13.054660000000002</v>
      </c>
      <c r="W44" s="142">
        <v>-22.800650000000001</v>
      </c>
      <c r="X44" s="120">
        <v>0</v>
      </c>
      <c r="Y44" s="120">
        <v>-10.01262</v>
      </c>
      <c r="Z44" s="120">
        <v>-28.687489999999997</v>
      </c>
      <c r="AA44" s="120">
        <v>0</v>
      </c>
      <c r="AB44" s="142">
        <v>-38.700109999999995</v>
      </c>
      <c r="AC44" s="120">
        <v>0</v>
      </c>
      <c r="AD44" s="120">
        <v>0</v>
      </c>
      <c r="AE44" s="120">
        <v>0</v>
      </c>
      <c r="AF44" s="120">
        <v>0</v>
      </c>
      <c r="AG44" s="142">
        <v>0</v>
      </c>
      <c r="AH44" s="136">
        <v>0</v>
      </c>
      <c r="AI44" s="136">
        <v>0</v>
      </c>
      <c r="AJ44" s="136">
        <v>0</v>
      </c>
      <c r="AK44" s="136">
        <v>0</v>
      </c>
      <c r="AL44" s="150">
        <f t="shared" si="14"/>
        <v>0</v>
      </c>
      <c r="AM44" s="136">
        <v>0</v>
      </c>
      <c r="AN44" s="136">
        <v>0</v>
      </c>
      <c r="AO44" s="136">
        <v>-220</v>
      </c>
      <c r="AP44" s="136">
        <v>-240</v>
      </c>
      <c r="AQ44" s="150">
        <f t="shared" si="13"/>
        <v>-460</v>
      </c>
      <c r="AR44" s="285"/>
    </row>
    <row r="45" spans="1:44">
      <c r="A45" s="11"/>
      <c r="B45" s="11" t="s">
        <v>308</v>
      </c>
      <c r="C45" s="11" t="s">
        <v>309</v>
      </c>
      <c r="D45" s="120">
        <v>0</v>
      </c>
      <c r="E45" s="120">
        <v>0</v>
      </c>
      <c r="F45" s="120">
        <v>0</v>
      </c>
      <c r="G45" s="120">
        <v>0</v>
      </c>
      <c r="H45" s="142">
        <v>0</v>
      </c>
      <c r="I45" s="120">
        <v>0</v>
      </c>
      <c r="J45" s="120">
        <v>0</v>
      </c>
      <c r="K45" s="120">
        <v>0</v>
      </c>
      <c r="L45" s="120">
        <v>0</v>
      </c>
      <c r="M45" s="142">
        <v>0</v>
      </c>
      <c r="N45" s="120">
        <v>0</v>
      </c>
      <c r="O45" s="120">
        <v>0.56599999999999995</v>
      </c>
      <c r="P45" s="120">
        <v>0.16358000000000003</v>
      </c>
      <c r="Q45" s="120">
        <v>30260.28731</v>
      </c>
      <c r="R45" s="142">
        <v>30261.016889999999</v>
      </c>
      <c r="S45" s="120">
        <v>0</v>
      </c>
      <c r="T45" s="120">
        <v>0</v>
      </c>
      <c r="U45" s="120">
        <v>5.6900000000000006E-3</v>
      </c>
      <c r="V45" s="120">
        <v>0</v>
      </c>
      <c r="W45" s="142">
        <v>5.6900000000000006E-3</v>
      </c>
      <c r="X45" s="120">
        <v>0</v>
      </c>
      <c r="Y45" s="120">
        <v>0</v>
      </c>
      <c r="Z45" s="120">
        <v>0</v>
      </c>
      <c r="AA45" s="120">
        <v>1.8731800000000001</v>
      </c>
      <c r="AB45" s="142">
        <v>1.8731800000000001</v>
      </c>
      <c r="AC45" s="120">
        <v>0</v>
      </c>
      <c r="AD45" s="120">
        <v>1809.0078899999999</v>
      </c>
      <c r="AE45" s="120">
        <v>5934.6343400000005</v>
      </c>
      <c r="AF45" s="120">
        <v>6.7999999970197672E-4</v>
      </c>
      <c r="AG45" s="142">
        <v>7743.6429100000005</v>
      </c>
      <c r="AH45" s="136">
        <v>11445</v>
      </c>
      <c r="AI45" s="136">
        <v>0</v>
      </c>
      <c r="AJ45" s="136">
        <v>4</v>
      </c>
      <c r="AK45" s="136">
        <v>296732</v>
      </c>
      <c r="AL45" s="150">
        <f t="shared" si="14"/>
        <v>308181</v>
      </c>
      <c r="AM45" s="136">
        <v>30681</v>
      </c>
      <c r="AN45" s="136">
        <v>0</v>
      </c>
      <c r="AO45" s="136">
        <v>0</v>
      </c>
      <c r="AP45" s="136">
        <v>0</v>
      </c>
      <c r="AQ45" s="150">
        <f t="shared" si="13"/>
        <v>30681</v>
      </c>
      <c r="AR45" s="285"/>
    </row>
    <row r="46" spans="1:44">
      <c r="A46" s="54"/>
      <c r="B46" s="54" t="s">
        <v>316</v>
      </c>
      <c r="C46" s="9" t="s">
        <v>317</v>
      </c>
      <c r="D46" s="122">
        <v>294183.64245729271</v>
      </c>
      <c r="E46" s="122">
        <v>260979.0495571731</v>
      </c>
      <c r="F46" s="122">
        <v>280907.65880123497</v>
      </c>
      <c r="G46" s="122">
        <v>300392.83936796413</v>
      </c>
      <c r="H46" s="143">
        <v>1136463.1901836649</v>
      </c>
      <c r="I46" s="122">
        <v>342417.81109039084</v>
      </c>
      <c r="J46" s="122">
        <v>359825.50122195488</v>
      </c>
      <c r="K46" s="122">
        <v>333767.30886662274</v>
      </c>
      <c r="L46" s="122">
        <v>343077.70749319874</v>
      </c>
      <c r="M46" s="143">
        <v>1379088.3286721671</v>
      </c>
      <c r="N46" s="122">
        <v>407063.81265298522</v>
      </c>
      <c r="O46" s="122">
        <v>349040.26013234048</v>
      </c>
      <c r="P46" s="122">
        <v>380899.06068789109</v>
      </c>
      <c r="Q46" s="122">
        <v>461308.45455609314</v>
      </c>
      <c r="R46" s="143">
        <v>1598311.5880293099</v>
      </c>
      <c r="S46" s="122">
        <v>419462.63810686208</v>
      </c>
      <c r="T46" s="122">
        <v>413672.31808320474</v>
      </c>
      <c r="U46" s="122">
        <v>465428.48024085001</v>
      </c>
      <c r="V46" s="122">
        <v>350475.59112149337</v>
      </c>
      <c r="W46" s="143">
        <v>1649039.0275524103</v>
      </c>
      <c r="X46" s="122">
        <v>442498.23808340292</v>
      </c>
      <c r="Y46" s="122">
        <v>415196.70915291482</v>
      </c>
      <c r="Z46" s="122">
        <v>591979.47906499996</v>
      </c>
      <c r="AA46" s="122">
        <v>502568.7839331532</v>
      </c>
      <c r="AB46" s="143">
        <v>1952243.2102344709</v>
      </c>
      <c r="AC46" s="122">
        <v>460055.95692999999</v>
      </c>
      <c r="AD46" s="122">
        <v>448648.55031000008</v>
      </c>
      <c r="AE46" s="122">
        <v>557676.40536000009</v>
      </c>
      <c r="AF46" s="122">
        <v>629697.38072999998</v>
      </c>
      <c r="AG46" s="143">
        <v>2096078.2933300002</v>
      </c>
      <c r="AH46" s="130">
        <f>AH8+AH39+AH41</f>
        <v>731801</v>
      </c>
      <c r="AI46" s="130">
        <f>AI8+AI39+AI41</f>
        <v>737161.42999999993</v>
      </c>
      <c r="AJ46" s="130">
        <f>AJ8+AJ39+AJ41</f>
        <v>1243638.3149999999</v>
      </c>
      <c r="AK46" s="130">
        <f>AK8+AK39+AK41</f>
        <v>664945</v>
      </c>
      <c r="AL46" s="509">
        <f>SUM(AL8,AL39,AL41)</f>
        <v>3377544.7450000001</v>
      </c>
      <c r="AM46" s="130">
        <f>AM8+AM39+AM41</f>
        <v>919197</v>
      </c>
      <c r="AN46" s="130">
        <f>SUM(AN41,AN39,AN8)</f>
        <v>952865</v>
      </c>
      <c r="AO46" s="130">
        <f>SUM(AO41,AO39,AO8)</f>
        <v>1062175</v>
      </c>
      <c r="AP46" s="130">
        <f>SUM(AP41,AP39,AP8)</f>
        <v>1016991</v>
      </c>
      <c r="AQ46" s="509">
        <f t="shared" si="13"/>
        <v>3951228</v>
      </c>
      <c r="AR46" s="285"/>
    </row>
    <row r="47" spans="1:44">
      <c r="A47" s="11"/>
      <c r="B47" s="11"/>
      <c r="C47" s="11"/>
      <c r="D47" s="120"/>
      <c r="E47" s="120"/>
      <c r="F47" s="120"/>
      <c r="G47" s="120"/>
      <c r="H47" s="142"/>
      <c r="I47" s="120"/>
      <c r="J47" s="120"/>
      <c r="K47" s="120"/>
      <c r="L47" s="120"/>
      <c r="M47" s="142"/>
      <c r="N47" s="120"/>
      <c r="O47" s="120"/>
      <c r="P47" s="120"/>
      <c r="Q47" s="120"/>
      <c r="R47" s="142"/>
      <c r="S47" s="120"/>
      <c r="T47" s="120"/>
      <c r="U47" s="120"/>
      <c r="V47" s="120"/>
      <c r="W47" s="142"/>
      <c r="X47" s="120"/>
      <c r="Y47" s="120"/>
      <c r="Z47" s="120"/>
      <c r="AA47" s="120"/>
      <c r="AB47" s="142"/>
      <c r="AC47" s="120"/>
      <c r="AD47" s="120"/>
      <c r="AE47" s="120"/>
      <c r="AF47" s="120"/>
      <c r="AG47" s="142"/>
      <c r="AH47" s="120"/>
      <c r="AI47" s="120"/>
      <c r="AJ47" s="120"/>
      <c r="AK47" s="121"/>
      <c r="AL47" s="142"/>
      <c r="AM47" s="120"/>
      <c r="AN47" s="121"/>
      <c r="AO47" s="120"/>
      <c r="AP47" s="120"/>
      <c r="AQ47" s="142">
        <f t="shared" si="13"/>
        <v>0</v>
      </c>
      <c r="AR47" s="285"/>
    </row>
    <row r="48" spans="1:44">
      <c r="A48" s="54"/>
      <c r="B48" s="54" t="s">
        <v>318</v>
      </c>
      <c r="C48" s="9" t="s">
        <v>319</v>
      </c>
      <c r="D48" s="122">
        <v>-1418.2734300000006</v>
      </c>
      <c r="E48" s="122">
        <v>2677.4463699999997</v>
      </c>
      <c r="F48" s="122">
        <v>5837.2842000000046</v>
      </c>
      <c r="G48" s="122">
        <v>7006.9743999999982</v>
      </c>
      <c r="H48" s="143">
        <v>14103.431540000001</v>
      </c>
      <c r="I48" s="122">
        <v>4216.8447699999997</v>
      </c>
      <c r="J48" s="122">
        <v>7007.4345200000025</v>
      </c>
      <c r="K48" s="122">
        <v>6577.1029199999984</v>
      </c>
      <c r="L48" s="122">
        <v>6447.4069499999996</v>
      </c>
      <c r="M48" s="143">
        <v>24248.78916</v>
      </c>
      <c r="N48" s="122">
        <v>2733.1374600000008</v>
      </c>
      <c r="O48" s="122">
        <v>6629.2316099999989</v>
      </c>
      <c r="P48" s="122">
        <v>6872.564730000001</v>
      </c>
      <c r="Q48" s="122">
        <v>7660.6280699999998</v>
      </c>
      <c r="R48" s="143">
        <v>23895.561870000001</v>
      </c>
      <c r="S48" s="122">
        <v>4140.2438900000006</v>
      </c>
      <c r="T48" s="122">
        <v>13237.845399999997</v>
      </c>
      <c r="U48" s="122">
        <v>12215.334070000001</v>
      </c>
      <c r="V48" s="122">
        <v>5350.0509500000026</v>
      </c>
      <c r="W48" s="143">
        <v>34943.474309999998</v>
      </c>
      <c r="X48" s="122">
        <v>4646.90798</v>
      </c>
      <c r="Y48" s="122">
        <v>5911.9798900000005</v>
      </c>
      <c r="Z48" s="122">
        <v>3741.4539599999985</v>
      </c>
      <c r="AA48" s="122">
        <v>6040.7381799999994</v>
      </c>
      <c r="AB48" s="143">
        <v>20341.080009999998</v>
      </c>
      <c r="AC48" s="122">
        <v>-179.89427000000001</v>
      </c>
      <c r="AD48" s="122">
        <v>2444.45082</v>
      </c>
      <c r="AE48" s="122">
        <v>5011.8135200000006</v>
      </c>
      <c r="AF48" s="122">
        <v>3295.3234499999994</v>
      </c>
      <c r="AG48" s="143">
        <v>10571.693520000001</v>
      </c>
      <c r="AH48" s="122">
        <f>SUM(AH49:AH51)</f>
        <v>14034</v>
      </c>
      <c r="AI48" s="122">
        <f t="shared" ref="AI48:AM48" si="15">SUM(AI49:AI51)</f>
        <v>21273</v>
      </c>
      <c r="AJ48" s="122">
        <f t="shared" si="15"/>
        <v>28936</v>
      </c>
      <c r="AK48" s="122">
        <f t="shared" si="15"/>
        <v>33445</v>
      </c>
      <c r="AL48" s="143">
        <v>97688</v>
      </c>
      <c r="AM48" s="122">
        <f t="shared" si="15"/>
        <v>15189</v>
      </c>
      <c r="AN48" s="122">
        <v>31847</v>
      </c>
      <c r="AO48" s="122">
        <v>31653</v>
      </c>
      <c r="AP48" s="122">
        <f>SUM(AP49:AP50)</f>
        <v>35179</v>
      </c>
      <c r="AQ48" s="143">
        <f t="shared" si="13"/>
        <v>113868</v>
      </c>
      <c r="AR48" s="285"/>
    </row>
    <row r="49" spans="1:44">
      <c r="A49" s="11"/>
      <c r="B49" s="11" t="s">
        <v>320</v>
      </c>
      <c r="C49" s="11" t="s">
        <v>321</v>
      </c>
      <c r="D49" s="120">
        <v>2717.0130299999996</v>
      </c>
      <c r="E49" s="120">
        <v>4754.5504599999995</v>
      </c>
      <c r="F49" s="120">
        <v>5634.9898000000039</v>
      </c>
      <c r="G49" s="120">
        <v>7006.9743999999982</v>
      </c>
      <c r="H49" s="142">
        <v>20113.527690000003</v>
      </c>
      <c r="I49" s="120">
        <v>8481.92425</v>
      </c>
      <c r="J49" s="120">
        <v>8232.1099600000016</v>
      </c>
      <c r="K49" s="120">
        <v>6577.1029199999984</v>
      </c>
      <c r="L49" s="120">
        <v>6447.4069499999996</v>
      </c>
      <c r="M49" s="142">
        <v>29738.54408</v>
      </c>
      <c r="N49" s="120">
        <v>7050.4618900000005</v>
      </c>
      <c r="O49" s="120">
        <v>8263.3159099999993</v>
      </c>
      <c r="P49" s="120">
        <v>6872.5947500000002</v>
      </c>
      <c r="Q49" s="120">
        <v>7660.7134499999993</v>
      </c>
      <c r="R49" s="142">
        <v>29847.085999999999</v>
      </c>
      <c r="S49" s="120">
        <v>4506.8492100000003</v>
      </c>
      <c r="T49" s="120">
        <v>13365.335369999997</v>
      </c>
      <c r="U49" s="120">
        <v>12215.489030000001</v>
      </c>
      <c r="V49" s="120">
        <v>5350.0509500000026</v>
      </c>
      <c r="W49" s="142">
        <v>35437.724560000002</v>
      </c>
      <c r="X49" s="120">
        <v>5487.2420899999997</v>
      </c>
      <c r="Y49" s="120">
        <v>5913.1763800000008</v>
      </c>
      <c r="Z49" s="120">
        <v>3741.4574999999982</v>
      </c>
      <c r="AA49" s="120">
        <v>6040.7746799999995</v>
      </c>
      <c r="AB49" s="142">
        <v>21182.65065</v>
      </c>
      <c r="AC49" s="120">
        <v>841.82868999999994</v>
      </c>
      <c r="AD49" s="120">
        <v>2444.4508300000002</v>
      </c>
      <c r="AE49" s="120">
        <v>5568.4585800000004</v>
      </c>
      <c r="AF49" s="120">
        <v>6728.4127999999992</v>
      </c>
      <c r="AG49" s="142">
        <v>15583.150900000001</v>
      </c>
      <c r="AH49" s="120">
        <v>14232</v>
      </c>
      <c r="AI49" s="120">
        <v>21274</v>
      </c>
      <c r="AJ49" s="120">
        <v>29104</v>
      </c>
      <c r="AK49" s="120">
        <v>33572</v>
      </c>
      <c r="AL49" s="142">
        <v>98182</v>
      </c>
      <c r="AM49" s="120">
        <v>37870</v>
      </c>
      <c r="AN49" s="120">
        <v>40296</v>
      </c>
      <c r="AO49" s="120">
        <v>32508</v>
      </c>
      <c r="AP49" s="120">
        <v>37139</v>
      </c>
      <c r="AQ49" s="142">
        <f t="shared" si="13"/>
        <v>147813</v>
      </c>
      <c r="AR49" s="285"/>
    </row>
    <row r="50" spans="1:44">
      <c r="A50" s="11"/>
      <c r="B50" s="11" t="s">
        <v>322</v>
      </c>
      <c r="C50" s="11" t="s">
        <v>323</v>
      </c>
      <c r="D50" s="120">
        <v>-4135.2864600000003</v>
      </c>
      <c r="E50" s="120">
        <v>-2077.1040899999998</v>
      </c>
      <c r="F50" s="120">
        <v>202.29440000000037</v>
      </c>
      <c r="G50" s="120">
        <v>0</v>
      </c>
      <c r="H50" s="142">
        <v>-6010.0961499999994</v>
      </c>
      <c r="I50" s="120">
        <v>-4265.0794800000003</v>
      </c>
      <c r="J50" s="120">
        <v>-1224.6754399999995</v>
      </c>
      <c r="K50" s="120">
        <v>0</v>
      </c>
      <c r="L50" s="120">
        <v>0</v>
      </c>
      <c r="M50" s="142">
        <v>-5489.7549199999994</v>
      </c>
      <c r="N50" s="120">
        <v>-4317.3244299999997</v>
      </c>
      <c r="O50" s="120">
        <v>-1634.0843000000007</v>
      </c>
      <c r="P50" s="120">
        <v>-3.0019999999552967E-2</v>
      </c>
      <c r="Q50" s="120">
        <v>-8.537999999988824E-2</v>
      </c>
      <c r="R50" s="142">
        <v>-5951.5241299999989</v>
      </c>
      <c r="S50" s="120">
        <v>-366.60532000000001</v>
      </c>
      <c r="T50" s="120">
        <v>-127.48996999999997</v>
      </c>
      <c r="U50" s="120">
        <v>-0.15496000000002094</v>
      </c>
      <c r="V50" s="120">
        <v>0</v>
      </c>
      <c r="W50" s="142">
        <v>-494.25024999999999</v>
      </c>
      <c r="X50" s="120">
        <v>-840.3341099999999</v>
      </c>
      <c r="Y50" s="120">
        <v>-1.1964900000001071</v>
      </c>
      <c r="Z50" s="120">
        <v>-3.5399999999208374E-3</v>
      </c>
      <c r="AA50" s="120">
        <v>-3.6499999999999998E-2</v>
      </c>
      <c r="AB50" s="142">
        <v>-841.57064000000003</v>
      </c>
      <c r="AC50" s="120">
        <v>-1021.7229599999999</v>
      </c>
      <c r="AD50" s="120">
        <v>-1.0000000009313226E-5</v>
      </c>
      <c r="AE50" s="120">
        <v>-556.64506000000017</v>
      </c>
      <c r="AF50" s="120">
        <v>-3433.0893499999997</v>
      </c>
      <c r="AG50" s="142">
        <v>-5011.4573799999998</v>
      </c>
      <c r="AH50" s="120">
        <v>-198</v>
      </c>
      <c r="AI50" s="120">
        <v>-1</v>
      </c>
      <c r="AJ50" s="120">
        <v>-168</v>
      </c>
      <c r="AK50" s="120">
        <v>-127</v>
      </c>
      <c r="AL50" s="142">
        <v>-494</v>
      </c>
      <c r="AM50" s="120">
        <v>-22681</v>
      </c>
      <c r="AN50" s="120">
        <v>-8449</v>
      </c>
      <c r="AO50" s="120">
        <v>-855</v>
      </c>
      <c r="AP50" s="120">
        <v>-1960</v>
      </c>
      <c r="AQ50" s="142">
        <f t="shared" si="13"/>
        <v>-33945</v>
      </c>
      <c r="AR50" s="285"/>
    </row>
    <row r="51" spans="1:44">
      <c r="A51" s="11"/>
      <c r="B51" s="11"/>
      <c r="C51" s="11"/>
      <c r="D51" s="120"/>
      <c r="E51" s="120"/>
      <c r="F51" s="120"/>
      <c r="G51" s="120"/>
      <c r="H51" s="142"/>
      <c r="I51" s="120"/>
      <c r="J51" s="120"/>
      <c r="K51" s="120"/>
      <c r="L51" s="120"/>
      <c r="M51" s="142"/>
      <c r="N51" s="120"/>
      <c r="O51" s="120"/>
      <c r="P51" s="120"/>
      <c r="Q51" s="120"/>
      <c r="R51" s="142"/>
      <c r="S51" s="120"/>
      <c r="T51" s="120"/>
      <c r="U51" s="120"/>
      <c r="V51" s="120"/>
      <c r="W51" s="142"/>
      <c r="X51" s="120"/>
      <c r="Y51" s="120"/>
      <c r="Z51" s="120"/>
      <c r="AA51" s="120"/>
      <c r="AB51" s="142"/>
      <c r="AC51" s="120"/>
      <c r="AD51" s="120"/>
      <c r="AE51" s="120"/>
      <c r="AF51" s="120"/>
      <c r="AG51" s="142"/>
      <c r="AH51" s="120"/>
      <c r="AI51" s="120"/>
      <c r="AJ51" s="120"/>
      <c r="AK51" s="121"/>
      <c r="AL51" s="142">
        <v>0</v>
      </c>
      <c r="AM51" s="120"/>
      <c r="AN51" s="121"/>
      <c r="AO51" s="120"/>
      <c r="AP51" s="120"/>
      <c r="AQ51" s="142">
        <f t="shared" si="13"/>
        <v>0</v>
      </c>
      <c r="AR51" s="285"/>
    </row>
    <row r="52" spans="1:44">
      <c r="A52" s="54"/>
      <c r="B52" s="54" t="s">
        <v>324</v>
      </c>
      <c r="C52" s="9" t="s">
        <v>366</v>
      </c>
      <c r="D52" s="122">
        <v>292765.36902729271</v>
      </c>
      <c r="E52" s="122">
        <v>263656.49592717312</v>
      </c>
      <c r="F52" s="122">
        <v>286744.94300123496</v>
      </c>
      <c r="G52" s="122">
        <v>307399.81376796414</v>
      </c>
      <c r="H52" s="143">
        <v>1150566.6217236649</v>
      </c>
      <c r="I52" s="122">
        <v>346634.65586039086</v>
      </c>
      <c r="J52" s="122">
        <v>366832.93574195489</v>
      </c>
      <c r="K52" s="122">
        <v>340344.41178662272</v>
      </c>
      <c r="L52" s="122">
        <v>349525.11444319872</v>
      </c>
      <c r="M52" s="143">
        <v>1403337.1178321671</v>
      </c>
      <c r="N52" s="122">
        <v>409796.95011298521</v>
      </c>
      <c r="O52" s="122">
        <v>355669.4917423405</v>
      </c>
      <c r="P52" s="122">
        <v>387771.62541789107</v>
      </c>
      <c r="Q52" s="122">
        <v>468969.08262609312</v>
      </c>
      <c r="R52" s="143">
        <v>1622207.14989931</v>
      </c>
      <c r="S52" s="122">
        <v>423602.88199686207</v>
      </c>
      <c r="T52" s="122">
        <v>426910.16348320473</v>
      </c>
      <c r="U52" s="122">
        <v>477643.81431084999</v>
      </c>
      <c r="V52" s="122">
        <v>355825.64207149338</v>
      </c>
      <c r="W52" s="143">
        <v>1683982.5018624102</v>
      </c>
      <c r="X52" s="122">
        <v>447145.14606340294</v>
      </c>
      <c r="Y52" s="122">
        <v>421108.68904291483</v>
      </c>
      <c r="Z52" s="122">
        <v>595720.93302499992</v>
      </c>
      <c r="AA52" s="122">
        <v>508609.52211315319</v>
      </c>
      <c r="AB52" s="143">
        <v>1972584.2902444708</v>
      </c>
      <c r="AC52" s="122">
        <v>459876.06266</v>
      </c>
      <c r="AD52" s="122">
        <v>451093.00113000011</v>
      </c>
      <c r="AE52" s="122">
        <v>562688.21888000006</v>
      </c>
      <c r="AF52" s="122">
        <v>632992.70418</v>
      </c>
      <c r="AG52" s="143">
        <v>2106649.98685</v>
      </c>
      <c r="AH52" s="122">
        <f>AH48+AH46</f>
        <v>745835</v>
      </c>
      <c r="AI52" s="122">
        <f t="shared" ref="AI52:AP52" si="16">AI48+AI46</f>
        <v>758434.42999999993</v>
      </c>
      <c r="AJ52" s="122">
        <f t="shared" si="16"/>
        <v>1272574.3149999999</v>
      </c>
      <c r="AK52" s="122">
        <f t="shared" si="16"/>
        <v>698390</v>
      </c>
      <c r="AL52" s="143">
        <f t="shared" si="16"/>
        <v>3475232.7450000001</v>
      </c>
      <c r="AM52" s="122">
        <f t="shared" si="16"/>
        <v>934386</v>
      </c>
      <c r="AN52" s="122">
        <f t="shared" si="16"/>
        <v>984712</v>
      </c>
      <c r="AO52" s="122">
        <f t="shared" si="16"/>
        <v>1093828</v>
      </c>
      <c r="AP52" s="122">
        <f t="shared" si="16"/>
        <v>1052170</v>
      </c>
      <c r="AQ52" s="143">
        <f t="shared" si="13"/>
        <v>4065096</v>
      </c>
      <c r="AR52" s="285"/>
    </row>
    <row r="53" spans="1:44">
      <c r="D53" s="123"/>
      <c r="E53" s="123"/>
      <c r="F53" s="123"/>
      <c r="G53" s="123"/>
      <c r="H53" s="144"/>
      <c r="I53" s="123"/>
      <c r="J53" s="123"/>
      <c r="K53" s="123"/>
      <c r="L53" s="123"/>
      <c r="M53" s="144"/>
      <c r="N53" s="123"/>
      <c r="O53" s="123"/>
      <c r="P53" s="123"/>
      <c r="Q53" s="123"/>
      <c r="R53" s="144"/>
      <c r="S53" s="123"/>
      <c r="T53" s="123"/>
      <c r="U53" s="123"/>
      <c r="V53" s="123"/>
      <c r="W53" s="144"/>
      <c r="X53" s="123"/>
      <c r="Y53" s="123"/>
      <c r="Z53" s="123"/>
      <c r="AA53" s="123"/>
      <c r="AB53" s="144"/>
      <c r="AC53" s="123"/>
      <c r="AD53" s="123"/>
      <c r="AE53" s="123"/>
      <c r="AF53" s="123"/>
      <c r="AG53" s="144"/>
      <c r="AH53" s="123"/>
      <c r="AI53" s="123"/>
      <c r="AJ53" s="123"/>
      <c r="AK53" s="123">
        <v>0</v>
      </c>
      <c r="AL53" s="144">
        <f t="shared" ref="AL53" si="17">SUM(AH53:AK53)</f>
        <v>0</v>
      </c>
      <c r="AM53" s="123"/>
      <c r="AN53" s="123"/>
      <c r="AO53" s="123"/>
      <c r="AP53" s="123"/>
      <c r="AQ53" s="144">
        <f t="shared" si="13"/>
        <v>0</v>
      </c>
      <c r="AR53" s="285"/>
    </row>
    <row r="54" spans="1:44">
      <c r="A54" s="9"/>
      <c r="B54" s="9" t="s">
        <v>326</v>
      </c>
      <c r="C54" s="9" t="s">
        <v>327</v>
      </c>
      <c r="D54" s="122">
        <v>-32439.258460000001</v>
      </c>
      <c r="E54" s="122">
        <v>-28799.083560000003</v>
      </c>
      <c r="F54" s="122">
        <v>-36556.443429999992</v>
      </c>
      <c r="G54" s="122">
        <v>-36155.890210000005</v>
      </c>
      <c r="H54" s="143">
        <v>-133950.67566000001</v>
      </c>
      <c r="I54" s="122">
        <v>-46997.737650000003</v>
      </c>
      <c r="J54" s="122">
        <v>-42474.802869999992</v>
      </c>
      <c r="K54" s="122">
        <v>-43847.08971</v>
      </c>
      <c r="L54" s="122">
        <v>-42429.774840000005</v>
      </c>
      <c r="M54" s="143">
        <v>-175749.40507000001</v>
      </c>
      <c r="N54" s="122">
        <v>-65005.81192</v>
      </c>
      <c r="O54" s="122">
        <v>-48471.169189999993</v>
      </c>
      <c r="P54" s="122">
        <v>-44940.490500000007</v>
      </c>
      <c r="Q54" s="122">
        <v>-60376.173279999988</v>
      </c>
      <c r="R54" s="143">
        <v>-218793.64489</v>
      </c>
      <c r="S54" s="122">
        <v>-55697.54782</v>
      </c>
      <c r="T54" s="122">
        <v>-62276.76455</v>
      </c>
      <c r="U54" s="122">
        <v>-62767.25263000001</v>
      </c>
      <c r="V54" s="122">
        <v>-27210.030969999985</v>
      </c>
      <c r="W54" s="143">
        <v>-207951.59596999999</v>
      </c>
      <c r="X54" s="122">
        <v>-52976.324219999995</v>
      </c>
      <c r="Y54" s="122">
        <v>-48424.392359999998</v>
      </c>
      <c r="Z54" s="122">
        <v>-101615.43473000002</v>
      </c>
      <c r="AA54" s="122">
        <v>-73394.194679999971</v>
      </c>
      <c r="AB54" s="143">
        <v>-276410.34599</v>
      </c>
      <c r="AC54" s="122">
        <v>-54834.664099999995</v>
      </c>
      <c r="AD54" s="122">
        <v>-53138.731930000002</v>
      </c>
      <c r="AE54" s="122">
        <v>-97389.546020000023</v>
      </c>
      <c r="AF54" s="122">
        <v>-94720.263690000022</v>
      </c>
      <c r="AG54" s="143">
        <v>-300083.20574</v>
      </c>
      <c r="AH54" s="122">
        <f>SUM(AH55,AH58)</f>
        <v>-86716</v>
      </c>
      <c r="AI54" s="122">
        <f t="shared" ref="AI54:AK54" si="18">SUM(AI55,AI58)</f>
        <v>-99373</v>
      </c>
      <c r="AJ54" s="122">
        <f t="shared" si="18"/>
        <v>-129703</v>
      </c>
      <c r="AK54" s="122">
        <f t="shared" si="18"/>
        <v>-197373</v>
      </c>
      <c r="AL54" s="143">
        <f>SUM(AH54:AK54)</f>
        <v>-513165</v>
      </c>
      <c r="AM54" s="122">
        <f>AM55+AM58</f>
        <v>-120016</v>
      </c>
      <c r="AN54" s="122">
        <f>SUM(AN55,AN58)</f>
        <v>-115303</v>
      </c>
      <c r="AO54" s="122">
        <f>SUM(AO55,AO58)</f>
        <v>-119514</v>
      </c>
      <c r="AP54" s="122">
        <f>SUM(AP55,AP58)</f>
        <v>-128019</v>
      </c>
      <c r="AQ54" s="143">
        <f t="shared" si="13"/>
        <v>-482852</v>
      </c>
      <c r="AR54" s="285"/>
    </row>
    <row r="55" spans="1:44">
      <c r="A55" s="73"/>
      <c r="B55" s="73" t="s">
        <v>328</v>
      </c>
      <c r="C55" s="73" t="s">
        <v>329</v>
      </c>
      <c r="D55" s="120">
        <v>-32442.01699</v>
      </c>
      <c r="E55" s="120">
        <v>-28801.603500000001</v>
      </c>
      <c r="F55" s="120">
        <v>-36557.502709999993</v>
      </c>
      <c r="G55" s="120">
        <v>-36151.750960000005</v>
      </c>
      <c r="H55" s="142">
        <v>-133952.87416000001</v>
      </c>
      <c r="I55" s="120">
        <v>-46997.025890000004</v>
      </c>
      <c r="J55" s="120">
        <v>-42473.316129999992</v>
      </c>
      <c r="K55" s="120">
        <v>-43876.885589999998</v>
      </c>
      <c r="L55" s="120">
        <v>-42436.152100000007</v>
      </c>
      <c r="M55" s="142">
        <v>-175783.37971000001</v>
      </c>
      <c r="N55" s="120">
        <v>-64943.742129999999</v>
      </c>
      <c r="O55" s="120">
        <v>-48471.169189999993</v>
      </c>
      <c r="P55" s="120">
        <v>-44940.490500000007</v>
      </c>
      <c r="Q55" s="120">
        <v>-60376.173279999988</v>
      </c>
      <c r="R55" s="142">
        <v>-218731.57509999999</v>
      </c>
      <c r="S55" s="120">
        <v>-55695.422059999997</v>
      </c>
      <c r="T55" s="120">
        <v>-59037.532789999997</v>
      </c>
      <c r="U55" s="120">
        <v>-61375.76701000001</v>
      </c>
      <c r="V55" s="120">
        <v>-31840.748349999987</v>
      </c>
      <c r="W55" s="142">
        <v>-207949.47020999997</v>
      </c>
      <c r="X55" s="120">
        <v>-51879.784719999996</v>
      </c>
      <c r="Y55" s="120">
        <v>-47410.502759999996</v>
      </c>
      <c r="Z55" s="120">
        <v>-100662.87559000003</v>
      </c>
      <c r="AA55" s="120">
        <v>-76457.182919999977</v>
      </c>
      <c r="AB55" s="142">
        <v>-276410.34599</v>
      </c>
      <c r="AC55" s="120">
        <v>-53910.889759999998</v>
      </c>
      <c r="AD55" s="120">
        <v>-52168.189290000002</v>
      </c>
      <c r="AE55" s="120">
        <v>-96361.813860000024</v>
      </c>
      <c r="AF55" s="120">
        <v>-97642.31283000001</v>
      </c>
      <c r="AG55" s="142">
        <v>-300083.20574</v>
      </c>
      <c r="AH55" s="120">
        <v>-85447</v>
      </c>
      <c r="AI55" s="120">
        <v>-97948</v>
      </c>
      <c r="AJ55" s="120">
        <f>SUM(AJ56:AJ57)</f>
        <v>-128239</v>
      </c>
      <c r="AK55" s="120">
        <f>SUM(AK56:AK57)</f>
        <v>-201571</v>
      </c>
      <c r="AL55" s="142">
        <f t="shared" ref="AL55:AL61" si="19">SUM(AH55:AK55)</f>
        <v>-513205</v>
      </c>
      <c r="AM55" s="212">
        <f>SUM(AM56:AM57)</f>
        <v>-118125</v>
      </c>
      <c r="AN55" s="212">
        <f t="shared" ref="AN55:AP55" si="20">SUM(AN56:AN57)</f>
        <v>-113450</v>
      </c>
      <c r="AO55" s="212">
        <f t="shared" si="20"/>
        <v>-117755</v>
      </c>
      <c r="AP55" s="212">
        <f t="shared" si="20"/>
        <v>-133481</v>
      </c>
      <c r="AQ55" s="142">
        <f t="shared" si="13"/>
        <v>-482811</v>
      </c>
      <c r="AR55" s="123"/>
    </row>
    <row r="56" spans="1:44">
      <c r="A56" s="11"/>
      <c r="B56" s="11" t="s">
        <v>330</v>
      </c>
      <c r="C56" s="11" t="s">
        <v>331</v>
      </c>
      <c r="D56" s="120">
        <v>-23852.836019999999</v>
      </c>
      <c r="E56" s="120">
        <v>-21176.061400000002</v>
      </c>
      <c r="F56" s="120">
        <v>-26878.928459999992</v>
      </c>
      <c r="G56" s="120">
        <v>-26580.581590000005</v>
      </c>
      <c r="H56" s="142">
        <v>-98488.407469999991</v>
      </c>
      <c r="I56" s="120">
        <v>-34555.048450000002</v>
      </c>
      <c r="J56" s="120">
        <v>-31228.791269999994</v>
      </c>
      <c r="K56" s="120">
        <v>-32260.82764</v>
      </c>
      <c r="L56" s="120">
        <v>-31195.111840000005</v>
      </c>
      <c r="M56" s="142">
        <v>-129239.77919999999</v>
      </c>
      <c r="N56" s="120">
        <v>-47750.997920000002</v>
      </c>
      <c r="O56" s="120">
        <v>-35638.797829999996</v>
      </c>
      <c r="P56" s="120">
        <v>-33038.470290000005</v>
      </c>
      <c r="Q56" s="120">
        <v>-44471.215999999986</v>
      </c>
      <c r="R56" s="142">
        <v>-160899.48203999997</v>
      </c>
      <c r="S56" s="120">
        <v>-40949.339749999999</v>
      </c>
      <c r="T56" s="120">
        <v>-43406.774109999998</v>
      </c>
      <c r="U56" s="120">
        <v>-45148.152290000005</v>
      </c>
      <c r="V56" s="120">
        <v>-23451.181359999984</v>
      </c>
      <c r="W56" s="142">
        <v>-152955.44751</v>
      </c>
      <c r="X56" s="120">
        <v>-38145.311689999995</v>
      </c>
      <c r="Y56" s="120">
        <v>-34857.487329999996</v>
      </c>
      <c r="Z56" s="120">
        <v>-74013.643810000023</v>
      </c>
      <c r="AA56" s="120">
        <v>-56282.34467999998</v>
      </c>
      <c r="AB56" s="142">
        <v>-203298.78750999999</v>
      </c>
      <c r="AC56" s="120">
        <v>-39636.146549999998</v>
      </c>
      <c r="AD56" s="120">
        <v>-38408.489670000003</v>
      </c>
      <c r="AE56" s="120">
        <v>-70801.114650000018</v>
      </c>
      <c r="AF56" s="120">
        <v>-71890.544609999983</v>
      </c>
      <c r="AG56" s="142">
        <v>-220736.29548</v>
      </c>
      <c r="AH56" s="120">
        <v>-62846</v>
      </c>
      <c r="AI56" s="120">
        <v>-72016</v>
      </c>
      <c r="AJ56" s="120">
        <v>-94289</v>
      </c>
      <c r="AK56" s="120">
        <v>-148473</v>
      </c>
      <c r="AL56" s="142">
        <f t="shared" si="19"/>
        <v>-377624</v>
      </c>
      <c r="AM56" s="212">
        <v>-86843</v>
      </c>
      <c r="AN56" s="212">
        <v>-83423</v>
      </c>
      <c r="AO56" s="212">
        <v>-86743</v>
      </c>
      <c r="AP56" s="157">
        <v>-98143</v>
      </c>
      <c r="AQ56" s="142">
        <f t="shared" si="13"/>
        <v>-355152</v>
      </c>
      <c r="AR56" s="123"/>
    </row>
    <row r="57" spans="1:44">
      <c r="A57" s="11"/>
      <c r="B57" s="11" t="s">
        <v>332</v>
      </c>
      <c r="C57" s="11" t="s">
        <v>333</v>
      </c>
      <c r="D57" s="120">
        <v>-8589.1809700000013</v>
      </c>
      <c r="E57" s="120">
        <v>-7625.5420999999997</v>
      </c>
      <c r="F57" s="120">
        <v>-9678.5742499999997</v>
      </c>
      <c r="G57" s="120">
        <v>-9571.1693699999978</v>
      </c>
      <c r="H57" s="142">
        <v>-35464.466689999994</v>
      </c>
      <c r="I57" s="120">
        <v>-12441.977439999999</v>
      </c>
      <c r="J57" s="120">
        <v>-11244.524860000001</v>
      </c>
      <c r="K57" s="120">
        <v>-11616.057949999999</v>
      </c>
      <c r="L57" s="120">
        <v>-11241.040259999998</v>
      </c>
      <c r="M57" s="142">
        <v>-46543.600509999989</v>
      </c>
      <c r="N57" s="120">
        <v>-17192.744210000001</v>
      </c>
      <c r="O57" s="120">
        <v>-12832.371359999999</v>
      </c>
      <c r="P57" s="120">
        <v>-11902.020210000001</v>
      </c>
      <c r="Q57" s="120">
        <v>-15904.957280000001</v>
      </c>
      <c r="R57" s="142">
        <v>-57832.093060000007</v>
      </c>
      <c r="S57" s="120">
        <v>-14746.08231</v>
      </c>
      <c r="T57" s="120">
        <v>-15630.758679999997</v>
      </c>
      <c r="U57" s="120">
        <v>-16227.614720000003</v>
      </c>
      <c r="V57" s="120">
        <v>-8389.566990000003</v>
      </c>
      <c r="W57" s="142">
        <v>-54994.022700000001</v>
      </c>
      <c r="X57" s="120">
        <v>-13734.473029999999</v>
      </c>
      <c r="Y57" s="120">
        <v>-12553.015430000001</v>
      </c>
      <c r="Z57" s="120">
        <v>-26649.231780000002</v>
      </c>
      <c r="AA57" s="120">
        <v>-20174.838240000001</v>
      </c>
      <c r="AB57" s="142">
        <v>-73111.558480000007</v>
      </c>
      <c r="AC57" s="120">
        <v>-14274.743210000001</v>
      </c>
      <c r="AD57" s="120">
        <v>-13759.699619999998</v>
      </c>
      <c r="AE57" s="120">
        <v>-25560.699209999999</v>
      </c>
      <c r="AF57" s="120">
        <v>-25751.768220000005</v>
      </c>
      <c r="AG57" s="142">
        <v>-79346.910260000004</v>
      </c>
      <c r="AH57" s="120">
        <v>-22601</v>
      </c>
      <c r="AI57" s="120">
        <v>-25932</v>
      </c>
      <c r="AJ57" s="120">
        <v>-33950</v>
      </c>
      <c r="AK57" s="120">
        <v>-53098</v>
      </c>
      <c r="AL57" s="142">
        <f t="shared" si="19"/>
        <v>-135581</v>
      </c>
      <c r="AM57" s="212">
        <v>-31282</v>
      </c>
      <c r="AN57" s="212">
        <v>-30027</v>
      </c>
      <c r="AO57" s="212">
        <v>-31012</v>
      </c>
      <c r="AP57" s="157">
        <v>-35338</v>
      </c>
      <c r="AQ57" s="142">
        <f t="shared" si="13"/>
        <v>-127659</v>
      </c>
      <c r="AR57" s="123"/>
    </row>
    <row r="58" spans="1:44">
      <c r="A58" s="73"/>
      <c r="B58" s="73" t="s">
        <v>334</v>
      </c>
      <c r="C58" s="73" t="s">
        <v>335</v>
      </c>
      <c r="D58" s="120">
        <v>2.7585299999999999</v>
      </c>
      <c r="E58" s="120">
        <v>2.5199400000000005</v>
      </c>
      <c r="F58" s="120">
        <v>1.0592799999999998</v>
      </c>
      <c r="G58" s="120">
        <v>-4.1392499999999997</v>
      </c>
      <c r="H58" s="142">
        <v>2.1985000000000001</v>
      </c>
      <c r="I58" s="120">
        <v>-0.71175999999999995</v>
      </c>
      <c r="J58" s="120">
        <v>-1.486739999999998</v>
      </c>
      <c r="K58" s="120">
        <v>29.795879999999997</v>
      </c>
      <c r="L58" s="120">
        <v>6.3772600000000024</v>
      </c>
      <c r="M58" s="142">
        <v>33.974640000000001</v>
      </c>
      <c r="N58" s="120">
        <v>-62.069790000000005</v>
      </c>
      <c r="O58" s="120">
        <v>0</v>
      </c>
      <c r="P58" s="120">
        <v>0</v>
      </c>
      <c r="Q58" s="120">
        <v>0</v>
      </c>
      <c r="R58" s="142">
        <v>-62.069790000000005</v>
      </c>
      <c r="S58" s="120">
        <v>-2.1257600000000001</v>
      </c>
      <c r="T58" s="120">
        <v>-3239.2317599999997</v>
      </c>
      <c r="U58" s="120">
        <v>-1391.4856200000002</v>
      </c>
      <c r="V58" s="120">
        <v>4630.71738</v>
      </c>
      <c r="W58" s="142">
        <v>-2.1257599999999002</v>
      </c>
      <c r="X58" s="120">
        <v>-1096.5395000000001</v>
      </c>
      <c r="Y58" s="120">
        <v>-1013.8895999999996</v>
      </c>
      <c r="Z58" s="120">
        <v>-952.55914000000018</v>
      </c>
      <c r="AA58" s="120">
        <v>3062.9882399999992</v>
      </c>
      <c r="AB58" s="142">
        <v>0</v>
      </c>
      <c r="AC58" s="120">
        <v>-923.77433999999994</v>
      </c>
      <c r="AD58" s="120">
        <v>-970.54264000000001</v>
      </c>
      <c r="AE58" s="120">
        <v>-1027.7321599999996</v>
      </c>
      <c r="AF58" s="120">
        <v>2922.0491399999996</v>
      </c>
      <c r="AG58" s="142">
        <v>0</v>
      </c>
      <c r="AH58" s="120">
        <v>-1269</v>
      </c>
      <c r="AI58" s="120">
        <v>-1425</v>
      </c>
      <c r="AJ58" s="120">
        <v>-1464</v>
      </c>
      <c r="AK58" s="120">
        <v>4198</v>
      </c>
      <c r="AL58" s="142">
        <f t="shared" si="19"/>
        <v>40</v>
      </c>
      <c r="AM58" s="212">
        <v>-1891</v>
      </c>
      <c r="AN58" s="212">
        <v>-1853</v>
      </c>
      <c r="AO58" s="157">
        <v>-1759</v>
      </c>
      <c r="AP58" s="157">
        <v>5462</v>
      </c>
      <c r="AQ58" s="142">
        <f t="shared" si="13"/>
        <v>-41</v>
      </c>
      <c r="AR58" s="123"/>
    </row>
    <row r="59" spans="1:44">
      <c r="A59" s="15"/>
      <c r="B59" s="15" t="s">
        <v>336</v>
      </c>
      <c r="C59" s="15" t="s">
        <v>367</v>
      </c>
      <c r="D59" s="124">
        <v>260326.11056729269</v>
      </c>
      <c r="E59" s="124">
        <v>234857.41236717312</v>
      </c>
      <c r="F59" s="124">
        <v>250188.49957123498</v>
      </c>
      <c r="G59" s="124">
        <v>271243.92355796415</v>
      </c>
      <c r="H59" s="272">
        <v>1016615.946063665</v>
      </c>
      <c r="I59" s="124">
        <v>299636.91821039084</v>
      </c>
      <c r="J59" s="124">
        <v>324358.13287195488</v>
      </c>
      <c r="K59" s="124">
        <v>296497.32207662275</v>
      </c>
      <c r="L59" s="124">
        <v>307095.33960319869</v>
      </c>
      <c r="M59" s="272">
        <v>1227587.7127621672</v>
      </c>
      <c r="N59" s="124">
        <v>344791.13819298521</v>
      </c>
      <c r="O59" s="124">
        <v>307198.32255234051</v>
      </c>
      <c r="P59" s="124">
        <v>342831.13491789106</v>
      </c>
      <c r="Q59" s="124">
        <v>408592.90934609313</v>
      </c>
      <c r="R59" s="272">
        <v>1403413.5050093101</v>
      </c>
      <c r="S59" s="124">
        <v>367905.33417686209</v>
      </c>
      <c r="T59" s="124">
        <v>364633.39893320471</v>
      </c>
      <c r="U59" s="124">
        <v>414876.56168084999</v>
      </c>
      <c r="V59" s="124">
        <v>328615.61110149341</v>
      </c>
      <c r="W59" s="272">
        <v>1476030.9058924101</v>
      </c>
      <c r="X59" s="124">
        <v>394168.82184340293</v>
      </c>
      <c r="Y59" s="124">
        <v>372684.29668291484</v>
      </c>
      <c r="Z59" s="124">
        <v>494105.49829499988</v>
      </c>
      <c r="AA59" s="124">
        <v>435215.32743315323</v>
      </c>
      <c r="AB59" s="272">
        <v>1696173.944254471</v>
      </c>
      <c r="AC59" s="124">
        <v>405041.39856</v>
      </c>
      <c r="AD59" s="124">
        <v>397954.2692000001</v>
      </c>
      <c r="AE59" s="124">
        <v>465298.67286000005</v>
      </c>
      <c r="AF59" s="124">
        <v>538272.44048999995</v>
      </c>
      <c r="AG59" s="272">
        <v>1806566.7811100001</v>
      </c>
      <c r="AH59" s="124">
        <f>AH52+AH54</f>
        <v>659119</v>
      </c>
      <c r="AI59" s="124">
        <f t="shared" ref="AI59:AK59" si="21">AI52+AI54</f>
        <v>659061.42999999993</v>
      </c>
      <c r="AJ59" s="124">
        <f>AJ52+AJ54-0.5</f>
        <v>1142870.8149999999</v>
      </c>
      <c r="AK59" s="124">
        <f t="shared" si="21"/>
        <v>501017</v>
      </c>
      <c r="AL59" s="272">
        <f t="shared" si="19"/>
        <v>2962068.2450000001</v>
      </c>
      <c r="AM59" s="124">
        <f>SUM(AM52,AM54)</f>
        <v>814370</v>
      </c>
      <c r="AN59" s="124">
        <f>SUM(AN52,AN54)</f>
        <v>869409</v>
      </c>
      <c r="AO59" s="124">
        <f>SUM(AO52,AO54)</f>
        <v>974314</v>
      </c>
      <c r="AP59" s="124">
        <f>SUM(AP52,AP54)</f>
        <v>924151</v>
      </c>
      <c r="AQ59" s="272">
        <f t="shared" si="13"/>
        <v>3582244</v>
      </c>
      <c r="AR59" s="123"/>
    </row>
    <row r="60" spans="1:44">
      <c r="A60" s="9"/>
      <c r="B60" s="9" t="s">
        <v>338</v>
      </c>
      <c r="C60" s="9" t="s">
        <v>368</v>
      </c>
      <c r="D60" s="274">
        <v>18187.27895453672</v>
      </c>
      <c r="E60" s="274">
        <v>20656.206533774923</v>
      </c>
      <c r="F60" s="274">
        <v>20856.749418764994</v>
      </c>
      <c r="G60" s="274">
        <v>14592.931359258419</v>
      </c>
      <c r="H60" s="275">
        <v>74293.166266335058</v>
      </c>
      <c r="I60" s="274">
        <v>21592.651269609149</v>
      </c>
      <c r="J60" s="274">
        <v>15983.778238045166</v>
      </c>
      <c r="K60" s="274">
        <v>18152.455953377219</v>
      </c>
      <c r="L60" s="274">
        <v>15533.790506801284</v>
      </c>
      <c r="M60" s="275">
        <v>71262.675967832824</v>
      </c>
      <c r="N60" s="274">
        <v>25355.829697014771</v>
      </c>
      <c r="O60" s="274">
        <v>16255.212067659457</v>
      </c>
      <c r="P60" s="274">
        <v>15983.445532108901</v>
      </c>
      <c r="Q60" s="274">
        <v>16599.470323906869</v>
      </c>
      <c r="R60" s="275">
        <v>74193.957620689995</v>
      </c>
      <c r="S60" s="274">
        <v>27532.806263137943</v>
      </c>
      <c r="T60" s="274">
        <v>19014.116576795255</v>
      </c>
      <c r="U60" s="274">
        <v>22232.136149150007</v>
      </c>
      <c r="V60" s="274">
        <v>-8753.3329314933217</v>
      </c>
      <c r="W60" s="275">
        <v>60025.726057589884</v>
      </c>
      <c r="X60" s="274">
        <v>19760.962956597043</v>
      </c>
      <c r="Y60" s="274">
        <v>21253.706937085131</v>
      </c>
      <c r="Z60" s="274">
        <v>14024.878005000122</v>
      </c>
      <c r="AA60" s="274">
        <v>18199.952646846628</v>
      </c>
      <c r="AB60" s="275">
        <v>73239.500545528921</v>
      </c>
      <c r="AC60" s="274">
        <v>26616</v>
      </c>
      <c r="AD60" s="274">
        <v>28679.30739537</v>
      </c>
      <c r="AE60" s="274">
        <v>26839.053043750002</v>
      </c>
      <c r="AF60" s="274">
        <v>7451.24487469</v>
      </c>
      <c r="AG60" s="275">
        <v>89585.605313810011</v>
      </c>
      <c r="AH60" s="274">
        <v>25420</v>
      </c>
      <c r="AI60" s="274">
        <v>14955.57</v>
      </c>
      <c r="AJ60" s="274">
        <v>6184</v>
      </c>
      <c r="AK60" s="274">
        <v>335</v>
      </c>
      <c r="AL60" s="275">
        <f t="shared" si="19"/>
        <v>46894.57</v>
      </c>
      <c r="AM60" s="274">
        <v>0</v>
      </c>
      <c r="AN60" s="274">
        <v>0</v>
      </c>
      <c r="AO60" s="274">
        <v>0</v>
      </c>
      <c r="AP60" s="274">
        <v>0</v>
      </c>
      <c r="AQ60" s="275">
        <v>0</v>
      </c>
    </row>
    <row r="61" spans="1:44" ht="15.75" thickBot="1">
      <c r="A61" s="15"/>
      <c r="B61" s="15" t="s">
        <v>340</v>
      </c>
      <c r="C61" s="15" t="s">
        <v>405</v>
      </c>
      <c r="D61" s="124">
        <v>278513.38952182943</v>
      </c>
      <c r="E61" s="124">
        <v>255513.61890094803</v>
      </c>
      <c r="F61" s="124">
        <v>271045.24898999999</v>
      </c>
      <c r="G61" s="124">
        <v>285836.85491722258</v>
      </c>
      <c r="H61" s="145">
        <v>1090909.1123299999</v>
      </c>
      <c r="I61" s="124">
        <v>321229.56948000001</v>
      </c>
      <c r="J61" s="124">
        <v>340341.91111000004</v>
      </c>
      <c r="K61" s="124">
        <v>314649.77802999999</v>
      </c>
      <c r="L61" s="124">
        <v>322629.13010999997</v>
      </c>
      <c r="M61" s="145">
        <v>1298850.38873</v>
      </c>
      <c r="N61" s="124">
        <v>370146.96788999997</v>
      </c>
      <c r="O61" s="124">
        <v>323453.53461999999</v>
      </c>
      <c r="P61" s="124">
        <v>358814.58044999995</v>
      </c>
      <c r="Q61" s="124">
        <v>425192.37966999999</v>
      </c>
      <c r="R61" s="145">
        <v>1477607.46263</v>
      </c>
      <c r="S61" s="124">
        <v>395438.14044000005</v>
      </c>
      <c r="T61" s="124">
        <v>383647.51550999994</v>
      </c>
      <c r="U61" s="124">
        <v>437108.69783000002</v>
      </c>
      <c r="V61" s="124">
        <v>319862.27817000006</v>
      </c>
      <c r="W61" s="145">
        <v>1536056.6319500001</v>
      </c>
      <c r="X61" s="124">
        <v>413929.78479999996</v>
      </c>
      <c r="Y61" s="124">
        <v>393938.00361999997</v>
      </c>
      <c r="Z61" s="124">
        <v>508130.3763</v>
      </c>
      <c r="AA61" s="124">
        <v>453415.28007999988</v>
      </c>
      <c r="AB61" s="145">
        <v>1769413.4447999999</v>
      </c>
      <c r="AC61" s="124">
        <v>431657.39856</v>
      </c>
      <c r="AD61" s="124">
        <v>426633.57659537008</v>
      </c>
      <c r="AE61" s="124">
        <v>492137.72590375005</v>
      </c>
      <c r="AF61" s="124">
        <v>545723.68536468991</v>
      </c>
      <c r="AG61" s="145">
        <v>1896152.3864238102</v>
      </c>
      <c r="AH61" s="124">
        <f t="shared" ref="AH61:AP61" si="22">AH59+AH60</f>
        <v>684539</v>
      </c>
      <c r="AI61" s="124">
        <f t="shared" si="22"/>
        <v>674016.99999999988</v>
      </c>
      <c r="AJ61" s="124">
        <f t="shared" si="22"/>
        <v>1149054.8149999999</v>
      </c>
      <c r="AK61" s="124">
        <f t="shared" si="22"/>
        <v>501352</v>
      </c>
      <c r="AL61" s="145">
        <f t="shared" si="19"/>
        <v>3008962.8149999999</v>
      </c>
      <c r="AM61" s="124">
        <f t="shared" si="22"/>
        <v>814370</v>
      </c>
      <c r="AN61" s="124">
        <f t="shared" si="22"/>
        <v>869409</v>
      </c>
      <c r="AO61" s="124">
        <f t="shared" si="22"/>
        <v>974314</v>
      </c>
      <c r="AP61" s="124">
        <f t="shared" si="22"/>
        <v>924151</v>
      </c>
      <c r="AQ61" s="145">
        <f t="shared" ref="AQ61" si="23">SUM(AM61:AP61)</f>
        <v>3582244</v>
      </c>
      <c r="AR61" s="123"/>
    </row>
    <row r="62" spans="1:44">
      <c r="AH62" s="110"/>
      <c r="AI62" s="110"/>
      <c r="AJ62" s="110"/>
      <c r="AK62" s="110"/>
      <c r="AL62" s="469"/>
      <c r="AM62" s="469"/>
      <c r="AN62" s="469"/>
      <c r="AO62" s="469"/>
      <c r="AP62" s="469"/>
      <c r="AQ62" s="469"/>
      <c r="AR62" s="285"/>
    </row>
    <row r="63" spans="1:44" ht="15.75" thickBot="1">
      <c r="AK63" s="123"/>
      <c r="AL63" s="491"/>
      <c r="AM63" s="110"/>
      <c r="AN63" s="110"/>
      <c r="AO63" s="110"/>
      <c r="AP63" s="110"/>
      <c r="AQ63" s="110"/>
    </row>
    <row r="64" spans="1:44" ht="15.75" thickBot="1">
      <c r="A64" s="28"/>
      <c r="B64" s="28" t="s">
        <v>370</v>
      </c>
      <c r="C64" s="28" t="s">
        <v>406</v>
      </c>
      <c r="D64" s="35" t="s">
        <v>188</v>
      </c>
      <c r="E64" s="35" t="s">
        <v>189</v>
      </c>
      <c r="F64" s="35" t="s">
        <v>190</v>
      </c>
      <c r="G64" s="228" t="s">
        <v>191</v>
      </c>
      <c r="H64" s="38">
        <v>2016</v>
      </c>
      <c r="I64" s="35" t="s">
        <v>192</v>
      </c>
      <c r="J64" s="35" t="s">
        <v>193</v>
      </c>
      <c r="K64" s="35" t="s">
        <v>194</v>
      </c>
      <c r="L64" s="35" t="s">
        <v>195</v>
      </c>
      <c r="M64" s="38">
        <v>2017</v>
      </c>
      <c r="N64" s="35" t="s">
        <v>196</v>
      </c>
      <c r="O64" s="35" t="s">
        <v>197</v>
      </c>
      <c r="P64" s="35" t="s">
        <v>198</v>
      </c>
      <c r="Q64" s="35" t="s">
        <v>199</v>
      </c>
      <c r="R64" s="38">
        <v>2018</v>
      </c>
      <c r="S64" s="35" t="s">
        <v>200</v>
      </c>
      <c r="T64" s="35" t="s">
        <v>201</v>
      </c>
      <c r="U64" s="35" t="s">
        <v>202</v>
      </c>
      <c r="V64" s="35" t="s">
        <v>203</v>
      </c>
      <c r="W64" s="38">
        <v>2019</v>
      </c>
      <c r="X64" s="35" t="s">
        <v>204</v>
      </c>
      <c r="Y64" s="35" t="s">
        <v>205</v>
      </c>
      <c r="Z64" s="35" t="s">
        <v>206</v>
      </c>
      <c r="AA64" s="35" t="s">
        <v>207</v>
      </c>
      <c r="AB64" s="38">
        <v>2020</v>
      </c>
      <c r="AC64" s="35" t="s">
        <v>208</v>
      </c>
      <c r="AD64" s="35" t="s">
        <v>209</v>
      </c>
      <c r="AE64" s="35" t="s">
        <v>210</v>
      </c>
      <c r="AF64" s="35" t="s">
        <v>211</v>
      </c>
      <c r="AG64" s="38">
        <v>2021</v>
      </c>
      <c r="AH64" s="35" t="s">
        <v>386</v>
      </c>
      <c r="AI64" s="35" t="s">
        <v>387</v>
      </c>
      <c r="AJ64" s="35" t="s">
        <v>388</v>
      </c>
      <c r="AK64" s="35" t="s">
        <v>389</v>
      </c>
      <c r="AL64" s="38" t="s">
        <v>390</v>
      </c>
      <c r="AM64" s="35" t="s">
        <v>391</v>
      </c>
      <c r="AN64" s="35" t="s">
        <v>392</v>
      </c>
      <c r="AO64" s="35" t="s">
        <v>393</v>
      </c>
      <c r="AP64" s="35" t="s">
        <v>394</v>
      </c>
      <c r="AQ64" s="38" t="s">
        <v>395</v>
      </c>
    </row>
    <row r="65" spans="1:43">
      <c r="A65" s="28"/>
      <c r="B65" s="28" t="s">
        <v>370</v>
      </c>
      <c r="C65" s="28" t="s">
        <v>406</v>
      </c>
      <c r="D65" s="35" t="s">
        <v>224</v>
      </c>
      <c r="E65" s="35" t="s">
        <v>225</v>
      </c>
      <c r="F65" s="35" t="s">
        <v>226</v>
      </c>
      <c r="G65" s="228" t="s">
        <v>227</v>
      </c>
      <c r="H65" s="38">
        <v>2016</v>
      </c>
      <c r="I65" s="35" t="s">
        <v>228</v>
      </c>
      <c r="J65" s="35" t="s">
        <v>229</v>
      </c>
      <c r="K65" s="35" t="s">
        <v>230</v>
      </c>
      <c r="L65" s="35" t="s">
        <v>231</v>
      </c>
      <c r="M65" s="38">
        <v>2017</v>
      </c>
      <c r="N65" s="35" t="s">
        <v>232</v>
      </c>
      <c r="O65" s="35" t="s">
        <v>233</v>
      </c>
      <c r="P65" s="35" t="s">
        <v>234</v>
      </c>
      <c r="Q65" s="35" t="s">
        <v>235</v>
      </c>
      <c r="R65" s="38">
        <v>2018</v>
      </c>
      <c r="S65" s="35" t="s">
        <v>236</v>
      </c>
      <c r="T65" s="35" t="s">
        <v>237</v>
      </c>
      <c r="U65" s="35" t="s">
        <v>238</v>
      </c>
      <c r="V65" s="35" t="s">
        <v>239</v>
      </c>
      <c r="W65" s="38">
        <v>2019</v>
      </c>
      <c r="X65" s="35" t="s">
        <v>240</v>
      </c>
      <c r="Y65" s="35" t="s">
        <v>241</v>
      </c>
      <c r="Z65" s="35" t="s">
        <v>242</v>
      </c>
      <c r="AA65" s="35" t="s">
        <v>243</v>
      </c>
      <c r="AB65" s="38">
        <v>2020</v>
      </c>
      <c r="AC65" s="35" t="s">
        <v>244</v>
      </c>
      <c r="AD65" s="35" t="s">
        <v>245</v>
      </c>
      <c r="AE65" s="35" t="s">
        <v>246</v>
      </c>
      <c r="AF65" s="35" t="s">
        <v>247</v>
      </c>
      <c r="AG65" s="38">
        <v>2021</v>
      </c>
      <c r="AH65" s="35" t="s">
        <v>397</v>
      </c>
      <c r="AI65" s="35" t="s">
        <v>398</v>
      </c>
      <c r="AJ65" s="35" t="s">
        <v>399</v>
      </c>
      <c r="AK65" s="35" t="s">
        <v>400</v>
      </c>
      <c r="AL65" s="38" t="s">
        <v>390</v>
      </c>
      <c r="AM65" s="35" t="s">
        <v>401</v>
      </c>
      <c r="AN65" s="35" t="s">
        <v>402</v>
      </c>
      <c r="AO65" s="35" t="s">
        <v>403</v>
      </c>
      <c r="AP65" s="35" t="s">
        <v>404</v>
      </c>
      <c r="AQ65" s="38" t="s">
        <v>395</v>
      </c>
    </row>
    <row r="66" spans="1:43">
      <c r="A66" s="54"/>
      <c r="B66" s="54" t="s">
        <v>258</v>
      </c>
      <c r="C66" s="54" t="s">
        <v>259</v>
      </c>
      <c r="D66" s="125">
        <v>306635.72104546329</v>
      </c>
      <c r="E66" s="125">
        <v>274306.79346622509</v>
      </c>
      <c r="F66" s="125">
        <v>298515.25058123504</v>
      </c>
      <c r="G66" s="125">
        <v>321111.06864074158</v>
      </c>
      <c r="H66" s="118">
        <v>1200568.8337336651</v>
      </c>
      <c r="I66" s="125">
        <v>363428.12732039089</v>
      </c>
      <c r="J66" s="125">
        <v>380408.80876195489</v>
      </c>
      <c r="K66" s="125">
        <v>356398.93338662281</v>
      </c>
      <c r="L66" s="125">
        <v>362387.32913319871</v>
      </c>
      <c r="M66" s="118">
        <v>1462623.1986021672</v>
      </c>
      <c r="N66" s="125">
        <v>435183.6734329852</v>
      </c>
      <c r="O66" s="125">
        <v>375482.36627234053</v>
      </c>
      <c r="P66" s="125">
        <v>410792.748007891</v>
      </c>
      <c r="Q66" s="125">
        <v>455047.22687609331</v>
      </c>
      <c r="R66" s="118">
        <v>1676506.0145893102</v>
      </c>
      <c r="S66" s="125">
        <v>448096.19373686204</v>
      </c>
      <c r="T66" s="125">
        <v>440470.88342320477</v>
      </c>
      <c r="U66" s="125">
        <v>496113.86385084997</v>
      </c>
      <c r="V66" s="125">
        <v>374239.66308149335</v>
      </c>
      <c r="W66" s="118">
        <v>1758920.6040924103</v>
      </c>
      <c r="X66" s="125">
        <v>472377.03704340296</v>
      </c>
      <c r="Y66" s="125">
        <v>442726.29306291486</v>
      </c>
      <c r="Z66" s="125">
        <v>635042.12199499994</v>
      </c>
      <c r="AA66" s="125">
        <v>539142.04735315335</v>
      </c>
      <c r="AB66" s="118">
        <v>2089287.499454471</v>
      </c>
      <c r="AC66" s="125">
        <v>445557</v>
      </c>
      <c r="AD66" s="125">
        <v>427371.59249463002</v>
      </c>
      <c r="AE66" s="125">
        <v>484959.05678624997</v>
      </c>
      <c r="AF66" s="125">
        <v>554223.75512531004</v>
      </c>
      <c r="AG66" s="118">
        <v>1912111.4044061899</v>
      </c>
      <c r="AH66" s="337">
        <f>SUM(AH67:AH68)</f>
        <v>680529</v>
      </c>
      <c r="AI66" s="337">
        <f t="shared" ref="AI66:AP66" si="24">SUM(AI67:AI68)</f>
        <v>679456.42999999993</v>
      </c>
      <c r="AJ66" s="337">
        <f t="shared" si="24"/>
        <v>1163702</v>
      </c>
      <c r="AK66" s="125">
        <f t="shared" si="24"/>
        <v>321683</v>
      </c>
      <c r="AL66" s="118">
        <f t="shared" si="24"/>
        <v>2845369.86</v>
      </c>
      <c r="AM66" s="337">
        <f t="shared" si="24"/>
        <v>823810</v>
      </c>
      <c r="AN66" s="337">
        <f t="shared" si="24"/>
        <v>891765</v>
      </c>
      <c r="AO66" s="337">
        <f t="shared" si="24"/>
        <v>999427</v>
      </c>
      <c r="AP66" s="337">
        <f t="shared" si="24"/>
        <v>943639</v>
      </c>
      <c r="AQ66" s="118">
        <f t="shared" ref="AQ66:AQ80" si="25">SUM(AM66:AP66)</f>
        <v>3658641</v>
      </c>
    </row>
    <row r="67" spans="1:43" ht="14.25" customHeight="1">
      <c r="A67" s="55"/>
      <c r="B67" s="55" t="s">
        <v>260</v>
      </c>
      <c r="C67" s="55" t="s">
        <v>261</v>
      </c>
      <c r="D67" s="126">
        <v>218067.72104546329</v>
      </c>
      <c r="E67" s="126">
        <v>204924.79346622509</v>
      </c>
      <c r="F67" s="126">
        <v>218017.25058123501</v>
      </c>
      <c r="G67" s="126">
        <v>231474.06864074158</v>
      </c>
      <c r="H67" s="146">
        <v>872483.83373366506</v>
      </c>
      <c r="I67" s="126">
        <v>225814.77215039087</v>
      </c>
      <c r="J67" s="126">
        <v>253499.79034195485</v>
      </c>
      <c r="K67" s="126">
        <v>241597.22829</v>
      </c>
      <c r="L67" s="126">
        <v>268913.31305999996</v>
      </c>
      <c r="M67" s="146">
        <v>989825.10384234565</v>
      </c>
      <c r="N67" s="126">
        <v>232413.31130298524</v>
      </c>
      <c r="O67" s="126">
        <v>219547.80856234056</v>
      </c>
      <c r="P67" s="126">
        <v>257932.4333578911</v>
      </c>
      <c r="Q67" s="126">
        <v>300200.23017609312</v>
      </c>
      <c r="R67" s="146">
        <v>1010093.78339931</v>
      </c>
      <c r="S67" s="127">
        <v>266188.19373686204</v>
      </c>
      <c r="T67" s="127">
        <v>256054.88342320474</v>
      </c>
      <c r="U67" s="127">
        <v>303827.86385084997</v>
      </c>
      <c r="V67" s="127">
        <v>286516.46954149334</v>
      </c>
      <c r="W67" s="146">
        <v>1112587.4105524102</v>
      </c>
      <c r="X67" s="127">
        <v>299310.03704340296</v>
      </c>
      <c r="Y67" s="127">
        <v>285646.29306291486</v>
      </c>
      <c r="Z67" s="127">
        <v>308341.12199499988</v>
      </c>
      <c r="AA67" s="127">
        <v>301300.04735315335</v>
      </c>
      <c r="AB67" s="146">
        <v>1194597.499454471</v>
      </c>
      <c r="AC67" s="127">
        <v>366659</v>
      </c>
      <c r="AD67" s="127">
        <v>380894.58350463002</v>
      </c>
      <c r="AE67" s="127">
        <v>446838.94996624999</v>
      </c>
      <c r="AF67" s="127">
        <v>536840.75512531004</v>
      </c>
      <c r="AG67" s="146">
        <v>1731233.28859619</v>
      </c>
      <c r="AH67" s="338">
        <v>639024</v>
      </c>
      <c r="AI67" s="338">
        <v>647319.42999999993</v>
      </c>
      <c r="AJ67" s="338">
        <v>1130142</v>
      </c>
      <c r="AK67" s="127">
        <v>287238</v>
      </c>
      <c r="AL67" s="146">
        <v>2703722.86</v>
      </c>
      <c r="AM67" s="338">
        <v>783481</v>
      </c>
      <c r="AN67" s="338">
        <v>853483</v>
      </c>
      <c r="AO67" s="338">
        <v>960956</v>
      </c>
      <c r="AP67" s="338">
        <v>903471</v>
      </c>
      <c r="AQ67" s="146">
        <f t="shared" si="25"/>
        <v>3501391</v>
      </c>
    </row>
    <row r="68" spans="1:43">
      <c r="A68" s="55"/>
      <c r="B68" s="55" t="s">
        <v>272</v>
      </c>
      <c r="C68" s="55" t="s">
        <v>361</v>
      </c>
      <c r="D68" s="126">
        <v>88568</v>
      </c>
      <c r="E68" s="126">
        <v>69382</v>
      </c>
      <c r="F68" s="126">
        <v>80498</v>
      </c>
      <c r="G68" s="126">
        <v>89637</v>
      </c>
      <c r="H68" s="146">
        <v>328085</v>
      </c>
      <c r="I68" s="126">
        <v>137613.35517000002</v>
      </c>
      <c r="J68" s="126">
        <v>126909.01842000001</v>
      </c>
      <c r="K68" s="126">
        <v>114801.70509662278</v>
      </c>
      <c r="L68" s="126">
        <v>93474.016073198727</v>
      </c>
      <c r="M68" s="146">
        <v>472798.09475982154</v>
      </c>
      <c r="N68" s="126">
        <v>202770.36212999999</v>
      </c>
      <c r="O68" s="126">
        <v>155934.55770999999</v>
      </c>
      <c r="P68" s="126">
        <v>152860.31464999993</v>
      </c>
      <c r="Q68" s="126">
        <v>154846.99670000016</v>
      </c>
      <c r="R68" s="146">
        <v>666412.23119000008</v>
      </c>
      <c r="S68" s="127">
        <v>181908</v>
      </c>
      <c r="T68" s="127">
        <v>184416</v>
      </c>
      <c r="U68" s="127">
        <v>192286</v>
      </c>
      <c r="V68" s="127">
        <v>87723.193540000007</v>
      </c>
      <c r="W68" s="146">
        <v>646333.19354000001</v>
      </c>
      <c r="X68" s="127">
        <v>173067</v>
      </c>
      <c r="Y68" s="127">
        <v>157080</v>
      </c>
      <c r="Z68" s="127">
        <v>326701</v>
      </c>
      <c r="AA68" s="127">
        <v>237842</v>
      </c>
      <c r="AB68" s="146">
        <v>894690</v>
      </c>
      <c r="AC68" s="127">
        <v>78898</v>
      </c>
      <c r="AD68" s="127">
        <v>46477.008990000017</v>
      </c>
      <c r="AE68" s="127">
        <v>38120.106819999972</v>
      </c>
      <c r="AF68" s="127">
        <v>17383</v>
      </c>
      <c r="AG68" s="146">
        <v>180878.11580999999</v>
      </c>
      <c r="AH68" s="338">
        <v>41505</v>
      </c>
      <c r="AI68" s="338">
        <v>32137</v>
      </c>
      <c r="AJ68" s="338">
        <v>33560</v>
      </c>
      <c r="AK68" s="127">
        <v>34445</v>
      </c>
      <c r="AL68" s="333">
        <v>141647</v>
      </c>
      <c r="AM68" s="338">
        <v>40329</v>
      </c>
      <c r="AN68" s="338">
        <v>38282</v>
      </c>
      <c r="AO68" s="338">
        <v>38471</v>
      </c>
      <c r="AP68" s="338">
        <v>40168</v>
      </c>
      <c r="AQ68" s="146">
        <f t="shared" si="25"/>
        <v>157250</v>
      </c>
    </row>
    <row r="69" spans="1:43">
      <c r="A69" s="57"/>
      <c r="B69" s="57" t="s">
        <v>287</v>
      </c>
      <c r="C69" s="57" t="s">
        <v>363</v>
      </c>
      <c r="D69" s="128">
        <v>0</v>
      </c>
      <c r="E69" s="128">
        <v>0</v>
      </c>
      <c r="F69" s="128">
        <v>0</v>
      </c>
      <c r="G69" s="128">
        <v>0</v>
      </c>
      <c r="H69" s="147">
        <v>0</v>
      </c>
      <c r="I69" s="128">
        <v>0</v>
      </c>
      <c r="J69" s="128">
        <v>0</v>
      </c>
      <c r="K69" s="128">
        <v>0</v>
      </c>
      <c r="L69" s="128">
        <v>0</v>
      </c>
      <c r="M69" s="147">
        <v>0</v>
      </c>
      <c r="N69" s="128">
        <v>0</v>
      </c>
      <c r="O69" s="128">
        <v>0</v>
      </c>
      <c r="P69" s="128">
        <v>0</v>
      </c>
      <c r="Q69" s="128">
        <v>0</v>
      </c>
      <c r="R69" s="147">
        <v>0</v>
      </c>
      <c r="S69" s="129">
        <v>0</v>
      </c>
      <c r="T69" s="129">
        <v>0</v>
      </c>
      <c r="U69" s="129">
        <v>0</v>
      </c>
      <c r="V69" s="129">
        <v>0</v>
      </c>
      <c r="W69" s="147">
        <v>0</v>
      </c>
      <c r="X69" s="129">
        <v>0</v>
      </c>
      <c r="Y69" s="129">
        <v>0</v>
      </c>
      <c r="Z69" s="129">
        <v>0</v>
      </c>
      <c r="AA69" s="129">
        <v>0</v>
      </c>
      <c r="AB69" s="147">
        <v>0</v>
      </c>
      <c r="AC69" s="129">
        <v>0</v>
      </c>
      <c r="AD69" s="129">
        <v>0</v>
      </c>
      <c r="AE69" s="129">
        <v>0</v>
      </c>
      <c r="AF69" s="129">
        <v>0</v>
      </c>
      <c r="AG69" s="147">
        <v>0</v>
      </c>
      <c r="AH69" s="343"/>
      <c r="AI69" s="129"/>
      <c r="AJ69" s="129"/>
      <c r="AK69" s="129"/>
      <c r="AL69" s="147"/>
      <c r="AM69" s="129"/>
      <c r="AN69" s="343"/>
      <c r="AO69" s="129"/>
      <c r="AP69" s="129"/>
      <c r="AQ69" s="147"/>
    </row>
    <row r="70" spans="1:43">
      <c r="A70" s="9"/>
      <c r="B70" s="9" t="s">
        <v>304</v>
      </c>
      <c r="C70" s="54" t="s">
        <v>305</v>
      </c>
      <c r="D70" s="130"/>
      <c r="E70" s="130"/>
      <c r="F70" s="130"/>
      <c r="G70" s="130"/>
      <c r="H70" s="148"/>
      <c r="I70" s="130"/>
      <c r="J70" s="130"/>
      <c r="K70" s="130"/>
      <c r="L70" s="130"/>
      <c r="M70" s="148"/>
      <c r="N70" s="130"/>
      <c r="O70" s="130"/>
      <c r="P70" s="130"/>
      <c r="Q70" s="130"/>
      <c r="R70" s="148"/>
      <c r="S70" s="125"/>
      <c r="T70" s="125"/>
      <c r="U70" s="125"/>
      <c r="V70" s="125"/>
      <c r="W70" s="148"/>
      <c r="X70" s="125"/>
      <c r="Y70" s="125"/>
      <c r="Z70" s="125"/>
      <c r="AA70" s="125"/>
      <c r="AB70" s="148"/>
      <c r="AC70" s="125">
        <v>0</v>
      </c>
      <c r="AD70" s="125">
        <v>0</v>
      </c>
      <c r="AE70" s="125">
        <v>0</v>
      </c>
      <c r="AF70" s="125">
        <v>0</v>
      </c>
      <c r="AG70" s="148"/>
      <c r="AH70" s="337"/>
      <c r="AI70" s="125"/>
      <c r="AJ70" s="125"/>
      <c r="AK70" s="125"/>
      <c r="AL70" s="148"/>
      <c r="AM70" s="125"/>
      <c r="AN70" s="337"/>
      <c r="AO70" s="125"/>
      <c r="AP70" s="125"/>
      <c r="AQ70" s="148"/>
    </row>
    <row r="71" spans="1:43">
      <c r="A71" s="54"/>
      <c r="B71" s="54" t="s">
        <v>306</v>
      </c>
      <c r="C71" s="54" t="s">
        <v>307</v>
      </c>
      <c r="D71" s="130">
        <v>-12453</v>
      </c>
      <c r="E71" s="130">
        <v>-14576</v>
      </c>
      <c r="F71" s="130">
        <v>-17675.646680000002</v>
      </c>
      <c r="G71" s="130">
        <v>-19910.353319999998</v>
      </c>
      <c r="H71" s="148">
        <v>-64615</v>
      </c>
      <c r="I71" s="130">
        <v>-21010.290929999999</v>
      </c>
      <c r="J71" s="130">
        <v>-20583.307540000002</v>
      </c>
      <c r="K71" s="130">
        <v>-22630.624519999983</v>
      </c>
      <c r="L71" s="130">
        <v>-26320.292230000014</v>
      </c>
      <c r="M71" s="148">
        <v>-90544.515220000001</v>
      </c>
      <c r="N71" s="130">
        <v>-28109.545369999996</v>
      </c>
      <c r="O71" s="130">
        <v>-26436.102019999991</v>
      </c>
      <c r="P71" s="130">
        <v>-29381.324530000016</v>
      </c>
      <c r="Q71" s="130">
        <v>1043.661669999994</v>
      </c>
      <c r="R71" s="148">
        <v>-82883.31025000001</v>
      </c>
      <c r="S71" s="125">
        <v>-27993</v>
      </c>
      <c r="T71" s="125">
        <v>-29226</v>
      </c>
      <c r="U71" s="125">
        <v>-31044</v>
      </c>
      <c r="V71" s="125">
        <v>-23402.379710000008</v>
      </c>
      <c r="W71" s="148">
        <v>-111665.37971000001</v>
      </c>
      <c r="X71" s="125">
        <v>-30087</v>
      </c>
      <c r="Y71" s="125">
        <v>-27803</v>
      </c>
      <c r="Z71" s="125">
        <v>-43564</v>
      </c>
      <c r="AA71" s="125">
        <v>-36018</v>
      </c>
      <c r="AB71" s="148">
        <v>-137472</v>
      </c>
      <c r="AC71" s="125">
        <v>-20469.83628</v>
      </c>
      <c r="AD71" s="125">
        <v>-22040.001559999997</v>
      </c>
      <c r="AE71" s="125">
        <v>-13064.414820000002</v>
      </c>
      <c r="AF71" s="125">
        <v>-15640</v>
      </c>
      <c r="AG71" s="148">
        <v>-71214.252659999998</v>
      </c>
      <c r="AH71" s="337">
        <f>SUM(AH72:AH74)</f>
        <v>-12615</v>
      </c>
      <c r="AI71" s="337">
        <f t="shared" ref="AI71:AP71" si="26">SUM(AI72:AI74)</f>
        <v>-24609</v>
      </c>
      <c r="AJ71" s="337">
        <f t="shared" si="26"/>
        <v>-22978</v>
      </c>
      <c r="AK71" s="125">
        <f t="shared" si="26"/>
        <v>270145</v>
      </c>
      <c r="AL71" s="148">
        <f t="shared" si="26"/>
        <v>209943</v>
      </c>
      <c r="AM71" s="337">
        <f>SUM(AM72:AM74)</f>
        <v>5390</v>
      </c>
      <c r="AN71" s="337">
        <f t="shared" si="26"/>
        <v>-28716</v>
      </c>
      <c r="AO71" s="337">
        <f t="shared" si="26"/>
        <v>-29728</v>
      </c>
      <c r="AP71" s="337">
        <f t="shared" si="26"/>
        <v>-26361</v>
      </c>
      <c r="AQ71" s="148">
        <f t="shared" si="25"/>
        <v>-79415</v>
      </c>
    </row>
    <row r="72" spans="1:43" ht="15.75" thickBot="1">
      <c r="A72" s="58"/>
      <c r="B72" s="58" t="s">
        <v>310</v>
      </c>
      <c r="C72" s="58" t="s">
        <v>311</v>
      </c>
      <c r="D72" s="131">
        <v>-2216.6877699999995</v>
      </c>
      <c r="E72" s="131">
        <v>-4126.8672299999998</v>
      </c>
      <c r="F72" s="131">
        <v>-6310.178469999998</v>
      </c>
      <c r="G72" s="132">
        <v>-9359.9636399999981</v>
      </c>
      <c r="H72" s="149">
        <v>-22013.697109999994</v>
      </c>
      <c r="I72" s="133">
        <v>-6669.2848099999983</v>
      </c>
      <c r="J72" s="131">
        <v>-7482.5691600000036</v>
      </c>
      <c r="K72" s="131">
        <v>-8903.9532499999932</v>
      </c>
      <c r="L72" s="132">
        <v>-15634.739829999995</v>
      </c>
      <c r="M72" s="149">
        <v>-38690.547049999994</v>
      </c>
      <c r="N72" s="133">
        <v>-8155.6838599999992</v>
      </c>
      <c r="O72" s="131">
        <v>-10933.564439999995</v>
      </c>
      <c r="P72" s="131">
        <v>-14467.978350000012</v>
      </c>
      <c r="Q72" s="132">
        <v>-13158.086229999997</v>
      </c>
      <c r="R72" s="149">
        <v>-38690.547049999994</v>
      </c>
      <c r="S72" s="133">
        <v>-10460.7711</v>
      </c>
      <c r="T72" s="131">
        <v>-11110.768909999995</v>
      </c>
      <c r="U72" s="131">
        <v>-12026.777290000004</v>
      </c>
      <c r="V72" s="132">
        <v>-11909.429629999995</v>
      </c>
      <c r="W72" s="149">
        <v>-38690.547049999994</v>
      </c>
      <c r="X72" s="133">
        <v>-16810.195630000002</v>
      </c>
      <c r="Y72" s="131">
        <v>-11807.021240000002</v>
      </c>
      <c r="Z72" s="131">
        <v>-12318.089829999999</v>
      </c>
      <c r="AA72" s="132">
        <v>-14215.174809999995</v>
      </c>
      <c r="AB72" s="149">
        <v>-38690.547049999994</v>
      </c>
      <c r="AC72" s="131">
        <v>-13137.83628</v>
      </c>
      <c r="AD72" s="131">
        <v>-18937.28773</v>
      </c>
      <c r="AE72" s="131">
        <v>-14776.066740000002</v>
      </c>
      <c r="AF72" s="131">
        <v>-13919</v>
      </c>
      <c r="AG72" s="149">
        <v>-38690.547049999994</v>
      </c>
      <c r="AH72" s="133">
        <v>-18908</v>
      </c>
      <c r="AI72" s="131">
        <v>-21003</v>
      </c>
      <c r="AJ72" s="131">
        <v>-19474</v>
      </c>
      <c r="AK72" s="132">
        <v>-22462</v>
      </c>
      <c r="AL72" s="149">
        <v>-81847</v>
      </c>
      <c r="AM72" s="133">
        <v>-20822</v>
      </c>
      <c r="AN72" s="131">
        <v>-24104</v>
      </c>
      <c r="AO72" s="131">
        <v>-25591</v>
      </c>
      <c r="AP72" s="132">
        <v>-21825</v>
      </c>
      <c r="AQ72" s="149">
        <f t="shared" si="25"/>
        <v>-92342</v>
      </c>
    </row>
    <row r="73" spans="1:43" ht="12.6" customHeight="1" thickBot="1">
      <c r="A73" s="58"/>
      <c r="B73" s="58" t="s">
        <v>312</v>
      </c>
      <c r="C73" s="58" t="s">
        <v>313</v>
      </c>
      <c r="D73" s="131">
        <v>-10236</v>
      </c>
      <c r="E73" s="131">
        <v>-9201</v>
      </c>
      <c r="F73" s="131">
        <v>-11298</v>
      </c>
      <c r="G73" s="132">
        <v>-11358</v>
      </c>
      <c r="H73" s="149">
        <v>-42093</v>
      </c>
      <c r="I73" s="133">
        <v>-14341.066120000001</v>
      </c>
      <c r="J73" s="131">
        <v>-13100.862879999999</v>
      </c>
      <c r="K73" s="131">
        <v>-13727.869769999994</v>
      </c>
      <c r="L73" s="132">
        <v>-11542.481050000006</v>
      </c>
      <c r="M73" s="149">
        <v>-52712.279819999996</v>
      </c>
      <c r="N73" s="133">
        <v>-19953.096559999998</v>
      </c>
      <c r="O73" s="131">
        <v>-15502.619029999994</v>
      </c>
      <c r="P73" s="131">
        <v>-14914.997260000004</v>
      </c>
      <c r="Q73" s="132">
        <v>-17269.655770000012</v>
      </c>
      <c r="R73" s="149">
        <v>-52712.279819999996</v>
      </c>
      <c r="S73" s="133">
        <v>-17532</v>
      </c>
      <c r="T73" s="131">
        <v>-18115</v>
      </c>
      <c r="U73" s="131">
        <v>-19342</v>
      </c>
      <c r="V73" s="132">
        <v>-12115.037850000008</v>
      </c>
      <c r="W73" s="149">
        <v>-52712.279819999996</v>
      </c>
      <c r="X73" s="133">
        <v>-13301</v>
      </c>
      <c r="Y73" s="131">
        <v>-15986</v>
      </c>
      <c r="Z73" s="131">
        <v>-31220</v>
      </c>
      <c r="AA73" s="132">
        <v>-22827</v>
      </c>
      <c r="AB73" s="149">
        <v>-52712.279819999996</v>
      </c>
      <c r="AC73" s="131">
        <v>-7332</v>
      </c>
      <c r="AD73" s="131">
        <v>-4911.7217199999996</v>
      </c>
      <c r="AE73" s="131">
        <v>-4222.9824199999985</v>
      </c>
      <c r="AF73" s="131">
        <v>-1721</v>
      </c>
      <c r="AG73" s="149">
        <v>-52712.279819999996</v>
      </c>
      <c r="AH73" s="133">
        <v>-5152</v>
      </c>
      <c r="AI73" s="131">
        <v>-3606</v>
      </c>
      <c r="AJ73" s="131">
        <v>-3509</v>
      </c>
      <c r="AK73" s="132">
        <v>-4125</v>
      </c>
      <c r="AL73" s="149">
        <v>-16392</v>
      </c>
      <c r="AM73" s="133">
        <v>-4469</v>
      </c>
      <c r="AN73" s="131">
        <v>-4613</v>
      </c>
      <c r="AO73" s="131">
        <v>-4137</v>
      </c>
      <c r="AP73" s="132">
        <v>-4536</v>
      </c>
      <c r="AQ73" s="149">
        <f t="shared" si="25"/>
        <v>-17755</v>
      </c>
    </row>
    <row r="74" spans="1:43" ht="22.35" customHeight="1" thickBot="1">
      <c r="A74" s="58"/>
      <c r="B74" s="58" t="s">
        <v>314</v>
      </c>
      <c r="C74" s="58" t="s">
        <v>372</v>
      </c>
      <c r="D74" s="134">
        <v>0</v>
      </c>
      <c r="E74" s="131">
        <v>-1249</v>
      </c>
      <c r="F74" s="131">
        <v>-65.646679999999932</v>
      </c>
      <c r="G74" s="132">
        <v>-1.3533200000000676</v>
      </c>
      <c r="H74" s="149">
        <v>-1316</v>
      </c>
      <c r="I74" s="135">
        <v>0</v>
      </c>
      <c r="J74" s="131">
        <v>0</v>
      </c>
      <c r="K74" s="131">
        <v>0</v>
      </c>
      <c r="L74" s="132">
        <v>0</v>
      </c>
      <c r="M74" s="149">
        <v>0</v>
      </c>
      <c r="N74" s="135">
        <v>0</v>
      </c>
      <c r="O74" s="131">
        <v>0</v>
      </c>
      <c r="P74" s="131"/>
      <c r="Q74" s="132">
        <v>30261.016889999995</v>
      </c>
      <c r="R74" s="149">
        <v>0</v>
      </c>
      <c r="S74" s="135">
        <v>0</v>
      </c>
      <c r="T74" s="131">
        <v>0</v>
      </c>
      <c r="U74" s="131">
        <v>0</v>
      </c>
      <c r="V74" s="132">
        <v>-22.79496</v>
      </c>
      <c r="W74" s="149">
        <v>0</v>
      </c>
      <c r="X74" s="135">
        <v>0</v>
      </c>
      <c r="Y74" s="131">
        <v>-10</v>
      </c>
      <c r="Z74" s="131">
        <v>-29</v>
      </c>
      <c r="AA74" s="132">
        <v>2</v>
      </c>
      <c r="AB74" s="149">
        <v>0</v>
      </c>
      <c r="AC74" s="131">
        <v>0</v>
      </c>
      <c r="AD74" s="131">
        <v>1809.0078899999999</v>
      </c>
      <c r="AE74" s="131">
        <v>5934.6343400000005</v>
      </c>
      <c r="AF74" s="131">
        <v>0</v>
      </c>
      <c r="AG74" s="149">
        <v>0</v>
      </c>
      <c r="AH74" s="135">
        <v>11445</v>
      </c>
      <c r="AI74" s="131">
        <v>0</v>
      </c>
      <c r="AJ74" s="131">
        <v>5</v>
      </c>
      <c r="AK74" s="132">
        <v>296732</v>
      </c>
      <c r="AL74" s="149">
        <f>SUM(AH74:AK74)</f>
        <v>308182</v>
      </c>
      <c r="AM74" s="135">
        <v>30681</v>
      </c>
      <c r="AN74" s="131">
        <v>1</v>
      </c>
      <c r="AO74" s="131">
        <v>0</v>
      </c>
      <c r="AP74" s="132">
        <v>0</v>
      </c>
      <c r="AQ74" s="149">
        <f t="shared" si="25"/>
        <v>30682</v>
      </c>
    </row>
    <row r="75" spans="1:43">
      <c r="A75" s="54"/>
      <c r="B75" s="54" t="s">
        <v>316</v>
      </c>
      <c r="C75" s="54" t="s">
        <v>317</v>
      </c>
      <c r="D75" s="130">
        <v>294182.72104546329</v>
      </c>
      <c r="E75" s="130">
        <v>259730.79346622509</v>
      </c>
      <c r="F75" s="130">
        <v>280839.60390123504</v>
      </c>
      <c r="G75" s="130">
        <v>301200.71532074158</v>
      </c>
      <c r="H75" s="148">
        <v>1135953.8337336651</v>
      </c>
      <c r="I75" s="130">
        <v>342417.83639039088</v>
      </c>
      <c r="J75" s="130">
        <v>359825.50122195488</v>
      </c>
      <c r="K75" s="130">
        <v>333768.30886662286</v>
      </c>
      <c r="L75" s="130">
        <v>336067.03690319869</v>
      </c>
      <c r="M75" s="148">
        <v>1372078.6833821675</v>
      </c>
      <c r="N75" s="130">
        <v>407074.1280629852</v>
      </c>
      <c r="O75" s="130">
        <v>349046.26425234054</v>
      </c>
      <c r="P75" s="130">
        <v>381411.42347789096</v>
      </c>
      <c r="Q75" s="130">
        <v>456090.88854609331</v>
      </c>
      <c r="R75" s="148">
        <v>1593622.7043393101</v>
      </c>
      <c r="S75" s="125">
        <v>420103.19373686204</v>
      </c>
      <c r="T75" s="125">
        <v>411244.88342320477</v>
      </c>
      <c r="U75" s="125">
        <v>465069.86385084997</v>
      </c>
      <c r="V75" s="125">
        <v>350837.28337149334</v>
      </c>
      <c r="W75" s="148">
        <v>1647255.2243824103</v>
      </c>
      <c r="X75" s="125">
        <v>442290.03704340296</v>
      </c>
      <c r="Y75" s="125">
        <v>414923.29306291486</v>
      </c>
      <c r="Z75" s="125">
        <v>591478.12199499994</v>
      </c>
      <c r="AA75" s="125">
        <v>503124.04735315335</v>
      </c>
      <c r="AB75" s="148">
        <v>1951815.499454471</v>
      </c>
      <c r="AC75" s="125">
        <v>425087.16372000001</v>
      </c>
      <c r="AD75" s="125">
        <v>405331.59093463002</v>
      </c>
      <c r="AE75" s="125">
        <v>471894.64196624997</v>
      </c>
      <c r="AF75" s="125">
        <v>538583.75512531004</v>
      </c>
      <c r="AG75" s="148">
        <v>1840897.1517461902</v>
      </c>
      <c r="AH75" s="337">
        <v>667914</v>
      </c>
      <c r="AI75" s="337">
        <v>654847.42999999993</v>
      </c>
      <c r="AJ75" s="337">
        <f>SUM(AJ66,AJ71)</f>
        <v>1140724</v>
      </c>
      <c r="AK75" s="125">
        <f>SUM(AK66,AK71)</f>
        <v>591828</v>
      </c>
      <c r="AL75" s="148">
        <f>SUM(AL66,AL71)</f>
        <v>3055312.86</v>
      </c>
      <c r="AM75" s="337">
        <f>SUM(AM66,AM71)</f>
        <v>829200</v>
      </c>
      <c r="AN75" s="337">
        <v>863049</v>
      </c>
      <c r="AO75" s="337">
        <v>969699</v>
      </c>
      <c r="AP75" s="337">
        <v>917278</v>
      </c>
      <c r="AQ75" s="148">
        <f t="shared" si="25"/>
        <v>3579226</v>
      </c>
    </row>
    <row r="76" spans="1:43">
      <c r="A76" s="56"/>
      <c r="B76" s="56"/>
      <c r="C76" s="56"/>
      <c r="D76" s="136"/>
      <c r="E76" s="136"/>
      <c r="F76" s="136"/>
      <c r="G76" s="136"/>
      <c r="H76" s="150"/>
      <c r="I76" s="136"/>
      <c r="J76" s="136"/>
      <c r="K76" s="136"/>
      <c r="L76" s="136"/>
      <c r="M76" s="150"/>
      <c r="N76" s="136"/>
      <c r="O76" s="136"/>
      <c r="P76" s="136"/>
      <c r="Q76" s="136"/>
      <c r="R76" s="150"/>
      <c r="S76" s="136"/>
      <c r="T76" s="136"/>
      <c r="U76" s="136"/>
      <c r="V76" s="136"/>
      <c r="W76" s="150"/>
      <c r="X76" s="136"/>
      <c r="Y76" s="136"/>
      <c r="Z76" s="136"/>
      <c r="AA76" s="136"/>
      <c r="AB76" s="150"/>
      <c r="AC76" s="136"/>
      <c r="AD76" s="136"/>
      <c r="AE76" s="136"/>
      <c r="AF76" s="136"/>
      <c r="AG76" s="150"/>
      <c r="AH76" s="214"/>
      <c r="AI76" s="136"/>
      <c r="AJ76" s="136"/>
      <c r="AK76" s="136"/>
      <c r="AL76" s="150"/>
      <c r="AM76" s="136"/>
      <c r="AN76" s="214"/>
      <c r="AO76" s="136"/>
      <c r="AP76" s="136"/>
      <c r="AQ76" s="150">
        <f t="shared" si="25"/>
        <v>0</v>
      </c>
    </row>
    <row r="77" spans="1:43">
      <c r="A77" s="54"/>
      <c r="B77" s="54" t="s">
        <v>318</v>
      </c>
      <c r="C77" s="54" t="s">
        <v>319</v>
      </c>
      <c r="D77" s="130">
        <v>-1418</v>
      </c>
      <c r="E77" s="130">
        <v>2676</v>
      </c>
      <c r="F77" s="130">
        <v>5838.2842000000046</v>
      </c>
      <c r="G77" s="130">
        <v>7007.7157999999954</v>
      </c>
      <c r="H77" s="148">
        <v>14104</v>
      </c>
      <c r="I77" s="130">
        <v>4216.8194699999985</v>
      </c>
      <c r="J77" s="130">
        <v>7007.4345200000016</v>
      </c>
      <c r="K77" s="130">
        <v>6577.1029199999975</v>
      </c>
      <c r="L77" s="130">
        <v>6446.7443500000008</v>
      </c>
      <c r="M77" s="148">
        <v>24248.101259999999</v>
      </c>
      <c r="N77" s="130">
        <v>2721.3223500000004</v>
      </c>
      <c r="O77" s="130">
        <v>6622.0339199999999</v>
      </c>
      <c r="P77" s="130">
        <v>6138.9531700000007</v>
      </c>
      <c r="Q77" s="130">
        <v>6936.0473200000015</v>
      </c>
      <c r="R77" s="148">
        <v>22418.356760000002</v>
      </c>
      <c r="S77" s="125">
        <v>3200</v>
      </c>
      <c r="T77" s="125">
        <v>12044</v>
      </c>
      <c r="U77" s="125">
        <v>11193</v>
      </c>
      <c r="V77" s="125">
        <v>4181.4627</v>
      </c>
      <c r="W77" s="148">
        <v>30618.4627</v>
      </c>
      <c r="X77" s="125">
        <v>3377</v>
      </c>
      <c r="Y77" s="125">
        <v>4825</v>
      </c>
      <c r="Z77" s="125">
        <v>3084</v>
      </c>
      <c r="AA77" s="125">
        <v>5491</v>
      </c>
      <c r="AB77" s="148">
        <v>16777</v>
      </c>
      <c r="AC77" s="125">
        <v>-282</v>
      </c>
      <c r="AD77" s="125">
        <v>1725.7324400000002</v>
      </c>
      <c r="AE77" s="125">
        <v>2625.8871799999997</v>
      </c>
      <c r="AF77" s="125">
        <v>1006</v>
      </c>
      <c r="AG77" s="148">
        <v>5075.6196199999995</v>
      </c>
      <c r="AH77" s="337">
        <v>5256</v>
      </c>
      <c r="AI77" s="337">
        <v>10266</v>
      </c>
      <c r="AJ77" s="125">
        <v>8706</v>
      </c>
      <c r="AK77" s="125">
        <f>SUM(AK78:AK79)</f>
        <v>20204</v>
      </c>
      <c r="AL77" s="148">
        <v>44432</v>
      </c>
      <c r="AM77" s="125">
        <v>1038</v>
      </c>
      <c r="AN77" s="337">
        <v>14613</v>
      </c>
      <c r="AO77" s="337">
        <v>12435</v>
      </c>
      <c r="AP77" s="337">
        <v>17611</v>
      </c>
      <c r="AQ77" s="148">
        <f t="shared" si="25"/>
        <v>45697</v>
      </c>
    </row>
    <row r="78" spans="1:43">
      <c r="A78" s="59"/>
      <c r="B78" s="59" t="s">
        <v>320</v>
      </c>
      <c r="C78" s="59" t="s">
        <v>321</v>
      </c>
      <c r="D78" s="131">
        <v>2717</v>
      </c>
      <c r="E78" s="131">
        <v>4731</v>
      </c>
      <c r="F78" s="131">
        <v>5838.2842000000046</v>
      </c>
      <c r="G78" s="132">
        <v>6827.7157999999954</v>
      </c>
      <c r="H78" s="149">
        <v>20114</v>
      </c>
      <c r="I78" s="133">
        <v>8481.8989499999989</v>
      </c>
      <c r="J78" s="131">
        <v>8232.1099600000016</v>
      </c>
      <c r="K78" s="131">
        <v>6577.1029199999975</v>
      </c>
      <c r="L78" s="132">
        <v>6446.7443500000008</v>
      </c>
      <c r="M78" s="149">
        <v>20114</v>
      </c>
      <c r="N78" s="133">
        <v>7038.64678</v>
      </c>
      <c r="O78" s="131">
        <v>8256.1182200000003</v>
      </c>
      <c r="P78" s="131">
        <v>6138.9531700000007</v>
      </c>
      <c r="Q78" s="132">
        <v>6936.0473200000015</v>
      </c>
      <c r="R78" s="149">
        <v>20114</v>
      </c>
      <c r="S78" s="133">
        <v>3567</v>
      </c>
      <c r="T78" s="131">
        <v>12171</v>
      </c>
      <c r="U78" s="131">
        <v>11193</v>
      </c>
      <c r="V78" s="132">
        <v>4181.712950000001</v>
      </c>
      <c r="W78" s="149">
        <v>20114</v>
      </c>
      <c r="X78" s="133">
        <v>4217</v>
      </c>
      <c r="Y78" s="131">
        <v>4826</v>
      </c>
      <c r="Z78" s="131">
        <v>3084</v>
      </c>
      <c r="AA78" s="132">
        <v>5491</v>
      </c>
      <c r="AB78" s="149">
        <v>20114</v>
      </c>
      <c r="AC78" s="131">
        <v>724</v>
      </c>
      <c r="AD78" s="131">
        <v>1726.0098700000003</v>
      </c>
      <c r="AE78" s="131">
        <v>3181.0507999999995</v>
      </c>
      <c r="AF78" s="131">
        <v>2436</v>
      </c>
      <c r="AG78" s="149">
        <v>20114</v>
      </c>
      <c r="AH78" s="133">
        <v>5454</v>
      </c>
      <c r="AI78" s="131">
        <v>10266</v>
      </c>
      <c r="AJ78" s="131">
        <v>8706</v>
      </c>
      <c r="AK78" s="132">
        <v>20204</v>
      </c>
      <c r="AL78" s="149">
        <v>44630</v>
      </c>
      <c r="AM78" s="133">
        <v>23698</v>
      </c>
      <c r="AN78" s="131">
        <v>23062</v>
      </c>
      <c r="AO78" s="131">
        <v>12435</v>
      </c>
      <c r="AP78" s="132">
        <v>17630</v>
      </c>
      <c r="AQ78" s="149">
        <f t="shared" si="25"/>
        <v>76825</v>
      </c>
    </row>
    <row r="79" spans="1:43">
      <c r="A79" s="59"/>
      <c r="B79" s="59" t="s">
        <v>322</v>
      </c>
      <c r="C79" s="59" t="s">
        <v>323</v>
      </c>
      <c r="D79" s="134">
        <v>-4135</v>
      </c>
      <c r="E79" s="131">
        <v>-2055</v>
      </c>
      <c r="F79" s="131">
        <v>0</v>
      </c>
      <c r="G79" s="132">
        <v>180</v>
      </c>
      <c r="H79" s="149">
        <v>-6010</v>
      </c>
      <c r="I79" s="135">
        <v>-4265.0794800000003</v>
      </c>
      <c r="J79" s="131">
        <v>-1224.67544</v>
      </c>
      <c r="K79" s="131">
        <v>0</v>
      </c>
      <c r="L79" s="132">
        <v>0</v>
      </c>
      <c r="M79" s="149">
        <v>-6010</v>
      </c>
      <c r="N79" s="135">
        <v>-4317.3244299999997</v>
      </c>
      <c r="O79" s="131">
        <v>-1634.0843000000004</v>
      </c>
      <c r="P79" s="131">
        <v>0</v>
      </c>
      <c r="Q79" s="132">
        <v>0</v>
      </c>
      <c r="R79" s="149">
        <v>-6010</v>
      </c>
      <c r="S79" s="135">
        <v>-367</v>
      </c>
      <c r="T79" s="131">
        <v>-127</v>
      </c>
      <c r="U79" s="131">
        <v>0</v>
      </c>
      <c r="V79" s="132">
        <v>-0.25024999999999409</v>
      </c>
      <c r="W79" s="149">
        <v>-6010</v>
      </c>
      <c r="X79" s="135">
        <v>-840</v>
      </c>
      <c r="Y79" s="134">
        <v>-1</v>
      </c>
      <c r="Z79" s="131">
        <v>0</v>
      </c>
      <c r="AA79" s="132">
        <v>0</v>
      </c>
      <c r="AB79" s="149">
        <v>-6010</v>
      </c>
      <c r="AC79" s="131">
        <v>-1006</v>
      </c>
      <c r="AD79" s="131">
        <v>-0.27743000000009488</v>
      </c>
      <c r="AE79" s="131">
        <v>-555.16362000000004</v>
      </c>
      <c r="AF79" s="131">
        <v>-1430</v>
      </c>
      <c r="AG79" s="149">
        <v>-6010</v>
      </c>
      <c r="AH79" s="135">
        <v>-198</v>
      </c>
      <c r="AI79" s="134">
        <v>0</v>
      </c>
      <c r="AJ79" s="131">
        <v>0</v>
      </c>
      <c r="AK79" s="132">
        <v>0</v>
      </c>
      <c r="AL79" s="149">
        <v>-198</v>
      </c>
      <c r="AM79" s="135">
        <v>-22660</v>
      </c>
      <c r="AN79" s="134">
        <v>-8449</v>
      </c>
      <c r="AO79" s="131">
        <v>0</v>
      </c>
      <c r="AP79" s="132">
        <v>-19</v>
      </c>
      <c r="AQ79" s="149">
        <f t="shared" si="25"/>
        <v>-31128</v>
      </c>
    </row>
    <row r="80" spans="1:43" ht="14.25" customHeight="1">
      <c r="A80" s="54"/>
      <c r="B80" s="54" t="s">
        <v>324</v>
      </c>
      <c r="C80" s="54" t="s">
        <v>373</v>
      </c>
      <c r="D80" s="130">
        <v>292764.72104546329</v>
      </c>
      <c r="E80" s="130">
        <v>262406.79346622509</v>
      </c>
      <c r="F80" s="130">
        <v>286677.88810123503</v>
      </c>
      <c r="G80" s="130">
        <v>308208.43112074159</v>
      </c>
      <c r="H80" s="148">
        <v>1150057.8337336651</v>
      </c>
      <c r="I80" s="130">
        <v>346634.65586039086</v>
      </c>
      <c r="J80" s="130">
        <v>366832.93574195489</v>
      </c>
      <c r="K80" s="130">
        <v>340345.41178662283</v>
      </c>
      <c r="L80" s="130">
        <v>342513.78125319869</v>
      </c>
      <c r="M80" s="148">
        <v>1396326.7846421672</v>
      </c>
      <c r="N80" s="130">
        <v>409795.45041298517</v>
      </c>
      <c r="O80" s="130">
        <v>355668.29817234055</v>
      </c>
      <c r="P80" s="130">
        <v>387550.37664789095</v>
      </c>
      <c r="Q80" s="130">
        <v>463026.93586609332</v>
      </c>
      <c r="R80" s="148">
        <v>1616041.0610993099</v>
      </c>
      <c r="S80" s="125">
        <v>423303.19373686204</v>
      </c>
      <c r="T80" s="125">
        <v>423288.88342320477</v>
      </c>
      <c r="U80" s="125">
        <v>476262.86385084997</v>
      </c>
      <c r="V80" s="125">
        <v>355018.74607149331</v>
      </c>
      <c r="W80" s="148">
        <v>1677873.6870824101</v>
      </c>
      <c r="X80" s="125">
        <v>445667.03704340296</v>
      </c>
      <c r="Y80" s="125">
        <v>419748.29306291486</v>
      </c>
      <c r="Z80" s="125">
        <v>594562.12199499994</v>
      </c>
      <c r="AA80" s="125">
        <v>508615.04735315335</v>
      </c>
      <c r="AB80" s="148">
        <v>1968592.499454471</v>
      </c>
      <c r="AC80" s="125">
        <v>424805.16372000001</v>
      </c>
      <c r="AD80" s="125">
        <v>407057.32337463001</v>
      </c>
      <c r="AE80" s="125">
        <v>474520.52914624999</v>
      </c>
      <c r="AF80" s="125">
        <v>539589.75512531004</v>
      </c>
      <c r="AG80" s="148">
        <v>1845972.7713661899</v>
      </c>
      <c r="AH80" s="337">
        <f>AH75+AH77</f>
        <v>673170</v>
      </c>
      <c r="AI80" s="337">
        <f t="shared" ref="AI80:AP80" si="27">AI75+AI77</f>
        <v>665113.42999999993</v>
      </c>
      <c r="AJ80" s="125">
        <f t="shared" si="27"/>
        <v>1149430</v>
      </c>
      <c r="AK80" s="125">
        <f t="shared" si="27"/>
        <v>612032</v>
      </c>
      <c r="AL80" s="148">
        <f t="shared" si="27"/>
        <v>3099744.86</v>
      </c>
      <c r="AM80" s="337">
        <f>SUM(AM75,AM77)</f>
        <v>830238</v>
      </c>
      <c r="AN80" s="337">
        <f t="shared" si="27"/>
        <v>877662</v>
      </c>
      <c r="AO80" s="337">
        <f t="shared" si="27"/>
        <v>982134</v>
      </c>
      <c r="AP80" s="337">
        <f t="shared" si="27"/>
        <v>934889</v>
      </c>
      <c r="AQ80" s="148">
        <f t="shared" si="25"/>
        <v>3624923</v>
      </c>
    </row>
    <row r="81" spans="1:43">
      <c r="A81" s="60"/>
      <c r="B81" s="60"/>
      <c r="C81" s="60"/>
      <c r="D81" s="137"/>
      <c r="E81" s="138"/>
      <c r="F81" s="138"/>
      <c r="G81" s="138"/>
      <c r="H81" s="151"/>
      <c r="I81" s="137"/>
      <c r="J81" s="138"/>
      <c r="K81" s="138"/>
      <c r="L81" s="138"/>
      <c r="M81" s="151"/>
      <c r="N81" s="137"/>
      <c r="O81" s="138"/>
      <c r="P81" s="138"/>
      <c r="Q81" s="138"/>
      <c r="R81" s="151"/>
      <c r="S81" s="137"/>
      <c r="T81" s="138"/>
      <c r="U81" s="138"/>
      <c r="V81" s="138"/>
      <c r="W81" s="151"/>
      <c r="X81" s="137"/>
      <c r="Y81" s="137"/>
      <c r="Z81" s="137"/>
      <c r="AA81" s="137"/>
      <c r="AB81" s="151"/>
      <c r="AC81" s="137"/>
      <c r="AD81" s="137"/>
      <c r="AE81" s="137"/>
      <c r="AF81" s="137"/>
      <c r="AG81" s="151"/>
      <c r="AH81" s="137"/>
      <c r="AI81" s="137"/>
      <c r="AJ81" s="137"/>
      <c r="AK81" s="137"/>
      <c r="AL81" s="151"/>
      <c r="AM81" s="137"/>
      <c r="AN81" s="137"/>
      <c r="AO81" s="137"/>
      <c r="AP81" s="137"/>
      <c r="AQ81" s="151"/>
    </row>
    <row r="82" spans="1:43">
      <c r="A82" s="9"/>
      <c r="B82" s="9" t="s">
        <v>326</v>
      </c>
      <c r="C82" s="9" t="s">
        <v>327</v>
      </c>
      <c r="D82" s="139">
        <v>-32439</v>
      </c>
      <c r="E82" s="139">
        <v>-28799</v>
      </c>
      <c r="F82" s="139">
        <v>-36557</v>
      </c>
      <c r="G82" s="139">
        <v>-36156</v>
      </c>
      <c r="H82" s="152">
        <v>-133951</v>
      </c>
      <c r="I82" s="139">
        <v>-46997.737649999995</v>
      </c>
      <c r="J82" s="139">
        <v>-42474.80287</v>
      </c>
      <c r="K82" s="139">
        <v>-43847.089710000015</v>
      </c>
      <c r="L82" s="139">
        <v>-34561.75</v>
      </c>
      <c r="M82" s="152">
        <v>-133951</v>
      </c>
      <c r="N82" s="139">
        <v>-65004.31222</v>
      </c>
      <c r="O82" s="139">
        <v>-48469.541620000011</v>
      </c>
      <c r="P82" s="139">
        <v>-44719.645709999975</v>
      </c>
      <c r="Q82" s="139">
        <v>-53222.824780000003</v>
      </c>
      <c r="R82" s="152">
        <v>-133951</v>
      </c>
      <c r="S82" s="139">
        <v>-55399</v>
      </c>
      <c r="T82" s="139">
        <v>-58656</v>
      </c>
      <c r="U82" s="139">
        <v>-61051</v>
      </c>
      <c r="V82" s="139">
        <v>-25767.687760000001</v>
      </c>
      <c r="W82" s="152">
        <v>-133951</v>
      </c>
      <c r="X82" s="139">
        <v>-51474</v>
      </c>
      <c r="Y82" s="139">
        <v>-47064</v>
      </c>
      <c r="Z82" s="139">
        <v>-100457</v>
      </c>
      <c r="AA82" s="139">
        <v>-72379</v>
      </c>
      <c r="AB82" s="152">
        <v>-133951</v>
      </c>
      <c r="AC82" s="139">
        <v>-19763.92223</v>
      </c>
      <c r="AD82" s="139">
        <v>-9103.2044999999998</v>
      </c>
      <c r="AE82" s="139">
        <v>-9222.9093300000022</v>
      </c>
      <c r="AF82" s="139">
        <v>-1316</v>
      </c>
      <c r="AG82" s="152">
        <v>-133951</v>
      </c>
      <c r="AH82" s="337">
        <f t="shared" ref="AH82:AK82" si="28">AH83</f>
        <v>-14051</v>
      </c>
      <c r="AI82" s="337">
        <f t="shared" si="28"/>
        <v>-6052</v>
      </c>
      <c r="AJ82" s="337">
        <f t="shared" si="28"/>
        <v>-6560</v>
      </c>
      <c r="AK82" s="337">
        <f t="shared" si="28"/>
        <v>-111014</v>
      </c>
      <c r="AL82" s="152">
        <f>SUM(AH82:AK82)</f>
        <v>-137677</v>
      </c>
      <c r="AM82" s="337">
        <f>SUM(AM83,AM86)</f>
        <v>-15867</v>
      </c>
      <c r="AN82" s="337">
        <f t="shared" ref="AN82:AP82" si="29">SUM(AN83,AN86)</f>
        <v>-8253</v>
      </c>
      <c r="AO82" s="337">
        <f t="shared" si="29"/>
        <v>-7821</v>
      </c>
      <c r="AP82" s="337">
        <f t="shared" si="29"/>
        <v>-10738</v>
      </c>
      <c r="AQ82" s="152">
        <f t="shared" ref="AQ82:AQ87" si="30">SUM(AM82:AP82)</f>
        <v>-42679</v>
      </c>
    </row>
    <row r="83" spans="1:43">
      <c r="A83" s="73"/>
      <c r="B83" s="73" t="s">
        <v>328</v>
      </c>
      <c r="C83" s="73" t="s">
        <v>329</v>
      </c>
      <c r="D83" s="120"/>
      <c r="E83" s="120"/>
      <c r="F83" s="120"/>
      <c r="G83" s="120"/>
      <c r="H83" s="142"/>
      <c r="I83" s="120"/>
      <c r="J83" s="120"/>
      <c r="K83" s="120"/>
      <c r="L83" s="120"/>
      <c r="M83" s="142"/>
      <c r="N83" s="120"/>
      <c r="O83" s="120"/>
      <c r="P83" s="120"/>
      <c r="Q83" s="120"/>
      <c r="R83" s="142"/>
      <c r="S83" s="120"/>
      <c r="T83" s="120"/>
      <c r="U83" s="120"/>
      <c r="V83" s="120"/>
      <c r="W83" s="142"/>
      <c r="X83" s="120"/>
      <c r="Y83" s="120"/>
      <c r="Z83" s="120"/>
      <c r="AA83" s="120"/>
      <c r="AB83" s="142"/>
      <c r="AC83" s="120">
        <v>-19763.92223</v>
      </c>
      <c r="AD83" s="120">
        <v>-9103.2044999999998</v>
      </c>
      <c r="AE83" s="120">
        <v>-9222.9093300000022</v>
      </c>
      <c r="AF83" s="120">
        <v>-1316</v>
      </c>
      <c r="AG83" s="142"/>
      <c r="AH83" s="120">
        <v>-14051</v>
      </c>
      <c r="AI83" s="120">
        <v>-6052</v>
      </c>
      <c r="AJ83" s="120">
        <v>-6560</v>
      </c>
      <c r="AK83" s="120">
        <v>-111014</v>
      </c>
      <c r="AL83" s="142">
        <f>SUM(AH83:AK83)</f>
        <v>-137677</v>
      </c>
      <c r="AM83" s="120">
        <v>-15869</v>
      </c>
      <c r="AN83" s="121">
        <v>-8250</v>
      </c>
      <c r="AO83" s="120">
        <v>-7821</v>
      </c>
      <c r="AP83" s="120">
        <v>-10736</v>
      </c>
      <c r="AQ83" s="142">
        <f t="shared" si="30"/>
        <v>-42676</v>
      </c>
    </row>
    <row r="84" spans="1:43">
      <c r="A84" s="11"/>
      <c r="B84" s="11" t="s">
        <v>330</v>
      </c>
      <c r="C84" s="11" t="s">
        <v>331</v>
      </c>
      <c r="D84" s="120"/>
      <c r="E84" s="120"/>
      <c r="F84" s="121"/>
      <c r="G84" s="120"/>
      <c r="H84" s="142"/>
      <c r="I84" s="120"/>
      <c r="J84" s="120"/>
      <c r="K84" s="121"/>
      <c r="L84" s="120"/>
      <c r="M84" s="142"/>
      <c r="N84" s="120"/>
      <c r="O84" s="120"/>
      <c r="P84" s="121"/>
      <c r="Q84" s="120"/>
      <c r="R84" s="142"/>
      <c r="S84" s="120"/>
      <c r="T84" s="120"/>
      <c r="U84" s="123"/>
      <c r="V84" s="120"/>
      <c r="W84" s="142"/>
      <c r="X84" s="120"/>
      <c r="Y84" s="120"/>
      <c r="Z84" s="120"/>
      <c r="AA84" s="120"/>
      <c r="AB84" s="142"/>
      <c r="AC84" s="120">
        <v>-14530.70752</v>
      </c>
      <c r="AD84" s="120">
        <v>-6746.7872900000002</v>
      </c>
      <c r="AE84" s="120">
        <v>-6731.5672000000013</v>
      </c>
      <c r="AF84" s="120">
        <v>-1065.7824299999993</v>
      </c>
      <c r="AG84" s="142"/>
      <c r="AH84" s="120">
        <v>-10352</v>
      </c>
      <c r="AI84" s="120">
        <v>-4449</v>
      </c>
      <c r="AJ84" s="120">
        <v>-4822</v>
      </c>
      <c r="AK84" s="120">
        <v>-81780</v>
      </c>
      <c r="AL84" s="142">
        <f>SUM(AH84:AK84)</f>
        <v>-101403</v>
      </c>
      <c r="AM84" s="120">
        <v>-11658</v>
      </c>
      <c r="AN84" s="121">
        <v>-6073</v>
      </c>
      <c r="AO84" s="120">
        <v>-5912</v>
      </c>
      <c r="AP84" s="120">
        <v>-7895</v>
      </c>
      <c r="AQ84" s="142">
        <f t="shared" si="30"/>
        <v>-31538</v>
      </c>
    </row>
    <row r="85" spans="1:43">
      <c r="A85" s="11"/>
      <c r="B85" s="11" t="s">
        <v>332</v>
      </c>
      <c r="C85" s="11" t="s">
        <v>333</v>
      </c>
      <c r="D85" s="120"/>
      <c r="E85" s="120"/>
      <c r="F85" s="121"/>
      <c r="G85" s="120"/>
      <c r="H85" s="142"/>
      <c r="I85" s="120"/>
      <c r="J85" s="120"/>
      <c r="K85" s="121"/>
      <c r="L85" s="120"/>
      <c r="M85" s="142"/>
      <c r="N85" s="120"/>
      <c r="O85" s="120"/>
      <c r="P85" s="121"/>
      <c r="Q85" s="120"/>
      <c r="R85" s="142"/>
      <c r="S85" s="120"/>
      <c r="T85" s="120"/>
      <c r="U85" s="123"/>
      <c r="V85" s="120"/>
      <c r="W85" s="142"/>
      <c r="X85" s="120"/>
      <c r="Y85" s="120"/>
      <c r="Z85" s="120"/>
      <c r="AA85" s="120"/>
      <c r="AB85" s="142"/>
      <c r="AC85" s="120">
        <v>-5233.2147100000002</v>
      </c>
      <c r="AD85" s="120">
        <v>-2356.4172099999996</v>
      </c>
      <c r="AE85" s="120">
        <v>-2491.3421300000009</v>
      </c>
      <c r="AF85" s="120">
        <v>-250.53384000000005</v>
      </c>
      <c r="AG85" s="142"/>
      <c r="AH85" s="120">
        <v>-3699</v>
      </c>
      <c r="AI85" s="120">
        <v>-1603</v>
      </c>
      <c r="AJ85" s="120">
        <v>-1738</v>
      </c>
      <c r="AK85" s="120">
        <v>-29234</v>
      </c>
      <c r="AL85" s="142">
        <f>SUM(AH85:AK85)</f>
        <v>-36274</v>
      </c>
      <c r="AM85" s="120">
        <v>-4211</v>
      </c>
      <c r="AN85" s="121">
        <v>-2177</v>
      </c>
      <c r="AO85" s="120">
        <v>-1909</v>
      </c>
      <c r="AP85" s="120">
        <v>-2841</v>
      </c>
      <c r="AQ85" s="142">
        <f t="shared" si="30"/>
        <v>-11138</v>
      </c>
    </row>
    <row r="86" spans="1:43">
      <c r="A86" s="73"/>
      <c r="B86" s="73" t="s">
        <v>334</v>
      </c>
      <c r="C86" s="73" t="s">
        <v>335</v>
      </c>
      <c r="D86" s="120"/>
      <c r="E86" s="120"/>
      <c r="F86" s="120"/>
      <c r="G86" s="120"/>
      <c r="H86" s="142"/>
      <c r="I86" s="120"/>
      <c r="J86" s="120"/>
      <c r="K86" s="120"/>
      <c r="L86" s="120"/>
      <c r="M86" s="142"/>
      <c r="N86" s="120"/>
      <c r="O86" s="120"/>
      <c r="P86" s="120"/>
      <c r="Q86" s="120"/>
      <c r="R86" s="142"/>
      <c r="S86" s="120"/>
      <c r="T86" s="120"/>
      <c r="U86" s="120"/>
      <c r="V86" s="120"/>
      <c r="W86" s="142"/>
      <c r="X86" s="120"/>
      <c r="Y86" s="120"/>
      <c r="Z86" s="120"/>
      <c r="AA86" s="120"/>
      <c r="AB86" s="142"/>
      <c r="AC86" s="120">
        <v>0</v>
      </c>
      <c r="AD86" s="120">
        <v>0</v>
      </c>
      <c r="AE86" s="120">
        <v>0</v>
      </c>
      <c r="AF86" s="120">
        <v>0</v>
      </c>
      <c r="AG86" s="142"/>
      <c r="AH86" s="120">
        <v>0</v>
      </c>
      <c r="AI86" s="120">
        <v>0</v>
      </c>
      <c r="AJ86" s="120">
        <v>0</v>
      </c>
      <c r="AK86" s="120"/>
      <c r="AL86" s="142">
        <v>0</v>
      </c>
      <c r="AM86" s="120">
        <v>2</v>
      </c>
      <c r="AN86" s="121">
        <v>-3</v>
      </c>
      <c r="AO86" s="120">
        <v>0</v>
      </c>
      <c r="AP86" s="120">
        <v>-2</v>
      </c>
      <c r="AQ86" s="142">
        <f t="shared" si="30"/>
        <v>-3</v>
      </c>
    </row>
    <row r="87" spans="1:43">
      <c r="A87" s="73"/>
      <c r="B87" s="73" t="s">
        <v>374</v>
      </c>
      <c r="C87" s="73" t="s">
        <v>375</v>
      </c>
      <c r="D87" s="133">
        <v>0</v>
      </c>
      <c r="E87" s="133">
        <v>0</v>
      </c>
      <c r="F87" s="133">
        <v>0</v>
      </c>
      <c r="G87" s="138">
        <v>807</v>
      </c>
      <c r="H87" s="151">
        <v>807</v>
      </c>
      <c r="I87" s="133">
        <v>0</v>
      </c>
      <c r="J87" s="133">
        <v>0</v>
      </c>
      <c r="K87" s="133">
        <v>0</v>
      </c>
      <c r="L87" s="138">
        <v>858</v>
      </c>
      <c r="M87" s="151">
        <v>858</v>
      </c>
      <c r="N87" s="133">
        <v>0</v>
      </c>
      <c r="O87" s="133">
        <v>0</v>
      </c>
      <c r="P87" s="133">
        <v>0</v>
      </c>
      <c r="Q87" s="138">
        <v>1211</v>
      </c>
      <c r="R87" s="151">
        <v>1211</v>
      </c>
      <c r="S87" s="133">
        <v>0</v>
      </c>
      <c r="T87" s="133">
        <v>0</v>
      </c>
      <c r="U87" s="138">
        <v>334</v>
      </c>
      <c r="V87" s="138">
        <v>635</v>
      </c>
      <c r="W87" s="151">
        <v>0</v>
      </c>
      <c r="X87" s="137">
        <v>24</v>
      </c>
      <c r="Y87" s="133">
        <v>0</v>
      </c>
      <c r="Z87" s="133">
        <v>0</v>
      </c>
      <c r="AA87" s="137">
        <v>1021</v>
      </c>
      <c r="AB87" s="151">
        <v>1045</v>
      </c>
      <c r="AC87" s="133">
        <v>0</v>
      </c>
      <c r="AD87" s="133">
        <v>0</v>
      </c>
      <c r="AE87" s="133">
        <v>0</v>
      </c>
      <c r="AF87" s="133">
        <v>0.18190833333333334</v>
      </c>
      <c r="AG87" s="151">
        <v>0</v>
      </c>
      <c r="AH87" s="120"/>
      <c r="AI87" s="120"/>
      <c r="AJ87" s="120"/>
      <c r="AK87" s="120"/>
      <c r="AL87" s="151"/>
      <c r="AM87" s="133"/>
      <c r="AN87" s="133"/>
      <c r="AO87" s="120"/>
      <c r="AP87" s="120"/>
      <c r="AQ87" s="151">
        <f t="shared" si="30"/>
        <v>0</v>
      </c>
    </row>
    <row r="88" spans="1:43">
      <c r="A88" s="15"/>
      <c r="B88" s="15" t="s">
        <v>336</v>
      </c>
      <c r="C88" s="15" t="s">
        <v>367</v>
      </c>
      <c r="D88" s="140">
        <v>260325.72104546329</v>
      </c>
      <c r="E88" s="140">
        <v>233607.79346622509</v>
      </c>
      <c r="F88" s="140">
        <v>250120.88810123503</v>
      </c>
      <c r="G88" s="140">
        <v>271245.43112074159</v>
      </c>
      <c r="H88" s="273">
        <v>1015299.8337336651</v>
      </c>
      <c r="I88" s="140">
        <v>299636.91821039084</v>
      </c>
      <c r="J88" s="140">
        <v>324358.13287195488</v>
      </c>
      <c r="K88" s="140">
        <v>296498.3220766228</v>
      </c>
      <c r="L88" s="140">
        <v>307094.03125319869</v>
      </c>
      <c r="M88" s="273">
        <v>1227587.4044121671</v>
      </c>
      <c r="N88" s="140">
        <v>344791.13819298515</v>
      </c>
      <c r="O88" s="140">
        <v>307198.75655234052</v>
      </c>
      <c r="P88" s="140">
        <v>342830.730937891</v>
      </c>
      <c r="Q88" s="140">
        <v>408593.1110860933</v>
      </c>
      <c r="R88" s="273">
        <v>1403413.73676931</v>
      </c>
      <c r="S88" s="140">
        <v>367904.19373686204</v>
      </c>
      <c r="T88" s="140">
        <v>364632.88342320477</v>
      </c>
      <c r="U88" s="140">
        <v>414877.86385084997</v>
      </c>
      <c r="V88" s="140">
        <v>328616.05831149331</v>
      </c>
      <c r="W88" s="273">
        <v>1476030.9993224102</v>
      </c>
      <c r="X88" s="140">
        <v>394169.03704340296</v>
      </c>
      <c r="Y88" s="140">
        <v>372684.29306291486</v>
      </c>
      <c r="Z88" s="140">
        <v>494105.12199499994</v>
      </c>
      <c r="AA88" s="140">
        <v>435215.04735315335</v>
      </c>
      <c r="AB88" s="273">
        <v>1696173.499454471</v>
      </c>
      <c r="AC88" s="140">
        <v>405041.24148999999</v>
      </c>
      <c r="AD88" s="140">
        <v>397954.11887463002</v>
      </c>
      <c r="AE88" s="140">
        <v>465297.61981624999</v>
      </c>
      <c r="AF88" s="140">
        <v>538273.75512531004</v>
      </c>
      <c r="AG88" s="273">
        <v>1806566.7353061901</v>
      </c>
      <c r="AH88" s="140">
        <v>659119</v>
      </c>
      <c r="AI88" s="140">
        <v>659061.42999999993</v>
      </c>
      <c r="AJ88" s="140">
        <v>1142869.3149999999</v>
      </c>
      <c r="AK88" s="140">
        <f>SUM(AK80,AK82)</f>
        <v>501018</v>
      </c>
      <c r="AL88" s="273">
        <f>SUM(AH88:AK88)</f>
        <v>2962067.7450000001</v>
      </c>
      <c r="AM88" s="140">
        <f>SUM(AM80,AM82)</f>
        <v>814371</v>
      </c>
      <c r="AN88" s="140">
        <v>869409</v>
      </c>
      <c r="AO88" s="140">
        <v>974313</v>
      </c>
      <c r="AP88" s="140">
        <v>924151</v>
      </c>
      <c r="AQ88" s="273">
        <f>SUM(AM88:AP88)</f>
        <v>3582244</v>
      </c>
    </row>
    <row r="89" spans="1:43">
      <c r="A89" s="9"/>
      <c r="B89" s="9" t="s">
        <v>338</v>
      </c>
      <c r="C89" s="9" t="s">
        <v>368</v>
      </c>
      <c r="D89" s="274">
        <v>18187.27895453672</v>
      </c>
      <c r="E89" s="274">
        <v>20656.206533774923</v>
      </c>
      <c r="F89" s="274">
        <v>20856.749418764994</v>
      </c>
      <c r="G89" s="274">
        <v>14592.931359258419</v>
      </c>
      <c r="H89" s="275">
        <v>74293.166266335058</v>
      </c>
      <c r="I89" s="274">
        <v>21592.651269609149</v>
      </c>
      <c r="J89" s="274">
        <v>15983.778238045166</v>
      </c>
      <c r="K89" s="274">
        <v>18152.455953377219</v>
      </c>
      <c r="L89" s="274">
        <v>15533.790506801284</v>
      </c>
      <c r="M89" s="275">
        <v>71262.675967832824</v>
      </c>
      <c r="N89" s="274">
        <v>25355.829697014771</v>
      </c>
      <c r="O89" s="274">
        <v>16255.212067659457</v>
      </c>
      <c r="P89" s="274">
        <v>15983.445532108901</v>
      </c>
      <c r="Q89" s="274">
        <v>16599.470323906869</v>
      </c>
      <c r="R89" s="275">
        <v>74193.957620689995</v>
      </c>
      <c r="S89" s="274">
        <v>27532.806263137943</v>
      </c>
      <c r="T89" s="274">
        <v>19014.116576795255</v>
      </c>
      <c r="U89" s="274">
        <v>22232.136149150007</v>
      </c>
      <c r="V89" s="274">
        <v>-8753.3329314933217</v>
      </c>
      <c r="W89" s="275">
        <v>60025.726057589884</v>
      </c>
      <c r="X89" s="274">
        <v>19760.962956597043</v>
      </c>
      <c r="Y89" s="274">
        <v>21253.706937085131</v>
      </c>
      <c r="Z89" s="274">
        <v>14024.878005000122</v>
      </c>
      <c r="AA89" s="274">
        <v>18199.952646846628</v>
      </c>
      <c r="AB89" s="275">
        <v>73239.500545528921</v>
      </c>
      <c r="AC89" s="274">
        <v>26616</v>
      </c>
      <c r="AD89" s="274">
        <v>28679.30739537</v>
      </c>
      <c r="AE89" s="274">
        <v>26839.053043750002</v>
      </c>
      <c r="AF89" s="274">
        <v>7451.24487469</v>
      </c>
      <c r="AG89" s="275">
        <v>89585.605313810011</v>
      </c>
      <c r="AH89" s="274">
        <v>25420</v>
      </c>
      <c r="AI89" s="274">
        <v>14955.57</v>
      </c>
      <c r="AJ89" s="274">
        <v>6184.6849999999995</v>
      </c>
      <c r="AK89" s="274">
        <v>335</v>
      </c>
      <c r="AL89" s="275">
        <v>46895.14</v>
      </c>
      <c r="AM89" s="274">
        <v>0</v>
      </c>
      <c r="AN89" s="342">
        <v>0</v>
      </c>
      <c r="AO89" s="274">
        <v>0</v>
      </c>
      <c r="AP89" s="274">
        <v>0</v>
      </c>
      <c r="AQ89" s="275">
        <f>SUM(AM89:AP89)</f>
        <v>0</v>
      </c>
    </row>
    <row r="90" spans="1:43" ht="15.75" thickBot="1">
      <c r="A90" s="15"/>
      <c r="B90" s="15" t="s">
        <v>340</v>
      </c>
      <c r="C90" s="15" t="s">
        <v>369</v>
      </c>
      <c r="D90" s="140">
        <v>278513</v>
      </c>
      <c r="E90" s="140">
        <v>254264</v>
      </c>
      <c r="F90" s="140">
        <v>270977.63752000005</v>
      </c>
      <c r="G90" s="140">
        <v>285838.36248000001</v>
      </c>
      <c r="H90" s="292">
        <v>1089593</v>
      </c>
      <c r="I90" s="140">
        <v>321229.56948000001</v>
      </c>
      <c r="J90" s="140">
        <v>340341.91111000004</v>
      </c>
      <c r="K90" s="140">
        <v>314650.77803000004</v>
      </c>
      <c r="L90" s="140">
        <v>322627.82175999996</v>
      </c>
      <c r="M90" s="292">
        <v>1298850.0803800002</v>
      </c>
      <c r="N90" s="140">
        <v>370146.96788999991</v>
      </c>
      <c r="O90" s="140">
        <v>323453.96862</v>
      </c>
      <c r="P90" s="140">
        <v>358814.17646999989</v>
      </c>
      <c r="Q90" s="140">
        <v>425192.58141000016</v>
      </c>
      <c r="R90" s="292">
        <v>1477607.6943899998</v>
      </c>
      <c r="S90" s="140">
        <v>395437</v>
      </c>
      <c r="T90" s="140">
        <v>383647</v>
      </c>
      <c r="U90" s="140">
        <v>437110</v>
      </c>
      <c r="V90" s="140">
        <v>319862.72537999996</v>
      </c>
      <c r="W90" s="292">
        <v>1536056.72538</v>
      </c>
      <c r="X90" s="140">
        <v>413930</v>
      </c>
      <c r="Y90" s="140">
        <v>393938</v>
      </c>
      <c r="Z90" s="140">
        <v>508130.00000000006</v>
      </c>
      <c r="AA90" s="140">
        <v>453415</v>
      </c>
      <c r="AB90" s="292">
        <v>1769413</v>
      </c>
      <c r="AC90" s="140">
        <v>431657.24148999999</v>
      </c>
      <c r="AD90" s="140">
        <v>426633.42627</v>
      </c>
      <c r="AE90" s="140">
        <v>492136.67285999999</v>
      </c>
      <c r="AF90" s="140">
        <v>545725</v>
      </c>
      <c r="AG90" s="292">
        <v>1896152.3406199999</v>
      </c>
      <c r="AH90" s="140">
        <f t="shared" ref="AH90:AP90" si="31">AH88+AH89</f>
        <v>684539</v>
      </c>
      <c r="AI90" s="140">
        <f t="shared" si="31"/>
        <v>674016.99999999988</v>
      </c>
      <c r="AJ90" s="140">
        <f t="shared" si="31"/>
        <v>1149054</v>
      </c>
      <c r="AK90" s="140">
        <f t="shared" si="31"/>
        <v>501353</v>
      </c>
      <c r="AL90" s="292">
        <f t="shared" si="31"/>
        <v>3008962.8850000002</v>
      </c>
      <c r="AM90" s="140">
        <f t="shared" si="31"/>
        <v>814371</v>
      </c>
      <c r="AN90" s="140">
        <f t="shared" si="31"/>
        <v>869409</v>
      </c>
      <c r="AO90" s="140">
        <f t="shared" si="31"/>
        <v>974313</v>
      </c>
      <c r="AP90" s="140">
        <f t="shared" si="31"/>
        <v>924151</v>
      </c>
      <c r="AQ90" s="292">
        <f t="shared" ref="AQ90" si="32">SUM(AM90:AP90)</f>
        <v>3582244</v>
      </c>
    </row>
    <row r="91" spans="1:43"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 t="s">
        <v>447</v>
      </c>
      <c r="AI91" s="52" t="s">
        <v>447</v>
      </c>
      <c r="AJ91" s="52" t="s">
        <v>447</v>
      </c>
      <c r="AK91" s="52" t="s">
        <v>461</v>
      </c>
      <c r="AL91" s="103"/>
      <c r="AM91" s="19" t="s">
        <v>447</v>
      </c>
      <c r="AN91" s="19" t="s">
        <v>447</v>
      </c>
      <c r="AO91" s="19" t="s">
        <v>447</v>
      </c>
      <c r="AP91" s="19" t="s">
        <v>461</v>
      </c>
      <c r="AQ91" s="103"/>
    </row>
    <row r="92" spans="1:43">
      <c r="A92" s="284"/>
      <c r="B92" s="284" t="s">
        <v>376</v>
      </c>
      <c r="C92" s="284" t="s">
        <v>377</v>
      </c>
      <c r="D92" s="52">
        <v>278513</v>
      </c>
      <c r="E92" s="52">
        <v>254264</v>
      </c>
      <c r="F92" s="52">
        <v>270977.63751999999</v>
      </c>
      <c r="G92" s="52">
        <v>285838.36248000001</v>
      </c>
      <c r="H92" s="52">
        <v>1089593</v>
      </c>
      <c r="I92" s="52">
        <v>321229.56947999995</v>
      </c>
      <c r="J92" s="52">
        <v>340341.91111000004</v>
      </c>
      <c r="K92" s="52">
        <v>314649.77802999987</v>
      </c>
      <c r="L92" s="52">
        <v>322629.13011000009</v>
      </c>
      <c r="M92" s="52">
        <v>1298850.38873</v>
      </c>
      <c r="N92" s="52">
        <v>370146.96788999991</v>
      </c>
      <c r="O92" s="52">
        <v>323453.96862</v>
      </c>
      <c r="P92" s="52">
        <v>358814.17647000001</v>
      </c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03" t="s">
        <v>407</v>
      </c>
      <c r="AM92" s="503">
        <v>814371</v>
      </c>
      <c r="AN92" s="484">
        <v>869409</v>
      </c>
      <c r="AO92" s="503">
        <v>974313</v>
      </c>
      <c r="AP92" s="503">
        <v>924151</v>
      </c>
      <c r="AQ92" s="503">
        <v>3582244</v>
      </c>
    </row>
    <row r="93" spans="1:43">
      <c r="C93" s="260" t="s">
        <v>408</v>
      </c>
      <c r="D93" s="52"/>
      <c r="E93" s="52"/>
      <c r="F93" s="52"/>
      <c r="G93" s="52">
        <f>G92-G90</f>
        <v>0</v>
      </c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03"/>
      <c r="AM93" s="503">
        <f>AM92-AM90</f>
        <v>0</v>
      </c>
      <c r="AN93" s="503">
        <f t="shared" ref="AN93:AQ93" si="33">AN92-AN90</f>
        <v>0</v>
      </c>
      <c r="AO93" s="503">
        <f t="shared" si="33"/>
        <v>0</v>
      </c>
      <c r="AP93" s="503">
        <f t="shared" si="33"/>
        <v>0</v>
      </c>
      <c r="AQ93" s="503">
        <f t="shared" si="33"/>
        <v>0</v>
      </c>
    </row>
    <row r="94" spans="1:43"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</row>
    <row r="95" spans="1:43"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497">
        <v>684539</v>
      </c>
      <c r="AI95" s="497">
        <v>674016.99999999988</v>
      </c>
      <c r="AJ95" s="497">
        <v>1149054</v>
      </c>
      <c r="AK95" s="497">
        <v>501354</v>
      </c>
      <c r="AL95" s="498">
        <v>3008963</v>
      </c>
      <c r="AM95" s="497">
        <v>814371</v>
      </c>
      <c r="AN95" s="497">
        <v>869409</v>
      </c>
      <c r="AO95" s="497">
        <v>974313</v>
      </c>
      <c r="AP95" s="497">
        <v>924151</v>
      </c>
      <c r="AQ95" s="498">
        <v>3582244</v>
      </c>
    </row>
    <row r="96" spans="1:43"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</row>
    <row r="97" spans="34:43">
      <c r="AH97" s="123">
        <f t="shared" ref="AH97:AQ97" si="34">AH90-AH95</f>
        <v>0</v>
      </c>
      <c r="AI97" s="123">
        <f t="shared" si="34"/>
        <v>0</v>
      </c>
      <c r="AJ97" s="123">
        <f t="shared" si="34"/>
        <v>0</v>
      </c>
      <c r="AK97" s="123">
        <f t="shared" si="34"/>
        <v>-1</v>
      </c>
      <c r="AL97" s="123">
        <f t="shared" si="34"/>
        <v>-0.11499999975785613</v>
      </c>
      <c r="AM97" s="123">
        <f t="shared" si="34"/>
        <v>0</v>
      </c>
      <c r="AN97" s="123">
        <f t="shared" si="34"/>
        <v>0</v>
      </c>
      <c r="AO97" s="123">
        <f t="shared" si="34"/>
        <v>0</v>
      </c>
      <c r="AP97" s="123">
        <f t="shared" si="34"/>
        <v>0</v>
      </c>
      <c r="AQ97" s="123">
        <f t="shared" si="34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J59" formula="1"/>
    <ignoredError sqref="AK55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F529-43F9-4F84-B8A5-ECAA8C111A7B}">
  <sheetPr>
    <tabColor rgb="FFFFFF00"/>
  </sheetPr>
  <dimension ref="A2:AM34"/>
  <sheetViews>
    <sheetView showGridLines="0" workbookViewId="0">
      <selection activeCell="N34" sqref="N34"/>
    </sheetView>
  </sheetViews>
  <sheetFormatPr defaultColWidth="26.42578125" defaultRowHeight="15"/>
  <cols>
    <col min="1" max="1" width="3" style="20" bestFit="1" customWidth="1"/>
    <col min="2" max="2" width="33.5703125" style="423" customWidth="1"/>
    <col min="3" max="3" width="9.5703125" style="423" customWidth="1"/>
    <col min="4" max="6" width="10.42578125" style="423" customWidth="1"/>
    <col min="7" max="7" width="9.5703125" style="423" bestFit="1" customWidth="1"/>
    <col min="8" max="8" width="10.42578125" style="423" customWidth="1"/>
    <col min="9" max="9" width="9.5703125" style="423" bestFit="1" customWidth="1"/>
    <col min="10" max="10" width="11.42578125" style="20" customWidth="1"/>
    <col min="11" max="11" width="3.42578125" style="20" customWidth="1"/>
    <col min="12" max="12" width="1.42578125" style="20" customWidth="1"/>
    <col min="13" max="13" width="6.42578125" style="20" customWidth="1"/>
    <col min="14" max="14" width="27.42578125" style="20" bestFit="1" customWidth="1"/>
    <col min="15" max="21" width="8.42578125" style="20" customWidth="1"/>
    <col min="22" max="22" width="6.42578125" style="20" customWidth="1"/>
    <col min="23" max="23" width="2.42578125" style="20" customWidth="1"/>
    <col min="24" max="24" width="1.42578125" style="20" customWidth="1"/>
    <col min="25" max="25" width="6.42578125" style="20" customWidth="1"/>
    <col min="26" max="26" width="32.5703125" style="20" customWidth="1"/>
    <col min="27" max="33" width="14" style="20" customWidth="1"/>
    <col min="34" max="34" width="26.42578125" style="20"/>
    <col min="35" max="37" width="11.42578125" style="20" bestFit="1" customWidth="1"/>
    <col min="38" max="39" width="9.42578125" style="20" bestFit="1" customWidth="1"/>
    <col min="40" max="16384" width="26.42578125" style="20"/>
  </cols>
  <sheetData>
    <row r="2" spans="1:39">
      <c r="C2" s="423">
        <v>2</v>
      </c>
      <c r="N2" s="418" t="s">
        <v>634</v>
      </c>
      <c r="Z2" s="418" t="s">
        <v>635</v>
      </c>
    </row>
    <row r="3" spans="1:39">
      <c r="L3" s="288"/>
      <c r="X3" s="288"/>
    </row>
    <row r="4" spans="1:39">
      <c r="C4" s="423">
        <v>33</v>
      </c>
      <c r="D4" s="423">
        <v>32</v>
      </c>
      <c r="F4" s="423">
        <v>31</v>
      </c>
      <c r="H4" s="423">
        <v>29</v>
      </c>
      <c r="L4" s="288"/>
      <c r="X4" s="288"/>
    </row>
    <row r="5" spans="1:39" ht="15.75" thickBot="1">
      <c r="B5" s="424" t="s">
        <v>636</v>
      </c>
      <c r="C5" s="425">
        <v>45261</v>
      </c>
      <c r="D5" s="425">
        <v>45170</v>
      </c>
      <c r="E5" s="426" t="s">
        <v>637</v>
      </c>
      <c r="F5" s="483">
        <v>45078</v>
      </c>
      <c r="G5" s="426" t="s">
        <v>637</v>
      </c>
      <c r="H5" s="425">
        <v>44896</v>
      </c>
      <c r="I5" s="426" t="s">
        <v>4</v>
      </c>
      <c r="L5" s="288"/>
      <c r="N5" s="293" t="s">
        <v>638</v>
      </c>
      <c r="O5" s="319">
        <v>45078</v>
      </c>
      <c r="P5" s="302">
        <v>44986</v>
      </c>
      <c r="Q5" s="302" t="s">
        <v>637</v>
      </c>
      <c r="R5" s="302">
        <v>44896</v>
      </c>
      <c r="S5" s="302" t="s">
        <v>637</v>
      </c>
      <c r="T5" s="328">
        <v>44713</v>
      </c>
      <c r="U5" s="328" t="s">
        <v>4</v>
      </c>
      <c r="X5" s="288"/>
      <c r="Z5" s="293" t="s">
        <v>639</v>
      </c>
      <c r="AA5" s="319">
        <v>44986</v>
      </c>
      <c r="AB5" s="302">
        <v>44896</v>
      </c>
      <c r="AC5" s="302" t="s">
        <v>640</v>
      </c>
      <c r="AD5" s="302">
        <v>44531</v>
      </c>
      <c r="AE5" s="302" t="s">
        <v>641</v>
      </c>
      <c r="AF5" s="328">
        <v>44621</v>
      </c>
      <c r="AG5" s="328" t="s">
        <v>642</v>
      </c>
      <c r="AH5" s="293" t="s">
        <v>643</v>
      </c>
      <c r="AI5" s="302">
        <v>44896</v>
      </c>
      <c r="AJ5" s="302">
        <v>44531</v>
      </c>
      <c r="AK5" s="302">
        <v>44805</v>
      </c>
      <c r="AL5" s="294" t="s">
        <v>641</v>
      </c>
      <c r="AM5" s="294" t="s">
        <v>641</v>
      </c>
    </row>
    <row r="6" spans="1:39">
      <c r="A6" s="20">
        <v>1</v>
      </c>
      <c r="B6" s="427" t="s">
        <v>5</v>
      </c>
      <c r="C6" s="446" cm="1">
        <f t="array" ref="C6">INDEX(BP!$C$6:$AJ$66,$A6,C$4)/1000</f>
        <v>12396.111000000001</v>
      </c>
      <c r="D6" s="446" cm="1">
        <f t="array" ref="D6">INDEX(BP!$C$6:$AJ$66,$A6,D$4)/1000</f>
        <v>12879.004000000001</v>
      </c>
      <c r="E6" s="428">
        <f t="shared" ref="E6:E31" si="0">IFERROR(C6/D6-1,"-")</f>
        <v>-3.7494591973106006E-2</v>
      </c>
      <c r="F6" s="446" cm="1">
        <f t="array" ref="F6">INDEX(BP!$C$6:$AJ$66,$A6,F$4)/1000</f>
        <v>11996.82</v>
      </c>
      <c r="G6" s="428">
        <f t="shared" ref="G6:G31" si="1">IFERROR(C6/F6-1,"-")</f>
        <v>3.3283070013553573E-2</v>
      </c>
      <c r="H6" s="446" cm="1">
        <f t="array" ref="H6">INDEX(BP!$C$6:$AJ$66,$A6,H$4)/1000</f>
        <v>11709.268</v>
      </c>
      <c r="I6" s="428">
        <f t="shared" ref="I6:I31" si="2">IFERROR(C6/H6-1,"-")</f>
        <v>5.8658064705667368E-2</v>
      </c>
      <c r="J6" s="419"/>
      <c r="L6" s="288"/>
      <c r="N6" s="303" t="s">
        <v>5</v>
      </c>
      <c r="O6" s="320">
        <v>11996.82</v>
      </c>
      <c r="P6" s="320">
        <v>12608.102000000001</v>
      </c>
      <c r="Q6" s="305">
        <v>-4.8483268932944967E-2</v>
      </c>
      <c r="R6" s="304">
        <v>11709.268</v>
      </c>
      <c r="S6" s="305">
        <v>2.4557641007106445E-2</v>
      </c>
      <c r="T6" s="329">
        <v>11232.995000000001</v>
      </c>
      <c r="U6" s="306">
        <v>6.7998338822371052E-2</v>
      </c>
      <c r="X6" s="288"/>
      <c r="Z6" s="303" t="s">
        <v>5</v>
      </c>
      <c r="AA6" s="320">
        <v>12608.102000000001</v>
      </c>
      <c r="AB6" s="320">
        <v>11709.268</v>
      </c>
      <c r="AC6" s="305">
        <v>7.6762612317012646E-2</v>
      </c>
      <c r="AD6" s="304">
        <v>10655.114</v>
      </c>
      <c r="AE6" s="305">
        <v>0.18329114076114084</v>
      </c>
      <c r="AF6" s="329">
        <v>11232.995000000001</v>
      </c>
      <c r="AG6" s="306">
        <v>0.12241677308678578</v>
      </c>
      <c r="AH6" s="303" t="s">
        <v>5</v>
      </c>
      <c r="AI6" s="304">
        <v>11709268</v>
      </c>
      <c r="AJ6" s="304">
        <v>10655114</v>
      </c>
      <c r="AK6" s="304">
        <v>11910014</v>
      </c>
      <c r="AL6" s="305">
        <f>AI6/AK6-1</f>
        <v>-1.6855227877985657E-2</v>
      </c>
      <c r="AM6" s="306">
        <f>AI6/AK6-1</f>
        <v>-1.6855227877985657E-2</v>
      </c>
    </row>
    <row r="7" spans="1:39">
      <c r="A7" s="20">
        <v>2</v>
      </c>
      <c r="B7" s="429" t="s">
        <v>6</v>
      </c>
      <c r="C7" s="447" cm="1">
        <f t="array" ref="C7">INDEX(BP!$C$6:$AJ$66,$A7,C$4)/1000</f>
        <v>1464.596</v>
      </c>
      <c r="D7" s="447" cm="1">
        <f t="array" ref="D7">INDEX(BP!$C$6:$AJ$66,$A7,D$4)/1000</f>
        <v>2026.6079999999999</v>
      </c>
      <c r="E7" s="430">
        <f t="shared" si="0"/>
        <v>-0.27731658021679573</v>
      </c>
      <c r="F7" s="447" cm="1">
        <f t="array" ref="F7">INDEX(BP!$C$6:$AJ$66,$A7,F$4)/1000</f>
        <v>986.00800000000004</v>
      </c>
      <c r="G7" s="430">
        <f t="shared" si="1"/>
        <v>0.4853794289701503</v>
      </c>
      <c r="H7" s="447" cm="1">
        <f t="array" ref="H7">INDEX(BP!$C$6:$AJ$66,$A7,H$4)/1000</f>
        <v>1666.99</v>
      </c>
      <c r="I7" s="430">
        <f t="shared" si="2"/>
        <v>-0.12141284590789392</v>
      </c>
      <c r="J7" s="419"/>
      <c r="L7" s="288"/>
      <c r="N7" s="299" t="s">
        <v>6</v>
      </c>
      <c r="O7" s="321">
        <v>986.00800000000004</v>
      </c>
      <c r="P7" s="321">
        <v>2219.8589999999999</v>
      </c>
      <c r="Q7" s="325">
        <v>-0.55582404107648276</v>
      </c>
      <c r="R7" s="300">
        <v>1666.99</v>
      </c>
      <c r="S7" s="301">
        <v>-0.40850994906988047</v>
      </c>
      <c r="T7" s="330">
        <v>1498.7670000000001</v>
      </c>
      <c r="U7" s="307">
        <v>-0.34212055643071937</v>
      </c>
      <c r="X7" s="288"/>
      <c r="Z7" s="299" t="s">
        <v>6</v>
      </c>
      <c r="AA7" s="321">
        <v>2219.8589999999999</v>
      </c>
      <c r="AB7" s="321">
        <v>1666.99</v>
      </c>
      <c r="AC7" s="325">
        <v>0.33165705853064509</v>
      </c>
      <c r="AD7" s="300">
        <v>971.39200000000005</v>
      </c>
      <c r="AE7" s="301">
        <v>1.2852350029648174</v>
      </c>
      <c r="AF7" s="330">
        <v>1498.7670000000001</v>
      </c>
      <c r="AG7" s="307">
        <v>0.4811234835034397</v>
      </c>
      <c r="AH7" s="299" t="s">
        <v>6</v>
      </c>
      <c r="AI7" s="300">
        <v>1666990</v>
      </c>
      <c r="AJ7" s="300">
        <v>971392</v>
      </c>
      <c r="AK7" s="300">
        <v>1436081</v>
      </c>
      <c r="AL7" s="301">
        <f>AI7/AK7-1</f>
        <v>0.16079106958451517</v>
      </c>
      <c r="AM7" s="307">
        <f>AI7/AK7-1</f>
        <v>0.16079106958451517</v>
      </c>
    </row>
    <row r="8" spans="1:39">
      <c r="A8" s="20">
        <v>3</v>
      </c>
      <c r="B8" s="422" t="s">
        <v>644</v>
      </c>
      <c r="C8" s="445" cm="1">
        <f t="array" ref="C8">INDEX(BP!$C$6:$AJ$66,$A8,C$4)/1000</f>
        <v>0.43</v>
      </c>
      <c r="D8" s="445" cm="1">
        <f t="array" ref="D8">INDEX(BP!$C$6:$AJ$66,$A8,D$4)/1000</f>
        <v>0.29899999999999999</v>
      </c>
      <c r="E8" s="431">
        <f t="shared" si="0"/>
        <v>0.43812709030100327</v>
      </c>
      <c r="F8" s="445" cm="1">
        <f t="array" ref="F8">INDEX(BP!$C$6:$AJ$66,$A8,F$4)/1000</f>
        <v>0.16700000000000001</v>
      </c>
      <c r="G8" s="431">
        <f t="shared" si="1"/>
        <v>1.5748502994011973</v>
      </c>
      <c r="H8" s="445" cm="1">
        <f t="array" ref="H8">INDEX(BP!$C$6:$AJ$66,$A8,H$4)/1000</f>
        <v>0.71599999999999997</v>
      </c>
      <c r="I8" s="431">
        <f t="shared" si="2"/>
        <v>-0.3994413407821229</v>
      </c>
      <c r="J8" s="419"/>
      <c r="L8" s="288"/>
      <c r="N8" s="295" t="s">
        <v>644</v>
      </c>
      <c r="O8" s="322">
        <v>0.16700000000000001</v>
      </c>
      <c r="P8" s="322">
        <v>0.44</v>
      </c>
      <c r="Q8" s="326">
        <v>-0.62045454545454537</v>
      </c>
      <c r="R8" s="296">
        <v>0.71599999999999997</v>
      </c>
      <c r="S8" s="327">
        <v>-0.76675977653631278</v>
      </c>
      <c r="T8" s="331">
        <v>0.94399999999999995</v>
      </c>
      <c r="U8" s="308">
        <v>-0.82309322033898302</v>
      </c>
      <c r="X8" s="288"/>
      <c r="Z8" s="295" t="s">
        <v>7</v>
      </c>
      <c r="AA8" s="322">
        <v>0.44</v>
      </c>
      <c r="AB8" s="322">
        <v>0.71599999999999997</v>
      </c>
      <c r="AC8" s="326">
        <v>-0.38547486033519551</v>
      </c>
      <c r="AD8" s="296">
        <v>0.47005971999999996</v>
      </c>
      <c r="AE8" s="327">
        <v>-6.3948725493858438E-2</v>
      </c>
      <c r="AF8" s="331">
        <v>0.94399999999999995</v>
      </c>
      <c r="AG8" s="308">
        <v>-0.53389830508474567</v>
      </c>
      <c r="AH8" s="295" t="s">
        <v>7</v>
      </c>
      <c r="AI8" s="296">
        <v>716</v>
      </c>
      <c r="AJ8" s="296">
        <v>470.05971999999997</v>
      </c>
      <c r="AK8" s="296">
        <v>810</v>
      </c>
      <c r="AL8" s="297">
        <f>AI8/AK8-1</f>
        <v>-0.11604938271604937</v>
      </c>
      <c r="AM8" s="308">
        <f>AI8/AK8-1</f>
        <v>-0.11604938271604937</v>
      </c>
    </row>
    <row r="9" spans="1:39">
      <c r="A9" s="20">
        <v>4</v>
      </c>
      <c r="B9" s="422" t="s">
        <v>645</v>
      </c>
      <c r="C9" s="445" cm="1">
        <f t="array" ref="C9">INDEX(BP!$C$6:$AJ$66,$A9,C$4)/1000</f>
        <v>850.81899999999996</v>
      </c>
      <c r="D9" s="445" cm="1">
        <f t="array" ref="D9">INDEX(BP!$C$6:$AJ$66,$A9,D$4)/1000</f>
        <v>1878.8589999999999</v>
      </c>
      <c r="E9" s="431">
        <f t="shared" si="0"/>
        <v>-0.54716186792090304</v>
      </c>
      <c r="F9" s="445" cm="1">
        <f t="array" ref="F9">INDEX(BP!$C$6:$AJ$66,$A9,F$4)/1000</f>
        <v>826.04700000000003</v>
      </c>
      <c r="G9" s="431">
        <f t="shared" si="1"/>
        <v>2.9988608396374516E-2</v>
      </c>
      <c r="H9" s="445" cm="1">
        <f t="array" ref="H9">INDEX(BP!$C$6:$AJ$66,$A9,H$4)/1000</f>
        <v>917.34400000000005</v>
      </c>
      <c r="I9" s="431">
        <f t="shared" si="2"/>
        <v>-7.2519142219276578E-2</v>
      </c>
      <c r="J9" s="419"/>
      <c r="L9" s="288"/>
      <c r="N9" s="295" t="s">
        <v>645</v>
      </c>
      <c r="O9" s="322">
        <v>826.04700000000003</v>
      </c>
      <c r="P9" s="322">
        <v>1295.644</v>
      </c>
      <c r="Q9" s="326">
        <v>-0.36244292413656831</v>
      </c>
      <c r="R9" s="296">
        <v>917.34400000000005</v>
      </c>
      <c r="S9" s="327">
        <v>-9.952318868385257E-2</v>
      </c>
      <c r="T9" s="331">
        <v>970.149</v>
      </c>
      <c r="U9" s="308">
        <v>-0.14853594654017066</v>
      </c>
      <c r="X9" s="288"/>
      <c r="Z9" s="295" t="s">
        <v>8</v>
      </c>
      <c r="AA9" s="322">
        <v>1295.644</v>
      </c>
      <c r="AB9" s="322">
        <v>917.34400000000005</v>
      </c>
      <c r="AC9" s="326">
        <v>0.41238619318380021</v>
      </c>
      <c r="AD9" s="296">
        <v>361.90525277999996</v>
      </c>
      <c r="AE9" s="327">
        <v>2.5800640914919635</v>
      </c>
      <c r="AF9" s="331">
        <v>970.149</v>
      </c>
      <c r="AG9" s="308">
        <v>0.33551031851808322</v>
      </c>
      <c r="AH9" s="295" t="s">
        <v>8</v>
      </c>
      <c r="AI9" s="296">
        <v>917344</v>
      </c>
      <c r="AJ9" s="296">
        <v>361905.25277999998</v>
      </c>
      <c r="AK9" s="296">
        <v>1271740</v>
      </c>
      <c r="AL9" s="297">
        <f>AI9/AK9-1</f>
        <v>-0.27867016843065406</v>
      </c>
      <c r="AM9" s="308">
        <f>AI9/AK9-1</f>
        <v>-0.27867016843065406</v>
      </c>
    </row>
    <row r="10" spans="1:39">
      <c r="A10" s="20">
        <v>5</v>
      </c>
      <c r="B10" s="422" t="s">
        <v>646</v>
      </c>
      <c r="C10" s="445" cm="1">
        <f t="array" ref="C10">INDEX(BP!$C$6:$AJ$66,$A10,C$4)/1000</f>
        <v>439.96300000000002</v>
      </c>
      <c r="D10" s="445" cm="1">
        <f t="array" ref="D10">INDEX(BP!$C$6:$AJ$66,$A10,D$4)/1000</f>
        <v>0</v>
      </c>
      <c r="E10" s="431" t="str">
        <f t="shared" si="0"/>
        <v>-</v>
      </c>
      <c r="F10" s="445" cm="1">
        <f t="array" ref="F10">INDEX(BP!$C$6:$AJ$66,$A10,F$4)/1000</f>
        <v>0</v>
      </c>
      <c r="G10" s="431" t="str">
        <f t="shared" si="1"/>
        <v>-</v>
      </c>
      <c r="H10" s="445" cm="1">
        <f t="array" ref="H10">INDEX(BP!$C$6:$AJ$66,$A10,H$4)/1000</f>
        <v>503.38600000000002</v>
      </c>
      <c r="I10" s="431">
        <f t="shared" si="2"/>
        <v>-0.12599277691473343</v>
      </c>
      <c r="J10" s="419"/>
      <c r="L10" s="288"/>
      <c r="N10" s="295" t="s">
        <v>646</v>
      </c>
      <c r="O10" s="322">
        <v>0</v>
      </c>
      <c r="P10" s="322">
        <v>798.67899999999997</v>
      </c>
      <c r="Q10" s="326">
        <v>-1</v>
      </c>
      <c r="R10" s="296">
        <v>503.38600000000002</v>
      </c>
      <c r="S10" s="327">
        <v>-1</v>
      </c>
      <c r="T10" s="331">
        <v>343.79199999999997</v>
      </c>
      <c r="U10" s="308">
        <v>-1</v>
      </c>
      <c r="X10" s="288"/>
      <c r="Z10" s="295" t="s">
        <v>9</v>
      </c>
      <c r="AA10" s="322">
        <v>798.67899999999997</v>
      </c>
      <c r="AB10" s="322">
        <v>503.38600000000002</v>
      </c>
      <c r="AC10" s="326">
        <v>0.58661345369160034</v>
      </c>
      <c r="AD10" s="296">
        <v>415.51475164999999</v>
      </c>
      <c r="AE10" s="327">
        <v>0.92214355044787966</v>
      </c>
      <c r="AF10" s="331">
        <v>343.79199999999997</v>
      </c>
      <c r="AG10" s="308">
        <v>1.3231459719830596</v>
      </c>
      <c r="AH10" s="295" t="s">
        <v>9</v>
      </c>
      <c r="AI10" s="296">
        <v>503386</v>
      </c>
      <c r="AJ10" s="296">
        <v>415514.75164999999</v>
      </c>
      <c r="AK10" s="296">
        <v>0</v>
      </c>
      <c r="AL10" s="297" t="s">
        <v>0</v>
      </c>
      <c r="AM10" s="308" t="s">
        <v>0</v>
      </c>
    </row>
    <row r="11" spans="1:39" ht="14.25" customHeight="1">
      <c r="A11" s="20">
        <v>6</v>
      </c>
      <c r="B11" s="422" t="s">
        <v>647</v>
      </c>
      <c r="C11" s="445" cm="1">
        <f t="array" ref="C11">INDEX(BP!$C$6:$AJ$66,$A11,C$4)/1000</f>
        <v>19.186</v>
      </c>
      <c r="D11" s="445" cm="1">
        <f t="array" ref="D11">INDEX(BP!$C$6:$AJ$66,$A11,D$4)/1000</f>
        <v>17.689</v>
      </c>
      <c r="E11" s="431">
        <f t="shared" si="0"/>
        <v>8.4628865396574104E-2</v>
      </c>
      <c r="F11" s="445" cm="1">
        <f t="array" ref="F11">INDEX(BP!$C$6:$AJ$66,$A11,F$4)/1000</f>
        <v>12.004</v>
      </c>
      <c r="G11" s="431">
        <f t="shared" si="1"/>
        <v>0.59830056647784069</v>
      </c>
      <c r="H11" s="445" cm="1">
        <f t="array" ref="H11">INDEX(BP!$C$6:$AJ$66,$A11,H$4)/1000</f>
        <v>15.523</v>
      </c>
      <c r="I11" s="431">
        <f t="shared" si="2"/>
        <v>0.2359724280100497</v>
      </c>
      <c r="J11" s="419"/>
      <c r="L11" s="288"/>
      <c r="N11" s="295" t="s">
        <v>648</v>
      </c>
      <c r="O11" s="322">
        <v>12.004</v>
      </c>
      <c r="P11" s="322">
        <v>21.613</v>
      </c>
      <c r="Q11" s="326">
        <v>-0.44459353167075377</v>
      </c>
      <c r="R11" s="296">
        <v>15.523</v>
      </c>
      <c r="S11" s="327">
        <v>-0.22669587064356123</v>
      </c>
      <c r="T11" s="331">
        <v>15.224</v>
      </c>
      <c r="U11" s="308">
        <v>-0.2115081450341566</v>
      </c>
      <c r="X11" s="288"/>
      <c r="Z11" s="295" t="s">
        <v>10</v>
      </c>
      <c r="AA11" s="322">
        <v>21.613</v>
      </c>
      <c r="AB11" s="322">
        <v>15.523</v>
      </c>
      <c r="AC11" s="326">
        <v>0.39232107195774013</v>
      </c>
      <c r="AD11" s="296">
        <v>11.091293449999998</v>
      </c>
      <c r="AE11" s="327">
        <v>0.94864558380249164</v>
      </c>
      <c r="AF11" s="331">
        <v>15.224</v>
      </c>
      <c r="AG11" s="308">
        <v>0.41966631634261686</v>
      </c>
      <c r="AH11" s="295" t="s">
        <v>10</v>
      </c>
      <c r="AI11" s="296">
        <v>15523</v>
      </c>
      <c r="AJ11" s="296">
        <v>11091.293449999999</v>
      </c>
      <c r="AK11" s="296">
        <v>13531</v>
      </c>
      <c r="AL11" s="297">
        <f>AI11/AK11-1</f>
        <v>0.14721750055428284</v>
      </c>
      <c r="AM11" s="308">
        <f>AI11/AK11-1</f>
        <v>0.14721750055428284</v>
      </c>
    </row>
    <row r="12" spans="1:39">
      <c r="A12" s="20">
        <v>7</v>
      </c>
      <c r="B12" s="422" t="s">
        <v>649</v>
      </c>
      <c r="C12" s="445" cm="1">
        <f t="array" ref="C12">INDEX(BP!$C$6:$AJ$66,$A12,C$4)/1000</f>
        <v>152.52199999999999</v>
      </c>
      <c r="D12" s="445" cm="1">
        <f t="array" ref="D12">INDEX(BP!$C$6:$AJ$66,$A12,D$4)/1000</f>
        <v>124.899</v>
      </c>
      <c r="E12" s="431">
        <f t="shared" si="0"/>
        <v>0.22116269946116462</v>
      </c>
      <c r="F12" s="445" cm="1">
        <f t="array" ref="F12">INDEX(BP!$C$6:$AJ$66,$A12,F$4)/1000</f>
        <v>140.46100000000001</v>
      </c>
      <c r="G12" s="431">
        <f t="shared" si="1"/>
        <v>8.5867251407863998E-2</v>
      </c>
      <c r="H12" s="445" cm="1">
        <f t="array" ref="H12">INDEX(BP!$C$6:$AJ$66,$A12,H$4)/1000</f>
        <v>105.715</v>
      </c>
      <c r="I12" s="431">
        <f t="shared" si="2"/>
        <v>0.44276592725724817</v>
      </c>
      <c r="J12" s="419"/>
      <c r="L12" s="288"/>
      <c r="N12" s="295" t="s">
        <v>649</v>
      </c>
      <c r="O12" s="322">
        <v>140.46100000000001</v>
      </c>
      <c r="P12" s="322">
        <v>102.11199999999999</v>
      </c>
      <c r="Q12" s="326">
        <v>0.375558210592291</v>
      </c>
      <c r="R12" s="296">
        <v>105.715</v>
      </c>
      <c r="S12" s="327">
        <v>0.32867615759352975</v>
      </c>
      <c r="T12" s="331">
        <v>151.41499999999999</v>
      </c>
      <c r="U12" s="308">
        <v>-7.2344219529108633E-2</v>
      </c>
      <c r="X12" s="288"/>
      <c r="Z12" s="295" t="s">
        <v>11</v>
      </c>
      <c r="AA12" s="322">
        <v>102.11199999999999</v>
      </c>
      <c r="AB12" s="322">
        <v>105.715</v>
      </c>
      <c r="AC12" s="326">
        <v>-3.4082202147282858E-2</v>
      </c>
      <c r="AD12" s="296">
        <v>165.08611086000002</v>
      </c>
      <c r="AE12" s="327">
        <v>-0.38146219892117228</v>
      </c>
      <c r="AF12" s="331">
        <v>151.41499999999999</v>
      </c>
      <c r="AG12" s="308">
        <v>-0.32561503153584515</v>
      </c>
      <c r="AH12" s="295" t="s">
        <v>11</v>
      </c>
      <c r="AI12" s="296">
        <v>105715</v>
      </c>
      <c r="AJ12" s="296">
        <v>165086.11086000002</v>
      </c>
      <c r="AK12" s="296">
        <v>130691</v>
      </c>
      <c r="AL12" s="297">
        <f>AI12/AK12-1</f>
        <v>-0.19110726828932367</v>
      </c>
      <c r="AM12" s="308">
        <f>AI12/AK12-1</f>
        <v>-0.19110726828932367</v>
      </c>
    </row>
    <row r="13" spans="1:39">
      <c r="A13" s="20">
        <v>8</v>
      </c>
      <c r="B13" s="422" t="s">
        <v>650</v>
      </c>
      <c r="C13" s="445" cm="1">
        <f t="array" ref="C13">INDEX(BP!$C$6:$AJ$66,$A13,C$4)/1000</f>
        <v>7.0000000000000001E-3</v>
      </c>
      <c r="D13" s="445" cm="1">
        <f t="array" ref="D13">INDEX(BP!$C$6:$AJ$66,$A13,D$4)/1000</f>
        <v>2.5089999999999999</v>
      </c>
      <c r="E13" s="431">
        <f t="shared" si="0"/>
        <v>-0.99721004384216816</v>
      </c>
      <c r="F13" s="445" cm="1">
        <f t="array" ref="F13">INDEX(BP!$C$6:$AJ$66,$A13,F$4)/1000</f>
        <v>6.431</v>
      </c>
      <c r="G13" s="431">
        <f t="shared" si="1"/>
        <v>-0.99891152231379254</v>
      </c>
      <c r="H13" s="445" cm="1">
        <f t="array" ref="H13">INDEX(BP!$C$6:$AJ$66,$A13,H$4)/1000</f>
        <v>4.1000000000000002E-2</v>
      </c>
      <c r="I13" s="431">
        <f t="shared" si="2"/>
        <v>-0.8292682926829269</v>
      </c>
      <c r="J13" s="419"/>
      <c r="L13" s="288"/>
      <c r="N13" s="295" t="s">
        <v>650</v>
      </c>
      <c r="O13" s="322">
        <v>6.431</v>
      </c>
      <c r="P13" s="322">
        <v>2.3E-2</v>
      </c>
      <c r="Q13" s="326">
        <v>278.60869565217394</v>
      </c>
      <c r="R13" s="296">
        <v>4.1000000000000002E-2</v>
      </c>
      <c r="S13" s="327">
        <v>155.85365853658536</v>
      </c>
      <c r="T13" s="331">
        <v>0</v>
      </c>
      <c r="U13" s="308" t="s">
        <v>0</v>
      </c>
      <c r="X13" s="288"/>
      <c r="Z13" s="295" t="s">
        <v>12</v>
      </c>
      <c r="AA13" s="322">
        <v>2.3E-2</v>
      </c>
      <c r="AB13" s="322">
        <v>4.1000000000000002E-2</v>
      </c>
      <c r="AC13" s="326">
        <v>-0.4390243902439025</v>
      </c>
      <c r="AD13" s="296">
        <v>0</v>
      </c>
      <c r="AE13" s="327" t="s">
        <v>0</v>
      </c>
      <c r="AF13" s="331">
        <v>0</v>
      </c>
      <c r="AG13" s="308" t="s">
        <v>0</v>
      </c>
      <c r="AH13" s="295" t="s">
        <v>12</v>
      </c>
      <c r="AI13" s="296">
        <v>41</v>
      </c>
      <c r="AJ13" s="296">
        <v>0</v>
      </c>
      <c r="AK13" s="296">
        <v>372</v>
      </c>
      <c r="AL13" s="297">
        <f>AI13/AK13-1</f>
        <v>-0.88978494623655913</v>
      </c>
      <c r="AM13" s="308">
        <f>AI13/AK13-1</f>
        <v>-0.88978494623655913</v>
      </c>
    </row>
    <row r="14" spans="1:39">
      <c r="A14" s="20">
        <v>9</v>
      </c>
      <c r="B14" s="422" t="s">
        <v>651</v>
      </c>
      <c r="C14" s="445" cm="1">
        <f t="array" ref="C14">INDEX(BP!$C$6:$AJ$66,$A14,C$4)/1000</f>
        <v>1.669</v>
      </c>
      <c r="D14" s="445" cm="1">
        <f t="array" ref="D14">INDEX(BP!$C$6:$AJ$66,$A14,D$4)/1000</f>
        <v>2.3530000000000002</v>
      </c>
      <c r="E14" s="431">
        <f t="shared" si="0"/>
        <v>-0.29069273268168305</v>
      </c>
      <c r="F14" s="445" cm="1">
        <f t="array" ref="F14">INDEX(BP!$C$6:$AJ$66,$A14,F$4)/1000</f>
        <v>0.89800000000000002</v>
      </c>
      <c r="G14" s="431">
        <f t="shared" si="1"/>
        <v>0.85857461024498893</v>
      </c>
      <c r="H14" s="445" cm="1">
        <f t="array" ref="H14">INDEX(BP!$C$6:$AJ$66,$A14,H$4)/1000</f>
        <v>1.395</v>
      </c>
      <c r="I14" s="431">
        <f t="shared" si="2"/>
        <v>0.19641577060931903</v>
      </c>
      <c r="J14" s="419"/>
      <c r="L14" s="288"/>
      <c r="N14" s="295" t="s">
        <v>651</v>
      </c>
      <c r="O14" s="322">
        <v>0.89800000000000002</v>
      </c>
      <c r="P14" s="322">
        <v>1.3480000000000001</v>
      </c>
      <c r="Q14" s="326">
        <v>-0.33382789317507422</v>
      </c>
      <c r="R14" s="296">
        <v>1.395</v>
      </c>
      <c r="S14" s="327">
        <v>-0.35627240143369177</v>
      </c>
      <c r="T14" s="331">
        <v>17.242999999999999</v>
      </c>
      <c r="U14" s="308">
        <v>-0.94792089543582903</v>
      </c>
      <c r="X14" s="288"/>
      <c r="Z14" s="295" t="s">
        <v>13</v>
      </c>
      <c r="AA14" s="322">
        <v>1.3480000000000001</v>
      </c>
      <c r="AB14" s="322">
        <v>1.395</v>
      </c>
      <c r="AC14" s="326">
        <v>-3.3691756272401396E-2</v>
      </c>
      <c r="AD14" s="296">
        <v>17.324999999999999</v>
      </c>
      <c r="AE14" s="327">
        <v>-0.92219336219336223</v>
      </c>
      <c r="AF14" s="331">
        <v>17.242999999999999</v>
      </c>
      <c r="AG14" s="308">
        <v>-0.92182334860523107</v>
      </c>
      <c r="AH14" s="295" t="s">
        <v>13</v>
      </c>
      <c r="AI14" s="296">
        <v>1395</v>
      </c>
      <c r="AJ14" s="296">
        <v>17325</v>
      </c>
      <c r="AK14" s="296">
        <v>18937</v>
      </c>
      <c r="AL14" s="297">
        <f>AI14/AK14-1</f>
        <v>-0.9263346887046523</v>
      </c>
      <c r="AM14" s="308">
        <f>AI14/AK14-1</f>
        <v>-0.9263346887046523</v>
      </c>
    </row>
    <row r="15" spans="1:39" ht="14.25" customHeight="1">
      <c r="A15" s="20">
        <v>10</v>
      </c>
      <c r="B15" s="422" t="s">
        <v>652</v>
      </c>
      <c r="C15" s="445" cm="1">
        <f t="array" ref="C15">INDEX(BP!$C$6:$AJ$66,$A15,C$4)/1000</f>
        <v>0</v>
      </c>
      <c r="D15" s="445" cm="1">
        <f t="array" ref="D15">INDEX(BP!$C$6:$AJ$66,$A15,D$4)/1000</f>
        <v>0</v>
      </c>
      <c r="E15" s="431" t="str">
        <f t="shared" si="0"/>
        <v>-</v>
      </c>
      <c r="F15" s="445" cm="1">
        <f t="array" ref="F15">INDEX(BP!$C$6:$AJ$66,$A15,F$4)/1000</f>
        <v>0</v>
      </c>
      <c r="G15" s="431" t="str">
        <f t="shared" si="1"/>
        <v>-</v>
      </c>
      <c r="H15" s="445" cm="1">
        <f t="array" ref="H15">INDEX(BP!$C$6:$AJ$66,$A15,H$4)/1000</f>
        <v>122.87</v>
      </c>
      <c r="I15" s="431">
        <f t="shared" si="2"/>
        <v>-1</v>
      </c>
      <c r="J15" s="419"/>
      <c r="L15" s="288"/>
      <c r="N15" s="295" t="s">
        <v>653</v>
      </c>
      <c r="O15" s="322">
        <v>0</v>
      </c>
      <c r="P15" s="322">
        <v>0</v>
      </c>
      <c r="Q15" s="326" t="s">
        <v>0</v>
      </c>
      <c r="R15" s="296">
        <v>122.87</v>
      </c>
      <c r="S15" s="327">
        <v>-1</v>
      </c>
      <c r="T15" s="331">
        <v>0</v>
      </c>
      <c r="U15" s="308" t="s">
        <v>0</v>
      </c>
      <c r="X15" s="288"/>
      <c r="Z15" s="295" t="s">
        <v>14</v>
      </c>
      <c r="AA15" s="322">
        <v>0</v>
      </c>
      <c r="AB15" s="322">
        <v>122.87</v>
      </c>
      <c r="AC15" s="326">
        <v>-1</v>
      </c>
      <c r="AD15" s="296">
        <v>0</v>
      </c>
      <c r="AE15" s="327" t="s">
        <v>0</v>
      </c>
      <c r="AF15" s="331">
        <v>0</v>
      </c>
      <c r="AG15" s="308" t="s">
        <v>0</v>
      </c>
      <c r="AH15" s="295" t="s">
        <v>14</v>
      </c>
      <c r="AI15" s="296">
        <v>122870</v>
      </c>
      <c r="AJ15" s="296"/>
      <c r="AK15" s="296"/>
      <c r="AL15" s="297" t="s">
        <v>0</v>
      </c>
      <c r="AM15" s="308" t="s">
        <v>0</v>
      </c>
    </row>
    <row r="16" spans="1:39">
      <c r="A16" s="20">
        <v>11</v>
      </c>
      <c r="B16" s="432" t="s">
        <v>15</v>
      </c>
      <c r="C16" s="447" cm="1">
        <f t="array" ref="C16">INDEX(BP!$C$6:$AJ$66,$A16,C$4)/1000</f>
        <v>10931.516</v>
      </c>
      <c r="D16" s="447" cm="1">
        <f t="array" ref="D16">INDEX(BP!$C$6:$AJ$66,$A16,D$4)/1000</f>
        <v>10852.396000000001</v>
      </c>
      <c r="E16" s="430">
        <f t="shared" si="0"/>
        <v>7.2905559288474198E-3</v>
      </c>
      <c r="F16" s="447" cm="1">
        <f t="array" ref="F16">INDEX(BP!$C$6:$AJ$66,$A16,F$4)/1000</f>
        <v>11010.812</v>
      </c>
      <c r="G16" s="430">
        <f t="shared" si="1"/>
        <v>-7.2016487067438906E-3</v>
      </c>
      <c r="H16" s="447" cm="1">
        <f t="array" ref="H16">INDEX(BP!$C$6:$AJ$66,$A16,H$4)/1000</f>
        <v>10042.278</v>
      </c>
      <c r="I16" s="430">
        <f t="shared" si="2"/>
        <v>8.8549430716815314E-2</v>
      </c>
      <c r="J16" s="419"/>
      <c r="L16" s="288"/>
      <c r="N16" s="299" t="s">
        <v>15</v>
      </c>
      <c r="O16" s="321">
        <v>11010.812</v>
      </c>
      <c r="P16" s="321">
        <v>10388.243</v>
      </c>
      <c r="Q16" s="325">
        <v>5.9930153732445479E-2</v>
      </c>
      <c r="R16" s="300">
        <v>10042.278</v>
      </c>
      <c r="S16" s="301">
        <v>9.6445647093219344E-2</v>
      </c>
      <c r="T16" s="330">
        <v>9734.2279999999992</v>
      </c>
      <c r="U16" s="307">
        <v>0.1311438359569963</v>
      </c>
      <c r="X16" s="288"/>
      <c r="Z16" s="299" t="s">
        <v>15</v>
      </c>
      <c r="AA16" s="321">
        <v>10388.243</v>
      </c>
      <c r="AB16" s="321">
        <v>10042.278</v>
      </c>
      <c r="AC16" s="325">
        <v>3.4450848701858217E-2</v>
      </c>
      <c r="AD16" s="300">
        <v>9683.7219999999998</v>
      </c>
      <c r="AE16" s="301">
        <v>7.2753121165601398E-2</v>
      </c>
      <c r="AF16" s="330">
        <v>9734.2279999999992</v>
      </c>
      <c r="AG16" s="307">
        <v>6.7187146222587035E-2</v>
      </c>
      <c r="AH16" s="299" t="s">
        <v>15</v>
      </c>
      <c r="AI16" s="300">
        <v>10042278</v>
      </c>
      <c r="AJ16" s="300">
        <v>9683722</v>
      </c>
      <c r="AK16" s="300">
        <v>10473933</v>
      </c>
      <c r="AL16" s="301">
        <f t="shared" ref="AL16:AL21" si="3">AI16/AK16-1</f>
        <v>-4.1212312509541493E-2</v>
      </c>
      <c r="AM16" s="307">
        <f t="shared" ref="AM16:AM21" si="4">AI16/AK16-1</f>
        <v>-4.1212312509541493E-2</v>
      </c>
    </row>
    <row r="17" spans="1:39" ht="12.75" customHeight="1">
      <c r="A17" s="20">
        <v>12</v>
      </c>
      <c r="B17" s="422" t="s">
        <v>654</v>
      </c>
      <c r="C17" s="445" cm="1">
        <f t="array" ref="C17">INDEX(BP!$C$6:$AJ$66,$A17,C$4)/1000</f>
        <v>10931.504999999999</v>
      </c>
      <c r="D17" s="445" cm="1">
        <f t="array" ref="D17">INDEX(BP!$C$6:$AJ$66,$A17,D$4)/1000</f>
        <v>10852.384</v>
      </c>
      <c r="E17" s="431">
        <f t="shared" si="0"/>
        <v>7.2906561360157607E-3</v>
      </c>
      <c r="F17" s="445" cm="1">
        <f t="array" ref="F17">INDEX(BP!$C$6:$AJ$66,$A17,F$4)/1000</f>
        <v>11010.797</v>
      </c>
      <c r="G17" s="431">
        <f t="shared" si="1"/>
        <v>-7.2012952377562556E-3</v>
      </c>
      <c r="H17" s="445" cm="1">
        <f t="array" ref="H17">INDEX(BP!$C$6:$AJ$66,$A17,H$4)/1000</f>
        <v>10042.255999999999</v>
      </c>
      <c r="I17" s="431">
        <f t="shared" si="2"/>
        <v>8.8550720077241518E-2</v>
      </c>
      <c r="J17" s="419"/>
      <c r="L17" s="288"/>
      <c r="N17" s="295" t="s">
        <v>655</v>
      </c>
      <c r="O17" s="322">
        <v>11010.797</v>
      </c>
      <c r="P17" s="322">
        <v>10388.225</v>
      </c>
      <c r="Q17" s="326">
        <v>5.9930546363791803E-2</v>
      </c>
      <c r="R17" s="296">
        <v>10042.255999999999</v>
      </c>
      <c r="S17" s="327">
        <v>9.644655543535241E-2</v>
      </c>
      <c r="T17" s="331">
        <v>9734.2119999999995</v>
      </c>
      <c r="U17" s="308">
        <v>0.13114415424689763</v>
      </c>
      <c r="X17" s="288"/>
      <c r="Z17" s="295" t="s">
        <v>16</v>
      </c>
      <c r="AA17" s="322">
        <v>10388.225</v>
      </c>
      <c r="AB17" s="322">
        <v>10042.255999999999</v>
      </c>
      <c r="AC17" s="326">
        <v>3.4451322491679148E-2</v>
      </c>
      <c r="AD17" s="296">
        <v>9683.7039999999997</v>
      </c>
      <c r="AE17" s="327">
        <v>7.2753256398584654E-2</v>
      </c>
      <c r="AF17" s="331">
        <v>9734.2119999999995</v>
      </c>
      <c r="AG17" s="308">
        <v>6.7187051196337277E-2</v>
      </c>
      <c r="AH17" s="295" t="s">
        <v>16</v>
      </c>
      <c r="AI17" s="296">
        <v>10042256</v>
      </c>
      <c r="AJ17" s="296">
        <v>9683704</v>
      </c>
      <c r="AK17" s="296">
        <v>10473908</v>
      </c>
      <c r="AL17" s="297">
        <f t="shared" si="3"/>
        <v>-4.1212124452496668E-2</v>
      </c>
      <c r="AM17" s="308">
        <f t="shared" si="4"/>
        <v>-4.1212124452496668E-2</v>
      </c>
    </row>
    <row r="18" spans="1:39">
      <c r="A18" s="20">
        <v>13</v>
      </c>
      <c r="B18" s="422" t="s">
        <v>651</v>
      </c>
      <c r="C18" s="445" cm="1">
        <f t="array" ref="C18">INDEX(BP!$C$6:$AJ$66,$A18,C$4)/1000</f>
        <v>1.0999999999999999E-2</v>
      </c>
      <c r="D18" s="445" cm="1">
        <f t="array" ref="D18">INDEX(BP!$C$6:$AJ$66,$A18,D$4)/1000</f>
        <v>1.2E-2</v>
      </c>
      <c r="E18" s="431">
        <f t="shared" si="0"/>
        <v>-8.333333333333337E-2</v>
      </c>
      <c r="F18" s="445" cm="1">
        <f t="array" ref="F18">INDEX(BP!$C$6:$AJ$66,$A18,F$4)/1000</f>
        <v>1.4999999999999999E-2</v>
      </c>
      <c r="G18" s="431">
        <f t="shared" si="1"/>
        <v>-0.26666666666666672</v>
      </c>
      <c r="H18" s="445" cm="1">
        <f t="array" ref="H18">INDEX(BP!$C$6:$AJ$66,$A18,H$4)/1000</f>
        <v>2.1999999999999999E-2</v>
      </c>
      <c r="I18" s="431">
        <f t="shared" si="2"/>
        <v>-0.5</v>
      </c>
      <c r="J18" s="419"/>
      <c r="L18" s="288"/>
      <c r="N18" s="295" t="s">
        <v>651</v>
      </c>
      <c r="O18" s="322">
        <v>1.4999999999999999E-2</v>
      </c>
      <c r="P18" s="322">
        <v>1.7999999999999999E-2</v>
      </c>
      <c r="Q18" s="326">
        <v>-0.16666666666666663</v>
      </c>
      <c r="R18" s="296">
        <v>2.1999999999999999E-2</v>
      </c>
      <c r="S18" s="327">
        <v>-0.31818181818181812</v>
      </c>
      <c r="T18" s="331">
        <v>1.6E-2</v>
      </c>
      <c r="U18" s="308">
        <v>-6.25E-2</v>
      </c>
      <c r="X18" s="288"/>
      <c r="Z18" s="295" t="s">
        <v>13</v>
      </c>
      <c r="AA18" s="322">
        <v>1.7999999999999999E-2</v>
      </c>
      <c r="AB18" s="322">
        <v>2.1999999999999999E-2</v>
      </c>
      <c r="AC18" s="326">
        <v>-0.18181818181818188</v>
      </c>
      <c r="AD18" s="296">
        <v>1.7999999999999999E-2</v>
      </c>
      <c r="AE18" s="327">
        <v>0</v>
      </c>
      <c r="AF18" s="331">
        <v>1.6E-2</v>
      </c>
      <c r="AG18" s="308">
        <v>0.125</v>
      </c>
      <c r="AH18" s="295" t="s">
        <v>13</v>
      </c>
      <c r="AI18" s="296">
        <v>22</v>
      </c>
      <c r="AJ18" s="296">
        <v>18</v>
      </c>
      <c r="AK18" s="296">
        <v>25</v>
      </c>
      <c r="AL18" s="297">
        <f t="shared" si="3"/>
        <v>-0.12</v>
      </c>
      <c r="AM18" s="308">
        <f t="shared" si="4"/>
        <v>-0.12</v>
      </c>
    </row>
    <row r="19" spans="1:39">
      <c r="A19" s="20">
        <v>14</v>
      </c>
      <c r="B19" s="427" t="s">
        <v>17</v>
      </c>
      <c r="C19" s="446" cm="1">
        <f t="array" ref="C19">INDEX(BP!$C$6:$AJ$66,$A19,C$4)/1000</f>
        <v>1418.4390000000001</v>
      </c>
      <c r="D19" s="446" cm="1">
        <f t="array" ref="D19">INDEX(BP!$C$6:$AJ$66,$A19,D$4)/1000</f>
        <v>118.577</v>
      </c>
      <c r="E19" s="428">
        <f t="shared" si="0"/>
        <v>10.962176476045101</v>
      </c>
      <c r="F19" s="446" cm="1">
        <f t="array" ref="F19">INDEX(BP!$C$6:$AJ$66,$A19,F$4)/1000</f>
        <v>135.39500000000001</v>
      </c>
      <c r="G19" s="428">
        <f t="shared" si="1"/>
        <v>9.476302669965655</v>
      </c>
      <c r="H19" s="446" cm="1">
        <f t="array" ref="H19">INDEX(BP!$C$6:$AJ$66,$A19,H$4)/1000</f>
        <v>820.15599999999995</v>
      </c>
      <c r="I19" s="428">
        <f t="shared" si="2"/>
        <v>0.72947463653256239</v>
      </c>
      <c r="J19" s="419"/>
      <c r="L19" s="288"/>
      <c r="N19" s="303" t="s">
        <v>17</v>
      </c>
      <c r="O19" s="320">
        <v>135.39500000000001</v>
      </c>
      <c r="P19" s="320">
        <v>831.41399999999999</v>
      </c>
      <c r="Q19" s="324">
        <v>-0.83715092601279262</v>
      </c>
      <c r="R19" s="304">
        <v>820.15599999999995</v>
      </c>
      <c r="S19" s="305">
        <v>-0.83491555265095907</v>
      </c>
      <c r="T19" s="329">
        <v>112.877</v>
      </c>
      <c r="U19" s="306">
        <v>0.19949148187850496</v>
      </c>
      <c r="X19" s="288"/>
      <c r="Z19" s="303" t="s">
        <v>17</v>
      </c>
      <c r="AA19" s="320">
        <v>831.41399999999999</v>
      </c>
      <c r="AB19" s="320">
        <v>820.15599999999995</v>
      </c>
      <c r="AC19" s="324">
        <v>1.3726656879910593E-2</v>
      </c>
      <c r="AD19" s="304">
        <v>96.344999999999999</v>
      </c>
      <c r="AE19" s="305">
        <v>7.6295500544916699</v>
      </c>
      <c r="AF19" s="329">
        <v>112.877</v>
      </c>
      <c r="AG19" s="306">
        <v>6.3656635098381429</v>
      </c>
      <c r="AH19" s="303" t="s">
        <v>17</v>
      </c>
      <c r="AI19" s="304">
        <v>820156</v>
      </c>
      <c r="AJ19" s="304">
        <v>96345</v>
      </c>
      <c r="AK19" s="304">
        <v>156830</v>
      </c>
      <c r="AL19" s="305">
        <f t="shared" si="3"/>
        <v>4.2295861761142639</v>
      </c>
      <c r="AM19" s="306">
        <f t="shared" si="4"/>
        <v>4.2295861761142639</v>
      </c>
    </row>
    <row r="20" spans="1:39">
      <c r="A20" s="20">
        <v>15</v>
      </c>
      <c r="B20" s="429" t="s">
        <v>6</v>
      </c>
      <c r="C20" s="447" cm="1">
        <f t="array" ref="C20">INDEX(BP!$C$6:$AJ$66,$A20,C$4)/1000</f>
        <v>1415.172</v>
      </c>
      <c r="D20" s="447" cm="1">
        <f t="array" ref="D20">INDEX(BP!$C$6:$AJ$66,$A20,D$4)/1000</f>
        <v>115.31</v>
      </c>
      <c r="E20" s="430">
        <f t="shared" si="0"/>
        <v>11.272760385048999</v>
      </c>
      <c r="F20" s="447" cm="1">
        <f t="array" ref="F20">INDEX(BP!$C$6:$AJ$66,$A20,F$4)/1000</f>
        <v>132.50800000000001</v>
      </c>
      <c r="G20" s="430">
        <f t="shared" si="1"/>
        <v>9.6798985721616795</v>
      </c>
      <c r="H20" s="447" cm="1">
        <f t="array" ref="H20">INDEX(BP!$C$6:$AJ$66,$A20,H$4)/1000</f>
        <v>817.36500000000001</v>
      </c>
      <c r="I20" s="430">
        <f t="shared" si="2"/>
        <v>0.73138316419225191</v>
      </c>
      <c r="J20" s="419"/>
      <c r="L20" s="288"/>
      <c r="N20" s="299" t="s">
        <v>6</v>
      </c>
      <c r="O20" s="321">
        <v>132.50800000000001</v>
      </c>
      <c r="P20" s="321">
        <v>828.65800000000002</v>
      </c>
      <c r="Q20" s="325">
        <v>-0.84009325922153644</v>
      </c>
      <c r="R20" s="300">
        <v>817.36500000000001</v>
      </c>
      <c r="S20" s="301">
        <v>-0.83788393190312771</v>
      </c>
      <c r="T20" s="330">
        <v>111.652</v>
      </c>
      <c r="U20" s="307">
        <v>0.1867946834808154</v>
      </c>
      <c r="X20" s="288"/>
      <c r="Z20" s="299" t="s">
        <v>6</v>
      </c>
      <c r="AA20" s="321">
        <v>828.65800000000002</v>
      </c>
      <c r="AB20" s="321">
        <v>817.36500000000001</v>
      </c>
      <c r="AC20" s="325">
        <v>1.3816348877184526E-2</v>
      </c>
      <c r="AD20" s="300">
        <v>95.116</v>
      </c>
      <c r="AE20" s="301">
        <v>7.7120778838470923</v>
      </c>
      <c r="AF20" s="330">
        <v>111.652</v>
      </c>
      <c r="AG20" s="307">
        <v>6.4217927130727617</v>
      </c>
      <c r="AH20" s="299" t="s">
        <v>6</v>
      </c>
      <c r="AI20" s="300">
        <v>817365</v>
      </c>
      <c r="AJ20" s="300">
        <v>95116</v>
      </c>
      <c r="AK20" s="300">
        <v>155604</v>
      </c>
      <c r="AL20" s="301">
        <f t="shared" si="3"/>
        <v>4.2528533970849081</v>
      </c>
      <c r="AM20" s="307">
        <f t="shared" si="4"/>
        <v>4.2528533970849081</v>
      </c>
    </row>
    <row r="21" spans="1:39">
      <c r="A21" s="20">
        <v>16</v>
      </c>
      <c r="B21" s="422" t="s">
        <v>656</v>
      </c>
      <c r="C21" s="445" cm="1">
        <f t="array" ref="C21">INDEX(BP!$C$6:$AJ$66,$A21,C$4)/1000</f>
        <v>74.599000000000004</v>
      </c>
      <c r="D21" s="445" cm="1">
        <f t="array" ref="D21">INDEX(BP!$C$6:$AJ$66,$A21,D$4)/1000</f>
        <v>55.597000000000001</v>
      </c>
      <c r="E21" s="431">
        <f t="shared" si="0"/>
        <v>0.34178103135061244</v>
      </c>
      <c r="F21" s="445" cm="1">
        <f t="array" ref="F21">INDEX(BP!$C$6:$AJ$66,$A21,F$4)/1000</f>
        <v>73.953000000000003</v>
      </c>
      <c r="G21" s="431">
        <f t="shared" si="1"/>
        <v>8.7352778115830088E-3</v>
      </c>
      <c r="H21" s="445" cm="1">
        <f t="array" ref="H21">INDEX(BP!$C$6:$AJ$66,$A21,H$4)/1000</f>
        <v>76.465000000000003</v>
      </c>
      <c r="I21" s="431">
        <f t="shared" si="2"/>
        <v>-2.4403321781207077E-2</v>
      </c>
      <c r="J21" s="419"/>
      <c r="L21" s="288"/>
      <c r="N21" s="295" t="s">
        <v>656</v>
      </c>
      <c r="O21" s="322">
        <v>73.953000000000003</v>
      </c>
      <c r="P21" s="322">
        <v>48.466999999999999</v>
      </c>
      <c r="Q21" s="326">
        <v>0.52584232570615064</v>
      </c>
      <c r="R21" s="296">
        <v>76.465000000000003</v>
      </c>
      <c r="S21" s="327">
        <v>-3.2851631465376285E-2</v>
      </c>
      <c r="T21" s="331">
        <v>58.62</v>
      </c>
      <c r="U21" s="308">
        <v>0.26156601842374627</v>
      </c>
      <c r="X21" s="288"/>
      <c r="Z21" s="295" t="s">
        <v>19</v>
      </c>
      <c r="AA21" s="322">
        <v>48.466999999999999</v>
      </c>
      <c r="AB21" s="322">
        <v>76.465000000000003</v>
      </c>
      <c r="AC21" s="326">
        <v>-0.36615444974825084</v>
      </c>
      <c r="AD21" s="296">
        <v>43.634999999999998</v>
      </c>
      <c r="AE21" s="327">
        <v>0.11073679385814139</v>
      </c>
      <c r="AF21" s="331">
        <v>58.62</v>
      </c>
      <c r="AG21" s="308">
        <v>-0.17320027294438756</v>
      </c>
      <c r="AH21" s="295" t="s">
        <v>19</v>
      </c>
      <c r="AI21" s="296">
        <v>76465</v>
      </c>
      <c r="AJ21" s="296">
        <v>43635</v>
      </c>
      <c r="AK21" s="296">
        <v>98066</v>
      </c>
      <c r="AL21" s="297">
        <f t="shared" si="3"/>
        <v>-0.22027002222992675</v>
      </c>
      <c r="AM21" s="308">
        <f t="shared" si="4"/>
        <v>-0.22027002222992675</v>
      </c>
    </row>
    <row r="22" spans="1:39">
      <c r="A22" s="20">
        <v>17</v>
      </c>
      <c r="B22" s="422" t="s">
        <v>657</v>
      </c>
      <c r="C22" s="445" cm="1">
        <f t="array" ref="C22">INDEX(BP!$C$6:$AJ$66,$A22,C$4)/1000</f>
        <v>1278.3510000000001</v>
      </c>
      <c r="D22" s="445" cm="1">
        <f t="array" ref="D22">INDEX(BP!$C$6:$AJ$66,$A22,D$4)/1000</f>
        <v>3.0000000000000001E-3</v>
      </c>
      <c r="E22" s="431" t="s">
        <v>0</v>
      </c>
      <c r="F22" s="445" cm="1">
        <f t="array" ref="F22">INDEX(BP!$C$6:$AJ$66,$A22,F$4)/1000</f>
        <v>3.0000000000000001E-3</v>
      </c>
      <c r="G22" s="431" t="s">
        <v>0</v>
      </c>
      <c r="H22" s="445" cm="1">
        <f t="array" ref="H22">INDEX(BP!$C$6:$AJ$66,$A22,H$4)/1000</f>
        <v>696.95799999999997</v>
      </c>
      <c r="I22" s="431">
        <f t="shared" si="2"/>
        <v>0.83418656504409183</v>
      </c>
      <c r="J22" s="419"/>
      <c r="L22" s="288"/>
      <c r="N22" s="295" t="s">
        <v>657</v>
      </c>
      <c r="O22" s="322">
        <v>3.0000000000000001E-3</v>
      </c>
      <c r="P22" s="322">
        <v>719.61300000000006</v>
      </c>
      <c r="Q22" s="326">
        <v>-0.99999583109254553</v>
      </c>
      <c r="R22" s="296">
        <v>696.95799999999997</v>
      </c>
      <c r="S22" s="327">
        <v>-0.99999569557993451</v>
      </c>
      <c r="T22" s="331">
        <v>1E-3</v>
      </c>
      <c r="U22" s="308" t="s">
        <v>0</v>
      </c>
      <c r="X22" s="288"/>
      <c r="Z22" s="295" t="s">
        <v>20</v>
      </c>
      <c r="AA22" s="322">
        <v>719.61300000000006</v>
      </c>
      <c r="AB22" s="322">
        <v>696.95799999999997</v>
      </c>
      <c r="AC22" s="326">
        <v>3.2505545527851121E-2</v>
      </c>
      <c r="AD22" s="296">
        <v>0</v>
      </c>
      <c r="AE22" s="327" t="s">
        <v>0</v>
      </c>
      <c r="AF22" s="331">
        <v>1E-3</v>
      </c>
      <c r="AG22" s="308" t="s">
        <v>0</v>
      </c>
      <c r="AH22" s="295" t="s">
        <v>20</v>
      </c>
      <c r="AI22" s="296">
        <v>696958</v>
      </c>
      <c r="AJ22" s="296">
        <v>0</v>
      </c>
      <c r="AK22" s="296">
        <v>0</v>
      </c>
      <c r="AL22" s="297" t="s">
        <v>0</v>
      </c>
      <c r="AM22" s="308" t="s">
        <v>0</v>
      </c>
    </row>
    <row r="23" spans="1:39" ht="14.25" customHeight="1">
      <c r="A23" s="20">
        <v>18</v>
      </c>
      <c r="B23" s="422" t="s">
        <v>658</v>
      </c>
      <c r="C23" s="445" cm="1">
        <f t="array" ref="C23">INDEX(BP!$C$6:$AJ$66,$A23,C$4)/1000</f>
        <v>62.213999999999999</v>
      </c>
      <c r="D23" s="445" cm="1">
        <f t="array" ref="D23">INDEX(BP!$C$6:$AJ$66,$A23,D$4)/1000</f>
        <v>52.607999999999997</v>
      </c>
      <c r="E23" s="431">
        <f t="shared" si="0"/>
        <v>0.18259580291970812</v>
      </c>
      <c r="F23" s="445" cm="1">
        <f t="array" ref="F23">INDEX(BP!$C$6:$AJ$66,$A23,F$4)/1000</f>
        <v>53.737000000000002</v>
      </c>
      <c r="G23" s="431">
        <f t="shared" si="1"/>
        <v>0.1577497813424642</v>
      </c>
      <c r="H23" s="445" cm="1">
        <f t="array" ref="H23">INDEX(BP!$C$6:$AJ$66,$A23,H$4)/1000</f>
        <v>43.942</v>
      </c>
      <c r="I23" s="431">
        <f t="shared" si="2"/>
        <v>0.41582085476309683</v>
      </c>
      <c r="J23" s="419"/>
      <c r="L23" s="288"/>
      <c r="N23" s="295" t="s">
        <v>659</v>
      </c>
      <c r="O23" s="322">
        <v>53.737000000000002</v>
      </c>
      <c r="P23" s="322">
        <v>58.142000000000003</v>
      </c>
      <c r="Q23" s="326">
        <v>-7.576278765780331E-2</v>
      </c>
      <c r="R23" s="296">
        <v>43.942</v>
      </c>
      <c r="S23" s="327">
        <v>0.22290746893632529</v>
      </c>
      <c r="T23" s="331">
        <v>51.38</v>
      </c>
      <c r="U23" s="308">
        <v>4.587388088750477E-2</v>
      </c>
      <c r="X23" s="288"/>
      <c r="Z23" s="295" t="s">
        <v>21</v>
      </c>
      <c r="AA23" s="322">
        <v>58.142000000000003</v>
      </c>
      <c r="AB23" s="322">
        <v>43.942</v>
      </c>
      <c r="AC23" s="326">
        <v>0.32315324746256446</v>
      </c>
      <c r="AD23" s="296">
        <v>51.481000000000002</v>
      </c>
      <c r="AE23" s="327">
        <v>0.12938754103455641</v>
      </c>
      <c r="AF23" s="331">
        <v>51.38</v>
      </c>
      <c r="AG23" s="308">
        <v>0.13160762942779303</v>
      </c>
      <c r="AH23" s="295" t="s">
        <v>21</v>
      </c>
      <c r="AI23" s="296">
        <v>43942</v>
      </c>
      <c r="AJ23" s="296">
        <v>51481</v>
      </c>
      <c r="AK23" s="296">
        <v>52129</v>
      </c>
      <c r="AL23" s="297">
        <f t="shared" ref="AL23:AL30" si="5">AI23/AK23-1</f>
        <v>-0.15705269619597539</v>
      </c>
      <c r="AM23" s="308">
        <f t="shared" ref="AM23:AM30" si="6">AI23/AK23-1</f>
        <v>-0.15705269619597539</v>
      </c>
    </row>
    <row r="24" spans="1:39" ht="14.1" customHeight="1">
      <c r="A24" s="20">
        <v>19</v>
      </c>
      <c r="B24" s="422" t="s">
        <v>660</v>
      </c>
      <c r="C24" s="445" cm="1">
        <f t="array" ref="C24">INDEX(BP!$C$6:$AJ$66,$A24,C$4)/1000</f>
        <v>8.0000000000000002E-3</v>
      </c>
      <c r="D24" s="445" cm="1">
        <f t="array" ref="D24">INDEX(BP!$C$6:$AJ$66,$A24,D$4)/1000</f>
        <v>7.1020000000000003</v>
      </c>
      <c r="E24" s="431">
        <f t="shared" si="0"/>
        <v>-0.99887355674457901</v>
      </c>
      <c r="F24" s="445" cm="1">
        <f t="array" ref="F24">INDEX(BP!$C$6:$AJ$66,$A24,F$4)/1000</f>
        <v>4.8150000000000004</v>
      </c>
      <c r="G24" s="431">
        <f t="shared" si="1"/>
        <v>-0.99833852544132917</v>
      </c>
      <c r="H24" s="445" cm="1">
        <f t="array" ref="H24">INDEX(BP!$C$6:$AJ$66,$A24,H$4)/1000</f>
        <v>0</v>
      </c>
      <c r="I24" s="431" t="str">
        <f t="shared" si="2"/>
        <v>-</v>
      </c>
      <c r="J24" s="419"/>
      <c r="L24" s="288"/>
      <c r="N24" s="295" t="s">
        <v>661</v>
      </c>
      <c r="O24" s="322">
        <v>4.8150000000000004</v>
      </c>
      <c r="P24" s="322">
        <v>2.4359999999999999</v>
      </c>
      <c r="Q24" s="326">
        <v>0.97660098522167504</v>
      </c>
      <c r="R24" s="296">
        <v>0</v>
      </c>
      <c r="S24" s="327" t="s">
        <v>0</v>
      </c>
      <c r="T24" s="331">
        <v>1.651</v>
      </c>
      <c r="U24" s="308">
        <v>1.9164142943670504</v>
      </c>
      <c r="X24" s="288"/>
      <c r="Z24" s="295" t="s">
        <v>22</v>
      </c>
      <c r="AA24" s="322">
        <v>2.4359999999999999</v>
      </c>
      <c r="AB24" s="322">
        <v>0</v>
      </c>
      <c r="AC24" s="326" t="s">
        <v>0</v>
      </c>
      <c r="AD24" s="296">
        <v>0</v>
      </c>
      <c r="AE24" s="327" t="s">
        <v>0</v>
      </c>
      <c r="AF24" s="331">
        <v>1.651</v>
      </c>
      <c r="AG24" s="308">
        <v>0.47546941247728647</v>
      </c>
      <c r="AH24" s="295" t="s">
        <v>22</v>
      </c>
      <c r="AI24" s="296">
        <v>0</v>
      </c>
      <c r="AJ24" s="296">
        <v>0</v>
      </c>
      <c r="AK24" s="296">
        <v>5409</v>
      </c>
      <c r="AL24" s="297">
        <f t="shared" si="5"/>
        <v>-1</v>
      </c>
      <c r="AM24" s="308">
        <f t="shared" si="6"/>
        <v>-1</v>
      </c>
    </row>
    <row r="25" spans="1:39">
      <c r="A25" s="20">
        <v>20</v>
      </c>
      <c r="B25" s="429" t="s">
        <v>15</v>
      </c>
      <c r="C25" s="447" cm="1">
        <f t="array" ref="C25">INDEX(BP!$C$6:$AJ$66,$A25,C$4)/1000</f>
        <v>3.2669999999999999</v>
      </c>
      <c r="D25" s="447" cm="1">
        <f t="array" ref="D25">INDEX(BP!$C$6:$AJ$66,$A25,D$4)/1000</f>
        <v>3.2669999999999999</v>
      </c>
      <c r="E25" s="430">
        <f t="shared" si="0"/>
        <v>0</v>
      </c>
      <c r="F25" s="447" cm="1">
        <f t="array" ref="F25">INDEX(BP!$C$6:$AJ$66,$A25,F$4)/1000</f>
        <v>2.887</v>
      </c>
      <c r="G25" s="430">
        <f t="shared" si="1"/>
        <v>0.13162452372705236</v>
      </c>
      <c r="H25" s="447" cm="1">
        <f t="array" ref="H25">INDEX(BP!$C$6:$AJ$66,$A25,H$4)/1000</f>
        <v>2.7909999999999999</v>
      </c>
      <c r="I25" s="430">
        <f t="shared" si="2"/>
        <v>0.17054819061268356</v>
      </c>
      <c r="J25" s="419"/>
      <c r="L25" s="288"/>
      <c r="N25" s="299" t="s">
        <v>15</v>
      </c>
      <c r="O25" s="321">
        <v>2.887</v>
      </c>
      <c r="P25" s="321">
        <v>2.7559999999999998</v>
      </c>
      <c r="Q25" s="325">
        <v>4.7532656023222097E-2</v>
      </c>
      <c r="R25" s="300">
        <v>2.7909999999999999</v>
      </c>
      <c r="S25" s="301">
        <v>3.4396273737011818E-2</v>
      </c>
      <c r="T25" s="330">
        <v>1.2250000000000001</v>
      </c>
      <c r="U25" s="307">
        <v>1.3567346938775509</v>
      </c>
      <c r="X25" s="288"/>
      <c r="Z25" s="299" t="s">
        <v>15</v>
      </c>
      <c r="AA25" s="321">
        <v>2.7559999999999998</v>
      </c>
      <c r="AB25" s="321">
        <v>2.7909999999999999</v>
      </c>
      <c r="AC25" s="325">
        <v>-1.254030813328566E-2</v>
      </c>
      <c r="AD25" s="300">
        <v>1.2290000000000001</v>
      </c>
      <c r="AE25" s="301">
        <v>1.2424735557363706</v>
      </c>
      <c r="AF25" s="330">
        <v>1.2250000000000001</v>
      </c>
      <c r="AG25" s="307">
        <v>1.2497959183673464</v>
      </c>
      <c r="AH25" s="299" t="s">
        <v>15</v>
      </c>
      <c r="AI25" s="300">
        <v>2791</v>
      </c>
      <c r="AJ25" s="300">
        <v>1229</v>
      </c>
      <c r="AK25" s="300">
        <v>1226</v>
      </c>
      <c r="AL25" s="301">
        <f t="shared" si="5"/>
        <v>1.2765089722675369</v>
      </c>
      <c r="AM25" s="307">
        <f t="shared" si="6"/>
        <v>1.2765089722675369</v>
      </c>
    </row>
    <row r="26" spans="1:39">
      <c r="A26" s="20">
        <v>21</v>
      </c>
      <c r="B26" s="422" t="s">
        <v>656</v>
      </c>
      <c r="C26" s="445" cm="1">
        <f t="array" ref="C26">INDEX(BP!$C$6:$AJ$66,$A26,C$4)/1000</f>
        <v>3.2669999999999999</v>
      </c>
      <c r="D26" s="445" cm="1">
        <f t="array" ref="D26">INDEX(BP!$C$6:$AJ$66,$A26,D$4)/1000</f>
        <v>3.2669999999999999</v>
      </c>
      <c r="E26" s="431">
        <f t="shared" si="0"/>
        <v>0</v>
      </c>
      <c r="F26" s="445" cm="1">
        <f t="array" ref="F26">INDEX(BP!$C$6:$AJ$66,$A26,F$4)/1000</f>
        <v>2.887</v>
      </c>
      <c r="G26" s="431">
        <f t="shared" si="1"/>
        <v>0.13162452372705236</v>
      </c>
      <c r="H26" s="445" cm="1">
        <f t="array" ref="H26">INDEX(BP!$C$6:$AJ$66,$A26,H$4)/1000</f>
        <v>2.7909999999999999</v>
      </c>
      <c r="I26" s="431">
        <f t="shared" si="2"/>
        <v>0.17054819061268356</v>
      </c>
      <c r="J26" s="419"/>
      <c r="L26" s="288"/>
      <c r="N26" s="295" t="s">
        <v>656</v>
      </c>
      <c r="O26" s="322">
        <v>2.887</v>
      </c>
      <c r="P26" s="322">
        <v>2.7559999999999998</v>
      </c>
      <c r="Q26" s="326">
        <v>4.7532656023222097E-2</v>
      </c>
      <c r="R26" s="296">
        <v>2.7909999999999999</v>
      </c>
      <c r="S26" s="327">
        <v>3.4396273737011818E-2</v>
      </c>
      <c r="T26" s="331">
        <v>1.2250000000000001</v>
      </c>
      <c r="U26" s="308">
        <v>1.3567346938775509</v>
      </c>
      <c r="X26" s="288"/>
      <c r="Z26" s="295" t="s">
        <v>19</v>
      </c>
      <c r="AA26" s="322">
        <v>2.7559999999999998</v>
      </c>
      <c r="AB26" s="322">
        <v>2.7909999999999999</v>
      </c>
      <c r="AC26" s="326">
        <v>-1.254030813328566E-2</v>
      </c>
      <c r="AD26" s="296">
        <v>1.2290000000000001</v>
      </c>
      <c r="AE26" s="327">
        <v>1.2424735557363706</v>
      </c>
      <c r="AF26" s="331">
        <v>1.2250000000000001</v>
      </c>
      <c r="AG26" s="308">
        <v>1.2497959183673464</v>
      </c>
      <c r="AH26" s="295" t="s">
        <v>19</v>
      </c>
      <c r="AI26" s="296">
        <v>2791</v>
      </c>
      <c r="AJ26" s="296">
        <v>1229</v>
      </c>
      <c r="AK26" s="296">
        <v>1226</v>
      </c>
      <c r="AL26" s="297">
        <f t="shared" si="5"/>
        <v>1.2765089722675369</v>
      </c>
      <c r="AM26" s="308">
        <f t="shared" si="6"/>
        <v>1.2765089722675369</v>
      </c>
    </row>
    <row r="27" spans="1:39">
      <c r="A27" s="20">
        <v>22</v>
      </c>
      <c r="B27" s="429" t="s">
        <v>25</v>
      </c>
      <c r="C27" s="447" cm="1">
        <f t="array" ref="C27">INDEX(BP!$C$6:$AJ$66,$A27,C$4)/1000</f>
        <v>10977.671</v>
      </c>
      <c r="D27" s="447" cm="1">
        <f t="array" ref="D27">INDEX(BP!$C$6:$AJ$66,$A27,D$4)/1000</f>
        <v>12760.428</v>
      </c>
      <c r="E27" s="430">
        <f t="shared" si="0"/>
        <v>-0.13970981224140755</v>
      </c>
      <c r="F27" s="447" cm="1">
        <f t="array" ref="F27">INDEX(BP!$C$6:$AJ$66,$A27,F$4)/1000</f>
        <v>11861.424999999999</v>
      </c>
      <c r="G27" s="430">
        <f t="shared" si="1"/>
        <v>-7.4506562238516816E-2</v>
      </c>
      <c r="H27" s="447" cm="1">
        <f t="array" ref="H27">INDEX(BP!$C$6:$AJ$66,$A27,H$4)/1000</f>
        <v>10889.111999999999</v>
      </c>
      <c r="I27" s="430">
        <f t="shared" si="2"/>
        <v>8.1328027482865384E-3</v>
      </c>
      <c r="J27" s="419"/>
      <c r="L27" s="288"/>
      <c r="N27" s="303" t="s">
        <v>25</v>
      </c>
      <c r="O27" s="320">
        <v>11861.424999999999</v>
      </c>
      <c r="P27" s="320">
        <v>11776.688</v>
      </c>
      <c r="Q27" s="324">
        <v>7.1953167138332219E-3</v>
      </c>
      <c r="R27" s="304">
        <v>10889.111999999999</v>
      </c>
      <c r="S27" s="305">
        <v>8.9292221441013675E-2</v>
      </c>
      <c r="T27" s="329">
        <v>11120.118</v>
      </c>
      <c r="U27" s="306">
        <v>6.666359115973397E-2</v>
      </c>
      <c r="X27" s="288"/>
      <c r="Z27" s="303" t="s">
        <v>25</v>
      </c>
      <c r="AA27" s="320">
        <v>11776.688</v>
      </c>
      <c r="AB27" s="320">
        <v>10889.111999999999</v>
      </c>
      <c r="AC27" s="324">
        <v>8.151041150095617E-2</v>
      </c>
      <c r="AD27" s="304">
        <v>10558.769</v>
      </c>
      <c r="AE27" s="305">
        <v>0.11534668482661181</v>
      </c>
      <c r="AF27" s="329">
        <v>11120.118</v>
      </c>
      <c r="AG27" s="306">
        <v>5.9043438208119747E-2</v>
      </c>
      <c r="AH27" s="303" t="s">
        <v>25</v>
      </c>
      <c r="AI27" s="304">
        <v>10889112</v>
      </c>
      <c r="AJ27" s="304">
        <v>10558769</v>
      </c>
      <c r="AK27" s="304">
        <v>11753184</v>
      </c>
      <c r="AL27" s="305">
        <f t="shared" si="5"/>
        <v>-7.3518120706695278E-2</v>
      </c>
      <c r="AM27" s="306">
        <f t="shared" si="6"/>
        <v>-7.3518120706695278E-2</v>
      </c>
    </row>
    <row r="28" spans="1:39">
      <c r="A28" s="20">
        <v>23</v>
      </c>
      <c r="B28" s="422" t="s">
        <v>662</v>
      </c>
      <c r="C28" s="445" cm="1">
        <f t="array" ref="C28">INDEX(BP!$C$6:$AJ$66,$A28,C$4)/1000</f>
        <v>2756.6869999999999</v>
      </c>
      <c r="D28" s="445" cm="1">
        <f t="array" ref="D28">INDEX(BP!$C$6:$AJ$66,$A28,D$4)/1000</f>
        <v>2756.6869999999999</v>
      </c>
      <c r="E28" s="431">
        <f t="shared" si="0"/>
        <v>0</v>
      </c>
      <c r="F28" s="445" cm="1">
        <f t="array" ref="F28">INDEX(BP!$C$6:$AJ$66,$A28,F$4)/1000</f>
        <v>2756.6869999999999</v>
      </c>
      <c r="G28" s="431">
        <f t="shared" si="1"/>
        <v>0</v>
      </c>
      <c r="H28" s="445" cm="1">
        <f t="array" ref="H28">INDEX(BP!$C$6:$AJ$66,$A28,H$4)/1000</f>
        <v>2756.6869999999999</v>
      </c>
      <c r="I28" s="431">
        <f t="shared" si="2"/>
        <v>0</v>
      </c>
      <c r="J28" s="419"/>
      <c r="L28" s="288"/>
      <c r="N28" s="295" t="s">
        <v>662</v>
      </c>
      <c r="O28" s="322">
        <v>2756.6869999999999</v>
      </c>
      <c r="P28" s="322">
        <v>2756.6869999999999</v>
      </c>
      <c r="Q28" s="326">
        <v>0</v>
      </c>
      <c r="R28" s="296">
        <v>2756.6869999999999</v>
      </c>
      <c r="S28" s="327">
        <v>0</v>
      </c>
      <c r="T28" s="331">
        <v>2756.6869999999999</v>
      </c>
      <c r="U28" s="308">
        <v>0</v>
      </c>
      <c r="X28" s="288"/>
      <c r="Z28" s="295" t="s">
        <v>26</v>
      </c>
      <c r="AA28" s="322">
        <v>2756.6869999999999</v>
      </c>
      <c r="AB28" s="322">
        <v>2756.6869999999999</v>
      </c>
      <c r="AC28" s="326">
        <v>0</v>
      </c>
      <c r="AD28" s="296">
        <v>2756.6869999999999</v>
      </c>
      <c r="AE28" s="327">
        <v>0</v>
      </c>
      <c r="AF28" s="331">
        <v>2756.6869999999999</v>
      </c>
      <c r="AG28" s="308">
        <v>0</v>
      </c>
      <c r="AH28" s="295" t="s">
        <v>26</v>
      </c>
      <c r="AI28" s="296">
        <v>2756687</v>
      </c>
      <c r="AJ28" s="296">
        <v>2756687</v>
      </c>
      <c r="AK28" s="296">
        <v>2756687</v>
      </c>
      <c r="AL28" s="297">
        <f t="shared" si="5"/>
        <v>0</v>
      </c>
      <c r="AM28" s="308">
        <f t="shared" si="6"/>
        <v>0</v>
      </c>
    </row>
    <row r="29" spans="1:39">
      <c r="A29" s="20">
        <v>24</v>
      </c>
      <c r="B29" s="422" t="s">
        <v>27</v>
      </c>
      <c r="C29" s="445" cm="1">
        <f t="array" ref="C29">INDEX(BP!$C$6:$AJ$66,$A29,C$4)/1000</f>
        <v>2067.3119999999999</v>
      </c>
      <c r="D29" s="445" cm="1">
        <f t="array" ref="D29">INDEX(BP!$C$6:$AJ$66,$A29,D$4)/1000</f>
        <v>1717.1189999999999</v>
      </c>
      <c r="E29" s="431">
        <f t="shared" si="0"/>
        <v>0.20394218455447755</v>
      </c>
      <c r="F29" s="445" cm="1">
        <f t="array" ref="F29">INDEX(BP!$C$6:$AJ$66,$A29,F$4)/1000</f>
        <v>1717.1189999999999</v>
      </c>
      <c r="G29" s="431">
        <f t="shared" si="1"/>
        <v>0.20394218455447755</v>
      </c>
      <c r="H29" s="445" cm="1">
        <f t="array" ref="H29">INDEX(BP!$C$6:$AJ$66,$A29,H$4)/1000</f>
        <v>1717.1189999999999</v>
      </c>
      <c r="I29" s="431">
        <f t="shared" si="2"/>
        <v>0.20394218455447755</v>
      </c>
      <c r="J29" s="419"/>
      <c r="L29" s="288"/>
      <c r="N29" s="295" t="s">
        <v>27</v>
      </c>
      <c r="O29" s="322">
        <v>1717.1189999999999</v>
      </c>
      <c r="P29" s="322">
        <v>1717.1189999999999</v>
      </c>
      <c r="Q29" s="326">
        <v>0</v>
      </c>
      <c r="R29" s="296">
        <v>1717.1189999999999</v>
      </c>
      <c r="S29" s="327">
        <v>0</v>
      </c>
      <c r="T29" s="331">
        <v>2303.797</v>
      </c>
      <c r="U29" s="308">
        <v>-0.25465698583685981</v>
      </c>
      <c r="X29" s="288"/>
      <c r="Z29" s="295" t="s">
        <v>27</v>
      </c>
      <c r="AA29" s="322">
        <v>1717.1189999999999</v>
      </c>
      <c r="AB29" s="322">
        <v>2520.163</v>
      </c>
      <c r="AC29" s="326">
        <v>-0.31864764302943904</v>
      </c>
      <c r="AD29" s="296">
        <v>2303.797</v>
      </c>
      <c r="AE29" s="327">
        <v>-0.25465698583685981</v>
      </c>
      <c r="AF29" s="331">
        <v>2303.797</v>
      </c>
      <c r="AG29" s="308">
        <v>-0.25465698583685981</v>
      </c>
      <c r="AH29" s="295" t="s">
        <v>27</v>
      </c>
      <c r="AI29" s="296">
        <v>2520163</v>
      </c>
      <c r="AJ29" s="296">
        <v>2303797</v>
      </c>
      <c r="AK29" s="296">
        <v>1416426</v>
      </c>
      <c r="AL29" s="297">
        <f t="shared" si="5"/>
        <v>0.7792408498573169</v>
      </c>
      <c r="AM29" s="308">
        <f t="shared" si="6"/>
        <v>0.7792408498573169</v>
      </c>
    </row>
    <row r="30" spans="1:39" ht="16.5" customHeight="1">
      <c r="A30" s="20">
        <v>25</v>
      </c>
      <c r="B30" s="422" t="s">
        <v>663</v>
      </c>
      <c r="C30" s="445" cm="1">
        <f t="array" ref="C30">INDEX(BP!$C$6:$AJ$66,$A30,C$4)/1000</f>
        <v>5780.2790000000005</v>
      </c>
      <c r="D30" s="445" cm="1">
        <f t="array" ref="D30">INDEX(BP!$C$6:$AJ$66,$A30,D$4)/1000</f>
        <v>5707.1</v>
      </c>
      <c r="E30" s="431">
        <f t="shared" si="0"/>
        <v>1.2822449229906718E-2</v>
      </c>
      <c r="F30" s="445" cm="1">
        <f t="array" ref="F30">INDEX(BP!$C$6:$AJ$66,$A30,F$4)/1000</f>
        <v>5724.6710000000003</v>
      </c>
      <c r="G30" s="431">
        <f t="shared" si="1"/>
        <v>9.7137459951848193E-3</v>
      </c>
      <c r="H30" s="445" cm="1">
        <f t="array" ref="H30">INDEX(BP!$C$6:$AJ$66,$A30,H$4)/1000</f>
        <v>5612.2619999999997</v>
      </c>
      <c r="I30" s="431">
        <f t="shared" si="2"/>
        <v>2.9937483317778346E-2</v>
      </c>
      <c r="J30" s="419"/>
      <c r="L30" s="288"/>
      <c r="N30" s="295" t="s">
        <v>664</v>
      </c>
      <c r="O30" s="322">
        <v>5724.6710000000003</v>
      </c>
      <c r="P30" s="322">
        <v>5659.4679999999998</v>
      </c>
      <c r="Q30" s="326">
        <v>1.1521047561360964E-2</v>
      </c>
      <c r="R30" s="296">
        <v>5612.2619999999997</v>
      </c>
      <c r="S30" s="327">
        <v>2.002917896562928E-2</v>
      </c>
      <c r="T30" s="331">
        <v>5502.5959999999995</v>
      </c>
      <c r="U30" s="308">
        <v>4.0358223645712066E-2</v>
      </c>
      <c r="X30" s="288"/>
      <c r="Z30" s="295" t="s">
        <v>28</v>
      </c>
      <c r="AA30" s="322">
        <v>5659.4679999999998</v>
      </c>
      <c r="AB30" s="322">
        <v>5612.2619999999997</v>
      </c>
      <c r="AC30" s="326">
        <v>8.4112252777934771E-3</v>
      </c>
      <c r="AD30" s="296">
        <v>5498.2849999999999</v>
      </c>
      <c r="AE30" s="327">
        <v>2.9315140993964484E-2</v>
      </c>
      <c r="AF30" s="331">
        <v>5502.5959999999995</v>
      </c>
      <c r="AG30" s="308">
        <v>2.8508725699651682E-2</v>
      </c>
      <c r="AH30" s="295" t="s">
        <v>28</v>
      </c>
      <c r="AI30" s="296">
        <v>5612262</v>
      </c>
      <c r="AJ30" s="296">
        <v>5498285</v>
      </c>
      <c r="AK30" s="296">
        <v>5575995</v>
      </c>
      <c r="AL30" s="297">
        <f t="shared" si="5"/>
        <v>6.5041306529147747E-3</v>
      </c>
      <c r="AM30" s="308">
        <f t="shared" si="6"/>
        <v>6.5041306529147747E-3</v>
      </c>
    </row>
    <row r="31" spans="1:39">
      <c r="A31" s="20">
        <v>26</v>
      </c>
      <c r="B31" s="422" t="s">
        <v>665</v>
      </c>
      <c r="C31" s="445" cm="1">
        <f t="array" ref="C31">INDEX(BP!$C$6:$AJ$66,$A31,C$4)/1000</f>
        <v>0</v>
      </c>
      <c r="D31" s="445" cm="1">
        <f t="array" ref="D31">INDEX(BP!$C$6:$AJ$66,$A31,D$4)/1000</f>
        <v>2579.5219999999999</v>
      </c>
      <c r="E31" s="431">
        <f t="shared" si="0"/>
        <v>-1</v>
      </c>
      <c r="F31" s="445" cm="1">
        <f t="array" ref="F31">INDEX(BP!$C$6:$AJ$66,$A31,F$4)/1000</f>
        <v>1662.9480000000001</v>
      </c>
      <c r="G31" s="431">
        <f t="shared" si="1"/>
        <v>-1</v>
      </c>
      <c r="H31" s="445" cm="1">
        <f t="array" ref="H31">INDEX(BP!$C$6:$AJ$66,$A31,H$4)/1000</f>
        <v>0</v>
      </c>
      <c r="I31" s="431" t="str">
        <f t="shared" si="2"/>
        <v>-</v>
      </c>
      <c r="J31" s="419"/>
      <c r="L31" s="288"/>
      <c r="N31" s="295" t="s">
        <v>665</v>
      </c>
      <c r="O31" s="322">
        <v>1662.9480000000001</v>
      </c>
      <c r="P31" s="322">
        <v>840.37</v>
      </c>
      <c r="Q31" s="326">
        <v>0.97882837321655947</v>
      </c>
      <c r="R31" s="296">
        <v>0</v>
      </c>
      <c r="S31" s="327" t="s">
        <v>0</v>
      </c>
      <c r="T31" s="331">
        <v>557.03800000000001</v>
      </c>
      <c r="U31" s="308">
        <v>1.985340317895727</v>
      </c>
      <c r="X31" s="288"/>
      <c r="Z31" s="295" t="s">
        <v>29</v>
      </c>
      <c r="AA31" s="322">
        <v>840.37</v>
      </c>
      <c r="AB31" s="322">
        <v>0</v>
      </c>
      <c r="AC31" s="326" t="s">
        <v>0</v>
      </c>
      <c r="AD31" s="296">
        <v>0</v>
      </c>
      <c r="AE31" s="327" t="s">
        <v>0</v>
      </c>
      <c r="AF31" s="331">
        <v>557.03800000000001</v>
      </c>
      <c r="AG31" s="308">
        <v>0.50864034410578807</v>
      </c>
      <c r="AH31" s="295" t="s">
        <v>29</v>
      </c>
      <c r="AI31" s="296">
        <v>0</v>
      </c>
      <c r="AJ31" s="296">
        <v>0</v>
      </c>
      <c r="AK31" s="296">
        <v>2004076</v>
      </c>
      <c r="AL31" s="297" t="s">
        <v>0</v>
      </c>
      <c r="AM31" s="308" t="s">
        <v>0</v>
      </c>
    </row>
    <row r="32" spans="1:39">
      <c r="A32" s="20">
        <v>27</v>
      </c>
      <c r="B32" s="422" t="s">
        <v>666</v>
      </c>
      <c r="C32" s="445" cm="1">
        <f t="array" ref="C32">INDEX(BP!$C$6:$AJ$66,$A32,C$4)/1000</f>
        <v>373.39299999999997</v>
      </c>
      <c r="D32" s="445" cm="1">
        <f t="array" ref="D32">INDEX(BP!$C$6:$AJ$66,$A32,D$4)/1000</f>
        <v>0</v>
      </c>
      <c r="E32" s="431" t="str">
        <f t="shared" ref="E32" si="7">IFERROR(C32/D32-1,"-")</f>
        <v>-</v>
      </c>
      <c r="F32" s="445" cm="1">
        <f t="array" ref="F32">INDEX(BP!$C$6:$AJ$66,$A32,F$4)/1000</f>
        <v>0</v>
      </c>
      <c r="G32" s="431" t="str">
        <f t="shared" ref="G32" si="8">IFERROR(C32/F32-1,"-")</f>
        <v>-</v>
      </c>
      <c r="H32" s="445" cm="1">
        <f t="array" ref="H32">INDEX(BP!$C$6:$AJ$66,$A32,H$4)/1000</f>
        <v>803.04399999999998</v>
      </c>
      <c r="I32" s="431">
        <f t="shared" ref="I32" si="9">IFERROR(C32/H32-1,"-")</f>
        <v>-0.53502796857955481</v>
      </c>
    </row>
    <row r="34" spans="2:9">
      <c r="B34" s="486" t="s">
        <v>448</v>
      </c>
      <c r="C34" s="442">
        <f>SUM(C6:C32)-SUM(BP!AI6:AI32)/1000</f>
        <v>0</v>
      </c>
      <c r="D34" s="442">
        <f>SUM(D6:D31)-SUM(BP!AH6:AH32)/1000</f>
        <v>0</v>
      </c>
      <c r="E34" s="442"/>
      <c r="F34" s="442">
        <f>SUM(F6:F32)-SUM(BP!AG6:AG31)/1000</f>
        <v>0</v>
      </c>
      <c r="G34" s="442"/>
      <c r="H34" s="442">
        <f>SUM(H6:H32)-SUM(BP!AE6:AE32)/1000</f>
        <v>0</v>
      </c>
      <c r="I34" s="44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E6:E15 G6:G15 E16:G21 E25:G31 E32 G32 E23:G24 F22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2A81E-EE55-452D-B939-BA335CC16C23}">
  <dimension ref="A1:BA133"/>
  <sheetViews>
    <sheetView showGridLines="0" showRowColHeaders="0" topLeftCell="A89" zoomScale="75" zoomScaleNormal="75" workbookViewId="0">
      <pane xSplit="2" topLeftCell="AV1" activePane="topRight" state="frozen"/>
      <selection activeCell="M8" sqref="M8"/>
      <selection pane="topRight" activeCell="BB127" sqref="BB127"/>
    </sheetView>
  </sheetViews>
  <sheetFormatPr defaultColWidth="10.42578125" defaultRowHeight="15" outlineLevelCol="1"/>
  <cols>
    <col min="1" max="1" width="4.42578125" style="187" bestFit="1" customWidth="1"/>
    <col min="2" max="2" width="50.85546875" customWidth="1"/>
    <col min="3" max="6" width="10.42578125" customWidth="1" outlineLevel="1"/>
    <col min="7" max="7" width="10.42578125" customWidth="1"/>
    <col min="8" max="11" width="10.42578125" customWidth="1" outlineLevel="1"/>
    <col min="12" max="12" width="10.42578125" customWidth="1"/>
    <col min="13" max="16" width="10.42578125" customWidth="1" outlineLevel="1"/>
    <col min="17" max="17" width="10.42578125" customWidth="1"/>
    <col min="18" max="21" width="10.42578125" customWidth="1" outlineLevel="1"/>
    <col min="22" max="22" width="10.42578125" customWidth="1"/>
    <col min="23" max="26" width="10.42578125" hidden="1" customWidth="1" outlineLevel="1"/>
    <col min="27" max="27" width="13.42578125" bestFit="1" customWidth="1" collapsed="1"/>
    <col min="28" max="31" width="14" hidden="1" customWidth="1" outlineLevel="1"/>
    <col min="32" max="32" width="13.42578125" bestFit="1" customWidth="1" collapsed="1"/>
    <col min="33" max="33" width="14" hidden="1" customWidth="1" outlineLevel="1"/>
    <col min="34" max="34" width="11.5703125" hidden="1" customWidth="1" outlineLevel="1"/>
    <col min="35" max="36" width="12.5703125" hidden="1" customWidth="1" outlineLevel="1"/>
    <col min="37" max="37" width="13.42578125" bestFit="1" customWidth="1" collapsed="1"/>
    <col min="38" max="39" width="14" hidden="1" customWidth="1" outlineLevel="1"/>
    <col min="40" max="41" width="12.5703125" hidden="1" customWidth="1" outlineLevel="1"/>
    <col min="42" max="42" width="12.5703125" customWidth="1" collapsed="1"/>
    <col min="43" max="44" width="14" hidden="1" customWidth="1" outlineLevel="1"/>
    <col min="45" max="46" width="12.5703125" hidden="1" customWidth="1" outlineLevel="1"/>
    <col min="47" max="47" width="12.5703125" customWidth="1" collapsed="1"/>
    <col min="48" max="51" width="12.42578125" customWidth="1" outlineLevel="1"/>
    <col min="52" max="52" width="12.5703125" customWidth="1"/>
    <col min="53" max="53" width="12.42578125" customWidth="1" outlineLevel="1"/>
  </cols>
  <sheetData>
    <row r="1" spans="1:53" ht="15" customHeight="1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673"/>
      <c r="AS1" s="673"/>
      <c r="AT1" s="673"/>
      <c r="AU1" s="673"/>
      <c r="AV1" s="673"/>
      <c r="AW1" s="673"/>
      <c r="AX1" s="673"/>
      <c r="AY1" s="673"/>
      <c r="AZ1" s="631"/>
      <c r="BA1" s="630"/>
    </row>
    <row r="2" spans="1:53" ht="15" customHeight="1">
      <c r="A2" s="673"/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3"/>
      <c r="AM2" s="673"/>
      <c r="AN2" s="673"/>
      <c r="AO2" s="673"/>
      <c r="AP2" s="673"/>
      <c r="AQ2" s="673"/>
      <c r="AR2" s="673"/>
      <c r="AS2" s="673"/>
      <c r="AT2" s="673"/>
      <c r="AU2" s="673"/>
      <c r="AV2" s="673"/>
      <c r="AW2" s="673"/>
      <c r="AX2" s="673"/>
      <c r="AY2" s="673"/>
      <c r="AZ2" s="631"/>
      <c r="BA2" s="630"/>
    </row>
    <row r="3" spans="1:53" ht="58.5" customHeight="1">
      <c r="A3" s="673"/>
      <c r="B3" s="784" t="s">
        <v>607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673"/>
      <c r="AY3" s="673"/>
      <c r="AZ3" s="631"/>
      <c r="BA3" s="630"/>
    </row>
    <row r="4" spans="1:53" s="108" customFormat="1" ht="10.15" customHeight="1">
      <c r="A4" s="354"/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R4" s="109"/>
      <c r="S4" s="109"/>
      <c r="T4" s="109"/>
      <c r="U4" s="109"/>
      <c r="W4" s="109"/>
      <c r="X4" s="109"/>
      <c r="Y4" s="109"/>
      <c r="Z4" s="109"/>
      <c r="AB4" s="109"/>
      <c r="AC4" s="109"/>
      <c r="AD4" s="109"/>
      <c r="AE4" s="109"/>
      <c r="AG4" s="109"/>
      <c r="AH4" s="109"/>
      <c r="AI4" s="109"/>
      <c r="AJ4" s="109"/>
      <c r="AL4" s="109"/>
      <c r="AM4" s="109"/>
      <c r="AN4" s="109"/>
      <c r="AO4" s="109"/>
      <c r="AQ4" s="109"/>
      <c r="AR4" s="109"/>
      <c r="AS4" s="109"/>
      <c r="AT4" s="109"/>
      <c r="AV4" s="109"/>
      <c r="AW4" s="726"/>
      <c r="AX4" s="726"/>
      <c r="AY4" s="726"/>
      <c r="BA4" s="109"/>
    </row>
    <row r="5" spans="1:53" s="103" customFormat="1" ht="23.25">
      <c r="A5" s="355"/>
      <c r="B5" s="74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</row>
    <row r="6" spans="1:53" ht="5.0999999999999996" customHeight="1"/>
    <row r="7" spans="1:53" ht="5.0999999999999996" customHeight="1" thickBot="1">
      <c r="AC7" s="49"/>
      <c r="AD7" s="49"/>
      <c r="AE7" s="49"/>
      <c r="AG7" s="49"/>
      <c r="AH7" s="49"/>
      <c r="AI7" s="49"/>
      <c r="AJ7" s="49"/>
      <c r="AL7" s="49"/>
      <c r="AM7" s="49"/>
      <c r="AN7" s="49"/>
      <c r="AO7" s="49"/>
      <c r="AQ7" s="49"/>
      <c r="AR7" s="49"/>
      <c r="AS7" s="49"/>
      <c r="AT7" s="49"/>
      <c r="AV7" s="49"/>
      <c r="AW7" s="49"/>
      <c r="AX7" s="49"/>
      <c r="AY7" s="49"/>
      <c r="BA7" s="49"/>
    </row>
    <row r="8" spans="1:53" s="103" customFormat="1">
      <c r="A8" s="785"/>
      <c r="B8" s="785"/>
      <c r="C8" s="785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5"/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5">
        <v>2020</v>
      </c>
      <c r="AB8" s="785" t="s">
        <v>244</v>
      </c>
      <c r="AC8" s="785" t="s">
        <v>245</v>
      </c>
      <c r="AD8" s="785" t="s">
        <v>246</v>
      </c>
      <c r="AE8" s="785" t="s">
        <v>247</v>
      </c>
      <c r="AF8" s="785">
        <v>2021</v>
      </c>
      <c r="AG8" s="785" t="s">
        <v>248</v>
      </c>
      <c r="AH8" s="785" t="s">
        <v>249</v>
      </c>
      <c r="AI8" s="785" t="s">
        <v>250</v>
      </c>
      <c r="AJ8" s="785" t="s">
        <v>215</v>
      </c>
      <c r="AK8" s="785">
        <v>2022</v>
      </c>
      <c r="AL8" s="785" t="s">
        <v>252</v>
      </c>
      <c r="AM8" s="785" t="s">
        <v>253</v>
      </c>
      <c r="AN8" s="785" t="s">
        <v>254</v>
      </c>
      <c r="AO8" s="785" t="s">
        <v>219</v>
      </c>
      <c r="AP8" s="785">
        <v>2023</v>
      </c>
      <c r="AQ8" s="785" t="s">
        <v>223</v>
      </c>
      <c r="AR8" s="785" t="s">
        <v>256</v>
      </c>
      <c r="AS8" s="785" t="s">
        <v>357</v>
      </c>
      <c r="AT8" s="785" t="s">
        <v>358</v>
      </c>
      <c r="AU8" s="798">
        <v>2024</v>
      </c>
      <c r="AV8" s="785" t="s">
        <v>359</v>
      </c>
      <c r="AW8" s="785" t="s">
        <v>1115</v>
      </c>
      <c r="AX8" s="785" t="s">
        <v>1116</v>
      </c>
      <c r="AY8" s="785" t="s">
        <v>1117</v>
      </c>
      <c r="AZ8" s="653">
        <v>2025</v>
      </c>
      <c r="BA8" s="786" t="s">
        <v>1124</v>
      </c>
    </row>
    <row r="9" spans="1:53" s="387" customFormat="1" ht="30.6" customHeight="1">
      <c r="A9" s="381"/>
      <c r="B9" s="225" t="s">
        <v>608</v>
      </c>
      <c r="C9" s="382"/>
      <c r="D9" s="382"/>
      <c r="E9" s="382"/>
      <c r="F9" s="382"/>
      <c r="G9" s="383"/>
      <c r="H9" s="382"/>
      <c r="I9" s="382"/>
      <c r="J9" s="382"/>
      <c r="K9" s="382"/>
      <c r="L9" s="383"/>
      <c r="M9" s="382"/>
      <c r="N9" s="382"/>
      <c r="O9" s="382"/>
      <c r="P9" s="382"/>
      <c r="Q9" s="383"/>
      <c r="R9" s="382"/>
      <c r="S9" s="382"/>
      <c r="T9" s="382"/>
      <c r="U9" s="382"/>
      <c r="V9" s="383"/>
      <c r="W9" s="382"/>
      <c r="X9" s="382"/>
      <c r="Y9" s="382"/>
      <c r="Z9" s="384"/>
      <c r="AA9" s="385">
        <f t="shared" ref="AA9:AO9" si="0">AA10+AA18+AA30+AA33</f>
        <v>36619370.099514484</v>
      </c>
      <c r="AB9" s="384">
        <f t="shared" si="0"/>
        <v>10548655.47903</v>
      </c>
      <c r="AC9" s="384">
        <f t="shared" si="0"/>
        <v>10913916.294400003</v>
      </c>
      <c r="AD9" s="384">
        <f t="shared" si="0"/>
        <v>11444605.04661</v>
      </c>
      <c r="AE9" s="384">
        <f t="shared" si="0"/>
        <v>12764422.627190005</v>
      </c>
      <c r="AF9" s="385">
        <f t="shared" si="0"/>
        <v>45671599.447230004</v>
      </c>
      <c r="AG9" s="384">
        <f t="shared" si="0"/>
        <v>11977924</v>
      </c>
      <c r="AH9" s="384">
        <f t="shared" si="0"/>
        <v>12471911.12001</v>
      </c>
      <c r="AI9" s="384">
        <f t="shared" si="0"/>
        <v>13137691</v>
      </c>
      <c r="AJ9" s="384">
        <f t="shared" si="0"/>
        <v>9654808.9261099994</v>
      </c>
      <c r="AK9" s="385">
        <f t="shared" si="0"/>
        <v>47242335.046120003</v>
      </c>
      <c r="AL9" s="384">
        <f t="shared" si="0"/>
        <v>10565603.25</v>
      </c>
      <c r="AM9" s="384">
        <f t="shared" si="0"/>
        <v>10843600</v>
      </c>
      <c r="AN9" s="384">
        <f t="shared" si="0"/>
        <v>11303706</v>
      </c>
      <c r="AO9" s="384">
        <f t="shared" si="0"/>
        <v>10878681.716</v>
      </c>
      <c r="AP9" s="385">
        <f t="shared" ref="AP9:AT9" si="1">AP10+AP18+AP30+AP33</f>
        <v>43602383.965999998</v>
      </c>
      <c r="AQ9" s="384">
        <f t="shared" si="1"/>
        <v>11204745.550000001</v>
      </c>
      <c r="AR9" s="384">
        <f t="shared" si="1"/>
        <v>10695966.038079999</v>
      </c>
      <c r="AS9" s="384">
        <f t="shared" si="1"/>
        <v>11579217.717584854</v>
      </c>
      <c r="AT9" s="384">
        <f t="shared" si="1"/>
        <v>11845618.541200001</v>
      </c>
      <c r="AU9" s="385">
        <f t="shared" ref="AU9:AV9" si="2">AU10+AU18+AU30+AU33</f>
        <v>45354687.846864849</v>
      </c>
      <c r="AV9" s="384">
        <f t="shared" si="2"/>
        <v>11449613.97879</v>
      </c>
      <c r="AW9" s="386">
        <f>AW10+AW18+AW30+AW33</f>
        <v>10296226.569019999</v>
      </c>
      <c r="AX9" s="386">
        <f>AX10+AX18+AX30+AX33</f>
        <v>12099892.396879999</v>
      </c>
      <c r="AY9" s="386">
        <f>AY10+AY18+AY30+AY33</f>
        <v>11588676.60389</v>
      </c>
      <c r="AZ9" s="385">
        <f>AZ10+AZ18+AZ30+AZ33</f>
        <v>45434409.548579998</v>
      </c>
      <c r="BA9" s="386">
        <f>BA10+BA18+BA30+BA33</f>
        <v>11829398.28139</v>
      </c>
    </row>
    <row r="10" spans="1:53" s="2" customFormat="1">
      <c r="A10" s="363"/>
      <c r="B10" s="21" t="s">
        <v>609</v>
      </c>
      <c r="C10" s="218"/>
      <c r="D10" s="218"/>
      <c r="E10" s="218"/>
      <c r="F10" s="218"/>
      <c r="G10" s="364"/>
      <c r="H10" s="218"/>
      <c r="I10" s="218"/>
      <c r="J10" s="218"/>
      <c r="K10" s="218"/>
      <c r="L10" s="364"/>
      <c r="M10" s="218"/>
      <c r="N10" s="218"/>
      <c r="O10" s="218"/>
      <c r="P10" s="218"/>
      <c r="Q10" s="364"/>
      <c r="R10" s="218"/>
      <c r="S10" s="218"/>
      <c r="T10" s="218"/>
      <c r="U10" s="218"/>
      <c r="V10" s="364"/>
      <c r="W10" s="218"/>
      <c r="X10" s="218"/>
      <c r="Y10" s="218"/>
      <c r="Z10" s="365"/>
      <c r="AA10" s="366">
        <f t="shared" ref="AA10:AO10" si="3">AA11+AA14+AA15+AA16+AA17</f>
        <v>1043.6027300000001</v>
      </c>
      <c r="AB10" s="365">
        <f t="shared" si="3"/>
        <v>8163785.9145899992</v>
      </c>
      <c r="AC10" s="365">
        <f t="shared" si="3"/>
        <v>8677626.6247400045</v>
      </c>
      <c r="AD10" s="365">
        <f t="shared" si="3"/>
        <v>9147628.0454500001</v>
      </c>
      <c r="AE10" s="365">
        <f t="shared" si="3"/>
        <v>10403995.331400005</v>
      </c>
      <c r="AF10" s="366">
        <f t="shared" si="3"/>
        <v>36393035.91618</v>
      </c>
      <c r="AG10" s="365">
        <f t="shared" si="3"/>
        <v>9564786</v>
      </c>
      <c r="AH10" s="365">
        <f t="shared" si="3"/>
        <v>10050435</v>
      </c>
      <c r="AI10" s="365">
        <f t="shared" si="3"/>
        <v>10388921</v>
      </c>
      <c r="AJ10" s="365">
        <f t="shared" si="3"/>
        <v>7169466</v>
      </c>
      <c r="AK10" s="366">
        <f t="shared" si="3"/>
        <v>37173608</v>
      </c>
      <c r="AL10" s="365">
        <f t="shared" si="3"/>
        <v>8138637</v>
      </c>
      <c r="AM10" s="365">
        <f t="shared" si="3"/>
        <v>8416607</v>
      </c>
      <c r="AN10" s="365">
        <f t="shared" si="3"/>
        <v>8696901</v>
      </c>
      <c r="AO10" s="365">
        <f t="shared" si="3"/>
        <v>8272617</v>
      </c>
      <c r="AP10" s="366">
        <f>AP11+AP14+AP15+AP16+AP17</f>
        <v>33524762</v>
      </c>
      <c r="AQ10" s="365">
        <f t="shared" ref="AQ10:AT10" si="4">AQ11+AQ14+AQ15+AQ16+AQ17</f>
        <v>8643891</v>
      </c>
      <c r="AR10" s="365">
        <f t="shared" si="4"/>
        <v>8277495</v>
      </c>
      <c r="AS10" s="365">
        <f t="shared" si="4"/>
        <v>8827125</v>
      </c>
      <c r="AT10" s="365">
        <f t="shared" si="4"/>
        <v>8979058</v>
      </c>
      <c r="AU10" s="366">
        <f>AU11+AU14+AU15+AU16+AU17</f>
        <v>34727569</v>
      </c>
      <c r="AV10" s="365">
        <f t="shared" ref="AV10" si="5">AV11+AV14+AV15+AV16+AV17</f>
        <v>8743137.2420000006</v>
      </c>
      <c r="AW10" s="367">
        <f>AW11+AW14+AW15+AW16+AW17</f>
        <v>7533426.0920000002</v>
      </c>
      <c r="AX10" s="367">
        <f>AX11+AX14+AX15+AX16+AX17</f>
        <v>9141227.7660000008</v>
      </c>
      <c r="AY10" s="367">
        <f>AY11+AY14+AY15+AY16+AY17</f>
        <v>8557828</v>
      </c>
      <c r="AZ10" s="366">
        <f>AZ11+AZ14+AZ15+AZ16+AZ17</f>
        <v>33975619.100000001</v>
      </c>
      <c r="BA10" s="367">
        <f>BA11+BA14+BA15+BA16+BA17</f>
        <v>8740658</v>
      </c>
    </row>
    <row r="11" spans="1:53">
      <c r="A11" s="357"/>
      <c r="B11" s="11" t="s">
        <v>553</v>
      </c>
      <c r="C11" s="12"/>
      <c r="D11" s="12"/>
      <c r="E11" s="12"/>
      <c r="F11" s="12"/>
      <c r="G11" s="40"/>
      <c r="H11" s="12"/>
      <c r="I11" s="12"/>
      <c r="J11" s="12"/>
      <c r="K11" s="12"/>
      <c r="L11" s="40"/>
      <c r="M11" s="12"/>
      <c r="N11" s="12"/>
      <c r="O11" s="12"/>
      <c r="P11" s="12"/>
      <c r="Q11" s="40"/>
      <c r="R11" s="12"/>
      <c r="S11" s="12"/>
      <c r="T11" s="12"/>
      <c r="U11" s="12"/>
      <c r="V11" s="40"/>
      <c r="W11" s="12"/>
      <c r="X11" s="12"/>
      <c r="Y11" s="12"/>
      <c r="Z11" s="153"/>
      <c r="AA11" s="144">
        <f t="shared" ref="AA11:AO11" si="6">SUM(AA12:AA13)</f>
        <v>249.60272999999998</v>
      </c>
      <c r="AB11" s="153">
        <f t="shared" si="6"/>
        <v>8080908.0530999992</v>
      </c>
      <c r="AC11" s="153">
        <f t="shared" si="6"/>
        <v>8511874.0459100027</v>
      </c>
      <c r="AD11" s="153">
        <f t="shared" si="6"/>
        <v>8854797.1616299991</v>
      </c>
      <c r="AE11" s="153">
        <f t="shared" si="6"/>
        <v>10058982.846340004</v>
      </c>
      <c r="AF11" s="144">
        <f t="shared" si="6"/>
        <v>35506562.106980003</v>
      </c>
      <c r="AG11" s="153">
        <f t="shared" si="6"/>
        <v>9219187</v>
      </c>
      <c r="AH11" s="153">
        <f t="shared" si="6"/>
        <v>9535160</v>
      </c>
      <c r="AI11" s="153">
        <f t="shared" si="6"/>
        <v>9672938</v>
      </c>
      <c r="AJ11" s="153">
        <f t="shared" si="6"/>
        <v>6502237</v>
      </c>
      <c r="AK11" s="144">
        <f t="shared" si="6"/>
        <v>34929522</v>
      </c>
      <c r="AL11" s="153">
        <f t="shared" si="6"/>
        <v>7325213</v>
      </c>
      <c r="AM11" s="153">
        <f t="shared" si="6"/>
        <v>7534649</v>
      </c>
      <c r="AN11" s="153">
        <f t="shared" si="6"/>
        <v>7640518</v>
      </c>
      <c r="AO11" s="153">
        <f t="shared" si="6"/>
        <v>7172551</v>
      </c>
      <c r="AP11" s="144">
        <f>SUM(AP12:AP13)</f>
        <v>29672931</v>
      </c>
      <c r="AQ11" s="153">
        <f t="shared" ref="AQ11:AT11" si="7">SUM(AQ12:AQ13)</f>
        <v>7493641</v>
      </c>
      <c r="AR11" s="153">
        <f t="shared" si="7"/>
        <v>7114750</v>
      </c>
      <c r="AS11" s="153">
        <f t="shared" si="7"/>
        <v>7560970</v>
      </c>
      <c r="AT11" s="153">
        <f t="shared" si="7"/>
        <v>7612695</v>
      </c>
      <c r="AU11" s="144">
        <f>SUM(AU12:AU13)</f>
        <v>29782056</v>
      </c>
      <c r="AV11" s="153">
        <f t="shared" ref="AV11" si="8">SUM(AV12:AV13)</f>
        <v>7248441</v>
      </c>
      <c r="AW11" s="121">
        <f>SUM(AW12:AW13)</f>
        <v>5958653</v>
      </c>
      <c r="AX11" s="121">
        <f>SUM(AX12:AX13)</f>
        <v>7434653</v>
      </c>
      <c r="AY11" s="121">
        <f>SUM(AY12:AY13)</f>
        <v>6798581</v>
      </c>
      <c r="AZ11" s="144">
        <f>SUM(AZ12:AZ13)</f>
        <v>27440328</v>
      </c>
      <c r="BA11" s="121">
        <f>SUM(BA12:BA13)</f>
        <v>6944042</v>
      </c>
    </row>
    <row r="12" spans="1:53">
      <c r="A12" s="357"/>
      <c r="B12" s="335" t="s">
        <v>573</v>
      </c>
      <c r="C12" s="12"/>
      <c r="D12" s="12"/>
      <c r="E12" s="12"/>
      <c r="F12" s="12"/>
      <c r="G12" s="40"/>
      <c r="H12" s="12"/>
      <c r="I12" s="12"/>
      <c r="J12" s="12"/>
      <c r="K12" s="12"/>
      <c r="L12" s="40"/>
      <c r="M12" s="12"/>
      <c r="N12" s="12"/>
      <c r="O12" s="12"/>
      <c r="P12" s="12"/>
      <c r="Q12" s="40"/>
      <c r="R12" s="12"/>
      <c r="S12" s="12"/>
      <c r="T12" s="12"/>
      <c r="U12" s="12"/>
      <c r="V12" s="40"/>
      <c r="W12" s="12"/>
      <c r="X12" s="12"/>
      <c r="Y12" s="12"/>
      <c r="Z12" s="153"/>
      <c r="AA12" s="144">
        <f>'DRE NOVAS PARCERIAS CAIXA'!AA30+'DRE NOVAS PARCERIAS CAIXA'!AA51</f>
        <v>0</v>
      </c>
      <c r="AB12" s="153">
        <f>'DRE NOVAS PARCERIAS CAIXA'!AB30+'DRE NOVAS PARCERIAS CAIXA'!AB51</f>
        <v>7476090.8844499988</v>
      </c>
      <c r="AC12" s="153">
        <f>'DRE NOVAS PARCERIAS CAIXA'!AC30+'DRE NOVAS PARCERIAS CAIXA'!AC51</f>
        <v>7833231.367680002</v>
      </c>
      <c r="AD12" s="153">
        <f>'DRE NOVAS PARCERIAS CAIXA'!AD30+'DRE NOVAS PARCERIAS CAIXA'!AD51</f>
        <v>7924432.0265799994</v>
      </c>
      <c r="AE12" s="153">
        <f>'DRE NOVAS PARCERIAS CAIXA'!AE30+'DRE NOVAS PARCERIAS CAIXA'!AE51</f>
        <v>9217891.4638000038</v>
      </c>
      <c r="AF12" s="144">
        <f>'DRE NOVAS PARCERIAS CAIXA'!AF30+'DRE NOVAS PARCERIAS CAIXA'!AF51</f>
        <v>32451645.742510002</v>
      </c>
      <c r="AG12" s="153">
        <f>'DRE NOVAS PARCERIAS CAIXA'!AG30+'DRE NOVAS PARCERIAS CAIXA'!AG51</f>
        <v>8541515</v>
      </c>
      <c r="AH12" s="153">
        <f>'DRE NOVAS PARCERIAS CAIXA'!AH30+'DRE NOVAS PARCERIAS CAIXA'!AH51</f>
        <v>8642843</v>
      </c>
      <c r="AI12" s="153">
        <f>'DRE NOVAS PARCERIAS CAIXA'!AI30+'DRE NOVAS PARCERIAS CAIXA'!AI51</f>
        <v>8531106</v>
      </c>
      <c r="AJ12" s="153">
        <f>'DRE NOVAS PARCERIAS CAIXA'!AJ30+'DRE NOVAS PARCERIAS CAIXA'!AJ51</f>
        <v>5776501</v>
      </c>
      <c r="AK12" s="144">
        <f>'DRE NOVAS PARCERIAS CAIXA'!AK30+'DRE NOVAS PARCERIAS CAIXA'!AK51</f>
        <v>31491965</v>
      </c>
      <c r="AL12" s="153">
        <f>'DRE NOVAS PARCERIAS CAIXA'!AL30+'DRE NOVAS PARCERIAS CAIXA'!AL51</f>
        <v>6365153</v>
      </c>
      <c r="AM12" s="153">
        <f>'DRE NOVAS PARCERIAS CAIXA'!AM30+'DRE NOVAS PARCERIAS CAIXA'!AM51</f>
        <v>6563174</v>
      </c>
      <c r="AN12" s="153">
        <f>'DRE NOVAS PARCERIAS CAIXA'!AN30+'DRE NOVAS PARCERIAS CAIXA'!AN51</f>
        <v>6661273</v>
      </c>
      <c r="AO12" s="153">
        <f>'DRE NOVAS PARCERIAS CAIXA'!AO30+'DRE NOVAS PARCERIAS CAIXA'!AO51</f>
        <v>6143288</v>
      </c>
      <c r="AP12" s="144">
        <f>'DRE NOVAS PARCERIAS CAIXA'!AP30+'DRE NOVAS PARCERIAS CAIXA'!AP51</f>
        <v>25732888</v>
      </c>
      <c r="AQ12" s="153">
        <f>'DRE NOVAS PARCERIAS CAIXA'!AQ30+'DRE NOVAS PARCERIAS CAIXA'!AQ51</f>
        <v>6500659</v>
      </c>
      <c r="AR12" s="153">
        <f>'DRE NOVAS PARCERIAS CAIXA'!AR30+'DRE NOVAS PARCERIAS CAIXA'!AR51</f>
        <v>6076102</v>
      </c>
      <c r="AS12" s="153">
        <f>'DRE NOVAS PARCERIAS CAIXA'!AS30+'DRE NOVAS PARCERIAS CAIXA'!AS51</f>
        <v>6849637</v>
      </c>
      <c r="AT12" s="153">
        <f>'DRE NOVAS PARCERIAS CAIXA'!AT30+'DRE NOVAS PARCERIAS CAIXA'!AT51</f>
        <v>7612695</v>
      </c>
      <c r="AU12" s="144">
        <f>'DRE NOVAS PARCERIAS CAIXA'!AU30+'DRE NOVAS PARCERIAS CAIXA'!AU51</f>
        <v>27039093</v>
      </c>
      <c r="AV12" s="153">
        <f>'DRE NOVAS PARCERIAS CAIXA'!AV30+'DRE NOVAS PARCERIAS CAIXA'!AV51</f>
        <v>7248441</v>
      </c>
      <c r="AW12" s="121">
        <f>'DRE NOVAS PARCERIAS CAIXA'!AW30+'DRE NOVAS PARCERIAS CAIXA'!AW51</f>
        <v>5958653</v>
      </c>
      <c r="AX12" s="121">
        <f>'DRE NOVAS PARCERIAS CAIXA'!AX30+'DRE NOVAS PARCERIAS CAIXA'!AX51</f>
        <v>7434653</v>
      </c>
      <c r="AY12" s="121">
        <f>'DRE NOVAS PARCERIAS CAIXA'!AY30+'DRE NOVAS PARCERIAS CAIXA'!AY51</f>
        <v>6798581</v>
      </c>
      <c r="AZ12" s="144">
        <f>'DRE NOVAS PARCERIAS CAIXA'!AZ30+'DRE NOVAS PARCERIAS CAIXA'!AZ51</f>
        <v>27440328</v>
      </c>
      <c r="BA12" s="121">
        <f>'DRE NOVAS PARCERIAS CAIXA'!BA30+'DRE NOVAS PARCERIAS CAIXA'!BA51</f>
        <v>6944042</v>
      </c>
    </row>
    <row r="13" spans="1:53">
      <c r="A13" s="357"/>
      <c r="B13" s="335" t="s">
        <v>574</v>
      </c>
      <c r="C13" s="12"/>
      <c r="D13" s="12"/>
      <c r="E13" s="12"/>
      <c r="F13" s="12"/>
      <c r="G13" s="40"/>
      <c r="H13" s="12"/>
      <c r="I13" s="12"/>
      <c r="J13" s="12"/>
      <c r="K13" s="12"/>
      <c r="L13" s="40"/>
      <c r="M13" s="12"/>
      <c r="N13" s="12"/>
      <c r="O13" s="12"/>
      <c r="P13" s="12"/>
      <c r="Q13" s="40"/>
      <c r="R13" s="12"/>
      <c r="S13" s="12"/>
      <c r="T13" s="12"/>
      <c r="U13" s="12"/>
      <c r="V13" s="40"/>
      <c r="W13" s="12"/>
      <c r="X13" s="12"/>
      <c r="Y13" s="12"/>
      <c r="Z13" s="153"/>
      <c r="AA13" s="144">
        <f>'DRE NOVAS PARCERIAS CAIXA'!AA68+'DRE NOVAS PARCERIAS CAIXA'!AA80</f>
        <v>249.60272999999998</v>
      </c>
      <c r="AB13" s="153">
        <f>'DRE NOVAS PARCERIAS CAIXA'!AB68+'DRE NOVAS PARCERIAS CAIXA'!AB80</f>
        <v>604817.16865000012</v>
      </c>
      <c r="AC13" s="153">
        <f>'DRE NOVAS PARCERIAS CAIXA'!AC68+'DRE NOVAS PARCERIAS CAIXA'!AC80</f>
        <v>678642.67823000008</v>
      </c>
      <c r="AD13" s="153">
        <f>'DRE NOVAS PARCERIAS CAIXA'!AD68+'DRE NOVAS PARCERIAS CAIXA'!AD80</f>
        <v>930365.13504999958</v>
      </c>
      <c r="AE13" s="153">
        <f>'DRE NOVAS PARCERIAS CAIXA'!AE68+'DRE NOVAS PARCERIAS CAIXA'!AE80</f>
        <v>841091.38254000025</v>
      </c>
      <c r="AF13" s="144">
        <f>'DRE NOVAS PARCERIAS CAIXA'!AF68+'DRE NOVAS PARCERIAS CAIXA'!AF80</f>
        <v>3054916.3644699999</v>
      </c>
      <c r="AG13" s="153">
        <f>'DRE NOVAS PARCERIAS CAIXA'!AG68+'DRE NOVAS PARCERIAS CAIXA'!AG80</f>
        <v>677672</v>
      </c>
      <c r="AH13" s="153">
        <f>'DRE NOVAS PARCERIAS CAIXA'!AH68+'DRE NOVAS PARCERIAS CAIXA'!AH80</f>
        <v>892317</v>
      </c>
      <c r="AI13" s="153">
        <f>'DRE NOVAS PARCERIAS CAIXA'!AI68+'DRE NOVAS PARCERIAS CAIXA'!AI80</f>
        <v>1141832</v>
      </c>
      <c r="AJ13" s="153">
        <f>'DRE NOVAS PARCERIAS CAIXA'!AJ68+'DRE NOVAS PARCERIAS CAIXA'!AJ80</f>
        <v>725736</v>
      </c>
      <c r="AK13" s="144">
        <f>'DRE NOVAS PARCERIAS CAIXA'!AK68+'DRE NOVAS PARCERIAS CAIXA'!AK80</f>
        <v>3437557</v>
      </c>
      <c r="AL13" s="153">
        <f>'DRE NOVAS PARCERIAS CAIXA'!AL68+'DRE NOVAS PARCERIAS CAIXA'!AL80</f>
        <v>960060</v>
      </c>
      <c r="AM13" s="153">
        <f>'DRE NOVAS PARCERIAS CAIXA'!AM68+'DRE NOVAS PARCERIAS CAIXA'!AM80</f>
        <v>971475</v>
      </c>
      <c r="AN13" s="153">
        <f>'DRE NOVAS PARCERIAS CAIXA'!AN68+'DRE NOVAS PARCERIAS CAIXA'!AN80</f>
        <v>979245</v>
      </c>
      <c r="AO13" s="153">
        <f>'DRE NOVAS PARCERIAS CAIXA'!AO68+'DRE NOVAS PARCERIAS CAIXA'!AO80</f>
        <v>1029263</v>
      </c>
      <c r="AP13" s="370">
        <f>'DRE NOVAS PARCERIAS CAIXA'!AP68+'DRE NOVAS PARCERIAS CAIXA'!AP80</f>
        <v>3940043</v>
      </c>
      <c r="AQ13" s="153">
        <f>'DRE NOVAS PARCERIAS CAIXA'!AQ68+'DRE NOVAS PARCERIAS CAIXA'!AQ80</f>
        <v>992982</v>
      </c>
      <c r="AR13" s="153">
        <f>'DRE NOVAS PARCERIAS CAIXA'!AR68+'DRE NOVAS PARCERIAS CAIXA'!AR80</f>
        <v>1038648</v>
      </c>
      <c r="AS13" s="153">
        <f>'DRE NOVAS PARCERIAS CAIXA'!AS68+'DRE NOVAS PARCERIAS CAIXA'!AS80</f>
        <v>711333</v>
      </c>
      <c r="AT13" s="153">
        <f>'DRE NOVAS PARCERIAS CAIXA'!AT68+'DRE NOVAS PARCERIAS CAIXA'!AT80</f>
        <v>0</v>
      </c>
      <c r="AU13" s="370">
        <f>'DRE NOVAS PARCERIAS CAIXA'!AU68+'DRE NOVAS PARCERIAS CAIXA'!AU80</f>
        <v>2742963</v>
      </c>
      <c r="AV13" s="153">
        <f>'DRE NOVAS PARCERIAS CAIXA'!AV68+'DRE NOVAS PARCERIAS CAIXA'!AV80</f>
        <v>0</v>
      </c>
      <c r="AW13" s="121">
        <f>'DRE NOVAS PARCERIAS CAIXA'!AW68+'DRE NOVAS PARCERIAS CAIXA'!AW80</f>
        <v>0</v>
      </c>
      <c r="AX13" s="121">
        <f>'DRE NOVAS PARCERIAS CAIXA'!AX68+'DRE NOVAS PARCERIAS CAIXA'!AX80</f>
        <v>0</v>
      </c>
      <c r="AY13" s="121">
        <f>'DRE NOVAS PARCERIAS CAIXA'!AY68+'DRE NOVAS PARCERIAS CAIXA'!AY80</f>
        <v>0</v>
      </c>
      <c r="AZ13" s="144">
        <f>'DRE NOVAS PARCERIAS CAIXA'!AZ68+'DRE NOVAS PARCERIAS CAIXA'!AZ80</f>
        <v>0</v>
      </c>
      <c r="BA13" s="121">
        <f>'DRE NOVAS PARCERIAS CAIXA'!BA68+'DRE NOVAS PARCERIAS CAIXA'!BA80</f>
        <v>0</v>
      </c>
    </row>
    <row r="14" spans="1:53">
      <c r="A14" s="357"/>
      <c r="B14" s="11" t="s">
        <v>264</v>
      </c>
      <c r="C14" s="12"/>
      <c r="D14" s="12"/>
      <c r="E14" s="12"/>
      <c r="F14" s="12"/>
      <c r="G14" s="40"/>
      <c r="H14" s="12"/>
      <c r="I14" s="12"/>
      <c r="J14" s="12"/>
      <c r="K14" s="12"/>
      <c r="L14" s="40"/>
      <c r="M14" s="12"/>
      <c r="N14" s="12"/>
      <c r="O14" s="12"/>
      <c r="P14" s="12"/>
      <c r="Q14" s="40"/>
      <c r="R14" s="12"/>
      <c r="S14" s="12"/>
      <c r="T14" s="12"/>
      <c r="U14" s="12"/>
      <c r="V14" s="40"/>
      <c r="W14" s="12"/>
      <c r="X14" s="12"/>
      <c r="Y14" s="12"/>
      <c r="Z14" s="153"/>
      <c r="AA14" s="144">
        <f>'DRE NOVAS PARCERIAS CAIXA'!AA121+'DRE NOVAS PARCERIAS CAIXA'!AA132</f>
        <v>348</v>
      </c>
      <c r="AB14" s="153">
        <f>'DRE NOVAS PARCERIAS CAIXA'!AB121+'DRE NOVAS PARCERIAS CAIXA'!AB132</f>
        <v>82285.257740000015</v>
      </c>
      <c r="AC14" s="153">
        <f>'DRE NOVAS PARCERIAS CAIXA'!AC121+'DRE NOVAS PARCERIAS CAIXA'!AC132</f>
        <v>161404.89749</v>
      </c>
      <c r="AD14" s="153">
        <f>'DRE NOVAS PARCERIAS CAIXA'!AD121+'DRE NOVAS PARCERIAS CAIXA'!AD132</f>
        <v>197120.65091</v>
      </c>
      <c r="AE14" s="153">
        <f>'DRE NOVAS PARCERIAS CAIXA'!AE121+'DRE NOVAS PARCERIAS CAIXA'!AE132</f>
        <v>231688.03988999999</v>
      </c>
      <c r="AF14" s="144">
        <f>'DRE NOVAS PARCERIAS CAIXA'!AF121+'DRE NOVAS PARCERIAS CAIXA'!AF132</f>
        <v>672498.84603000002</v>
      </c>
      <c r="AG14" s="153">
        <f>'DRE NOVAS PARCERIAS CAIXA'!AG121+'DRE NOVAS PARCERIAS CAIXA'!AG132</f>
        <v>234654</v>
      </c>
      <c r="AH14" s="153">
        <f>'DRE NOVAS PARCERIAS CAIXA'!AH121+'DRE NOVAS PARCERIAS CAIXA'!AH132</f>
        <v>274323</v>
      </c>
      <c r="AI14" s="153">
        <f>'DRE NOVAS PARCERIAS CAIXA'!AI121+'DRE NOVAS PARCERIAS CAIXA'!AI132</f>
        <v>339433</v>
      </c>
      <c r="AJ14" s="153">
        <f>'DRE NOVAS PARCERIAS CAIXA'!AJ121+'DRE NOVAS PARCERIAS CAIXA'!AJ132</f>
        <v>337368</v>
      </c>
      <c r="AK14" s="144">
        <f>'DRE NOVAS PARCERIAS CAIXA'!AK121+'DRE NOVAS PARCERIAS CAIXA'!AK132</f>
        <v>1185778</v>
      </c>
      <c r="AL14" s="153">
        <f>'DRE NOVAS PARCERIAS CAIXA'!AL121+'DRE NOVAS PARCERIAS CAIXA'!AL132</f>
        <v>351955</v>
      </c>
      <c r="AM14" s="153">
        <f>'DRE NOVAS PARCERIAS CAIXA'!AM121+'DRE NOVAS PARCERIAS CAIXA'!AM132</f>
        <v>389069</v>
      </c>
      <c r="AN14" s="153">
        <f>'DRE NOVAS PARCERIAS CAIXA'!AN121+'DRE NOVAS PARCERIAS CAIXA'!AN132</f>
        <v>434931</v>
      </c>
      <c r="AO14" s="153">
        <f>'DRE NOVAS PARCERIAS CAIXA'!AO121+'DRE NOVAS PARCERIAS CAIXA'!AO132</f>
        <v>463787</v>
      </c>
      <c r="AP14" s="144">
        <f>'DRE NOVAS PARCERIAS CAIXA'!AP121+'DRE NOVAS PARCERIAS CAIXA'!AP132</f>
        <v>1639742</v>
      </c>
      <c r="AQ14" s="153">
        <f>'DRE NOVAS PARCERIAS CAIXA'!AQ121+'DRE NOVAS PARCERIAS CAIXA'!AQ132</f>
        <v>491073</v>
      </c>
      <c r="AR14" s="153">
        <f>'DRE NOVAS PARCERIAS CAIXA'!AR121+'DRE NOVAS PARCERIAS CAIXA'!AR132</f>
        <v>540214</v>
      </c>
      <c r="AS14" s="153">
        <f>'DRE NOVAS PARCERIAS CAIXA'!AS121+'DRE NOVAS PARCERIAS CAIXA'!AS132</f>
        <v>598506</v>
      </c>
      <c r="AT14" s="153">
        <f>'DRE NOVAS PARCERIAS CAIXA'!AT121+'DRE NOVAS PARCERIAS CAIXA'!AT132</f>
        <v>638829</v>
      </c>
      <c r="AU14" s="144">
        <f>'DRE NOVAS PARCERIAS CAIXA'!AU121+'DRE NOVAS PARCERIAS CAIXA'!AU132</f>
        <v>2268622</v>
      </c>
      <c r="AV14" s="153">
        <f>'DRE NOVAS PARCERIAS CAIXA'!AV121+'DRE NOVAS PARCERIAS CAIXA'!AV132</f>
        <v>692087</v>
      </c>
      <c r="AW14" s="121">
        <f>'DRE NOVAS PARCERIAS CAIXA'!AW121+'DRE NOVAS PARCERIAS CAIXA'!AW132</f>
        <v>735940</v>
      </c>
      <c r="AX14" s="121">
        <f>'DRE NOVAS PARCERIAS CAIXA'!AX121+'DRE NOVAS PARCERIAS CAIXA'!AX132</f>
        <v>803953</v>
      </c>
      <c r="AY14" s="121">
        <f>'DRE NOVAS PARCERIAS CAIXA'!AY121+'DRE NOVAS PARCERIAS CAIXA'!AY132</f>
        <v>838734</v>
      </c>
      <c r="AZ14" s="144">
        <f>'DRE NOVAS PARCERIAS CAIXA'!AZ121+'DRE NOVAS PARCERIAS CAIXA'!AZ132</f>
        <v>3070714</v>
      </c>
      <c r="BA14" s="121">
        <f>'DRE NOVAS PARCERIAS CAIXA'!BA121+'DRE NOVAS PARCERIAS CAIXA'!BA132</f>
        <v>858350</v>
      </c>
    </row>
    <row r="15" spans="1:53">
      <c r="A15" s="357"/>
      <c r="B15" s="11" t="s">
        <v>265</v>
      </c>
      <c r="C15" s="12"/>
      <c r="D15" s="12"/>
      <c r="E15" s="12"/>
      <c r="F15" s="12"/>
      <c r="G15" s="40"/>
      <c r="H15" s="12"/>
      <c r="I15" s="12"/>
      <c r="J15" s="12"/>
      <c r="K15" s="12"/>
      <c r="L15" s="40"/>
      <c r="M15" s="12"/>
      <c r="N15" s="12"/>
      <c r="O15" s="12"/>
      <c r="P15" s="12"/>
      <c r="Q15" s="40"/>
      <c r="R15" s="12"/>
      <c r="S15" s="12"/>
      <c r="T15" s="12"/>
      <c r="U15" s="12"/>
      <c r="V15" s="40"/>
      <c r="W15" s="12"/>
      <c r="X15" s="12"/>
      <c r="Y15" s="12"/>
      <c r="Z15" s="153"/>
      <c r="AA15" s="144">
        <f>'DRE NOVAS PARCERIAS CAIXA'!AA152+'DRE NOVAS PARCERIAS CAIXA'!AA162</f>
        <v>390</v>
      </c>
      <c r="AB15" s="153">
        <f>'DRE NOVAS PARCERIAS CAIXA'!AB152+'DRE NOVAS PARCERIAS CAIXA'!AB162</f>
        <v>65.016469999999998</v>
      </c>
      <c r="AC15" s="153">
        <f>'DRE NOVAS PARCERIAS CAIXA'!AC152+'DRE NOVAS PARCERIAS CAIXA'!AC162</f>
        <v>485.56316999999996</v>
      </c>
      <c r="AD15" s="153">
        <f>'DRE NOVAS PARCERIAS CAIXA'!AD152+'DRE NOVAS PARCERIAS CAIXA'!AD162</f>
        <v>89028.202300000004</v>
      </c>
      <c r="AE15" s="153">
        <f>'DRE NOVAS PARCERIAS CAIXA'!AE152+'DRE NOVAS PARCERIAS CAIXA'!AE162</f>
        <v>102631.44516999999</v>
      </c>
      <c r="AF15" s="144">
        <f>'DRE NOVAS PARCERIAS CAIXA'!AF152+'DRE NOVAS PARCERIAS CAIXA'!AF162</f>
        <v>192210.22711000001</v>
      </c>
      <c r="AG15" s="153">
        <f>'DRE NOVAS PARCERIAS CAIXA'!AG152+'DRE NOVAS PARCERIAS CAIXA'!AG162</f>
        <v>83427</v>
      </c>
      <c r="AH15" s="153">
        <f>'DRE NOVAS PARCERIAS CAIXA'!AH152+'DRE NOVAS PARCERIAS CAIXA'!AH162</f>
        <v>189312</v>
      </c>
      <c r="AI15" s="153">
        <f>'DRE NOVAS PARCERIAS CAIXA'!AI152+'DRE NOVAS PARCERIAS CAIXA'!AI162</f>
        <v>288017</v>
      </c>
      <c r="AJ15" s="153">
        <f>'DRE NOVAS PARCERIAS CAIXA'!AJ152+'DRE NOVAS PARCERIAS CAIXA'!AJ162</f>
        <v>201257</v>
      </c>
      <c r="AK15" s="144">
        <f>'DRE NOVAS PARCERIAS CAIXA'!AK152+'DRE NOVAS PARCERIAS CAIXA'!AK162</f>
        <v>762013</v>
      </c>
      <c r="AL15" s="153">
        <f>'DRE NOVAS PARCERIAS CAIXA'!AL152+'DRE NOVAS PARCERIAS CAIXA'!AL162</f>
        <v>313454</v>
      </c>
      <c r="AM15" s="153">
        <f>'DRE NOVAS PARCERIAS CAIXA'!AM152+'DRE NOVAS PARCERIAS CAIXA'!AM162</f>
        <v>324083</v>
      </c>
      <c r="AN15" s="153">
        <f>'DRE NOVAS PARCERIAS CAIXA'!AN152+'DRE NOVAS PARCERIAS CAIXA'!AN162</f>
        <v>422740</v>
      </c>
      <c r="AO15" s="153">
        <f>'DRE NOVAS PARCERIAS CAIXA'!AO152+'DRE NOVAS PARCERIAS CAIXA'!AO162</f>
        <v>411172</v>
      </c>
      <c r="AP15" s="144">
        <f>'DRE NOVAS PARCERIAS CAIXA'!AP152+'DRE NOVAS PARCERIAS CAIXA'!AP162</f>
        <v>1471449</v>
      </c>
      <c r="AQ15" s="153">
        <f>'DRE NOVAS PARCERIAS CAIXA'!AQ152+'DRE NOVAS PARCERIAS CAIXA'!AQ162</f>
        <v>414572</v>
      </c>
      <c r="AR15" s="153">
        <f>'DRE NOVAS PARCERIAS CAIXA'!AR152+'DRE NOVAS PARCERIAS CAIXA'!AR162</f>
        <v>355868</v>
      </c>
      <c r="AS15" s="153">
        <f>'DRE NOVAS PARCERIAS CAIXA'!AS152+'DRE NOVAS PARCERIAS CAIXA'!AS162</f>
        <v>383364</v>
      </c>
      <c r="AT15" s="153">
        <f>'DRE NOVAS PARCERIAS CAIXA'!AT152+'DRE NOVAS PARCERIAS CAIXA'!AT162</f>
        <v>412735</v>
      </c>
      <c r="AU15" s="144">
        <f>'DRE NOVAS PARCERIAS CAIXA'!AU152+'DRE NOVAS PARCERIAS CAIXA'!AU162</f>
        <v>1566539</v>
      </c>
      <c r="AV15" s="153">
        <f>'DRE NOVAS PARCERIAS CAIXA'!AV152+'DRE NOVAS PARCERIAS CAIXA'!AV162</f>
        <v>464117.24200000003</v>
      </c>
      <c r="AW15" s="121">
        <f>'DRE NOVAS PARCERIAS CAIXA'!AW152+'DRE NOVAS PARCERIAS CAIXA'!AW162</f>
        <v>473608.092</v>
      </c>
      <c r="AX15" s="121">
        <f>'DRE NOVAS PARCERIAS CAIXA'!AX152+'DRE NOVAS PARCERIAS CAIXA'!AX162</f>
        <v>530683.76600000006</v>
      </c>
      <c r="AY15" s="121">
        <f>'DRE NOVAS PARCERIAS CAIXA'!AY152+'DRE NOVAS PARCERIAS CAIXA'!AY162</f>
        <v>566679</v>
      </c>
      <c r="AZ15" s="144">
        <f>'DRE NOVAS PARCERIAS CAIXA'!AZ152+'DRE NOVAS PARCERIAS CAIXA'!AZ162</f>
        <v>2035088.1</v>
      </c>
      <c r="BA15" s="121">
        <f>'DRE NOVAS PARCERIAS CAIXA'!BA152+'DRE NOVAS PARCERIAS CAIXA'!BA162</f>
        <v>604170</v>
      </c>
    </row>
    <row r="16" spans="1:53">
      <c r="A16" s="357"/>
      <c r="B16" s="11" t="s">
        <v>576</v>
      </c>
      <c r="C16" s="12"/>
      <c r="D16" s="12"/>
      <c r="E16" s="12"/>
      <c r="F16" s="12"/>
      <c r="G16" s="40"/>
      <c r="H16" s="12"/>
      <c r="I16" s="12"/>
      <c r="J16" s="12"/>
      <c r="K16" s="12"/>
      <c r="L16" s="40"/>
      <c r="M16" s="12"/>
      <c r="N16" s="12"/>
      <c r="O16" s="12"/>
      <c r="P16" s="12"/>
      <c r="Q16" s="40"/>
      <c r="R16" s="12"/>
      <c r="S16" s="12"/>
      <c r="T16" s="12"/>
      <c r="U16" s="12"/>
      <c r="V16" s="40"/>
      <c r="W16" s="12"/>
      <c r="X16" s="12"/>
      <c r="Y16" s="12"/>
      <c r="Z16" s="153"/>
      <c r="AA16" s="144">
        <f>'DRE NOVAS PARCERIAS CAIXA'!AA181+'DRE NOVAS PARCERIAS CAIXA'!AA186</f>
        <v>0</v>
      </c>
      <c r="AB16" s="153">
        <f>'DRE NOVAS PARCERIAS CAIXA'!AB181+'DRE NOVAS PARCERIAS CAIXA'!AB186</f>
        <v>0</v>
      </c>
      <c r="AC16" s="153">
        <f>'DRE NOVAS PARCERIAS CAIXA'!AC181+'DRE NOVAS PARCERIAS CAIXA'!AC186</f>
        <v>927.36844999999994</v>
      </c>
      <c r="AD16" s="153">
        <f>'DRE NOVAS PARCERIAS CAIXA'!AD181+'DRE NOVAS PARCERIAS CAIXA'!AD186</f>
        <v>1747.36761</v>
      </c>
      <c r="AE16" s="153">
        <f>'DRE NOVAS PARCERIAS CAIXA'!AE181+'DRE NOVAS PARCERIAS CAIXA'!AE186</f>
        <v>2511</v>
      </c>
      <c r="AF16" s="144">
        <f>'DRE NOVAS PARCERIAS CAIXA'!AF181+'DRE NOVAS PARCERIAS CAIXA'!AF186</f>
        <v>5185.7360600000002</v>
      </c>
      <c r="AG16" s="153">
        <f>'DRE NOVAS PARCERIAS CAIXA'!AG181+'DRE NOVAS PARCERIAS CAIXA'!AG186</f>
        <v>18965</v>
      </c>
      <c r="AH16" s="153">
        <f>'DRE NOVAS PARCERIAS CAIXA'!AH181+'DRE NOVAS PARCERIAS CAIXA'!AH186</f>
        <v>38851</v>
      </c>
      <c r="AI16" s="153">
        <f>'DRE NOVAS PARCERIAS CAIXA'!AI181+'DRE NOVAS PARCERIAS CAIXA'!AI186</f>
        <v>69356</v>
      </c>
      <c r="AJ16" s="153">
        <f>'DRE NOVAS PARCERIAS CAIXA'!AJ181+'DRE NOVAS PARCERIAS CAIXA'!AJ186</f>
        <v>101188</v>
      </c>
      <c r="AK16" s="144">
        <f>'DRE NOVAS PARCERIAS CAIXA'!AK181+'DRE NOVAS PARCERIAS CAIXA'!AK186</f>
        <v>228360</v>
      </c>
      <c r="AL16" s="153">
        <f>'DRE NOVAS PARCERIAS CAIXA'!AL181+'DRE NOVAS PARCERIAS CAIXA'!AL186</f>
        <v>118914</v>
      </c>
      <c r="AM16" s="153">
        <f>'DRE NOVAS PARCERIAS CAIXA'!AM181+'DRE NOVAS PARCERIAS CAIXA'!AM186</f>
        <v>133158</v>
      </c>
      <c r="AN16" s="153">
        <f>'DRE NOVAS PARCERIAS CAIXA'!AN181+'DRE NOVAS PARCERIAS CAIXA'!AN186</f>
        <v>156530</v>
      </c>
      <c r="AO16" s="153">
        <f>'DRE NOVAS PARCERIAS CAIXA'!AO181+'DRE NOVAS PARCERIAS CAIXA'!AO186</f>
        <v>179708</v>
      </c>
      <c r="AP16" s="144">
        <f>'DRE NOVAS PARCERIAS CAIXA'!AP181+'DRE NOVAS PARCERIAS CAIXA'!AP186</f>
        <v>588310</v>
      </c>
      <c r="AQ16" s="153">
        <f>'DRE NOVAS PARCERIAS CAIXA'!AQ181+'DRE NOVAS PARCERIAS CAIXA'!AQ186</f>
        <v>198523</v>
      </c>
      <c r="AR16" s="153">
        <f>'DRE NOVAS PARCERIAS CAIXA'!AR181+'DRE NOVAS PARCERIAS CAIXA'!AR186</f>
        <v>218327</v>
      </c>
      <c r="AS16" s="153">
        <f>'DRE NOVAS PARCERIAS CAIXA'!AS181+'DRE NOVAS PARCERIAS CAIXA'!AS186</f>
        <v>231446</v>
      </c>
      <c r="AT16" s="153">
        <f>'DRE NOVAS PARCERIAS CAIXA'!AT181+'DRE NOVAS PARCERIAS CAIXA'!AT186</f>
        <v>246143</v>
      </c>
      <c r="AU16" s="144">
        <f>'DRE NOVAS PARCERIAS CAIXA'!AU181+'DRE NOVAS PARCERIAS CAIXA'!AU186</f>
        <v>894439</v>
      </c>
      <c r="AV16" s="153">
        <f>'DRE NOVAS PARCERIAS CAIXA'!AV181+'DRE NOVAS PARCERIAS CAIXA'!AV186</f>
        <v>267138</v>
      </c>
      <c r="AW16" s="121">
        <f>'DRE NOVAS PARCERIAS CAIXA'!AW181+'DRE NOVAS PARCERIAS CAIXA'!AW186</f>
        <v>285779</v>
      </c>
      <c r="AX16" s="121">
        <f>'DRE NOVAS PARCERIAS CAIXA'!AX181+'DRE NOVAS PARCERIAS CAIXA'!AX186</f>
        <v>291087</v>
      </c>
      <c r="AY16" s="121">
        <f>'DRE NOVAS PARCERIAS CAIXA'!AY181+'DRE NOVAS PARCERIAS CAIXA'!AY186</f>
        <v>292799</v>
      </c>
      <c r="AZ16" s="144">
        <f>'DRE NOVAS PARCERIAS CAIXA'!AZ181+'DRE NOVAS PARCERIAS CAIXA'!AZ186</f>
        <v>1136803</v>
      </c>
      <c r="BA16" s="121">
        <f>'DRE NOVAS PARCERIAS CAIXA'!BA181+'DRE NOVAS PARCERIAS CAIXA'!BA186</f>
        <v>277337</v>
      </c>
    </row>
    <row r="17" spans="1:53">
      <c r="A17" s="357"/>
      <c r="B17" s="11" t="s">
        <v>268</v>
      </c>
      <c r="C17" s="12"/>
      <c r="D17" s="12"/>
      <c r="E17" s="12"/>
      <c r="F17" s="12"/>
      <c r="G17" s="40"/>
      <c r="H17" s="12"/>
      <c r="I17" s="12"/>
      <c r="J17" s="12"/>
      <c r="K17" s="12"/>
      <c r="L17" s="40"/>
      <c r="M17" s="12"/>
      <c r="N17" s="12"/>
      <c r="O17" s="12"/>
      <c r="P17" s="12"/>
      <c r="Q17" s="40"/>
      <c r="R17" s="12"/>
      <c r="S17" s="12"/>
      <c r="T17" s="12"/>
      <c r="U17" s="12"/>
      <c r="V17" s="40"/>
      <c r="W17" s="12"/>
      <c r="X17" s="12"/>
      <c r="Y17" s="12"/>
      <c r="Z17" s="153"/>
      <c r="AA17" s="144">
        <f>'DRE NOVAS PARCERIAS CAIXA'!AA206+'DRE NOVAS PARCERIAS CAIXA'!AA211</f>
        <v>56</v>
      </c>
      <c r="AB17" s="153">
        <f>'DRE NOVAS PARCERIAS CAIXA'!AB206+'DRE NOVAS PARCERIAS CAIXA'!AB211</f>
        <v>527.58727999999996</v>
      </c>
      <c r="AC17" s="153">
        <f>'DRE NOVAS PARCERIAS CAIXA'!AC206+'DRE NOVAS PARCERIAS CAIXA'!AC211</f>
        <v>2934.7497199999998</v>
      </c>
      <c r="AD17" s="153">
        <f>'DRE NOVAS PARCERIAS CAIXA'!AD206+'DRE NOVAS PARCERIAS CAIXA'!AD211</f>
        <v>4934.6630000000005</v>
      </c>
      <c r="AE17" s="153">
        <f>'DRE NOVAS PARCERIAS CAIXA'!AE206+'DRE NOVAS PARCERIAS CAIXA'!AE211</f>
        <v>8182</v>
      </c>
      <c r="AF17" s="144">
        <f>'DRE NOVAS PARCERIAS CAIXA'!AF206+'DRE NOVAS PARCERIAS CAIXA'!AF211</f>
        <v>16579</v>
      </c>
      <c r="AG17" s="153">
        <f>'DRE NOVAS PARCERIAS CAIXA'!AG206+'DRE NOVAS PARCERIAS CAIXA'!AG211</f>
        <v>8553</v>
      </c>
      <c r="AH17" s="153">
        <f>'DRE NOVAS PARCERIAS CAIXA'!AH206+'DRE NOVAS PARCERIAS CAIXA'!AH211</f>
        <v>12789</v>
      </c>
      <c r="AI17" s="153">
        <f>'DRE NOVAS PARCERIAS CAIXA'!AI206+'DRE NOVAS PARCERIAS CAIXA'!AI211</f>
        <v>19177</v>
      </c>
      <c r="AJ17" s="153">
        <f>'DRE NOVAS PARCERIAS CAIXA'!AJ206+'DRE NOVAS PARCERIAS CAIXA'!AJ211</f>
        <v>27416</v>
      </c>
      <c r="AK17" s="144">
        <f>'DRE NOVAS PARCERIAS CAIXA'!AK206+'DRE NOVAS PARCERIAS CAIXA'!AK211</f>
        <v>67935</v>
      </c>
      <c r="AL17" s="153">
        <f>'DRE NOVAS PARCERIAS CAIXA'!AL206+'DRE NOVAS PARCERIAS CAIXA'!AL211</f>
        <v>29101</v>
      </c>
      <c r="AM17" s="153">
        <f>'DRE NOVAS PARCERIAS CAIXA'!AM206+'DRE NOVAS PARCERIAS CAIXA'!AM211</f>
        <v>35648</v>
      </c>
      <c r="AN17" s="153">
        <f>'DRE NOVAS PARCERIAS CAIXA'!AN206+'DRE NOVAS PARCERIAS CAIXA'!AN211</f>
        <v>42182</v>
      </c>
      <c r="AO17" s="153">
        <f>'DRE NOVAS PARCERIAS CAIXA'!AO206+'DRE NOVAS PARCERIAS CAIXA'!AO211</f>
        <v>45399</v>
      </c>
      <c r="AP17" s="144">
        <f>'DRE NOVAS PARCERIAS CAIXA'!AP206+'DRE NOVAS PARCERIAS CAIXA'!AP211</f>
        <v>152330</v>
      </c>
      <c r="AQ17" s="153">
        <f>'DRE NOVAS PARCERIAS CAIXA'!AQ206+'DRE NOVAS PARCERIAS CAIXA'!AQ211</f>
        <v>46082</v>
      </c>
      <c r="AR17" s="153">
        <f>'DRE NOVAS PARCERIAS CAIXA'!AR206+'DRE NOVAS PARCERIAS CAIXA'!AR211</f>
        <v>48336</v>
      </c>
      <c r="AS17" s="153">
        <f>'DRE NOVAS PARCERIAS CAIXA'!AS206+'DRE NOVAS PARCERIAS CAIXA'!AS211</f>
        <v>52839</v>
      </c>
      <c r="AT17" s="153">
        <f>'DRE NOVAS PARCERIAS CAIXA'!AT206+'DRE NOVAS PARCERIAS CAIXA'!AT211</f>
        <v>68656</v>
      </c>
      <c r="AU17" s="144">
        <f>'DRE NOVAS PARCERIAS CAIXA'!AU206+'DRE NOVAS PARCERIAS CAIXA'!AU211</f>
        <v>215913</v>
      </c>
      <c r="AV17" s="153">
        <f>'DRE NOVAS PARCERIAS CAIXA'!AV206+'DRE NOVAS PARCERIAS CAIXA'!AV211</f>
        <v>71354</v>
      </c>
      <c r="AW17" s="121">
        <f>'DRE NOVAS PARCERIAS CAIXA'!AW206+'DRE NOVAS PARCERIAS CAIXA'!AW211</f>
        <v>79446</v>
      </c>
      <c r="AX17" s="121">
        <f>'DRE NOVAS PARCERIAS CAIXA'!AX206+'DRE NOVAS PARCERIAS CAIXA'!AX211</f>
        <v>80851</v>
      </c>
      <c r="AY17" s="121">
        <f>'DRE NOVAS PARCERIAS CAIXA'!AY206+'DRE NOVAS PARCERIAS CAIXA'!AY211</f>
        <v>61035</v>
      </c>
      <c r="AZ17" s="144">
        <f>'DRE NOVAS PARCERIAS CAIXA'!AZ206+'DRE NOVAS PARCERIAS CAIXA'!AZ211</f>
        <v>292686</v>
      </c>
      <c r="BA17" s="121">
        <f>'DRE NOVAS PARCERIAS CAIXA'!BA206+'DRE NOVAS PARCERIAS CAIXA'!BA211</f>
        <v>56759</v>
      </c>
    </row>
    <row r="18" spans="1:53" s="2" customFormat="1">
      <c r="A18" s="363"/>
      <c r="B18" s="21" t="s">
        <v>610</v>
      </c>
      <c r="C18" s="218"/>
      <c r="D18" s="218"/>
      <c r="E18" s="218"/>
      <c r="F18" s="218"/>
      <c r="G18" s="364"/>
      <c r="H18" s="218"/>
      <c r="I18" s="218"/>
      <c r="J18" s="218"/>
      <c r="K18" s="218"/>
      <c r="L18" s="364"/>
      <c r="M18" s="218"/>
      <c r="N18" s="218"/>
      <c r="O18" s="218"/>
      <c r="P18" s="218"/>
      <c r="Q18" s="364"/>
      <c r="R18" s="218"/>
      <c r="S18" s="218"/>
      <c r="T18" s="218"/>
      <c r="U18" s="218"/>
      <c r="V18" s="364"/>
      <c r="W18" s="218"/>
      <c r="X18" s="218"/>
      <c r="Y18" s="218"/>
      <c r="Z18" s="365"/>
      <c r="AA18" s="366">
        <f t="shared" ref="AA18:AV18" si="9">AA19</f>
        <v>33466133.12859001</v>
      </c>
      <c r="AB18" s="365">
        <f t="shared" si="9"/>
        <v>1618413.7094500004</v>
      </c>
      <c r="AC18" s="365">
        <f t="shared" si="9"/>
        <v>1414924.1120299995</v>
      </c>
      <c r="AD18" s="365">
        <f t="shared" si="9"/>
        <v>1386097.1451900001</v>
      </c>
      <c r="AE18" s="365">
        <f t="shared" si="9"/>
        <v>1342143.25945</v>
      </c>
      <c r="AF18" s="366">
        <f t="shared" si="9"/>
        <v>5761578.2261200007</v>
      </c>
      <c r="AG18" s="365">
        <f t="shared" si="9"/>
        <v>1319625</v>
      </c>
      <c r="AH18" s="365">
        <f t="shared" si="9"/>
        <v>1166821.1200100002</v>
      </c>
      <c r="AI18" s="365">
        <f t="shared" si="9"/>
        <v>1296363</v>
      </c>
      <c r="AJ18" s="365">
        <f t="shared" si="9"/>
        <v>996704.92610999977</v>
      </c>
      <c r="AK18" s="366">
        <f t="shared" si="9"/>
        <v>4779514.0461200001</v>
      </c>
      <c r="AL18" s="365">
        <f t="shared" si="9"/>
        <v>830191</v>
      </c>
      <c r="AM18" s="365">
        <f t="shared" si="9"/>
        <v>827861</v>
      </c>
      <c r="AN18" s="365">
        <f t="shared" si="9"/>
        <v>862492</v>
      </c>
      <c r="AO18" s="365">
        <f t="shared" si="9"/>
        <v>855855</v>
      </c>
      <c r="AP18" s="366">
        <f>AP19</f>
        <v>3356062</v>
      </c>
      <c r="AQ18" s="365">
        <f t="shared" si="9"/>
        <v>810176</v>
      </c>
      <c r="AR18" s="365">
        <f t="shared" si="9"/>
        <v>790222</v>
      </c>
      <c r="AS18" s="365">
        <f t="shared" si="9"/>
        <v>814211</v>
      </c>
      <c r="AT18" s="365">
        <f t="shared" si="9"/>
        <v>781722</v>
      </c>
      <c r="AU18" s="366">
        <f>AU19</f>
        <v>3173178</v>
      </c>
      <c r="AV18" s="365">
        <f t="shared" si="9"/>
        <v>767695</v>
      </c>
      <c r="AW18" s="367">
        <f>AW19</f>
        <v>790077</v>
      </c>
      <c r="AX18" s="367">
        <f>AX19</f>
        <v>840731</v>
      </c>
      <c r="AY18" s="367">
        <f>AY19</f>
        <v>888652</v>
      </c>
      <c r="AZ18" s="366">
        <f>AZ19</f>
        <v>3287155</v>
      </c>
      <c r="BA18" s="367">
        <f>BA19</f>
        <v>881670</v>
      </c>
    </row>
    <row r="19" spans="1:53">
      <c r="A19" s="357"/>
      <c r="B19" s="11" t="s">
        <v>611</v>
      </c>
      <c r="C19" s="12"/>
      <c r="D19" s="12"/>
      <c r="E19" s="12"/>
      <c r="F19" s="12"/>
      <c r="G19" s="40"/>
      <c r="H19" s="12"/>
      <c r="I19" s="12"/>
      <c r="J19" s="12"/>
      <c r="K19" s="12"/>
      <c r="L19" s="40"/>
      <c r="M19" s="12"/>
      <c r="N19" s="12"/>
      <c r="O19" s="12"/>
      <c r="P19" s="12"/>
      <c r="Q19" s="40"/>
      <c r="R19" s="12"/>
      <c r="S19" s="12"/>
      <c r="T19" s="12"/>
      <c r="U19" s="12"/>
      <c r="V19" s="40"/>
      <c r="W19" s="12"/>
      <c r="X19" s="12"/>
      <c r="Y19" s="12"/>
      <c r="Z19" s="153"/>
      <c r="AA19" s="144">
        <f t="shared" ref="AA19:AM19" si="10">SUM(AA20:AA29)</f>
        <v>33466133.12859001</v>
      </c>
      <c r="AB19" s="153">
        <f t="shared" si="10"/>
        <v>1618413.7094500004</v>
      </c>
      <c r="AC19" s="153">
        <f t="shared" si="10"/>
        <v>1414924.1120299995</v>
      </c>
      <c r="AD19" s="153">
        <f t="shared" si="10"/>
        <v>1386097.1451900001</v>
      </c>
      <c r="AE19" s="153">
        <f t="shared" si="10"/>
        <v>1342143.25945</v>
      </c>
      <c r="AF19" s="144">
        <f t="shared" si="10"/>
        <v>5761578.2261200007</v>
      </c>
      <c r="AG19" s="153">
        <f t="shared" si="10"/>
        <v>1319625</v>
      </c>
      <c r="AH19" s="153">
        <f t="shared" si="10"/>
        <v>1166821.1200100002</v>
      </c>
      <c r="AI19" s="153">
        <f t="shared" si="10"/>
        <v>1296363</v>
      </c>
      <c r="AJ19" s="153">
        <f t="shared" si="10"/>
        <v>996704.92610999977</v>
      </c>
      <c r="AK19" s="144">
        <f t="shared" si="10"/>
        <v>4779514.0461200001</v>
      </c>
      <c r="AL19" s="153">
        <f t="shared" si="10"/>
        <v>830191</v>
      </c>
      <c r="AM19" s="153">
        <f t="shared" si="10"/>
        <v>827861</v>
      </c>
      <c r="AN19" s="153">
        <f t="shared" ref="AN19:AO19" si="11">SUM(AN20:AN28)</f>
        <v>862492</v>
      </c>
      <c r="AO19" s="153">
        <f t="shared" si="11"/>
        <v>855855</v>
      </c>
      <c r="AP19" s="144">
        <f>SUM(AP20:AP28)</f>
        <v>3356062</v>
      </c>
      <c r="AQ19" s="153">
        <f t="shared" ref="AQ19:AR19" si="12">SUM(AQ20:AQ29)</f>
        <v>810176</v>
      </c>
      <c r="AR19" s="153">
        <f t="shared" si="12"/>
        <v>790222</v>
      </c>
      <c r="AS19" s="153">
        <f t="shared" ref="AS19:AT19" si="13">SUM(AS20:AS28)</f>
        <v>814211</v>
      </c>
      <c r="AT19" s="153">
        <f t="shared" si="13"/>
        <v>781722</v>
      </c>
      <c r="AU19" s="144">
        <f>SUM(AU20:AU28)</f>
        <v>3173178</v>
      </c>
      <c r="AV19" s="153">
        <f t="shared" ref="AV19" si="14">SUM(AV20:AV28)</f>
        <v>767695</v>
      </c>
      <c r="AW19" s="121">
        <f>SUM(AW20:AW28)</f>
        <v>790077</v>
      </c>
      <c r="AX19" s="121">
        <f>SUM(AX20:AX28)</f>
        <v>840731</v>
      </c>
      <c r="AY19" s="121">
        <f>SUM(AY20:AY28)</f>
        <v>888652</v>
      </c>
      <c r="AZ19" s="144">
        <f>SUM(AZ20:AZ28)</f>
        <v>3287155</v>
      </c>
      <c r="BA19" s="121">
        <f>SUM(BA20:BA28)</f>
        <v>881670</v>
      </c>
    </row>
    <row r="20" spans="1:53">
      <c r="A20" s="357"/>
      <c r="B20" s="318" t="s">
        <v>612</v>
      </c>
      <c r="C20" s="12"/>
      <c r="D20" s="12"/>
      <c r="E20" s="12"/>
      <c r="F20" s="12"/>
      <c r="G20" s="40"/>
      <c r="H20" s="12"/>
      <c r="I20" s="12"/>
      <c r="J20" s="12"/>
      <c r="K20" s="12"/>
      <c r="L20" s="40"/>
      <c r="M20" s="12"/>
      <c r="N20" s="12"/>
      <c r="O20" s="12"/>
      <c r="P20" s="12"/>
      <c r="Q20" s="40"/>
      <c r="R20" s="12"/>
      <c r="S20" s="12"/>
      <c r="T20" s="12"/>
      <c r="U20" s="12"/>
      <c r="V20" s="40"/>
      <c r="W20" s="12"/>
      <c r="X20" s="12"/>
      <c r="Y20" s="12"/>
      <c r="Z20" s="153"/>
      <c r="AA20" s="144">
        <f>'DRE ANTIGA PARCERIA CAIXA'!AA30+'DRE ANTIGA PARCERIA CAIXA'!AA41</f>
        <v>5654014.4279400008</v>
      </c>
      <c r="AB20" s="153">
        <f>'DRE ANTIGA PARCERIA CAIXA'!AB30+'DRE ANTIGA PARCERIA CAIXA'!AB41</f>
        <v>1017398.5462400003</v>
      </c>
      <c r="AC20" s="153">
        <f>'DRE ANTIGA PARCERIA CAIXA'!AC30+'DRE ANTIGA PARCERIA CAIXA'!AC41</f>
        <v>824827.02926999982</v>
      </c>
      <c r="AD20" s="153">
        <f>'DRE ANTIGA PARCERIA CAIXA'!AD30+'DRE ANTIGA PARCERIA CAIXA'!AD41</f>
        <v>818542.33576000005</v>
      </c>
      <c r="AE20" s="153">
        <f>'DRE ANTIGA PARCERIA CAIXA'!AE30+'DRE ANTIGA PARCERIA CAIXA'!AE41</f>
        <v>805390</v>
      </c>
      <c r="AF20" s="144">
        <f>'DRE ANTIGA PARCERIA CAIXA'!AF30+'DRE ANTIGA PARCERIA CAIXA'!AF41</f>
        <v>3466157.9112700005</v>
      </c>
      <c r="AG20" s="153">
        <f>'DRE ANTIGA PARCERIA CAIXA'!AG30+'DRE ANTIGA PARCERIA CAIXA'!AG41</f>
        <v>797303</v>
      </c>
      <c r="AH20" s="153">
        <f>'DRE ANTIGA PARCERIA CAIXA'!AH30+'DRE ANTIGA PARCERIA CAIXA'!AH41</f>
        <v>727434</v>
      </c>
      <c r="AI20" s="153">
        <f>'DRE ANTIGA PARCERIA CAIXA'!AI30+'DRE ANTIGA PARCERIA CAIXA'!AI41</f>
        <v>804681</v>
      </c>
      <c r="AJ20" s="153">
        <f>'DRE ANTIGA PARCERIA CAIXA'!AJ30+'DRE ANTIGA PARCERIA CAIXA'!AJ41</f>
        <v>813685</v>
      </c>
      <c r="AK20" s="144">
        <f>'DRE ANTIGA PARCERIA CAIXA'!AK30+'DRE ANTIGA PARCERIA CAIXA'!AK41</f>
        <v>3143103</v>
      </c>
      <c r="AL20" s="153">
        <f>'DRE ANTIGA PARCERIA CAIXA'!AL30+'DRE ANTIGA PARCERIA CAIXA'!AL41</f>
        <v>804267</v>
      </c>
      <c r="AM20" s="153">
        <f>'DRE ANTIGA PARCERIA CAIXA'!AM30+'DRE ANTIGA PARCERIA CAIXA'!AM41</f>
        <v>799347</v>
      </c>
      <c r="AN20" s="153">
        <f>'DRE ANTIGA PARCERIA CAIXA'!AN30+'DRE ANTIGA PARCERIA CAIXA'!AN41</f>
        <v>844274</v>
      </c>
      <c r="AO20" s="153">
        <f>'DRE ANTIGA PARCERIA CAIXA'!AO30+'DRE ANTIGA PARCERIA CAIXA'!AO41</f>
        <v>838865</v>
      </c>
      <c r="AP20" s="144">
        <f>'DRE ANTIGA PARCERIA CAIXA'!AP30+'DRE ANTIGA PARCERIA CAIXA'!AP41</f>
        <v>3286753</v>
      </c>
      <c r="AQ20" s="153">
        <f>'DRE ANTIGA PARCERIA CAIXA'!AQ30+'DRE ANTIGA PARCERIA CAIXA'!AQ41</f>
        <v>782923</v>
      </c>
      <c r="AR20" s="153">
        <f>'DRE ANTIGA PARCERIA CAIXA'!AR30+'DRE ANTIGA PARCERIA CAIXA'!AR41</f>
        <v>758877</v>
      </c>
      <c r="AS20" s="153">
        <f>'DRE ANTIGA PARCERIA CAIXA'!AS30+'DRE ANTIGA PARCERIA CAIXA'!AS41</f>
        <v>794379</v>
      </c>
      <c r="AT20" s="153">
        <f>'DRE ANTIGA PARCERIA CAIXA'!AT30+'DRE ANTIGA PARCERIA CAIXA'!AT41</f>
        <v>760303</v>
      </c>
      <c r="AU20" s="144">
        <f>'DRE ANTIGA PARCERIA CAIXA'!AU30+'DRE ANTIGA PARCERIA CAIXA'!AU41</f>
        <v>3096482</v>
      </c>
      <c r="AV20" s="153">
        <f>'DRE ANTIGA PARCERIA CAIXA'!AV30+'DRE ANTIGA PARCERIA CAIXA'!AV41</f>
        <v>747653</v>
      </c>
      <c r="AW20" s="121">
        <f>'DRE ANTIGA PARCERIA CAIXA'!AW30+'DRE ANTIGA PARCERIA CAIXA'!AW41</f>
        <v>772857</v>
      </c>
      <c r="AX20" s="121">
        <f>'DRE ANTIGA PARCERIA CAIXA'!AX30+'DRE ANTIGA PARCERIA CAIXA'!AX41</f>
        <v>819266</v>
      </c>
      <c r="AY20" s="121">
        <f>'DRE ANTIGA PARCERIA CAIXA'!AY30+'DRE ANTIGA PARCERIA CAIXA'!AY41</f>
        <v>867125</v>
      </c>
      <c r="AZ20" s="144">
        <f>'DRE ANTIGA PARCERIA CAIXA'!AZ30+'DRE ANTIGA PARCERIA CAIXA'!AZ41</f>
        <v>3206901</v>
      </c>
      <c r="BA20" s="121">
        <f>'DRE ANTIGA PARCERIA CAIXA'!BA30+'DRE ANTIGA PARCERIA CAIXA'!BA41</f>
        <v>857325</v>
      </c>
    </row>
    <row r="21" spans="1:53">
      <c r="A21" s="357"/>
      <c r="B21" s="318" t="s">
        <v>613</v>
      </c>
      <c r="C21" s="12"/>
      <c r="D21" s="12"/>
      <c r="E21" s="12"/>
      <c r="F21" s="12"/>
      <c r="G21" s="40"/>
      <c r="H21" s="12"/>
      <c r="I21" s="12"/>
      <c r="J21" s="12"/>
      <c r="K21" s="12"/>
      <c r="L21" s="40"/>
      <c r="M21" s="12"/>
      <c r="N21" s="12"/>
      <c r="O21" s="12"/>
      <c r="P21" s="12"/>
      <c r="Q21" s="40"/>
      <c r="R21" s="12"/>
      <c r="S21" s="12"/>
      <c r="T21" s="12"/>
      <c r="U21" s="12"/>
      <c r="V21" s="40"/>
      <c r="W21" s="12"/>
      <c r="X21" s="12"/>
      <c r="Y21" s="12"/>
      <c r="Z21" s="153"/>
      <c r="AA21" s="144">
        <f>'DRE ANTIGA PARCERIA CAIXA'!AA58+'DRE ANTIGA PARCERIA CAIXA'!AA79</f>
        <v>25162716.273900006</v>
      </c>
      <c r="AB21" s="153">
        <f>'DRE ANTIGA PARCERIA CAIXA'!AB58+'DRE ANTIGA PARCERIA CAIXA'!AB79</f>
        <v>0</v>
      </c>
      <c r="AC21" s="153">
        <f>'DRE ANTIGA PARCERIA CAIXA'!AC58+'DRE ANTIGA PARCERIA CAIXA'!AC79</f>
        <v>0</v>
      </c>
      <c r="AD21" s="153">
        <f>'DRE ANTIGA PARCERIA CAIXA'!AD58+'DRE ANTIGA PARCERIA CAIXA'!AD79</f>
        <v>0</v>
      </c>
      <c r="AE21" s="153">
        <f>'DRE ANTIGA PARCERIA CAIXA'!AE58+'DRE ANTIGA PARCERIA CAIXA'!AE79</f>
        <v>0</v>
      </c>
      <c r="AF21" s="144">
        <f>'DRE ANTIGA PARCERIA CAIXA'!AF58+'DRE ANTIGA PARCERIA CAIXA'!AF79</f>
        <v>0</v>
      </c>
      <c r="AG21" s="153">
        <f>'DRE ANTIGA PARCERIA CAIXA'!AG58+'DRE ANTIGA PARCERIA CAIXA'!AG79</f>
        <v>0</v>
      </c>
      <c r="AH21" s="153">
        <f>'DRE ANTIGA PARCERIA CAIXA'!AH58+'DRE ANTIGA PARCERIA CAIXA'!AH79</f>
        <v>0</v>
      </c>
      <c r="AI21" s="153">
        <f>'DRE ANTIGA PARCERIA CAIXA'!AI58+'DRE ANTIGA PARCERIA CAIXA'!AI79</f>
        <v>0</v>
      </c>
      <c r="AJ21" s="153">
        <f>'DRE ANTIGA PARCERIA CAIXA'!AJ58+'DRE ANTIGA PARCERIA CAIXA'!AJ79</f>
        <v>0</v>
      </c>
      <c r="AK21" s="144">
        <f>'DRE ANTIGA PARCERIA CAIXA'!AK58+'DRE ANTIGA PARCERIA CAIXA'!AK79</f>
        <v>0</v>
      </c>
      <c r="AL21" s="153">
        <f>'DRE ANTIGA PARCERIA CAIXA'!AL58+'DRE ANTIGA PARCERIA CAIXA'!AL79</f>
        <v>0</v>
      </c>
      <c r="AM21" s="153">
        <f>'DRE ANTIGA PARCERIA CAIXA'!AM58+'DRE ANTIGA PARCERIA CAIXA'!AM79</f>
        <v>0</v>
      </c>
      <c r="AN21" s="153">
        <f>'DRE ANTIGA PARCERIA CAIXA'!AN58+'DRE ANTIGA PARCERIA CAIXA'!AN79</f>
        <v>0</v>
      </c>
      <c r="AO21" s="153">
        <f>'DRE ANTIGA PARCERIA CAIXA'!AO58+'DRE ANTIGA PARCERIA CAIXA'!AO79</f>
        <v>0</v>
      </c>
      <c r="AP21" s="144">
        <f>'DRE ANTIGA PARCERIA CAIXA'!AP58+'DRE ANTIGA PARCERIA CAIXA'!AP79</f>
        <v>0</v>
      </c>
      <c r="AQ21" s="153">
        <f>'DRE ANTIGA PARCERIA CAIXA'!AQ58+'DRE ANTIGA PARCERIA CAIXA'!AQ79</f>
        <v>0</v>
      </c>
      <c r="AR21" s="153">
        <f>'DRE ANTIGA PARCERIA CAIXA'!AR58+'DRE ANTIGA PARCERIA CAIXA'!AR79</f>
        <v>0</v>
      </c>
      <c r="AS21" s="153">
        <f>'DRE ANTIGA PARCERIA CAIXA'!AS58+'DRE ANTIGA PARCERIA CAIXA'!AS79</f>
        <v>0</v>
      </c>
      <c r="AT21" s="153">
        <f>'DRE ANTIGA PARCERIA CAIXA'!AT58+'DRE ANTIGA PARCERIA CAIXA'!AT79</f>
        <v>0</v>
      </c>
      <c r="AU21" s="144">
        <f>'DRE ANTIGA PARCERIA CAIXA'!AU58+'DRE ANTIGA PARCERIA CAIXA'!AU79</f>
        <v>0</v>
      </c>
      <c r="AV21" s="153">
        <f>'DRE ANTIGA PARCERIA CAIXA'!AV58+'DRE ANTIGA PARCERIA CAIXA'!AV79</f>
        <v>0</v>
      </c>
      <c r="AW21" s="121">
        <f>'DRE ANTIGA PARCERIA CAIXA'!AW58+'DRE ANTIGA PARCERIA CAIXA'!AW79</f>
        <v>0</v>
      </c>
      <c r="AX21" s="121">
        <f>'DRE ANTIGA PARCERIA CAIXA'!AX58+'DRE ANTIGA PARCERIA CAIXA'!AX79</f>
        <v>0</v>
      </c>
      <c r="AY21" s="121">
        <f>'DRE ANTIGA PARCERIA CAIXA'!AY58+'DRE ANTIGA PARCERIA CAIXA'!AY79</f>
        <v>0</v>
      </c>
      <c r="AZ21" s="144">
        <f>'DRE ANTIGA PARCERIA CAIXA'!AZ58+'DRE ANTIGA PARCERIA CAIXA'!AZ79</f>
        <v>0</v>
      </c>
      <c r="BA21" s="121">
        <f>'DRE ANTIGA PARCERIA CAIXA'!BA58+'DRE ANTIGA PARCERIA CAIXA'!BA79</f>
        <v>0</v>
      </c>
    </row>
    <row r="22" spans="1:53">
      <c r="A22" s="357"/>
      <c r="B22" s="318" t="s">
        <v>566</v>
      </c>
      <c r="C22" s="12"/>
      <c r="D22" s="12"/>
      <c r="E22" s="12"/>
      <c r="F22" s="12"/>
      <c r="G22" s="40"/>
      <c r="H22" s="12"/>
      <c r="I22" s="12"/>
      <c r="J22" s="12"/>
      <c r="K22" s="12"/>
      <c r="L22" s="40"/>
      <c r="M22" s="12"/>
      <c r="N22" s="12"/>
      <c r="O22" s="12"/>
      <c r="P22" s="12"/>
      <c r="Q22" s="40"/>
      <c r="R22" s="12"/>
      <c r="S22" s="12"/>
      <c r="T22" s="12"/>
      <c r="U22" s="12"/>
      <c r="V22" s="40"/>
      <c r="W22" s="12"/>
      <c r="X22" s="12"/>
      <c r="Y22" s="12"/>
      <c r="Z22" s="153"/>
      <c r="AA22" s="144">
        <f>'DRE ANTIGA PARCERIA CAIXA'!AA97+'DRE ANTIGA PARCERIA CAIXA'!AA107</f>
        <v>1513315.00498</v>
      </c>
      <c r="AB22" s="153">
        <f>'DRE ANTIGA PARCERIA CAIXA'!AB97+'DRE ANTIGA PARCERIA CAIXA'!AB107</f>
        <v>354483.61069</v>
      </c>
      <c r="AC22" s="153">
        <f>'DRE ANTIGA PARCERIA CAIXA'!AC97+'DRE ANTIGA PARCERIA CAIXA'!AC107</f>
        <v>339158.45944999997</v>
      </c>
      <c r="AD22" s="153">
        <f>'DRE ANTIGA PARCERIA CAIXA'!AD97+'DRE ANTIGA PARCERIA CAIXA'!AD107</f>
        <v>310501.87975000002</v>
      </c>
      <c r="AE22" s="153">
        <f>'DRE ANTIGA PARCERIA CAIXA'!AE97+'DRE ANTIGA PARCERIA CAIXA'!AE107</f>
        <v>292027.88762999995</v>
      </c>
      <c r="AF22" s="144">
        <f>'DRE ANTIGA PARCERIA CAIXA'!AF97+'DRE ANTIGA PARCERIA CAIXA'!AF107</f>
        <v>1296171.8375199998</v>
      </c>
      <c r="AG22" s="153">
        <f>'DRE ANTIGA PARCERIA CAIXA'!AG97+'DRE ANTIGA PARCERIA CAIXA'!AG107</f>
        <v>267020</v>
      </c>
      <c r="AH22" s="153">
        <f>'DRE ANTIGA PARCERIA CAIXA'!AH97+'DRE ANTIGA PARCERIA CAIXA'!AH107</f>
        <v>241850</v>
      </c>
      <c r="AI22" s="153">
        <f>'DRE ANTIGA PARCERIA CAIXA'!AI97+'DRE ANTIGA PARCERIA CAIXA'!AI107</f>
        <v>223555</v>
      </c>
      <c r="AJ22" s="153">
        <f>'DRE ANTIGA PARCERIA CAIXA'!AJ97+'DRE ANTIGA PARCERIA CAIXA'!AJ107</f>
        <v>69360</v>
      </c>
      <c r="AK22" s="144">
        <f>'DRE ANTIGA PARCERIA CAIXA'!AK97+'DRE ANTIGA PARCERIA CAIXA'!AK107</f>
        <v>801785</v>
      </c>
      <c r="AL22" s="153">
        <f>'DRE ANTIGA PARCERIA CAIXA'!AL97+'DRE ANTIGA PARCERIA CAIXA'!AL107</f>
        <v>0</v>
      </c>
      <c r="AM22" s="153">
        <f>'DRE ANTIGA PARCERIA CAIXA'!AM97+'DRE ANTIGA PARCERIA CAIXA'!AM107</f>
        <v>0</v>
      </c>
      <c r="AN22" s="153">
        <f>'DRE ANTIGA PARCERIA CAIXA'!AN97+'DRE ANTIGA PARCERIA CAIXA'!AN107</f>
        <v>0</v>
      </c>
      <c r="AO22" s="153">
        <f>'DRE ANTIGA PARCERIA CAIXA'!AO97+'DRE ANTIGA PARCERIA CAIXA'!AO107</f>
        <v>0</v>
      </c>
      <c r="AP22" s="144">
        <f>'DRE ANTIGA PARCERIA CAIXA'!AP97+'DRE ANTIGA PARCERIA CAIXA'!AP107</f>
        <v>0</v>
      </c>
      <c r="AQ22" s="153">
        <f>'DRE ANTIGA PARCERIA CAIXA'!AQ97+'DRE ANTIGA PARCERIA CAIXA'!AQ107</f>
        <v>0</v>
      </c>
      <c r="AR22" s="153">
        <f>'DRE ANTIGA PARCERIA CAIXA'!AR97+'DRE ANTIGA PARCERIA CAIXA'!AR107</f>
        <v>0</v>
      </c>
      <c r="AS22" s="153">
        <f>'DRE ANTIGA PARCERIA CAIXA'!AS97+'DRE ANTIGA PARCERIA CAIXA'!AS107</f>
        <v>0</v>
      </c>
      <c r="AT22" s="153">
        <f>'DRE ANTIGA PARCERIA CAIXA'!AT97+'DRE ANTIGA PARCERIA CAIXA'!AT107</f>
        <v>0</v>
      </c>
      <c r="AU22" s="144">
        <f>'DRE ANTIGA PARCERIA CAIXA'!AU97+'DRE ANTIGA PARCERIA CAIXA'!AU107</f>
        <v>0</v>
      </c>
      <c r="AV22" s="153">
        <f>'DRE ANTIGA PARCERIA CAIXA'!AV97+'DRE ANTIGA PARCERIA CAIXA'!AV107</f>
        <v>0</v>
      </c>
      <c r="AW22" s="121">
        <f>'DRE ANTIGA PARCERIA CAIXA'!AW97+'DRE ANTIGA PARCERIA CAIXA'!AW107</f>
        <v>0</v>
      </c>
      <c r="AX22" s="121">
        <f>'DRE ANTIGA PARCERIA CAIXA'!AX97+'DRE ANTIGA PARCERIA CAIXA'!AX107</f>
        <v>0</v>
      </c>
      <c r="AY22" s="121">
        <f>'DRE ANTIGA PARCERIA CAIXA'!AY97+'DRE ANTIGA PARCERIA CAIXA'!AY107</f>
        <v>0</v>
      </c>
      <c r="AZ22" s="144">
        <f>'DRE ANTIGA PARCERIA CAIXA'!AZ97+'DRE ANTIGA PARCERIA CAIXA'!AZ107</f>
        <v>0</v>
      </c>
      <c r="BA22" s="121">
        <f>'DRE ANTIGA PARCERIA CAIXA'!BA97+'DRE ANTIGA PARCERIA CAIXA'!BA107</f>
        <v>0</v>
      </c>
    </row>
    <row r="23" spans="1:53">
      <c r="A23" s="357"/>
      <c r="B23" s="318" t="s">
        <v>271</v>
      </c>
      <c r="C23" s="12"/>
      <c r="D23" s="12"/>
      <c r="E23" s="12"/>
      <c r="F23" s="12"/>
      <c r="G23" s="40"/>
      <c r="H23" s="12"/>
      <c r="I23" s="12"/>
      <c r="J23" s="12"/>
      <c r="K23" s="12"/>
      <c r="L23" s="40"/>
      <c r="M23" s="12"/>
      <c r="N23" s="12"/>
      <c r="O23" s="12"/>
      <c r="P23" s="12"/>
      <c r="Q23" s="40"/>
      <c r="R23" s="12"/>
      <c r="S23" s="12"/>
      <c r="T23" s="12"/>
      <c r="U23" s="12"/>
      <c r="V23" s="40"/>
      <c r="W23" s="12"/>
      <c r="X23" s="12"/>
      <c r="Y23" s="12"/>
      <c r="Z23" s="153"/>
      <c r="AA23" s="144">
        <f>'DRE ANTIGA PARCERIA CAIXA'!AA124+'DRE ANTIGA PARCERIA CAIXA'!AA129</f>
        <v>614909.18827999989</v>
      </c>
      <c r="AB23" s="153">
        <f>'DRE ANTIGA PARCERIA CAIXA'!AB124+'DRE ANTIGA PARCERIA CAIXA'!AB129</f>
        <v>158122.17119000005</v>
      </c>
      <c r="AC23" s="153">
        <f>'DRE ANTIGA PARCERIA CAIXA'!AC124+'DRE ANTIGA PARCERIA CAIXA'!AC129</f>
        <v>154327.13596999997</v>
      </c>
      <c r="AD23" s="153">
        <f>'DRE ANTIGA PARCERIA CAIXA'!AD124+'DRE ANTIGA PARCERIA CAIXA'!AD129</f>
        <v>162377.66432999994</v>
      </c>
      <c r="AE23" s="153">
        <f>'DRE ANTIGA PARCERIA CAIXA'!AE124+'DRE ANTIGA PARCERIA CAIXA'!AE129</f>
        <v>142727</v>
      </c>
      <c r="AF23" s="144">
        <f>'DRE ANTIGA PARCERIA CAIXA'!AF124+'DRE ANTIGA PARCERIA CAIXA'!AF129</f>
        <v>617553.97148999991</v>
      </c>
      <c r="AG23" s="153">
        <f>'DRE ANTIGA PARCERIA CAIXA'!AG124+'DRE ANTIGA PARCERIA CAIXA'!AG129</f>
        <v>144185</v>
      </c>
      <c r="AH23" s="153">
        <f>'DRE ANTIGA PARCERIA CAIXA'!AH124+'DRE ANTIGA PARCERIA CAIXA'!AH129</f>
        <v>85089.120010000115</v>
      </c>
      <c r="AI23" s="153">
        <f>'DRE ANTIGA PARCERIA CAIXA'!AI124+'DRE ANTIGA PARCERIA CAIXA'!AI129</f>
        <v>129441</v>
      </c>
      <c r="AJ23" s="153">
        <f>'DRE ANTIGA PARCERIA CAIXA'!AJ124+'DRE ANTIGA PARCERIA CAIXA'!AJ129</f>
        <v>25619.926109999789</v>
      </c>
      <c r="AK23" s="144">
        <f>'DRE ANTIGA PARCERIA CAIXA'!AK124+'DRE ANTIGA PARCERIA CAIXA'!AK129</f>
        <v>384335.0461199999</v>
      </c>
      <c r="AL23" s="153">
        <f>'DRE ANTIGA PARCERIA CAIXA'!AL124+'DRE ANTIGA PARCERIA CAIXA'!AL129</f>
        <v>0</v>
      </c>
      <c r="AM23" s="153">
        <f>'DRE ANTIGA PARCERIA CAIXA'!AM124+'DRE ANTIGA PARCERIA CAIXA'!AM129</f>
        <v>0</v>
      </c>
      <c r="AN23" s="153">
        <f>'DRE ANTIGA PARCERIA CAIXA'!AN124+'DRE ANTIGA PARCERIA CAIXA'!AN129</f>
        <v>0</v>
      </c>
      <c r="AO23" s="153">
        <f>'DRE ANTIGA PARCERIA CAIXA'!AO124+'DRE ANTIGA PARCERIA CAIXA'!AO129</f>
        <v>0</v>
      </c>
      <c r="AP23" s="144">
        <f>'DRE ANTIGA PARCERIA CAIXA'!AP124+'DRE ANTIGA PARCERIA CAIXA'!AP129</f>
        <v>0</v>
      </c>
      <c r="AQ23" s="153">
        <f>'DRE ANTIGA PARCERIA CAIXA'!AQ124+'DRE ANTIGA PARCERIA CAIXA'!AQ129</f>
        <v>0</v>
      </c>
      <c r="AR23" s="153">
        <f>'DRE ANTIGA PARCERIA CAIXA'!AR124+'DRE ANTIGA PARCERIA CAIXA'!AR129</f>
        <v>0</v>
      </c>
      <c r="AS23" s="153">
        <f>'DRE ANTIGA PARCERIA CAIXA'!AS124+'DRE ANTIGA PARCERIA CAIXA'!AS129</f>
        <v>0</v>
      </c>
      <c r="AT23" s="153">
        <f>'DRE ANTIGA PARCERIA CAIXA'!AT124+'DRE ANTIGA PARCERIA CAIXA'!AT129</f>
        <v>0</v>
      </c>
      <c r="AU23" s="144">
        <f>'DRE ANTIGA PARCERIA CAIXA'!AU124+'DRE ANTIGA PARCERIA CAIXA'!AU129</f>
        <v>0</v>
      </c>
      <c r="AV23" s="153">
        <f>'DRE ANTIGA PARCERIA CAIXA'!AV124+'DRE ANTIGA PARCERIA CAIXA'!AV129</f>
        <v>0</v>
      </c>
      <c r="AW23" s="121">
        <f>'DRE ANTIGA PARCERIA CAIXA'!AW124+'DRE ANTIGA PARCERIA CAIXA'!AW129</f>
        <v>0</v>
      </c>
      <c r="AX23" s="121">
        <f>'DRE ANTIGA PARCERIA CAIXA'!AX124+'DRE ANTIGA PARCERIA CAIXA'!AX129</f>
        <v>0</v>
      </c>
      <c r="AY23" s="121">
        <f>'DRE ANTIGA PARCERIA CAIXA'!AY124+'DRE ANTIGA PARCERIA CAIXA'!AY129</f>
        <v>0</v>
      </c>
      <c r="AZ23" s="144">
        <f>'DRE ANTIGA PARCERIA CAIXA'!AZ124+'DRE ANTIGA PARCERIA CAIXA'!AZ129</f>
        <v>0</v>
      </c>
      <c r="BA23" s="121">
        <f>'DRE ANTIGA PARCERIA CAIXA'!BA124+'DRE ANTIGA PARCERIA CAIXA'!BA129</f>
        <v>0</v>
      </c>
    </row>
    <row r="24" spans="1:53">
      <c r="A24" s="357"/>
      <c r="B24" s="318" t="s">
        <v>614</v>
      </c>
      <c r="C24" s="12"/>
      <c r="D24" s="12"/>
      <c r="E24" s="12"/>
      <c r="F24" s="12"/>
      <c r="G24" s="40"/>
      <c r="H24" s="12"/>
      <c r="I24" s="12"/>
      <c r="J24" s="12"/>
      <c r="K24" s="12"/>
      <c r="L24" s="40"/>
      <c r="M24" s="12"/>
      <c r="N24" s="12"/>
      <c r="O24" s="12"/>
      <c r="P24" s="12"/>
      <c r="Q24" s="40"/>
      <c r="R24" s="12"/>
      <c r="S24" s="12"/>
      <c r="T24" s="12"/>
      <c r="U24" s="12"/>
      <c r="V24" s="40"/>
      <c r="W24" s="12"/>
      <c r="X24" s="12"/>
      <c r="Y24" s="12"/>
      <c r="Z24" s="153"/>
      <c r="AA24" s="144">
        <f>'DRE ANTIGA PARCERIA CAIXA'!AA146+'DRE ANTIGA PARCERIA CAIXA'!AA151</f>
        <v>93497.936390000003</v>
      </c>
      <c r="AB24" s="153">
        <f>'DRE ANTIGA PARCERIA CAIXA'!AB146+'DRE ANTIGA PARCERIA CAIXA'!AB151</f>
        <v>2841.3834900000002</v>
      </c>
      <c r="AC24" s="153">
        <f>'DRE ANTIGA PARCERIA CAIXA'!AC146+'DRE ANTIGA PARCERIA CAIXA'!AC151</f>
        <v>2967.9344599999995</v>
      </c>
      <c r="AD24" s="153">
        <f>'DRE ANTIGA PARCERIA CAIXA'!AD146+'DRE ANTIGA PARCERIA CAIXA'!AD151</f>
        <v>3048.2459400000007</v>
      </c>
      <c r="AE24" s="153">
        <f>'DRE ANTIGA PARCERIA CAIXA'!AE146+'DRE ANTIGA PARCERIA CAIXA'!AE151</f>
        <v>3102.1810500000015</v>
      </c>
      <c r="AF24" s="144">
        <f>'DRE ANTIGA PARCERIA CAIXA'!AF146+'DRE ANTIGA PARCERIA CAIXA'!AF151</f>
        <v>11959.744940000002</v>
      </c>
      <c r="AG24" s="153">
        <f>'DRE ANTIGA PARCERIA CAIXA'!AG146+'DRE ANTIGA PARCERIA CAIXA'!AG151</f>
        <v>3452</v>
      </c>
      <c r="AH24" s="153">
        <f>'DRE ANTIGA PARCERIA CAIXA'!AH146+'DRE ANTIGA PARCERIA CAIXA'!AH151</f>
        <v>3790</v>
      </c>
      <c r="AI24" s="153">
        <f>'DRE ANTIGA PARCERIA CAIXA'!AI146+'DRE ANTIGA PARCERIA CAIXA'!AI151</f>
        <v>5357</v>
      </c>
      <c r="AJ24" s="153">
        <f>'DRE ANTIGA PARCERIA CAIXA'!AJ146+'DRE ANTIGA PARCERIA CAIXA'!AJ151</f>
        <v>7212</v>
      </c>
      <c r="AK24" s="144">
        <f>'DRE ANTIGA PARCERIA CAIXA'!AK146+'DRE ANTIGA PARCERIA CAIXA'!AK151</f>
        <v>19811</v>
      </c>
      <c r="AL24" s="153">
        <f>'DRE ANTIGA PARCERIA CAIXA'!AL146+'DRE ANTIGA PARCERIA CAIXA'!AL151</f>
        <v>5126</v>
      </c>
      <c r="AM24" s="153">
        <f>'DRE ANTIGA PARCERIA CAIXA'!AM146+'DRE ANTIGA PARCERIA CAIXA'!AM151</f>
        <v>5040</v>
      </c>
      <c r="AN24" s="153">
        <f>'DRE ANTIGA PARCERIA CAIXA'!AN146+'DRE ANTIGA PARCERIA CAIXA'!AN151</f>
        <v>5837</v>
      </c>
      <c r="AO24" s="153">
        <f>'DRE ANTIGA PARCERIA CAIXA'!AO146+'DRE ANTIGA PARCERIA CAIXA'!AO151</f>
        <v>4841</v>
      </c>
      <c r="AP24" s="144">
        <f>'DRE ANTIGA PARCERIA CAIXA'!AP146+'DRE ANTIGA PARCERIA CAIXA'!AP151</f>
        <v>20844</v>
      </c>
      <c r="AQ24" s="153">
        <f>'DRE ANTIGA PARCERIA CAIXA'!AQ146+'DRE ANTIGA PARCERIA CAIXA'!AQ151</f>
        <v>4366</v>
      </c>
      <c r="AR24" s="153">
        <f>'DRE ANTIGA PARCERIA CAIXA'!AR146+'DRE ANTIGA PARCERIA CAIXA'!AR151</f>
        <v>4903</v>
      </c>
      <c r="AS24" s="153">
        <f>'DRE ANTIGA PARCERIA CAIXA'!AS146+'DRE ANTIGA PARCERIA CAIXA'!AS151</f>
        <v>4873</v>
      </c>
      <c r="AT24" s="153">
        <f>'DRE ANTIGA PARCERIA CAIXA'!AT146+'DRE ANTIGA PARCERIA CAIXA'!AT151</f>
        <v>4777</v>
      </c>
      <c r="AU24" s="144">
        <f>'DRE ANTIGA PARCERIA CAIXA'!AU146+'DRE ANTIGA PARCERIA CAIXA'!AU151</f>
        <v>18919</v>
      </c>
      <c r="AV24" s="153">
        <f>'DRE ANTIGA PARCERIA CAIXA'!AV146+'DRE ANTIGA PARCERIA CAIXA'!AV151</f>
        <v>4969</v>
      </c>
      <c r="AW24" s="121">
        <f>'DRE ANTIGA PARCERIA CAIXA'!AW146+'DRE ANTIGA PARCERIA CAIXA'!AW151</f>
        <v>5173</v>
      </c>
      <c r="AX24" s="121">
        <f>'DRE ANTIGA PARCERIA CAIXA'!AX146+'DRE ANTIGA PARCERIA CAIXA'!AX151</f>
        <v>5800</v>
      </c>
      <c r="AY24" s="121">
        <f>'DRE ANTIGA PARCERIA CAIXA'!AY146+'DRE ANTIGA PARCERIA CAIXA'!AY151</f>
        <v>5671</v>
      </c>
      <c r="AZ24" s="144">
        <f>'DRE ANTIGA PARCERIA CAIXA'!AZ146+'DRE ANTIGA PARCERIA CAIXA'!AZ151</f>
        <v>21613</v>
      </c>
      <c r="BA24" s="121">
        <f>'DRE ANTIGA PARCERIA CAIXA'!BA146+'DRE ANTIGA PARCERIA CAIXA'!BA151</f>
        <v>5466</v>
      </c>
    </row>
    <row r="25" spans="1:53">
      <c r="A25" s="357"/>
      <c r="B25" s="318" t="s">
        <v>568</v>
      </c>
      <c r="C25" s="12"/>
      <c r="D25" s="12"/>
      <c r="E25" s="12"/>
      <c r="F25" s="12"/>
      <c r="G25" s="40"/>
      <c r="H25" s="12"/>
      <c r="I25" s="12"/>
      <c r="J25" s="12"/>
      <c r="K25" s="12"/>
      <c r="L25" s="40"/>
      <c r="M25" s="12"/>
      <c r="N25" s="12"/>
      <c r="O25" s="12"/>
      <c r="P25" s="12"/>
      <c r="Q25" s="40"/>
      <c r="R25" s="12"/>
      <c r="S25" s="12"/>
      <c r="T25" s="12"/>
      <c r="U25" s="12"/>
      <c r="V25" s="40"/>
      <c r="W25" s="12"/>
      <c r="X25" s="12"/>
      <c r="Y25" s="12"/>
      <c r="Z25" s="153"/>
      <c r="AA25" s="144">
        <f>'DRE ANTIGA PARCERIA CAIXA'!AA170+'DRE ANTIGA PARCERIA CAIXA'!AA181</f>
        <v>275114.9094</v>
      </c>
      <c r="AB25" s="153">
        <f>'DRE ANTIGA PARCERIA CAIXA'!AB170+'DRE ANTIGA PARCERIA CAIXA'!AB181</f>
        <v>58156.736669999998</v>
      </c>
      <c r="AC25" s="153">
        <f>'DRE ANTIGA PARCERIA CAIXA'!AC170+'DRE ANTIGA PARCERIA CAIXA'!AC181</f>
        <v>57151.908279999989</v>
      </c>
      <c r="AD25" s="153">
        <f>'DRE ANTIGA PARCERIA CAIXA'!AD170+'DRE ANTIGA PARCERIA CAIXA'!AD181</f>
        <v>68850.130720000016</v>
      </c>
      <c r="AE25" s="153">
        <f>'DRE ANTIGA PARCERIA CAIXA'!AE170+'DRE ANTIGA PARCERIA CAIXA'!AE181</f>
        <v>67400.171359999993</v>
      </c>
      <c r="AF25" s="144">
        <f>'DRE ANTIGA PARCERIA CAIXA'!AF170+'DRE ANTIGA PARCERIA CAIXA'!AF181</f>
        <v>251558.94703000001</v>
      </c>
      <c r="AG25" s="153">
        <f>'DRE ANTIGA PARCERIA CAIXA'!AG170+'DRE ANTIGA PARCERIA CAIXA'!AG181</f>
        <v>70564</v>
      </c>
      <c r="AH25" s="153">
        <f>'DRE ANTIGA PARCERIA CAIXA'!AH170+'DRE ANTIGA PARCERIA CAIXA'!AH181</f>
        <v>55268</v>
      </c>
      <c r="AI25" s="153">
        <f>'DRE ANTIGA PARCERIA CAIXA'!AI170+'DRE ANTIGA PARCERIA CAIXA'!AI181</f>
        <v>65469</v>
      </c>
      <c r="AJ25" s="153">
        <f>'DRE ANTIGA PARCERIA CAIXA'!AJ170+'DRE ANTIGA PARCERIA CAIXA'!AJ181</f>
        <v>73450</v>
      </c>
      <c r="AK25" s="144">
        <f>'DRE ANTIGA PARCERIA CAIXA'!AK170+'DRE ANTIGA PARCERIA CAIXA'!AK181</f>
        <v>264751</v>
      </c>
      <c r="AL25" s="153">
        <f>'DRE ANTIGA PARCERIA CAIXA'!AL170+'DRE ANTIGA PARCERIA CAIXA'!AL181</f>
        <v>0</v>
      </c>
      <c r="AM25" s="153">
        <f>'DRE ANTIGA PARCERIA CAIXA'!AM170+'DRE ANTIGA PARCERIA CAIXA'!AM181</f>
        <v>0</v>
      </c>
      <c r="AN25" s="153">
        <f>'DRE ANTIGA PARCERIA CAIXA'!AN170+'DRE ANTIGA PARCERIA CAIXA'!AN181</f>
        <v>0</v>
      </c>
      <c r="AO25" s="153">
        <f>'DRE ANTIGA PARCERIA CAIXA'!AO170+'DRE ANTIGA PARCERIA CAIXA'!AO181</f>
        <v>0</v>
      </c>
      <c r="AP25" s="144">
        <f>'DRE ANTIGA PARCERIA CAIXA'!AP170+'DRE ANTIGA PARCERIA CAIXA'!AP181</f>
        <v>0</v>
      </c>
      <c r="AQ25" s="153">
        <f>'DRE ANTIGA PARCERIA CAIXA'!AQ170+'DRE ANTIGA PARCERIA CAIXA'!AQ181</f>
        <v>0</v>
      </c>
      <c r="AR25" s="153">
        <f>'DRE ANTIGA PARCERIA CAIXA'!AR170+'DRE ANTIGA PARCERIA CAIXA'!AR181</f>
        <v>0</v>
      </c>
      <c r="AS25" s="153">
        <f>'DRE ANTIGA PARCERIA CAIXA'!AS170+'DRE ANTIGA PARCERIA CAIXA'!AS181</f>
        <v>0</v>
      </c>
      <c r="AT25" s="153">
        <f>'DRE ANTIGA PARCERIA CAIXA'!AT170+'DRE ANTIGA PARCERIA CAIXA'!AT181</f>
        <v>0</v>
      </c>
      <c r="AU25" s="144">
        <f>'DRE ANTIGA PARCERIA CAIXA'!AU170+'DRE ANTIGA PARCERIA CAIXA'!AU181</f>
        <v>0</v>
      </c>
      <c r="AV25" s="153">
        <f>'DRE ANTIGA PARCERIA CAIXA'!AV170+'DRE ANTIGA PARCERIA CAIXA'!AV181</f>
        <v>0</v>
      </c>
      <c r="AW25" s="121">
        <f>'DRE ANTIGA PARCERIA CAIXA'!AW170+'DRE ANTIGA PARCERIA CAIXA'!AW181</f>
        <v>0</v>
      </c>
      <c r="AX25" s="121">
        <f>'DRE ANTIGA PARCERIA CAIXA'!AX170+'DRE ANTIGA PARCERIA CAIXA'!AX181</f>
        <v>0</v>
      </c>
      <c r="AY25" s="121">
        <f>'DRE ANTIGA PARCERIA CAIXA'!AY170+'DRE ANTIGA PARCERIA CAIXA'!AY181</f>
        <v>0</v>
      </c>
      <c r="AZ25" s="144">
        <f>'DRE ANTIGA PARCERIA CAIXA'!AZ170+'DRE ANTIGA PARCERIA CAIXA'!AZ181</f>
        <v>0</v>
      </c>
      <c r="BA25" s="121">
        <f>'DRE ANTIGA PARCERIA CAIXA'!BA170+'DRE ANTIGA PARCERIA CAIXA'!BA181</f>
        <v>0</v>
      </c>
    </row>
    <row r="26" spans="1:53">
      <c r="A26" s="357"/>
      <c r="B26" s="318" t="s">
        <v>569</v>
      </c>
      <c r="C26" s="12"/>
      <c r="D26" s="12"/>
      <c r="E26" s="12"/>
      <c r="F26" s="12"/>
      <c r="G26" s="40"/>
      <c r="H26" s="12"/>
      <c r="I26" s="12"/>
      <c r="J26" s="12"/>
      <c r="K26" s="12"/>
      <c r="L26" s="40"/>
      <c r="M26" s="12"/>
      <c r="N26" s="12"/>
      <c r="O26" s="12"/>
      <c r="P26" s="12"/>
      <c r="Q26" s="40"/>
      <c r="R26" s="12"/>
      <c r="S26" s="12"/>
      <c r="T26" s="12"/>
      <c r="U26" s="12"/>
      <c r="V26" s="40"/>
      <c r="W26" s="12"/>
      <c r="X26" s="12"/>
      <c r="Y26" s="12"/>
      <c r="Z26" s="153"/>
      <c r="AA26" s="144">
        <f>'DRE ANTIGA PARCERIA CAIXA'!AA197+'DRE ANTIGA PARCERIA CAIXA'!AA202</f>
        <v>67199.258810000014</v>
      </c>
      <c r="AB26" s="153">
        <f>'DRE ANTIGA PARCERIA CAIXA'!AB197+'DRE ANTIGA PARCERIA CAIXA'!AB202</f>
        <v>15430.181879999998</v>
      </c>
      <c r="AC26" s="153">
        <f>'DRE ANTIGA PARCERIA CAIXA'!AC197+'DRE ANTIGA PARCERIA CAIXA'!AC202</f>
        <v>15171.605300000005</v>
      </c>
      <c r="AD26" s="153">
        <f>'DRE ANTIGA PARCERIA CAIXA'!AD197+'DRE ANTIGA PARCERIA CAIXA'!AD202</f>
        <v>15271.354259999998</v>
      </c>
      <c r="AE26" s="153">
        <f>'DRE ANTIGA PARCERIA CAIXA'!AE197+'DRE ANTIGA PARCERIA CAIXA'!AE202</f>
        <v>15817.010119999997</v>
      </c>
      <c r="AF26" s="144">
        <f>'DRE ANTIGA PARCERIA CAIXA'!AF197+'DRE ANTIGA PARCERIA CAIXA'!AF202</f>
        <v>61690.151559999998</v>
      </c>
      <c r="AG26" s="153">
        <f>'DRE ANTIGA PARCERIA CAIXA'!AG197+'DRE ANTIGA PARCERIA CAIXA'!AG202</f>
        <v>15239</v>
      </c>
      <c r="AH26" s="153">
        <f>'DRE ANTIGA PARCERIA CAIXA'!AH197+'DRE ANTIGA PARCERIA CAIXA'!AH202</f>
        <v>15226</v>
      </c>
      <c r="AI26" s="153">
        <f>'DRE ANTIGA PARCERIA CAIXA'!AI197+'DRE ANTIGA PARCERIA CAIXA'!AI202</f>
        <v>16358</v>
      </c>
      <c r="AJ26" s="153">
        <f>'DRE ANTIGA PARCERIA CAIXA'!AJ197+'DRE ANTIGA PARCERIA CAIXA'!AJ202</f>
        <v>10384</v>
      </c>
      <c r="AK26" s="144">
        <f>'DRE ANTIGA PARCERIA CAIXA'!AK197+'DRE ANTIGA PARCERIA CAIXA'!AK202</f>
        <v>57207</v>
      </c>
      <c r="AL26" s="153">
        <f>'DRE ANTIGA PARCERIA CAIXA'!AL197+'DRE ANTIGA PARCERIA CAIXA'!AL202</f>
        <v>0</v>
      </c>
      <c r="AM26" s="153">
        <f>'DRE ANTIGA PARCERIA CAIXA'!AM197+'DRE ANTIGA PARCERIA CAIXA'!AM202</f>
        <v>0</v>
      </c>
      <c r="AN26" s="153">
        <f>'DRE ANTIGA PARCERIA CAIXA'!AN197+'DRE ANTIGA PARCERIA CAIXA'!AN202</f>
        <v>0</v>
      </c>
      <c r="AO26" s="153">
        <f>'DRE ANTIGA PARCERIA CAIXA'!AO197+'DRE ANTIGA PARCERIA CAIXA'!AO202</f>
        <v>0</v>
      </c>
      <c r="AP26" s="144">
        <f>'DRE ANTIGA PARCERIA CAIXA'!AP197+'DRE ANTIGA PARCERIA CAIXA'!AP202</f>
        <v>0</v>
      </c>
      <c r="AQ26" s="153">
        <f>'DRE ANTIGA PARCERIA CAIXA'!AQ197+'DRE ANTIGA PARCERIA CAIXA'!AQ202</f>
        <v>0</v>
      </c>
      <c r="AR26" s="153">
        <f>'DRE ANTIGA PARCERIA CAIXA'!AR197+'DRE ANTIGA PARCERIA CAIXA'!AR202</f>
        <v>0</v>
      </c>
      <c r="AS26" s="153">
        <f>'DRE ANTIGA PARCERIA CAIXA'!AS197+'DRE ANTIGA PARCERIA CAIXA'!AS202</f>
        <v>0</v>
      </c>
      <c r="AT26" s="153">
        <f>'DRE ANTIGA PARCERIA CAIXA'!AT197+'DRE ANTIGA PARCERIA CAIXA'!AT202</f>
        <v>0</v>
      </c>
      <c r="AU26" s="144">
        <f>'DRE ANTIGA PARCERIA CAIXA'!AU197+'DRE ANTIGA PARCERIA CAIXA'!AU202</f>
        <v>0</v>
      </c>
      <c r="AV26" s="153">
        <f>'DRE ANTIGA PARCERIA CAIXA'!AV197+'DRE ANTIGA PARCERIA CAIXA'!AV202</f>
        <v>0</v>
      </c>
      <c r="AW26" s="121">
        <f>'DRE ANTIGA PARCERIA CAIXA'!AW197+'DRE ANTIGA PARCERIA CAIXA'!AW202</f>
        <v>0</v>
      </c>
      <c r="AX26" s="121">
        <f>'DRE ANTIGA PARCERIA CAIXA'!AX197+'DRE ANTIGA PARCERIA CAIXA'!AX202</f>
        <v>0</v>
      </c>
      <c r="AY26" s="121">
        <f>'DRE ANTIGA PARCERIA CAIXA'!AY197+'DRE ANTIGA PARCERIA CAIXA'!AY202</f>
        <v>0</v>
      </c>
      <c r="AZ26" s="144">
        <f>'DRE ANTIGA PARCERIA CAIXA'!AZ197+'DRE ANTIGA PARCERIA CAIXA'!AZ202</f>
        <v>0</v>
      </c>
      <c r="BA26" s="121">
        <f>'DRE ANTIGA PARCERIA CAIXA'!BA197+'DRE ANTIGA PARCERIA CAIXA'!BA202</f>
        <v>0</v>
      </c>
    </row>
    <row r="27" spans="1:53">
      <c r="A27" s="357"/>
      <c r="B27" s="318" t="s">
        <v>570</v>
      </c>
      <c r="C27" s="12"/>
      <c r="D27" s="12"/>
      <c r="E27" s="12"/>
      <c r="F27" s="12"/>
      <c r="G27" s="40"/>
      <c r="H27" s="12"/>
      <c r="I27" s="12"/>
      <c r="J27" s="12"/>
      <c r="K27" s="12"/>
      <c r="L27" s="40"/>
      <c r="M27" s="12"/>
      <c r="N27" s="12"/>
      <c r="O27" s="12"/>
      <c r="P27" s="12"/>
      <c r="Q27" s="40"/>
      <c r="R27" s="12"/>
      <c r="S27" s="12"/>
      <c r="T27" s="12"/>
      <c r="U27" s="12"/>
      <c r="V27" s="40"/>
      <c r="W27" s="12"/>
      <c r="X27" s="12"/>
      <c r="Y27" s="12"/>
      <c r="Z27" s="153"/>
      <c r="AA27" s="144">
        <f>'DRE ANTIGA PARCERIA CAIXA'!AA219+'DRE ANTIGA PARCERIA CAIXA'!AA224</f>
        <v>2917.6205299999992</v>
      </c>
      <c r="AB27" s="153">
        <f>'DRE ANTIGA PARCERIA CAIXA'!AB219+'DRE ANTIGA PARCERIA CAIXA'!AB224</f>
        <v>661.12504999999987</v>
      </c>
      <c r="AC27" s="153">
        <f>'DRE ANTIGA PARCERIA CAIXA'!AC219+'DRE ANTIGA PARCERIA CAIXA'!AC224</f>
        <v>517.76914000000011</v>
      </c>
      <c r="AD27" s="153">
        <f>'DRE ANTIGA PARCERIA CAIXA'!AD219+'DRE ANTIGA PARCERIA CAIXA'!AD224</f>
        <v>713.88387000000012</v>
      </c>
      <c r="AE27" s="153">
        <f>'DRE ANTIGA PARCERIA CAIXA'!AE219+'DRE ANTIGA PARCERIA CAIXA'!AE224</f>
        <v>905.94624000000022</v>
      </c>
      <c r="AF27" s="144">
        <f>'DRE ANTIGA PARCERIA CAIXA'!AF219+'DRE ANTIGA PARCERIA CAIXA'!AF224</f>
        <v>2798.7243000000003</v>
      </c>
      <c r="AG27" s="153">
        <f>'DRE ANTIGA PARCERIA CAIXA'!AG219+'DRE ANTIGA PARCERIA CAIXA'!AG224</f>
        <v>1123</v>
      </c>
      <c r="AH27" s="153">
        <f>'DRE ANTIGA PARCERIA CAIXA'!AH219+'DRE ANTIGA PARCERIA CAIXA'!AH224</f>
        <v>1275</v>
      </c>
      <c r="AI27" s="153">
        <f>'DRE ANTIGA PARCERIA CAIXA'!AI219+'DRE ANTIGA PARCERIA CAIXA'!AI224</f>
        <v>2408</v>
      </c>
      <c r="AJ27" s="153">
        <f>'DRE ANTIGA PARCERIA CAIXA'!AJ219+'DRE ANTIGA PARCERIA CAIXA'!AJ224</f>
        <v>456</v>
      </c>
      <c r="AK27" s="144">
        <f>'DRE ANTIGA PARCERIA CAIXA'!AK219+'DRE ANTIGA PARCERIA CAIXA'!AK224</f>
        <v>5262</v>
      </c>
      <c r="AL27" s="153">
        <f>'DRE ANTIGA PARCERIA CAIXA'!AL219+'DRE ANTIGA PARCERIA CAIXA'!AL224</f>
        <v>1842</v>
      </c>
      <c r="AM27" s="153">
        <f>'DRE ANTIGA PARCERIA CAIXA'!AM219+'DRE ANTIGA PARCERIA CAIXA'!AM224</f>
        <v>1754</v>
      </c>
      <c r="AN27" s="153">
        <f>'DRE ANTIGA PARCERIA CAIXA'!AN219+'DRE ANTIGA PARCERIA CAIXA'!AN224</f>
        <v>1824</v>
      </c>
      <c r="AO27" s="153">
        <f>'DRE ANTIGA PARCERIA CAIXA'!AO219+'DRE ANTIGA PARCERIA CAIXA'!AO224</f>
        <v>1642</v>
      </c>
      <c r="AP27" s="144">
        <f>'DRE ANTIGA PARCERIA CAIXA'!AP219+'DRE ANTIGA PARCERIA CAIXA'!AP224</f>
        <v>7062</v>
      </c>
      <c r="AQ27" s="153">
        <f>'DRE ANTIGA PARCERIA CAIXA'!AQ219+'DRE ANTIGA PARCERIA CAIXA'!AQ224</f>
        <v>1390</v>
      </c>
      <c r="AR27" s="153">
        <f>'DRE ANTIGA PARCERIA CAIXA'!AR219+'DRE ANTIGA PARCERIA CAIXA'!AR224</f>
        <v>1435</v>
      </c>
      <c r="AS27" s="153">
        <f>'DRE ANTIGA PARCERIA CAIXA'!AS219+'DRE ANTIGA PARCERIA CAIXA'!AS224</f>
        <v>1593</v>
      </c>
      <c r="AT27" s="153">
        <f>'DRE ANTIGA PARCERIA CAIXA'!AT219+'DRE ANTIGA PARCERIA CAIXA'!AT224</f>
        <v>1611</v>
      </c>
      <c r="AU27" s="144">
        <f>'DRE ANTIGA PARCERIA CAIXA'!AU219+'DRE ANTIGA PARCERIA CAIXA'!AU224</f>
        <v>6029</v>
      </c>
      <c r="AV27" s="153">
        <f>'DRE ANTIGA PARCERIA CAIXA'!AV219+'DRE ANTIGA PARCERIA CAIXA'!AV224</f>
        <v>1720</v>
      </c>
      <c r="AW27" s="121">
        <f>'DRE ANTIGA PARCERIA CAIXA'!AW219+'DRE ANTIGA PARCERIA CAIXA'!AW224</f>
        <v>1748</v>
      </c>
      <c r="AX27" s="121">
        <f>'DRE ANTIGA PARCERIA CAIXA'!AX219+'DRE ANTIGA PARCERIA CAIXA'!AX224</f>
        <v>1958</v>
      </c>
      <c r="AY27" s="121">
        <f>'DRE ANTIGA PARCERIA CAIXA'!AY219+'DRE ANTIGA PARCERIA CAIXA'!AY224</f>
        <v>1937</v>
      </c>
      <c r="AZ27" s="144">
        <f>'DRE ANTIGA PARCERIA CAIXA'!AZ219+'DRE ANTIGA PARCERIA CAIXA'!AZ224</f>
        <v>7363</v>
      </c>
      <c r="BA27" s="121">
        <f>'DRE ANTIGA PARCERIA CAIXA'!BA219+'DRE ANTIGA PARCERIA CAIXA'!BA224</f>
        <v>1742</v>
      </c>
    </row>
    <row r="28" spans="1:53">
      <c r="A28" s="357"/>
      <c r="B28" s="318" t="s">
        <v>615</v>
      </c>
      <c r="C28" s="12"/>
      <c r="D28" s="12"/>
      <c r="E28" s="12"/>
      <c r="F28" s="12"/>
      <c r="G28" s="40"/>
      <c r="H28" s="12"/>
      <c r="I28" s="12"/>
      <c r="J28" s="12"/>
      <c r="K28" s="12"/>
      <c r="L28" s="40"/>
      <c r="M28" s="12"/>
      <c r="N28" s="12"/>
      <c r="O28" s="12"/>
      <c r="P28" s="12"/>
      <c r="Q28" s="40"/>
      <c r="R28" s="12"/>
      <c r="S28" s="12"/>
      <c r="T28" s="12"/>
      <c r="U28" s="12"/>
      <c r="V28" s="40"/>
      <c r="W28" s="12"/>
      <c r="X28" s="12"/>
      <c r="Y28" s="12"/>
      <c r="Z28" s="153"/>
      <c r="AA28" s="144">
        <f>'DRE ANTIGA PARCERIA CAIXA'!AA241+'DRE ANTIGA PARCERIA CAIXA'!AA246</f>
        <v>14681.39227</v>
      </c>
      <c r="AB28" s="153">
        <f>'DRE ANTIGA PARCERIA CAIXA'!AB241+'DRE ANTIGA PARCERIA CAIXA'!AB246</f>
        <v>4140.4923600000002</v>
      </c>
      <c r="AC28" s="153">
        <f>'DRE ANTIGA PARCERIA CAIXA'!AC241+'DRE ANTIGA PARCERIA CAIXA'!AC246</f>
        <v>5598.2536600000003</v>
      </c>
      <c r="AD28" s="153">
        <f>'DRE ANTIGA PARCERIA CAIXA'!AD241+'DRE ANTIGA PARCERIA CAIXA'!AD246</f>
        <v>7417.4509599999992</v>
      </c>
      <c r="AE28" s="153">
        <f>'DRE ANTIGA PARCERIA CAIXA'!AE241+'DRE ANTIGA PARCERIA CAIXA'!AE246</f>
        <v>8129.6712399999997</v>
      </c>
      <c r="AF28" s="144">
        <f>'DRE ANTIGA PARCERIA CAIXA'!AF241+'DRE ANTIGA PARCERIA CAIXA'!AF246</f>
        <v>25285.868219999997</v>
      </c>
      <c r="AG28" s="153">
        <f>'DRE ANTIGA PARCERIA CAIXA'!AG241+'DRE ANTIGA PARCERIA CAIXA'!AG246</f>
        <v>9419</v>
      </c>
      <c r="AH28" s="153">
        <f>'DRE ANTIGA PARCERIA CAIXA'!AH241+'DRE ANTIGA PARCERIA CAIXA'!AH246</f>
        <v>13986</v>
      </c>
      <c r="AI28" s="153">
        <f>'DRE ANTIGA PARCERIA CAIXA'!AI241+'DRE ANTIGA PARCERIA CAIXA'!AI246</f>
        <v>21131</v>
      </c>
      <c r="AJ28" s="153">
        <f>'DRE ANTIGA PARCERIA CAIXA'!AJ241+'DRE ANTIGA PARCERIA CAIXA'!AJ246</f>
        <v>4187</v>
      </c>
      <c r="AK28" s="144">
        <f>'DRE ANTIGA PARCERIA CAIXA'!AK241+'DRE ANTIGA PARCERIA CAIXA'!AK246</f>
        <v>48723</v>
      </c>
      <c r="AL28" s="153">
        <f>'DRE ANTIGA PARCERIA CAIXA'!AL241+'DRE ANTIGA PARCERIA CAIXA'!AL246</f>
        <v>9879</v>
      </c>
      <c r="AM28" s="153">
        <f>'DRE ANTIGA PARCERIA CAIXA'!AM241+'DRE ANTIGA PARCERIA CAIXA'!AM246</f>
        <v>10460</v>
      </c>
      <c r="AN28" s="153">
        <f>'DRE ANTIGA PARCERIA CAIXA'!AN241+'DRE ANTIGA PARCERIA CAIXA'!AN246</f>
        <v>10557</v>
      </c>
      <c r="AO28" s="153">
        <f>'DRE ANTIGA PARCERIA CAIXA'!AO241+'DRE ANTIGA PARCERIA CAIXA'!AO246</f>
        <v>10507</v>
      </c>
      <c r="AP28" s="144">
        <f>'DRE ANTIGA PARCERIA CAIXA'!AP241+'DRE ANTIGA PARCERIA CAIXA'!AP246</f>
        <v>41403</v>
      </c>
      <c r="AQ28" s="153">
        <f>'DRE ANTIGA PARCERIA CAIXA'!AQ241+'DRE ANTIGA PARCERIA CAIXA'!AQ246</f>
        <v>10931</v>
      </c>
      <c r="AR28" s="153">
        <f>'DRE ANTIGA PARCERIA CAIXA'!AR241+'DRE ANTIGA PARCERIA CAIXA'!AR246</f>
        <v>12420</v>
      </c>
      <c r="AS28" s="153">
        <f>'DRE ANTIGA PARCERIA CAIXA'!AS241+'DRE ANTIGA PARCERIA CAIXA'!AS246</f>
        <v>13366</v>
      </c>
      <c r="AT28" s="153">
        <f>'DRE ANTIGA PARCERIA CAIXA'!AT241+'DRE ANTIGA PARCERIA CAIXA'!AT246</f>
        <v>15031</v>
      </c>
      <c r="AU28" s="144">
        <f>'DRE ANTIGA PARCERIA CAIXA'!AU241+'DRE ANTIGA PARCERIA CAIXA'!AU246</f>
        <v>51748</v>
      </c>
      <c r="AV28" s="153">
        <f>'DRE ANTIGA PARCERIA CAIXA'!AV241+'DRE ANTIGA PARCERIA CAIXA'!AV246</f>
        <v>13353</v>
      </c>
      <c r="AW28" s="121">
        <f>'DRE ANTIGA PARCERIA CAIXA'!AW241+'DRE ANTIGA PARCERIA CAIXA'!AW246</f>
        <v>10299</v>
      </c>
      <c r="AX28" s="121">
        <f>'DRE ANTIGA PARCERIA CAIXA'!AX241+'DRE ANTIGA PARCERIA CAIXA'!AX246</f>
        <v>13707</v>
      </c>
      <c r="AY28" s="121">
        <f>'DRE ANTIGA PARCERIA CAIXA'!AY241+'DRE ANTIGA PARCERIA CAIXA'!AY246</f>
        <v>13919</v>
      </c>
      <c r="AZ28" s="144">
        <f>'DRE ANTIGA PARCERIA CAIXA'!AZ241+'DRE ANTIGA PARCERIA CAIXA'!AZ246</f>
        <v>51278</v>
      </c>
      <c r="BA28" s="121">
        <f>'DRE ANTIGA PARCERIA CAIXA'!BA241+'DRE ANTIGA PARCERIA CAIXA'!BA246</f>
        <v>17137</v>
      </c>
    </row>
    <row r="29" spans="1:53">
      <c r="A29" s="499"/>
      <c r="B29" s="318" t="s">
        <v>616</v>
      </c>
      <c r="C29" s="12"/>
      <c r="D29" s="12"/>
      <c r="E29" s="12"/>
      <c r="F29" s="12"/>
      <c r="G29" s="40"/>
      <c r="H29" s="12"/>
      <c r="I29" s="12"/>
      <c r="J29" s="12"/>
      <c r="K29" s="12"/>
      <c r="L29" s="40"/>
      <c r="M29" s="12"/>
      <c r="N29" s="12"/>
      <c r="O29" s="12"/>
      <c r="P29" s="12"/>
      <c r="Q29" s="40"/>
      <c r="R29" s="12"/>
      <c r="S29" s="12"/>
      <c r="T29" s="12"/>
      <c r="U29" s="12"/>
      <c r="V29" s="40"/>
      <c r="W29" s="12"/>
      <c r="X29" s="12"/>
      <c r="Y29" s="12"/>
      <c r="Z29" s="153"/>
      <c r="AA29" s="144">
        <f>'DRE ANTIGA PARCERIA CAIXA'!AA268</f>
        <v>67767.116089999996</v>
      </c>
      <c r="AB29" s="153">
        <f>'DRE ANTIGA PARCERIA CAIXA'!AB268</f>
        <v>7179.4618800000007</v>
      </c>
      <c r="AC29" s="153">
        <f>'DRE ANTIGA PARCERIA CAIXA'!AC268</f>
        <v>15204.016500000003</v>
      </c>
      <c r="AD29" s="153">
        <f>'DRE ANTIGA PARCERIA CAIXA'!AD268</f>
        <v>-625.80040000000372</v>
      </c>
      <c r="AE29" s="153">
        <f>'DRE ANTIGA PARCERIA CAIXA'!AE268</f>
        <v>6643.3918100000028</v>
      </c>
      <c r="AF29" s="144">
        <f>'DRE ANTIGA PARCERIA CAIXA'!AF268</f>
        <v>28401.069790000001</v>
      </c>
      <c r="AG29" s="153">
        <f>'DRE ANTIGA PARCERIA CAIXA'!AG268</f>
        <v>11320</v>
      </c>
      <c r="AH29" s="153">
        <f>'DRE ANTIGA PARCERIA CAIXA'!AH268</f>
        <v>22903</v>
      </c>
      <c r="AI29" s="153">
        <f>'DRE ANTIGA PARCERIA CAIXA'!AI268</f>
        <v>27963</v>
      </c>
      <c r="AJ29" s="153">
        <f>'DRE ANTIGA PARCERIA CAIXA'!AJ268</f>
        <v>-7649</v>
      </c>
      <c r="AK29" s="144">
        <f>'DRE ANTIGA PARCERIA CAIXA'!AK268</f>
        <v>54537</v>
      </c>
      <c r="AL29" s="153">
        <f>'DRE ANTIGA PARCERIA CAIXA'!AL268</f>
        <v>9077</v>
      </c>
      <c r="AM29" s="153">
        <f>'DRE ANTIGA PARCERIA CAIXA'!AM268</f>
        <v>11260</v>
      </c>
      <c r="AN29" s="153">
        <f>'DRE ANTIGA PARCERIA CAIXA'!AN268</f>
        <v>18543</v>
      </c>
      <c r="AO29" s="153">
        <f>'DRE ANTIGA PARCERIA CAIXA'!AO268</f>
        <v>20746</v>
      </c>
      <c r="AP29" s="144">
        <f>'DRE ANTIGA PARCERIA CAIXA'!AP268</f>
        <v>59626</v>
      </c>
      <c r="AQ29" s="153">
        <f>'DRE ANTIGA PARCERIA CAIXA'!AQ268</f>
        <v>10566</v>
      </c>
      <c r="AR29" s="153">
        <f>'DRE ANTIGA PARCERIA CAIXA'!AR268</f>
        <v>12587</v>
      </c>
      <c r="AS29" s="153">
        <f>'DRE ANTIGA PARCERIA CAIXA'!AS268</f>
        <v>14251</v>
      </c>
      <c r="AT29" s="153">
        <f>'DRE ANTIGA PARCERIA CAIXA'!AT268</f>
        <v>12966</v>
      </c>
      <c r="AU29" s="144">
        <f>'DRE ANTIGA PARCERIA CAIXA'!AU268</f>
        <v>50370</v>
      </c>
      <c r="AV29" s="153">
        <f>'DRE ANTIGA PARCERIA CAIXA'!AV268</f>
        <v>13711</v>
      </c>
      <c r="AW29" s="121">
        <f>'DRE ANTIGA PARCERIA CAIXA'!AW268</f>
        <v>16814</v>
      </c>
      <c r="AX29" s="121">
        <f>'DRE ANTIGA PARCERIA CAIXA'!AX268</f>
        <v>35011</v>
      </c>
      <c r="AY29" s="121">
        <f>'DRE ANTIGA PARCERIA CAIXA'!AY268</f>
        <v>13546</v>
      </c>
      <c r="AZ29" s="144">
        <f>'DRE ANTIGA PARCERIA CAIXA'!AZ268</f>
        <v>79082</v>
      </c>
      <c r="BA29" s="121">
        <f>'DRE ANTIGA PARCERIA CAIXA'!BA268</f>
        <v>13677</v>
      </c>
    </row>
    <row r="30" spans="1:53" s="2" customFormat="1">
      <c r="A30" s="363"/>
      <c r="B30" s="21" t="s">
        <v>617</v>
      </c>
      <c r="C30" s="218"/>
      <c r="D30" s="218"/>
      <c r="E30" s="218"/>
      <c r="F30" s="218"/>
      <c r="G30" s="364"/>
      <c r="H30" s="218"/>
      <c r="I30" s="218"/>
      <c r="J30" s="218"/>
      <c r="K30" s="218"/>
      <c r="L30" s="364"/>
      <c r="M30" s="218"/>
      <c r="N30" s="218"/>
      <c r="O30" s="218"/>
      <c r="P30" s="218"/>
      <c r="Q30" s="364"/>
      <c r="R30" s="218"/>
      <c r="S30" s="218"/>
      <c r="T30" s="218"/>
      <c r="U30" s="218"/>
      <c r="V30" s="364"/>
      <c r="W30" s="218"/>
      <c r="X30" s="218"/>
      <c r="Y30" s="218"/>
      <c r="Z30" s="365"/>
      <c r="AA30" s="366">
        <f t="shared" ref="AA30:AO30" si="15">AA31+AA32</f>
        <v>1038909.00285</v>
      </c>
      <c r="AB30" s="365">
        <f t="shared" si="15"/>
        <v>269125.51500000001</v>
      </c>
      <c r="AC30" s="365">
        <f t="shared" si="15"/>
        <v>306138.14299999998</v>
      </c>
      <c r="AD30" s="365">
        <f t="shared" si="15"/>
        <v>272431.34604000003</v>
      </c>
      <c r="AE30" s="365">
        <f t="shared" si="15"/>
        <v>291694</v>
      </c>
      <c r="AF30" s="366">
        <f t="shared" si="15"/>
        <v>1139389.00404</v>
      </c>
      <c r="AG30" s="365">
        <f t="shared" si="15"/>
        <v>377724</v>
      </c>
      <c r="AH30" s="365">
        <f t="shared" si="15"/>
        <v>345041</v>
      </c>
      <c r="AI30" s="365">
        <f t="shared" si="15"/>
        <v>377152</v>
      </c>
      <c r="AJ30" s="365">
        <f t="shared" si="15"/>
        <v>465547</v>
      </c>
      <c r="AK30" s="366">
        <f t="shared" si="15"/>
        <v>1565464</v>
      </c>
      <c r="AL30" s="365">
        <f t="shared" si="15"/>
        <v>494713</v>
      </c>
      <c r="AM30" s="365">
        <f t="shared" si="15"/>
        <v>481613</v>
      </c>
      <c r="AN30" s="365">
        <f t="shared" si="15"/>
        <v>508904</v>
      </c>
      <c r="AO30" s="365">
        <f t="shared" si="15"/>
        <v>504806.71600000001</v>
      </c>
      <c r="AP30" s="366">
        <f>AP31+AP32</f>
        <v>1990036.716</v>
      </c>
      <c r="AQ30" s="365">
        <f t="shared" ref="AQ30:AT30" si="16">AQ31+AQ32</f>
        <v>508141.55</v>
      </c>
      <c r="AR30" s="365">
        <f t="shared" si="16"/>
        <v>534481.88600000006</v>
      </c>
      <c r="AS30" s="365">
        <f t="shared" si="16"/>
        <v>577490.68000000005</v>
      </c>
      <c r="AT30" s="365">
        <f t="shared" si="16"/>
        <v>618342.34600000002</v>
      </c>
      <c r="AU30" s="366">
        <f>AU31+AU32</f>
        <v>2238456.4619999998</v>
      </c>
      <c r="AV30" s="365">
        <f t="shared" ref="AV30" si="17">AV31+AV32</f>
        <v>521987</v>
      </c>
      <c r="AW30" s="367">
        <f>AW31+AW32</f>
        <v>543170</v>
      </c>
      <c r="AX30" s="367">
        <f>AX31+AX32</f>
        <v>555663</v>
      </c>
      <c r="AY30" s="367">
        <f>AY31+AY32</f>
        <v>596121</v>
      </c>
      <c r="AZ30" s="366">
        <f>AZ31+AZ32</f>
        <v>2216941</v>
      </c>
      <c r="BA30" s="367">
        <f>BA31+BA32</f>
        <v>646484.61100000003</v>
      </c>
    </row>
    <row r="31" spans="1:53">
      <c r="A31" s="357"/>
      <c r="B31" s="11" t="s">
        <v>269</v>
      </c>
      <c r="C31" s="12"/>
      <c r="D31" s="12"/>
      <c r="E31" s="12"/>
      <c r="F31" s="12"/>
      <c r="G31" s="40"/>
      <c r="H31" s="12"/>
      <c r="I31" s="12"/>
      <c r="J31" s="12"/>
      <c r="K31" s="12"/>
      <c r="L31" s="40"/>
      <c r="M31" s="12"/>
      <c r="N31" s="12"/>
      <c r="O31" s="12"/>
      <c r="P31" s="12"/>
      <c r="Q31" s="40"/>
      <c r="R31" s="12"/>
      <c r="S31" s="12"/>
      <c r="T31" s="12"/>
      <c r="U31" s="12"/>
      <c r="V31" s="40"/>
      <c r="W31" s="12"/>
      <c r="X31" s="12"/>
      <c r="Y31" s="12"/>
      <c r="Z31" s="153"/>
      <c r="AA31" s="144">
        <f>'DRE PARCERIAS BANCO PAN'!AA8+'DRE PARCERIAS BANCO PAN'!AA19</f>
        <v>980250.478</v>
      </c>
      <c r="AB31" s="153">
        <f>'DRE PARCERIAS BANCO PAN'!AB8+'DRE PARCERIAS BANCO PAN'!AB19</f>
        <v>251217.51500000001</v>
      </c>
      <c r="AC31" s="153">
        <f>'DRE PARCERIAS BANCO PAN'!AC8+'DRE PARCERIAS BANCO PAN'!AC19</f>
        <v>289257.14299999998</v>
      </c>
      <c r="AD31" s="153">
        <f>'DRE PARCERIAS BANCO PAN'!AD8+'DRE PARCERIAS BANCO PAN'!AD19</f>
        <v>258635.342</v>
      </c>
      <c r="AE31" s="153">
        <f>'DRE PARCERIAS BANCO PAN'!AE8+'DRE PARCERIAS BANCO PAN'!AE19</f>
        <v>277311</v>
      </c>
      <c r="AF31" s="144">
        <f>'DRE PARCERIAS BANCO PAN'!AF8+'DRE PARCERIAS BANCO PAN'!AF19</f>
        <v>1076421</v>
      </c>
      <c r="AG31" s="153">
        <f>'DRE PARCERIAS BANCO PAN'!AG8+'DRE PARCERIAS BANCO PAN'!AG19</f>
        <v>364357</v>
      </c>
      <c r="AH31" s="153">
        <f>'DRE PARCERIAS BANCO PAN'!AH8+'DRE PARCERIAS BANCO PAN'!AH19</f>
        <v>330509</v>
      </c>
      <c r="AI31" s="153">
        <f>'DRE PARCERIAS BANCO PAN'!AI8+'DRE PARCERIAS BANCO PAN'!AI19</f>
        <v>360865</v>
      </c>
      <c r="AJ31" s="153">
        <f>'DRE PARCERIAS BANCO PAN'!AJ8+'DRE PARCERIAS BANCO PAN'!AJ19</f>
        <v>447819</v>
      </c>
      <c r="AK31" s="144">
        <f>'DRE PARCERIAS BANCO PAN'!AK8+'DRE PARCERIAS BANCO PAN'!AK19</f>
        <v>1503550</v>
      </c>
      <c r="AL31" s="153">
        <f>'DRE PARCERIAS BANCO PAN'!AL8+'DRE PARCERIAS BANCO PAN'!AL19</f>
        <v>476331</v>
      </c>
      <c r="AM31" s="153">
        <f>'DRE PARCERIAS BANCO PAN'!AM8+'DRE PARCERIAS BANCO PAN'!AM19</f>
        <v>464661</v>
      </c>
      <c r="AN31" s="153">
        <f>'DRE PARCERIAS BANCO PAN'!AN8+'DRE PARCERIAS BANCO PAN'!AN19</f>
        <v>491064</v>
      </c>
      <c r="AO31" s="153">
        <f>'DRE PARCERIAS BANCO PAN'!AO8+'DRE PARCERIAS BANCO PAN'!AO19</f>
        <v>481702</v>
      </c>
      <c r="AP31" s="144">
        <f>'DRE PARCERIAS BANCO PAN'!AP8+'DRE PARCERIAS BANCO PAN'!AP19</f>
        <v>1913758</v>
      </c>
      <c r="AQ31" s="153">
        <f>'DRE PARCERIAS BANCO PAN'!AQ8+'DRE PARCERIAS BANCO PAN'!AQ19</f>
        <v>485999</v>
      </c>
      <c r="AR31" s="153">
        <f>'DRE PARCERIAS BANCO PAN'!AR8+'DRE PARCERIAS BANCO PAN'!AR19</f>
        <v>523100</v>
      </c>
      <c r="AS31" s="153">
        <f>'DRE PARCERIAS BANCO PAN'!AS8+'DRE PARCERIAS BANCO PAN'!AS19</f>
        <v>566023</v>
      </c>
      <c r="AT31" s="153">
        <f>'DRE PARCERIAS BANCO PAN'!AT8+'DRE PARCERIAS BANCO PAN'!AT19</f>
        <v>606376</v>
      </c>
      <c r="AU31" s="144">
        <f>'DRE PARCERIAS BANCO PAN'!AU8+'DRE PARCERIAS BANCO PAN'!AU19</f>
        <v>2181498</v>
      </c>
      <c r="AV31" s="153">
        <f>'DRE PARCERIAS BANCO PAN'!AV8+'DRE PARCERIAS BANCO PAN'!AV19</f>
        <v>506902</v>
      </c>
      <c r="AW31" s="121">
        <f>'DRE PARCERIAS BANCO PAN'!AW8+'DRE PARCERIAS BANCO PAN'!AW19</f>
        <v>527774</v>
      </c>
      <c r="AX31" s="121">
        <f>'DRE PARCERIAS BANCO PAN'!AX8+'DRE PARCERIAS BANCO PAN'!AX19</f>
        <v>539531</v>
      </c>
      <c r="AY31" s="121">
        <f>'DRE PARCERIAS BANCO PAN'!AY8+'DRE PARCERIAS BANCO PAN'!AY19</f>
        <v>577598</v>
      </c>
      <c r="AZ31" s="144">
        <f>'DRE PARCERIAS BANCO PAN'!AZ8+'DRE PARCERIAS BANCO PAN'!AZ19</f>
        <v>2151805</v>
      </c>
      <c r="BA31" s="121">
        <f>'DRE PARCERIAS BANCO PAN'!BA8+'DRE PARCERIAS BANCO PAN'!BA19</f>
        <v>628955</v>
      </c>
    </row>
    <row r="32" spans="1:53">
      <c r="A32" s="357"/>
      <c r="B32" s="11" t="s">
        <v>618</v>
      </c>
      <c r="C32" s="12"/>
      <c r="D32" s="12"/>
      <c r="E32" s="12"/>
      <c r="F32" s="12"/>
      <c r="G32" s="40"/>
      <c r="H32" s="12"/>
      <c r="I32" s="12"/>
      <c r="J32" s="12"/>
      <c r="K32" s="12"/>
      <c r="L32" s="40"/>
      <c r="M32" s="12"/>
      <c r="N32" s="12"/>
      <c r="O32" s="12"/>
      <c r="P32" s="12"/>
      <c r="Q32" s="40"/>
      <c r="R32" s="12"/>
      <c r="S32" s="12"/>
      <c r="T32" s="12"/>
      <c r="U32" s="12"/>
      <c r="V32" s="40"/>
      <c r="W32" s="12"/>
      <c r="X32" s="12"/>
      <c r="Y32" s="12"/>
      <c r="Z32" s="153"/>
      <c r="AA32" s="144">
        <f>'DRE PARCERIAS BANCO PAN'!AA33+'DRE PARCERIAS BANCO PAN'!AA36</f>
        <v>58658.524850000002</v>
      </c>
      <c r="AB32" s="153">
        <f>'DRE PARCERIAS BANCO PAN'!AB33+'DRE PARCERIAS BANCO PAN'!AB36</f>
        <v>17908</v>
      </c>
      <c r="AC32" s="153">
        <f>'DRE PARCERIAS BANCO PAN'!AC33+'DRE PARCERIAS BANCO PAN'!AC36</f>
        <v>16881</v>
      </c>
      <c r="AD32" s="153">
        <f>'DRE PARCERIAS BANCO PAN'!AD33+'DRE PARCERIAS BANCO PAN'!AD36</f>
        <v>13796.004040000002</v>
      </c>
      <c r="AE32" s="153">
        <f>'DRE PARCERIAS BANCO PAN'!AE33+'DRE PARCERIAS BANCO PAN'!AE36</f>
        <v>14383</v>
      </c>
      <c r="AF32" s="144">
        <f>'DRE PARCERIAS BANCO PAN'!AF33+'DRE PARCERIAS BANCO PAN'!AF36</f>
        <v>62968.00404</v>
      </c>
      <c r="AG32" s="153">
        <f>'DRE PARCERIAS BANCO PAN'!AG33+'DRE PARCERIAS BANCO PAN'!AG36</f>
        <v>13367</v>
      </c>
      <c r="AH32" s="153">
        <f>'DRE PARCERIAS BANCO PAN'!AH33+'DRE PARCERIAS BANCO PAN'!AH36</f>
        <v>14532</v>
      </c>
      <c r="AI32" s="153">
        <f>'DRE PARCERIAS BANCO PAN'!AI33+'DRE PARCERIAS BANCO PAN'!AI36</f>
        <v>16287</v>
      </c>
      <c r="AJ32" s="153">
        <f>'DRE PARCERIAS BANCO PAN'!AJ33+'DRE PARCERIAS BANCO PAN'!AJ36</f>
        <v>17728</v>
      </c>
      <c r="AK32" s="144">
        <f>'DRE PARCERIAS BANCO PAN'!AK33+'DRE PARCERIAS BANCO PAN'!AK36</f>
        <v>61914</v>
      </c>
      <c r="AL32" s="153">
        <f>'DRE PARCERIAS BANCO PAN'!AL33+'DRE PARCERIAS BANCO PAN'!AL36</f>
        <v>18382</v>
      </c>
      <c r="AM32" s="153">
        <f>'DRE PARCERIAS BANCO PAN'!AM33+'DRE PARCERIAS BANCO PAN'!AM36</f>
        <v>16952</v>
      </c>
      <c r="AN32" s="153">
        <f>'DRE PARCERIAS BANCO PAN'!AN33+'DRE PARCERIAS BANCO PAN'!AN36</f>
        <v>17840</v>
      </c>
      <c r="AO32" s="153">
        <f>'DRE PARCERIAS BANCO PAN'!AO33+'DRE PARCERIAS BANCO PAN'!AO36</f>
        <v>23104.715999999993</v>
      </c>
      <c r="AP32" s="144">
        <f>'DRE PARCERIAS BANCO PAN'!AP33+'DRE PARCERIAS BANCO PAN'!AP36</f>
        <v>76278.716</v>
      </c>
      <c r="AQ32" s="153">
        <f>'DRE PARCERIAS BANCO PAN'!AQ33+'DRE PARCERIAS BANCO PAN'!AQ36</f>
        <v>22142.55</v>
      </c>
      <c r="AR32" s="153">
        <f>'DRE PARCERIAS BANCO PAN'!AR33+'DRE PARCERIAS BANCO PAN'!AR36</f>
        <v>11381.886000000002</v>
      </c>
      <c r="AS32" s="153">
        <f>'DRE PARCERIAS BANCO PAN'!AS33+'DRE PARCERIAS BANCO PAN'!AS36</f>
        <v>11467.679999999997</v>
      </c>
      <c r="AT32" s="153">
        <f>'DRE PARCERIAS BANCO PAN'!AT33+'DRE PARCERIAS BANCO PAN'!AT36</f>
        <v>11966.346000000005</v>
      </c>
      <c r="AU32" s="144">
        <f>'DRE PARCERIAS BANCO PAN'!AU33+'DRE PARCERIAS BANCO PAN'!AU36</f>
        <v>56958.462</v>
      </c>
      <c r="AV32" s="153">
        <f>'DRE PARCERIAS BANCO PAN'!AV33+'DRE PARCERIAS BANCO PAN'!AV36</f>
        <v>15085</v>
      </c>
      <c r="AW32" s="121">
        <f>'DRE PARCERIAS BANCO PAN'!AW33+'DRE PARCERIAS BANCO PAN'!AW36</f>
        <v>15396</v>
      </c>
      <c r="AX32" s="121">
        <f>'DRE PARCERIAS BANCO PAN'!AX33+'DRE PARCERIAS BANCO PAN'!AX36</f>
        <v>16132</v>
      </c>
      <c r="AY32" s="121">
        <f>'DRE PARCERIAS BANCO PAN'!AY33+'DRE PARCERIAS BANCO PAN'!AY36</f>
        <v>18523</v>
      </c>
      <c r="AZ32" s="144">
        <f>'DRE PARCERIAS BANCO PAN'!AZ33+'DRE PARCERIAS BANCO PAN'!AZ36</f>
        <v>65136</v>
      </c>
      <c r="BA32" s="121">
        <f>'DRE PARCERIAS BANCO PAN'!BA33+'DRE PARCERIAS BANCO PAN'!BA36</f>
        <v>17529.611000000001</v>
      </c>
    </row>
    <row r="33" spans="1:53" s="2" customFormat="1">
      <c r="A33" s="363"/>
      <c r="B33" s="21" t="s">
        <v>441</v>
      </c>
      <c r="C33" s="218"/>
      <c r="D33" s="218"/>
      <c r="E33" s="218"/>
      <c r="F33" s="218"/>
      <c r="G33" s="364"/>
      <c r="H33" s="218"/>
      <c r="I33" s="218"/>
      <c r="J33" s="218"/>
      <c r="K33" s="218"/>
      <c r="L33" s="364"/>
      <c r="M33" s="218"/>
      <c r="N33" s="218"/>
      <c r="O33" s="218"/>
      <c r="P33" s="218"/>
      <c r="Q33" s="364"/>
      <c r="R33" s="218"/>
      <c r="S33" s="218"/>
      <c r="T33" s="218"/>
      <c r="U33" s="218"/>
      <c r="V33" s="364"/>
      <c r="W33" s="218"/>
      <c r="X33" s="218"/>
      <c r="Y33" s="218"/>
      <c r="Z33" s="365"/>
      <c r="AA33" s="366">
        <f>'DRE CAIXA SEGURIDADE'!AA7+'DRE CAIXA SEGURIDADE'!AA48</f>
        <v>2113284.3653444713</v>
      </c>
      <c r="AB33" s="365">
        <f>'DRE CAIXA SEGURIDADE'!AB7+'DRE CAIXA SEGURIDADE'!AB48</f>
        <v>497330.33998999995</v>
      </c>
      <c r="AC33" s="365">
        <f>'DRE CAIXA SEGURIDADE'!AC7+'DRE CAIXA SEGURIDADE'!AC48</f>
        <v>515227.41463000001</v>
      </c>
      <c r="AD33" s="365">
        <f>'DRE CAIXA SEGURIDADE'!AD7+'DRE CAIXA SEGURIDADE'!AD48</f>
        <v>638448.50993000006</v>
      </c>
      <c r="AE33" s="365">
        <f>'DRE CAIXA SEGURIDADE'!AE7+'DRE CAIXA SEGURIDADE'!AE48</f>
        <v>726590.03634000011</v>
      </c>
      <c r="AF33" s="366">
        <f>'DRE CAIXA SEGURIDADE'!AF7+'DRE CAIXA SEGURIDADE'!AF48</f>
        <v>2377596.3008899996</v>
      </c>
      <c r="AG33" s="365">
        <f>'DRE CAIXA SEGURIDADE'!AG7+'DRE CAIXA SEGURIDADE'!AG48</f>
        <v>715789</v>
      </c>
      <c r="AH33" s="365">
        <f>'DRE CAIXA SEGURIDADE'!AH7+'DRE CAIXA SEGURIDADE'!AH48</f>
        <v>909614</v>
      </c>
      <c r="AI33" s="365">
        <f>'DRE CAIXA SEGURIDADE'!AI7+'DRE CAIXA SEGURIDADE'!AI48</f>
        <v>1075255</v>
      </c>
      <c r="AJ33" s="365">
        <f>'DRE CAIXA SEGURIDADE'!AJ7+'DRE CAIXA SEGURIDADE'!AJ48</f>
        <v>1023091</v>
      </c>
      <c r="AK33" s="366">
        <f>'DRE CAIXA SEGURIDADE'!AK7+'DRE CAIXA SEGURIDADE'!AK48</f>
        <v>3723749</v>
      </c>
      <c r="AL33" s="365">
        <f>'DRE CAIXA SEGURIDADE'!AL7+'DRE CAIXA SEGURIDADE'!AL47</f>
        <v>1102062.25</v>
      </c>
      <c r="AM33" s="365">
        <f>'DRE CAIXA SEGURIDADE'!AM7+'DRE CAIXA SEGURIDADE'!AM47</f>
        <v>1117519</v>
      </c>
      <c r="AN33" s="365">
        <f>'DRE CAIXA SEGURIDADE'!AN7+'DRE CAIXA SEGURIDADE'!AN48</f>
        <v>1235409</v>
      </c>
      <c r="AO33" s="365">
        <f>'DRE CAIXA SEGURIDADE'!AO7+'DRE CAIXA SEGURIDADE'!AO48</f>
        <v>1245403</v>
      </c>
      <c r="AP33" s="366">
        <f>'DRE CAIXA SEGURIDADE'!AP7+'DRE CAIXA SEGURIDADE'!AP48</f>
        <v>4731523.25</v>
      </c>
      <c r="AQ33" s="365">
        <f>'DRE CAIXA SEGURIDADE'!AQ7+'DRE CAIXA SEGURIDADE'!AQ47</f>
        <v>1242537</v>
      </c>
      <c r="AR33" s="365">
        <f>'DRE CAIXA SEGURIDADE'!AR7+'DRE CAIXA SEGURIDADE'!AR47</f>
        <v>1093767.1520799999</v>
      </c>
      <c r="AS33" s="365">
        <f>'DRE CAIXA SEGURIDADE'!AS7+'DRE CAIXA SEGURIDADE'!AS48</f>
        <v>1360391.0375848541</v>
      </c>
      <c r="AT33" s="365">
        <f>'DRE CAIXA SEGURIDADE'!AT7+'DRE CAIXA SEGURIDADE'!AT48</f>
        <v>1466496.1952</v>
      </c>
      <c r="AU33" s="366">
        <f>'DRE CAIXA SEGURIDADE'!AU7+'DRE CAIXA SEGURIDADE'!AU48</f>
        <v>5215484.3848648537</v>
      </c>
      <c r="AV33" s="365">
        <f>'DRE CAIXA SEGURIDADE'!AV7+'DRE CAIXA SEGURIDADE'!AV48</f>
        <v>1416794.73679</v>
      </c>
      <c r="AW33" s="367">
        <f>'DRE CAIXA SEGURIDADE'!AW7+'DRE CAIXA SEGURIDADE'!AW48</f>
        <v>1429553.4770199989</v>
      </c>
      <c r="AX33" s="367">
        <f>'DRE CAIXA SEGURIDADE'!AX7+'DRE CAIXA SEGURIDADE'!AX48</f>
        <v>1562270.6308799987</v>
      </c>
      <c r="AY33" s="367">
        <f>'DRE CAIXA SEGURIDADE'!AY7+'DRE CAIXA SEGURIDADE'!AY48</f>
        <v>1546075.6038899997</v>
      </c>
      <c r="AZ33" s="366">
        <f>'DRE CAIXA SEGURIDADE'!AZ7+'DRE CAIXA SEGURIDADE'!AZ48</f>
        <v>5954694.4485799978</v>
      </c>
      <c r="BA33" s="367">
        <f>'DRE CAIXA SEGURIDADE'!BA7+'DRE CAIXA SEGURIDADE'!BA48</f>
        <v>1560585.6703899999</v>
      </c>
    </row>
    <row r="34" spans="1:53">
      <c r="A34" s="357"/>
      <c r="B34" s="11"/>
      <c r="C34" s="1"/>
      <c r="D34" s="1"/>
      <c r="E34" s="1"/>
      <c r="F34" s="1"/>
      <c r="G34" s="40"/>
      <c r="H34" s="1"/>
      <c r="I34" s="1"/>
      <c r="J34" s="1"/>
      <c r="K34" s="1"/>
      <c r="L34" s="40"/>
      <c r="M34" s="1"/>
      <c r="N34" s="1"/>
      <c r="O34" s="1"/>
      <c r="P34" s="1"/>
      <c r="Q34" s="40"/>
      <c r="R34" s="1"/>
      <c r="S34" s="1"/>
      <c r="T34" s="1"/>
      <c r="U34" s="1"/>
      <c r="V34" s="40"/>
      <c r="W34" s="1"/>
      <c r="X34" s="1"/>
      <c r="Y34" s="1"/>
      <c r="Z34" s="121"/>
      <c r="AA34" s="144"/>
      <c r="AB34" s="121"/>
      <c r="AC34" s="121"/>
      <c r="AD34" s="121"/>
      <c r="AE34" s="121"/>
      <c r="AF34" s="144"/>
      <c r="AG34" s="121"/>
      <c r="AH34" s="121"/>
      <c r="AI34" s="121"/>
      <c r="AJ34" s="121"/>
      <c r="AK34" s="144"/>
      <c r="AL34" s="121"/>
      <c r="AM34" s="121"/>
      <c r="AN34" s="121"/>
      <c r="AO34" s="121"/>
      <c r="AP34" s="144"/>
      <c r="AQ34" s="121"/>
      <c r="AR34" s="121"/>
      <c r="AS34" s="121"/>
      <c r="AT34" s="121"/>
      <c r="AU34" s="144"/>
      <c r="AV34" s="121"/>
      <c r="AW34" s="121"/>
      <c r="AX34" s="121"/>
      <c r="AY34" s="121"/>
      <c r="AZ34" s="144"/>
      <c r="BA34" s="121"/>
    </row>
    <row r="35" spans="1:53" s="387" customFormat="1" ht="32.1" customHeight="1">
      <c r="A35" s="381"/>
      <c r="B35" s="225" t="s">
        <v>619</v>
      </c>
      <c r="C35" s="235"/>
      <c r="D35" s="235"/>
      <c r="E35" s="235"/>
      <c r="F35" s="235"/>
      <c r="G35" s="383"/>
      <c r="H35" s="235"/>
      <c r="I35" s="235"/>
      <c r="J35" s="235"/>
      <c r="K35" s="235"/>
      <c r="L35" s="383"/>
      <c r="M35" s="235"/>
      <c r="N35" s="235"/>
      <c r="O35" s="235"/>
      <c r="P35" s="235"/>
      <c r="Q35" s="383"/>
      <c r="R35" s="235"/>
      <c r="S35" s="235"/>
      <c r="T35" s="235"/>
      <c r="U35" s="235"/>
      <c r="V35" s="383"/>
      <c r="W35" s="235"/>
      <c r="X35" s="235"/>
      <c r="Y35" s="235"/>
      <c r="Z35" s="386"/>
      <c r="AA35" s="385">
        <f>AA36+AA44+AA56+AA59</f>
        <v>-2539780.1948899999</v>
      </c>
      <c r="AB35" s="386">
        <f>AB36+AB44+AB56</f>
        <v>-535803.95876000007</v>
      </c>
      <c r="AC35" s="386">
        <f>AC36+AC44+AC56</f>
        <v>-498189.24802000006</v>
      </c>
      <c r="AD35" s="386">
        <f>AD36+AD44+AD56</f>
        <v>-565894.80285000009</v>
      </c>
      <c r="AE35" s="386">
        <f>AE36+AE44+AE56</f>
        <v>-509822.34964000003</v>
      </c>
      <c r="AF35" s="385">
        <f t="shared" ref="AF35:AP35" si="18">AF36+AF44+AF56+AF59</f>
        <v>-2531881.9797200002</v>
      </c>
      <c r="AG35" s="386">
        <f t="shared" si="18"/>
        <v>-730357</v>
      </c>
      <c r="AH35" s="386">
        <f t="shared" si="18"/>
        <v>-795830.66238999995</v>
      </c>
      <c r="AI35" s="386">
        <f t="shared" si="18"/>
        <v>-921598.67999999993</v>
      </c>
      <c r="AJ35" s="386">
        <f t="shared" si="18"/>
        <v>-957613.66318000003</v>
      </c>
      <c r="AK35" s="385">
        <f t="shared" si="18"/>
        <v>-3405400.00557</v>
      </c>
      <c r="AL35" s="386">
        <f t="shared" si="18"/>
        <v>-1003028</v>
      </c>
      <c r="AM35" s="386">
        <f t="shared" si="18"/>
        <v>-1031441</v>
      </c>
      <c r="AN35" s="386">
        <f t="shared" si="18"/>
        <v>-1115536</v>
      </c>
      <c r="AO35" s="386">
        <f t="shared" si="18"/>
        <v>-1063413.8089999999</v>
      </c>
      <c r="AP35" s="385">
        <f t="shared" si="18"/>
        <v>-4213418.8090000004</v>
      </c>
      <c r="AQ35" s="386">
        <f t="shared" ref="AQ35:AU35" si="19">AQ36+AQ44+AQ56+AQ59</f>
        <v>-1119486.487</v>
      </c>
      <c r="AR35" s="386">
        <f t="shared" si="19"/>
        <v>-931961.245</v>
      </c>
      <c r="AS35" s="386">
        <f t="shared" si="19"/>
        <v>-1170043.217924854</v>
      </c>
      <c r="AT35" s="386">
        <f t="shared" si="19"/>
        <v>-1124306.9100000001</v>
      </c>
      <c r="AU35" s="385">
        <f t="shared" si="19"/>
        <v>-4345797.8599248538</v>
      </c>
      <c r="AV35" s="386">
        <f t="shared" ref="AV35" si="20">AV36+AV44+AV56+AV59</f>
        <v>-1209822.4396099998</v>
      </c>
      <c r="AW35" s="386">
        <f>AW36+AW44+AW56+AW59</f>
        <v>-1218840.8409900013</v>
      </c>
      <c r="AX35" s="386">
        <f>AX36+AX44+AX56+AX59</f>
        <v>-1327390.9678100003</v>
      </c>
      <c r="AY35" s="386">
        <f>AY36+AY44+AY56+AY59</f>
        <v>-1227661.33287</v>
      </c>
      <c r="AZ35" s="385">
        <f>AZ36+AZ44+AZ56+AZ59</f>
        <v>-4983715.5812800024</v>
      </c>
      <c r="BA35" s="386">
        <f>BA36+BA44+BA56+BA59</f>
        <v>-1348927.1053199999</v>
      </c>
    </row>
    <row r="36" spans="1:53" s="2" customFormat="1">
      <c r="A36" s="363"/>
      <c r="B36" s="21" t="s">
        <v>609</v>
      </c>
      <c r="C36" s="218"/>
      <c r="D36" s="218"/>
      <c r="E36" s="218"/>
      <c r="F36" s="218"/>
      <c r="G36" s="364"/>
      <c r="H36" s="218"/>
      <c r="I36" s="218"/>
      <c r="J36" s="218"/>
      <c r="K36" s="218"/>
      <c r="L36" s="364"/>
      <c r="M36" s="218"/>
      <c r="N36" s="218"/>
      <c r="O36" s="218"/>
      <c r="P36" s="218"/>
      <c r="Q36" s="364"/>
      <c r="R36" s="218"/>
      <c r="S36" s="218"/>
      <c r="T36" s="218"/>
      <c r="U36" s="218"/>
      <c r="V36" s="364"/>
      <c r="W36" s="218"/>
      <c r="X36" s="218"/>
      <c r="Y36" s="218"/>
      <c r="Z36" s="365"/>
      <c r="AA36" s="366">
        <f t="shared" ref="AA36:AM36" si="21">AA37+AA40+AA41+AA42+AA43</f>
        <v>-396.25130000000001</v>
      </c>
      <c r="AB36" s="365">
        <f t="shared" si="21"/>
        <v>-263982.98893000005</v>
      </c>
      <c r="AC36" s="365">
        <f t="shared" si="21"/>
        <v>-265396.77599000005</v>
      </c>
      <c r="AD36" s="365">
        <f t="shared" si="21"/>
        <v>-335598.37377000001</v>
      </c>
      <c r="AE36" s="365">
        <f t="shared" si="21"/>
        <v>-327553.49666</v>
      </c>
      <c r="AF36" s="366">
        <f t="shared" si="21"/>
        <v>-1192531.6353500001</v>
      </c>
      <c r="AG36" s="365">
        <f t="shared" si="21"/>
        <v>-347124</v>
      </c>
      <c r="AH36" s="365">
        <f t="shared" si="21"/>
        <v>-422509.32</v>
      </c>
      <c r="AI36" s="365">
        <f t="shared" si="21"/>
        <v>-455210.68</v>
      </c>
      <c r="AJ36" s="365">
        <f t="shared" si="21"/>
        <v>-525263.24100000004</v>
      </c>
      <c r="AK36" s="366">
        <f t="shared" si="21"/>
        <v>-1750107.2409999999</v>
      </c>
      <c r="AL36" s="365">
        <f t="shared" si="21"/>
        <v>-578569</v>
      </c>
      <c r="AM36" s="365">
        <f t="shared" si="21"/>
        <v>-615467</v>
      </c>
      <c r="AN36" s="365">
        <f t="shared" ref="AN36:AO36" si="22">AN37+AN40+AN41+AN42+AN43</f>
        <v>-658940</v>
      </c>
      <c r="AO36" s="365">
        <f t="shared" si="22"/>
        <v>-632877</v>
      </c>
      <c r="AP36" s="366">
        <f>AP37+AP40+AP41+AP42+AP43</f>
        <v>-2485853</v>
      </c>
      <c r="AQ36" s="365">
        <f t="shared" ref="AQ36:AT36" si="23">AQ37+AQ40+AQ41+AQ42+AQ43</f>
        <v>-671072</v>
      </c>
      <c r="AR36" s="365">
        <f t="shared" si="23"/>
        <v>-531344.53599999996</v>
      </c>
      <c r="AS36" s="365">
        <f t="shared" si="23"/>
        <v>-697335</v>
      </c>
      <c r="AT36" s="365">
        <f t="shared" si="23"/>
        <v>-684323</v>
      </c>
      <c r="AU36" s="366">
        <f>AU37+AU40+AU41+AU42+AU43</f>
        <v>-2584074.5359999998</v>
      </c>
      <c r="AV36" s="365">
        <f t="shared" ref="AV36" si="24">AV37+AV40+AV41+AV42+AV43</f>
        <v>-749586.65399999998</v>
      </c>
      <c r="AW36" s="367">
        <f>AW37+AW40+AW41+AW42+AW43</f>
        <v>-756758.67299999995</v>
      </c>
      <c r="AX36" s="367">
        <f>AX37+AX40+AX41+AX42+AX43</f>
        <v>-821519.65700000001</v>
      </c>
      <c r="AY36" s="367">
        <f>AY37+AY40+AY41+AY42+AY43</f>
        <v>-758785</v>
      </c>
      <c r="AZ36" s="366">
        <f>AZ37+AZ40+AZ41+AZ42+AZ43</f>
        <v>-3086649.9840000002</v>
      </c>
      <c r="BA36" s="367">
        <f>BA37+BA40+BA41+BA42+BA43</f>
        <v>-837418</v>
      </c>
    </row>
    <row r="37" spans="1:53">
      <c r="A37" s="357"/>
      <c r="B37" s="11" t="s">
        <v>553</v>
      </c>
      <c r="C37" s="12"/>
      <c r="D37" s="12"/>
      <c r="E37" s="12"/>
      <c r="F37" s="12"/>
      <c r="G37" s="40"/>
      <c r="H37" s="12"/>
      <c r="I37" s="12"/>
      <c r="J37" s="12"/>
      <c r="K37" s="12"/>
      <c r="L37" s="40"/>
      <c r="M37" s="12"/>
      <c r="N37" s="12"/>
      <c r="O37" s="12"/>
      <c r="P37" s="12"/>
      <c r="Q37" s="40"/>
      <c r="R37" s="12"/>
      <c r="S37" s="12"/>
      <c r="T37" s="12"/>
      <c r="U37" s="12"/>
      <c r="V37" s="40"/>
      <c r="W37" s="12"/>
      <c r="X37" s="12"/>
      <c r="Y37" s="12"/>
      <c r="Z37" s="153"/>
      <c r="AA37" s="144">
        <f t="shared" ref="AA37:AM37" si="25">SUM(AA38:AA39)</f>
        <v>-92.251300000000015</v>
      </c>
      <c r="AB37" s="153">
        <f t="shared" si="25"/>
        <v>-286966.74528000003</v>
      </c>
      <c r="AC37" s="153">
        <f t="shared" si="25"/>
        <v>-278488.55203000002</v>
      </c>
      <c r="AD37" s="153">
        <f t="shared" si="25"/>
        <v>-330180.12491999997</v>
      </c>
      <c r="AE37" s="153">
        <f t="shared" si="25"/>
        <v>-313864.61207000003</v>
      </c>
      <c r="AF37" s="144">
        <f t="shared" si="25"/>
        <v>-1209500.0342999999</v>
      </c>
      <c r="AG37" s="153">
        <f t="shared" si="25"/>
        <v>-314266</v>
      </c>
      <c r="AH37" s="153">
        <f t="shared" si="25"/>
        <v>-344528</v>
      </c>
      <c r="AI37" s="153">
        <f t="shared" si="25"/>
        <v>-363593</v>
      </c>
      <c r="AJ37" s="153">
        <f t="shared" si="25"/>
        <v>-411614</v>
      </c>
      <c r="AK37" s="144">
        <f t="shared" si="25"/>
        <v>-1434001</v>
      </c>
      <c r="AL37" s="153">
        <f t="shared" si="25"/>
        <v>-449082</v>
      </c>
      <c r="AM37" s="153">
        <f t="shared" si="25"/>
        <v>-475020</v>
      </c>
      <c r="AN37" s="153">
        <f t="shared" ref="AN37:AO37" si="26">SUM(AN38:AN39)</f>
        <v>-490692</v>
      </c>
      <c r="AO37" s="153">
        <f t="shared" si="26"/>
        <v>-453496</v>
      </c>
      <c r="AP37" s="144">
        <f>SUM(AP38:AP39)</f>
        <v>-1868290</v>
      </c>
      <c r="AQ37" s="153">
        <f t="shared" ref="AQ37:AR37" si="27">SUM(AQ38:AQ39)</f>
        <v>-478911</v>
      </c>
      <c r="AR37" s="153">
        <f t="shared" si="27"/>
        <v>-334775</v>
      </c>
      <c r="AS37" s="153">
        <f t="shared" ref="AS37:AT37" si="28">SUM(AS38:AS39)</f>
        <v>-473982</v>
      </c>
      <c r="AT37" s="153">
        <f t="shared" si="28"/>
        <v>-459384</v>
      </c>
      <c r="AU37" s="144">
        <f>SUM(AU38:AU39)</f>
        <v>-1747052</v>
      </c>
      <c r="AV37" s="153">
        <f t="shared" ref="AV37" si="29">SUM(AV38:AV39)</f>
        <v>-479807</v>
      </c>
      <c r="AW37" s="121">
        <f>SUM(AW38:AW39)</f>
        <v>-478182</v>
      </c>
      <c r="AX37" s="121">
        <f>SUM(AX38:AX39)</f>
        <v>-521526</v>
      </c>
      <c r="AY37" s="121">
        <f>SUM(AY38:AY39)</f>
        <v>-488920</v>
      </c>
      <c r="AZ37" s="144">
        <f>SUM(AZ38:AZ39)</f>
        <v>-1968435</v>
      </c>
      <c r="BA37" s="121">
        <f>SUM(BA38:BA39)</f>
        <v>-520000</v>
      </c>
    </row>
    <row r="38" spans="1:53">
      <c r="A38" s="357"/>
      <c r="B38" s="335" t="s">
        <v>573</v>
      </c>
      <c r="C38" s="12"/>
      <c r="D38" s="12"/>
      <c r="E38" s="12"/>
      <c r="F38" s="12"/>
      <c r="G38" s="40"/>
      <c r="H38" s="12"/>
      <c r="I38" s="12"/>
      <c r="J38" s="12"/>
      <c r="K38" s="12"/>
      <c r="L38" s="40"/>
      <c r="M38" s="12"/>
      <c r="N38" s="12"/>
      <c r="O38" s="12"/>
      <c r="P38" s="12"/>
      <c r="Q38" s="40"/>
      <c r="R38" s="12"/>
      <c r="S38" s="12"/>
      <c r="T38" s="12"/>
      <c r="U38" s="12"/>
      <c r="V38" s="40"/>
      <c r="W38" s="12"/>
      <c r="X38" s="12"/>
      <c r="Y38" s="12"/>
      <c r="Z38" s="153"/>
      <c r="AA38" s="144">
        <f>'DRE NOVAS PARCERIAS CAIXA'!AA50+'DRE NOVAS PARCERIAS CAIXA'!AA56+'DRE NOVAS PARCERIAS CAIXA'!AA57</f>
        <v>0</v>
      </c>
      <c r="AB38" s="153">
        <f>'DRE NOVAS PARCERIAS CAIXA'!AB50+'DRE NOVAS PARCERIAS CAIXA'!AB56+'DRE NOVAS PARCERIAS CAIXA'!AB57</f>
        <v>-309087.59369000001</v>
      </c>
      <c r="AC38" s="153">
        <f>'DRE NOVAS PARCERIAS CAIXA'!AC50+'DRE NOVAS PARCERIAS CAIXA'!AC56+'DRE NOVAS PARCERIAS CAIXA'!AC57</f>
        <v>-287243.15826</v>
      </c>
      <c r="AD38" s="153">
        <f>'DRE NOVAS PARCERIAS CAIXA'!AD50+'DRE NOVAS PARCERIAS CAIXA'!AD56+'DRE NOVAS PARCERIAS CAIXA'!AD57</f>
        <v>-311365.55830999999</v>
      </c>
      <c r="AE38" s="153">
        <f>'DRE NOVAS PARCERIAS CAIXA'!AE50+'DRE NOVAS PARCERIAS CAIXA'!AE56+'DRE NOVAS PARCERIAS CAIXA'!AE57</f>
        <v>-277077</v>
      </c>
      <c r="AF38" s="144">
        <f>'DRE NOVAS PARCERIAS CAIXA'!AF50+'DRE NOVAS PARCERIAS CAIXA'!AF56+'DRE NOVAS PARCERIAS CAIXA'!AF57</f>
        <v>-1184773.3102599999</v>
      </c>
      <c r="AG38" s="153">
        <f>'DRE NOVAS PARCERIAS CAIXA'!AG50+'DRE NOVAS PARCERIAS CAIXA'!AG56+'DRE NOVAS PARCERIAS CAIXA'!AG57</f>
        <v>-290991</v>
      </c>
      <c r="AH38" s="153">
        <f>'DRE NOVAS PARCERIAS CAIXA'!AH50+'DRE NOVAS PARCERIAS CAIXA'!AH56+'DRE NOVAS PARCERIAS CAIXA'!AH57</f>
        <v>-285617</v>
      </c>
      <c r="AI38" s="153">
        <f>'DRE NOVAS PARCERIAS CAIXA'!AI50+'DRE NOVAS PARCERIAS CAIXA'!AI56+'DRE NOVAS PARCERIAS CAIXA'!AI57</f>
        <v>-286230</v>
      </c>
      <c r="AJ38" s="153">
        <f>'DRE NOVAS PARCERIAS CAIXA'!AJ50+'DRE NOVAS PARCERIAS CAIXA'!AJ56+'DRE NOVAS PARCERIAS CAIXA'!AJ57</f>
        <v>-304704</v>
      </c>
      <c r="AK38" s="144">
        <f>'DRE NOVAS PARCERIAS CAIXA'!AK50+'DRE NOVAS PARCERIAS CAIXA'!AK56+'DRE NOVAS PARCERIAS CAIXA'!AK57</f>
        <v>-1167542</v>
      </c>
      <c r="AL38" s="153">
        <f>'DRE NOVAS PARCERIAS CAIXA'!AL50+'DRE NOVAS PARCERIAS CAIXA'!AL56+'DRE NOVAS PARCERIAS CAIXA'!AL57</f>
        <v>-320329</v>
      </c>
      <c r="AM38" s="153">
        <f>'DRE NOVAS PARCERIAS CAIXA'!AM50+'DRE NOVAS PARCERIAS CAIXA'!AM56+'DRE NOVAS PARCERIAS CAIXA'!AM57</f>
        <v>-324935</v>
      </c>
      <c r="AN38" s="153">
        <f>'DRE NOVAS PARCERIAS CAIXA'!AN50+'DRE NOVAS PARCERIAS CAIXA'!AN56+'DRE NOVAS PARCERIAS CAIXA'!AN57</f>
        <v>-325760</v>
      </c>
      <c r="AO38" s="153">
        <f>'DRE NOVAS PARCERIAS CAIXA'!AO50+'DRE NOVAS PARCERIAS CAIXA'!AO56+'DRE NOVAS PARCERIAS CAIXA'!AO57</f>
        <v>-297925</v>
      </c>
      <c r="AP38" s="144">
        <f>'DRE NOVAS PARCERIAS CAIXA'!AP50+'DRE NOVAS PARCERIAS CAIXA'!AP56+'DRE NOVAS PARCERIAS CAIXA'!AP57</f>
        <v>-1268949</v>
      </c>
      <c r="AQ38" s="153">
        <f>'DRE NOVAS PARCERIAS CAIXA'!AQ50+'DRE NOVAS PARCERIAS CAIXA'!AQ56+'DRE NOVAS PARCERIAS CAIXA'!AQ57</f>
        <v>-306545</v>
      </c>
      <c r="AR38" s="153">
        <f>'DRE NOVAS PARCERIAS CAIXA'!AR50+'DRE NOVAS PARCERIAS CAIXA'!AR56+'DRE NOVAS PARCERIAS CAIXA'!AR57</f>
        <v>-194402</v>
      </c>
      <c r="AS38" s="153">
        <f>'DRE NOVAS PARCERIAS CAIXA'!AS50+'DRE NOVAS PARCERIAS CAIXA'!AS56+'DRE NOVAS PARCERIAS CAIXA'!AS57</f>
        <v>-359491</v>
      </c>
      <c r="AT38" s="153">
        <f>'DRE NOVAS PARCERIAS CAIXA'!AT50+'DRE NOVAS PARCERIAS CAIXA'!AT56+'DRE NOVAS PARCERIAS CAIXA'!AT57</f>
        <v>-459384</v>
      </c>
      <c r="AU38" s="144">
        <f>'DRE NOVAS PARCERIAS CAIXA'!AU50+'DRE NOVAS PARCERIAS CAIXA'!AU56+'DRE NOVAS PARCERIAS CAIXA'!AU57</f>
        <v>-1319822</v>
      </c>
      <c r="AV38" s="153">
        <f>'DRE NOVAS PARCERIAS CAIXA'!AV50+'DRE NOVAS PARCERIAS CAIXA'!AV56+'DRE NOVAS PARCERIAS CAIXA'!AV57</f>
        <v>-479807</v>
      </c>
      <c r="AW38" s="121">
        <f>'DRE NOVAS PARCERIAS CAIXA'!AW50+'DRE NOVAS PARCERIAS CAIXA'!AW56+'DRE NOVAS PARCERIAS CAIXA'!AW57</f>
        <v>-478182</v>
      </c>
      <c r="AX38" s="121">
        <f>'DRE NOVAS PARCERIAS CAIXA'!AX50+'DRE NOVAS PARCERIAS CAIXA'!AX56+'DRE NOVAS PARCERIAS CAIXA'!AX57</f>
        <v>-521526</v>
      </c>
      <c r="AY38" s="121">
        <f>'DRE NOVAS PARCERIAS CAIXA'!AY50+'DRE NOVAS PARCERIAS CAIXA'!AY56+'DRE NOVAS PARCERIAS CAIXA'!AY57</f>
        <v>-488920</v>
      </c>
      <c r="AZ38" s="144">
        <f>'DRE NOVAS PARCERIAS CAIXA'!AZ50+'DRE NOVAS PARCERIAS CAIXA'!AZ56+'DRE NOVAS PARCERIAS CAIXA'!AZ57</f>
        <v>-1968435</v>
      </c>
      <c r="BA38" s="121">
        <f>'DRE NOVAS PARCERIAS CAIXA'!BA50+'DRE NOVAS PARCERIAS CAIXA'!BA56+'DRE NOVAS PARCERIAS CAIXA'!BA57</f>
        <v>-520000</v>
      </c>
    </row>
    <row r="39" spans="1:53">
      <c r="A39" s="357"/>
      <c r="B39" s="335" t="s">
        <v>574</v>
      </c>
      <c r="C39" s="12"/>
      <c r="D39" s="12"/>
      <c r="E39" s="12"/>
      <c r="F39" s="12"/>
      <c r="G39" s="40"/>
      <c r="H39" s="12"/>
      <c r="I39" s="12"/>
      <c r="J39" s="12"/>
      <c r="K39" s="12"/>
      <c r="L39" s="40"/>
      <c r="M39" s="12"/>
      <c r="N39" s="12"/>
      <c r="O39" s="12"/>
      <c r="P39" s="12"/>
      <c r="Q39" s="40"/>
      <c r="R39" s="12"/>
      <c r="S39" s="12"/>
      <c r="T39" s="12"/>
      <c r="U39" s="12"/>
      <c r="V39" s="40"/>
      <c r="W39" s="12"/>
      <c r="X39" s="12"/>
      <c r="Y39" s="12"/>
      <c r="Z39" s="153"/>
      <c r="AA39" s="144">
        <f>'DRE NOVAS PARCERIAS CAIXA'!AA85+'DRE NOVAS PARCERIAS CAIXA'!AA86+'DRE NOVAS PARCERIAS CAIXA'!AA79</f>
        <v>-92.251300000000015</v>
      </c>
      <c r="AB39" s="153">
        <f>'DRE NOVAS PARCERIAS CAIXA'!AB85+'DRE NOVAS PARCERIAS CAIXA'!AB86+'DRE NOVAS PARCERIAS CAIXA'!AB79</f>
        <v>22120.848410000002</v>
      </c>
      <c r="AC39" s="153">
        <f>'DRE NOVAS PARCERIAS CAIXA'!AC85+'DRE NOVAS PARCERIAS CAIXA'!AC86+'DRE NOVAS PARCERIAS CAIXA'!AC79</f>
        <v>8754.6062300000012</v>
      </c>
      <c r="AD39" s="153">
        <f>'DRE NOVAS PARCERIAS CAIXA'!AD85+'DRE NOVAS PARCERIAS CAIXA'!AD86+'DRE NOVAS PARCERIAS CAIXA'!AD79</f>
        <v>-18814.566610000002</v>
      </c>
      <c r="AE39" s="153">
        <f>'DRE NOVAS PARCERIAS CAIXA'!AE85+'DRE NOVAS PARCERIAS CAIXA'!AE86+'DRE NOVAS PARCERIAS CAIXA'!AE79</f>
        <v>-36787.612070000003</v>
      </c>
      <c r="AF39" s="144">
        <f>'DRE NOVAS PARCERIAS CAIXA'!AF85+'DRE NOVAS PARCERIAS CAIXA'!AF86+'DRE NOVAS PARCERIAS CAIXA'!AF79</f>
        <v>-24726.724040000001</v>
      </c>
      <c r="AG39" s="153">
        <f>'DRE NOVAS PARCERIAS CAIXA'!AG85+'DRE NOVAS PARCERIAS CAIXA'!AG86+'DRE NOVAS PARCERIAS CAIXA'!AG79</f>
        <v>-23275</v>
      </c>
      <c r="AH39" s="153">
        <f>'DRE NOVAS PARCERIAS CAIXA'!AH85+'DRE NOVAS PARCERIAS CAIXA'!AH86+'DRE NOVAS PARCERIAS CAIXA'!AH79</f>
        <v>-58911</v>
      </c>
      <c r="AI39" s="153">
        <f>'DRE NOVAS PARCERIAS CAIXA'!AI85+'DRE NOVAS PARCERIAS CAIXA'!AI86+'DRE NOVAS PARCERIAS CAIXA'!AI79</f>
        <v>-77363</v>
      </c>
      <c r="AJ39" s="153">
        <f>'DRE NOVAS PARCERIAS CAIXA'!AJ85+'DRE NOVAS PARCERIAS CAIXA'!AJ86+'DRE NOVAS PARCERIAS CAIXA'!AJ79</f>
        <v>-106910</v>
      </c>
      <c r="AK39" s="144">
        <f>'DRE NOVAS PARCERIAS CAIXA'!AK85+'DRE NOVAS PARCERIAS CAIXA'!AK86+'DRE NOVAS PARCERIAS CAIXA'!AK79</f>
        <v>-266459</v>
      </c>
      <c r="AL39" s="153">
        <f>'DRE NOVAS PARCERIAS CAIXA'!AL85+'DRE NOVAS PARCERIAS CAIXA'!AL86+'DRE NOVAS PARCERIAS CAIXA'!AL79</f>
        <v>-128753</v>
      </c>
      <c r="AM39" s="153">
        <f>'DRE NOVAS PARCERIAS CAIXA'!AM85+'DRE NOVAS PARCERIAS CAIXA'!AM86+'DRE NOVAS PARCERIAS CAIXA'!AM79</f>
        <v>-150085</v>
      </c>
      <c r="AN39" s="153">
        <f>'DRE NOVAS PARCERIAS CAIXA'!AN85+'DRE NOVAS PARCERIAS CAIXA'!AN86+'DRE NOVAS PARCERIAS CAIXA'!AN79</f>
        <v>-164932</v>
      </c>
      <c r="AO39" s="153">
        <f>'DRE NOVAS PARCERIAS CAIXA'!AO85+'DRE NOVAS PARCERIAS CAIXA'!AO86+'DRE NOVAS PARCERIAS CAIXA'!AO79</f>
        <v>-155571</v>
      </c>
      <c r="AP39" s="144">
        <f>'DRE NOVAS PARCERIAS CAIXA'!AP85+'DRE NOVAS PARCERIAS CAIXA'!AP86+'DRE NOVAS PARCERIAS CAIXA'!AP79</f>
        <v>-599341</v>
      </c>
      <c r="AQ39" s="153">
        <f>'DRE NOVAS PARCERIAS CAIXA'!AQ85+'DRE NOVAS PARCERIAS CAIXA'!AQ86+'DRE NOVAS PARCERIAS CAIXA'!AQ79</f>
        <v>-172366</v>
      </c>
      <c r="AR39" s="153">
        <f>'DRE NOVAS PARCERIAS CAIXA'!AR85+'DRE NOVAS PARCERIAS CAIXA'!AR86+'DRE NOVAS PARCERIAS CAIXA'!AR79</f>
        <v>-140373</v>
      </c>
      <c r="AS39" s="153">
        <f>'DRE NOVAS PARCERIAS CAIXA'!AS85+'DRE NOVAS PARCERIAS CAIXA'!AS86+'DRE NOVAS PARCERIAS CAIXA'!AS79</f>
        <v>-114491</v>
      </c>
      <c r="AT39" s="153">
        <f>'DRE NOVAS PARCERIAS CAIXA'!AT85+'DRE NOVAS PARCERIAS CAIXA'!AT86+'DRE NOVAS PARCERIAS CAIXA'!AT79</f>
        <v>0</v>
      </c>
      <c r="AU39" s="144">
        <f>'DRE NOVAS PARCERIAS CAIXA'!AU85+'DRE NOVAS PARCERIAS CAIXA'!AU86+'DRE NOVAS PARCERIAS CAIXA'!AU79</f>
        <v>-427230</v>
      </c>
      <c r="AV39" s="153">
        <f>'DRE NOVAS PARCERIAS CAIXA'!AV85+'DRE NOVAS PARCERIAS CAIXA'!AV86+'DRE NOVAS PARCERIAS CAIXA'!AV79</f>
        <v>0</v>
      </c>
      <c r="AW39" s="121">
        <f>'DRE NOVAS PARCERIAS CAIXA'!AW85+'DRE NOVAS PARCERIAS CAIXA'!AW86+'DRE NOVAS PARCERIAS CAIXA'!AW79</f>
        <v>0</v>
      </c>
      <c r="AX39" s="121">
        <f>'DRE NOVAS PARCERIAS CAIXA'!AX85+'DRE NOVAS PARCERIAS CAIXA'!AX86+'DRE NOVAS PARCERIAS CAIXA'!AX79</f>
        <v>0</v>
      </c>
      <c r="AY39" s="121">
        <f>'DRE NOVAS PARCERIAS CAIXA'!AY85+'DRE NOVAS PARCERIAS CAIXA'!AY86+'DRE NOVAS PARCERIAS CAIXA'!AY79</f>
        <v>0</v>
      </c>
      <c r="AZ39" s="144">
        <f>'DRE NOVAS PARCERIAS CAIXA'!AZ85+'DRE NOVAS PARCERIAS CAIXA'!AZ86+'DRE NOVAS PARCERIAS CAIXA'!AZ79</f>
        <v>0</v>
      </c>
      <c r="BA39" s="121">
        <f>'DRE NOVAS PARCERIAS CAIXA'!BA85+'DRE NOVAS PARCERIAS CAIXA'!BA86+'DRE NOVAS PARCERIAS CAIXA'!BA79</f>
        <v>0</v>
      </c>
    </row>
    <row r="40" spans="1:53">
      <c r="A40" s="357"/>
      <c r="B40" s="11" t="s">
        <v>264</v>
      </c>
      <c r="C40" s="12"/>
      <c r="D40" s="12"/>
      <c r="E40" s="12"/>
      <c r="F40" s="12"/>
      <c r="G40" s="40"/>
      <c r="H40" s="12"/>
      <c r="I40" s="12"/>
      <c r="J40" s="12"/>
      <c r="K40" s="12"/>
      <c r="L40" s="40"/>
      <c r="M40" s="12"/>
      <c r="N40" s="12"/>
      <c r="O40" s="12"/>
      <c r="P40" s="12"/>
      <c r="Q40" s="40"/>
      <c r="R40" s="12"/>
      <c r="S40" s="12"/>
      <c r="T40" s="12"/>
      <c r="U40" s="12"/>
      <c r="V40" s="40"/>
      <c r="W40" s="12"/>
      <c r="X40" s="12"/>
      <c r="Y40" s="12"/>
      <c r="Z40" s="153"/>
      <c r="AA40" s="144">
        <f>'DRE NOVAS PARCERIAS CAIXA'!AA137+'DRE NOVAS PARCERIAS CAIXA'!AA138+'DRE NOVAS PARCERIAS CAIXA'!AA131</f>
        <v>-133</v>
      </c>
      <c r="AB40" s="153">
        <f>'DRE NOVAS PARCERIAS CAIXA'!AB137+'DRE NOVAS PARCERIAS CAIXA'!AB138+'DRE NOVAS PARCERIAS CAIXA'!AB131</f>
        <v>22921.492329999997</v>
      </c>
      <c r="AC40" s="153">
        <f>'DRE NOVAS PARCERIAS CAIXA'!AC137+'DRE NOVAS PARCERIAS CAIXA'!AC138+'DRE NOVAS PARCERIAS CAIXA'!AC131</f>
        <v>12205.325139999999</v>
      </c>
      <c r="AD40" s="153">
        <f>'DRE NOVAS PARCERIAS CAIXA'!AD137+'DRE NOVAS PARCERIAS CAIXA'!AD138+'DRE NOVAS PARCERIAS CAIXA'!AD131</f>
        <v>-3427.1041299999993</v>
      </c>
      <c r="AE40" s="153">
        <f>'DRE NOVAS PARCERIAS CAIXA'!AE137+'DRE NOVAS PARCERIAS CAIXA'!AE138+'DRE NOVAS PARCERIAS CAIXA'!AE131</f>
        <v>-15394</v>
      </c>
      <c r="AF40" s="144">
        <f>'DRE NOVAS PARCERIAS CAIXA'!AF137+'DRE NOVAS PARCERIAS CAIXA'!AF138+'DRE NOVAS PARCERIAS CAIXA'!AF131</f>
        <v>16305.71334</v>
      </c>
      <c r="AG40" s="153">
        <f>'DRE NOVAS PARCERIAS CAIXA'!AG137+'DRE NOVAS PARCERIAS CAIXA'!AG138+'DRE NOVAS PARCERIAS CAIXA'!AG131</f>
        <v>-27628</v>
      </c>
      <c r="AH40" s="153">
        <f>'DRE NOVAS PARCERIAS CAIXA'!AH137+'DRE NOVAS PARCERIAS CAIXA'!AH138+'DRE NOVAS PARCERIAS CAIXA'!AH131</f>
        <v>-44495</v>
      </c>
      <c r="AI40" s="153">
        <f>'DRE NOVAS PARCERIAS CAIXA'!AI137+'DRE NOVAS PARCERIAS CAIXA'!AI138+'DRE NOVAS PARCERIAS CAIXA'!AI131</f>
        <v>-51961</v>
      </c>
      <c r="AJ40" s="153">
        <f>'DRE NOVAS PARCERIAS CAIXA'!AJ137+'DRE NOVAS PARCERIAS CAIXA'!AJ138+'DRE NOVAS PARCERIAS CAIXA'!AJ131</f>
        <v>-57694</v>
      </c>
      <c r="AK40" s="144">
        <f>'DRE NOVAS PARCERIAS CAIXA'!AK137+'DRE NOVAS PARCERIAS CAIXA'!AK138+'DRE NOVAS PARCERIAS CAIXA'!AK131</f>
        <v>-181778</v>
      </c>
      <c r="AL40" s="153">
        <f>'DRE NOVAS PARCERIAS CAIXA'!AL137+'DRE NOVAS PARCERIAS CAIXA'!AL138+'DRE NOVAS PARCERIAS CAIXA'!AL131</f>
        <v>-66798</v>
      </c>
      <c r="AM40" s="153">
        <f>'DRE NOVAS PARCERIAS CAIXA'!AM137+'DRE NOVAS PARCERIAS CAIXA'!AM138+'DRE NOVAS PARCERIAS CAIXA'!AM131</f>
        <v>-77416</v>
      </c>
      <c r="AN40" s="153">
        <f>'DRE NOVAS PARCERIAS CAIXA'!AN137+'DRE NOVAS PARCERIAS CAIXA'!AN138+'DRE NOVAS PARCERIAS CAIXA'!AN131</f>
        <v>-89102</v>
      </c>
      <c r="AO40" s="153">
        <f>'DRE NOVAS PARCERIAS CAIXA'!AO137+'DRE NOVAS PARCERIAS CAIXA'!AO138+'DRE NOVAS PARCERIAS CAIXA'!AO131</f>
        <v>-91374</v>
      </c>
      <c r="AP40" s="144">
        <f>'DRE NOVAS PARCERIAS CAIXA'!AP137+'DRE NOVAS PARCERIAS CAIXA'!AP138+'DRE NOVAS PARCERIAS CAIXA'!AP131</f>
        <v>-324690</v>
      </c>
      <c r="AQ40" s="153">
        <f>'DRE NOVAS PARCERIAS CAIXA'!AQ137+'DRE NOVAS PARCERIAS CAIXA'!AQ138+'DRE NOVAS PARCERIAS CAIXA'!AQ131</f>
        <v>-98148</v>
      </c>
      <c r="AR40" s="153">
        <f>'DRE NOVAS PARCERIAS CAIXA'!AR137+'DRE NOVAS PARCERIAS CAIXA'!AR138+'DRE NOVAS PARCERIAS CAIXA'!AR131</f>
        <v>-95184.535999999993</v>
      </c>
      <c r="AS40" s="153">
        <f>'DRE NOVAS PARCERIAS CAIXA'!AS137+'DRE NOVAS PARCERIAS CAIXA'!AS138+'DRE NOVAS PARCERIAS CAIXA'!AS131</f>
        <v>-115677</v>
      </c>
      <c r="AT40" s="153">
        <f>'DRE NOVAS PARCERIAS CAIXA'!AT137+'DRE NOVAS PARCERIAS CAIXA'!AT138+'DRE NOVAS PARCERIAS CAIXA'!AT131</f>
        <v>-121128</v>
      </c>
      <c r="AU40" s="144">
        <f>'DRE NOVAS PARCERIAS CAIXA'!AU137+'DRE NOVAS PARCERIAS CAIXA'!AU138+'DRE NOVAS PARCERIAS CAIXA'!AU131</f>
        <v>-430137.53600000002</v>
      </c>
      <c r="AV40" s="153">
        <f>'DRE NOVAS PARCERIAS CAIXA'!AV137+'DRE NOVAS PARCERIAS CAIXA'!AV138+'DRE NOVAS PARCERIAS CAIXA'!AV131</f>
        <v>-143545</v>
      </c>
      <c r="AW40" s="121">
        <f>'DRE NOVAS PARCERIAS CAIXA'!AW137+'DRE NOVAS PARCERIAS CAIXA'!AW138+'DRE NOVAS PARCERIAS CAIXA'!AW131</f>
        <v>-150459</v>
      </c>
      <c r="AX40" s="121">
        <f>'DRE NOVAS PARCERIAS CAIXA'!AX137+'DRE NOVAS PARCERIAS CAIXA'!AX138+'DRE NOVAS PARCERIAS CAIXA'!AX131</f>
        <v>-168227</v>
      </c>
      <c r="AY40" s="121">
        <f>'DRE NOVAS PARCERIAS CAIXA'!AY137+'DRE NOVAS PARCERIAS CAIXA'!AY138+'DRE NOVAS PARCERIAS CAIXA'!AY131</f>
        <v>-161072</v>
      </c>
      <c r="AZ40" s="144">
        <f>'DRE NOVAS PARCERIAS CAIXA'!AZ137+'DRE NOVAS PARCERIAS CAIXA'!AZ138+'DRE NOVAS PARCERIAS CAIXA'!AZ131</f>
        <v>-623303</v>
      </c>
      <c r="BA40" s="121">
        <f>'DRE NOVAS PARCERIAS CAIXA'!BA137+'DRE NOVAS PARCERIAS CAIXA'!BA138+'DRE NOVAS PARCERIAS CAIXA'!BA131</f>
        <v>-192861</v>
      </c>
    </row>
    <row r="41" spans="1:53">
      <c r="A41" s="357"/>
      <c r="B41" s="11" t="s">
        <v>265</v>
      </c>
      <c r="C41" s="12"/>
      <c r="D41" s="12"/>
      <c r="E41" s="12"/>
      <c r="F41" s="12"/>
      <c r="G41" s="40"/>
      <c r="H41" s="12"/>
      <c r="I41" s="12"/>
      <c r="J41" s="12"/>
      <c r="K41" s="12"/>
      <c r="L41" s="40"/>
      <c r="M41" s="12"/>
      <c r="N41" s="12"/>
      <c r="O41" s="12"/>
      <c r="P41" s="12"/>
      <c r="Q41" s="40"/>
      <c r="R41" s="12"/>
      <c r="S41" s="12"/>
      <c r="T41" s="12"/>
      <c r="U41" s="12"/>
      <c r="V41" s="40"/>
      <c r="W41" s="12"/>
      <c r="X41" s="12"/>
      <c r="Y41" s="12"/>
      <c r="Z41" s="153"/>
      <c r="AA41" s="144">
        <f>'DRE NOVAS PARCERIAS CAIXA'!AA161+'DRE NOVAS PARCERIAS CAIXA'!AA167+'DRE NOVAS PARCERIAS CAIXA'!AA168</f>
        <v>-153</v>
      </c>
      <c r="AB41" s="153">
        <f>'DRE NOVAS PARCERIAS CAIXA'!AB161+'DRE NOVAS PARCERIAS CAIXA'!AB167+'DRE NOVAS PARCERIAS CAIXA'!AB168</f>
        <v>-23.24081</v>
      </c>
      <c r="AC41" s="153">
        <f>'DRE NOVAS PARCERIAS CAIXA'!AC161+'DRE NOVAS PARCERIAS CAIXA'!AC167+'DRE NOVAS PARCERIAS CAIXA'!AC168</f>
        <v>-16.164180000000002</v>
      </c>
      <c r="AD41" s="153">
        <f>'DRE NOVAS PARCERIAS CAIXA'!AD161+'DRE NOVAS PARCERIAS CAIXA'!AD167+'DRE NOVAS PARCERIAS CAIXA'!AD168</f>
        <v>-3364.7303099999999</v>
      </c>
      <c r="AE41" s="153">
        <f>'DRE NOVAS PARCERIAS CAIXA'!AE161+'DRE NOVAS PARCERIAS CAIXA'!AE167+'DRE NOVAS PARCERIAS CAIXA'!AE168</f>
        <v>-3011.8845900000001</v>
      </c>
      <c r="AF41" s="144">
        <f>'DRE NOVAS PARCERIAS CAIXA'!AF161+'DRE NOVAS PARCERIAS CAIXA'!AF167+'DRE NOVAS PARCERIAS CAIXA'!AF168</f>
        <v>-6416.0198899999996</v>
      </c>
      <c r="AG41" s="153">
        <f>'DRE NOVAS PARCERIAS CAIXA'!AG161+'DRE NOVAS PARCERIAS CAIXA'!AG167+'DRE NOVAS PARCERIAS CAIXA'!AG168</f>
        <v>-12206</v>
      </c>
      <c r="AH41" s="153">
        <f>'DRE NOVAS PARCERIAS CAIXA'!AH161+'DRE NOVAS PARCERIAS CAIXA'!AH167+'DRE NOVAS PARCERIAS CAIXA'!AH168</f>
        <v>-20150</v>
      </c>
      <c r="AI41" s="153">
        <f>'DRE NOVAS PARCERIAS CAIXA'!AI161+'DRE NOVAS PARCERIAS CAIXA'!AI167+'DRE NOVAS PARCERIAS CAIXA'!AI168</f>
        <v>-25526</v>
      </c>
      <c r="AJ41" s="153">
        <f>'DRE NOVAS PARCERIAS CAIXA'!AJ161+'DRE NOVAS PARCERIAS CAIXA'!AJ167+'DRE NOVAS PARCERIAS CAIXA'!AJ168</f>
        <v>-26529</v>
      </c>
      <c r="AK41" s="144">
        <f>'DRE NOVAS PARCERIAS CAIXA'!AK161+'DRE NOVAS PARCERIAS CAIXA'!AK167+'DRE NOVAS PARCERIAS CAIXA'!AK168</f>
        <v>-84411</v>
      </c>
      <c r="AL41" s="153">
        <f>'DRE NOVAS PARCERIAS CAIXA'!AL161+'DRE NOVAS PARCERIAS CAIXA'!AL167+'DRE NOVAS PARCERIAS CAIXA'!AL168</f>
        <v>-33756</v>
      </c>
      <c r="AM41" s="153">
        <f>'DRE NOVAS PARCERIAS CAIXA'!AM161+'DRE NOVAS PARCERIAS CAIXA'!AM167+'DRE NOVAS PARCERIAS CAIXA'!AM168</f>
        <v>-28481</v>
      </c>
      <c r="AN41" s="153">
        <f>'DRE NOVAS PARCERIAS CAIXA'!AN161+'DRE NOVAS PARCERIAS CAIXA'!AN167+'DRE NOVAS PARCERIAS CAIXA'!AN168</f>
        <v>-36379</v>
      </c>
      <c r="AO41" s="153">
        <f>'DRE NOVAS PARCERIAS CAIXA'!AO161+'DRE NOVAS PARCERIAS CAIXA'!AO167+'DRE NOVAS PARCERIAS CAIXA'!AO168</f>
        <v>-35825</v>
      </c>
      <c r="AP41" s="144">
        <f>'DRE NOVAS PARCERIAS CAIXA'!AP161+'DRE NOVAS PARCERIAS CAIXA'!AP167+'DRE NOVAS PARCERIAS CAIXA'!AP168</f>
        <v>-134441</v>
      </c>
      <c r="AQ41" s="153">
        <f>'DRE NOVAS PARCERIAS CAIXA'!AQ161+'DRE NOVAS PARCERIAS CAIXA'!AQ167+'DRE NOVAS PARCERIAS CAIXA'!AQ168</f>
        <v>-37008</v>
      </c>
      <c r="AR41" s="153">
        <f>'DRE NOVAS PARCERIAS CAIXA'!AR161+'DRE NOVAS PARCERIAS CAIXA'!AR167+'DRE NOVAS PARCERIAS CAIXA'!AR168</f>
        <v>-38660</v>
      </c>
      <c r="AS41" s="153">
        <f>'DRE NOVAS PARCERIAS CAIXA'!AS161+'DRE NOVAS PARCERIAS CAIXA'!AS167+'DRE NOVAS PARCERIAS CAIXA'!AS168</f>
        <v>-42035</v>
      </c>
      <c r="AT41" s="153">
        <f>'DRE NOVAS PARCERIAS CAIXA'!AT161+'DRE NOVAS PARCERIAS CAIXA'!AT167+'DRE NOVAS PARCERIAS CAIXA'!AT168</f>
        <v>-43353</v>
      </c>
      <c r="AU41" s="144">
        <f>'DRE NOVAS PARCERIAS CAIXA'!AU161+'DRE NOVAS PARCERIAS CAIXA'!AU167+'DRE NOVAS PARCERIAS CAIXA'!AU168</f>
        <v>-161056</v>
      </c>
      <c r="AV41" s="153">
        <f>'DRE NOVAS PARCERIAS CAIXA'!AV161+'DRE NOVAS PARCERIAS CAIXA'!AV167+'DRE NOVAS PARCERIAS CAIXA'!AV168</f>
        <v>-53124.653999999995</v>
      </c>
      <c r="AW41" s="121">
        <f>'DRE NOVAS PARCERIAS CAIXA'!AW161+'DRE NOVAS PARCERIAS CAIXA'!AW167+'DRE NOVAS PARCERIAS CAIXA'!AW168</f>
        <v>-49477.673000000003</v>
      </c>
      <c r="AX41" s="121">
        <f>'DRE NOVAS PARCERIAS CAIXA'!AX161+'DRE NOVAS PARCERIAS CAIXA'!AX167+'DRE NOVAS PARCERIAS CAIXA'!AX168</f>
        <v>-54202.656999999999</v>
      </c>
      <c r="AY41" s="121">
        <f>'DRE NOVAS PARCERIAS CAIXA'!AY161+'DRE NOVAS PARCERIAS CAIXA'!AY167+'DRE NOVAS PARCERIAS CAIXA'!AY168</f>
        <v>-48607</v>
      </c>
      <c r="AZ41" s="144">
        <f>'DRE NOVAS PARCERIAS CAIXA'!AZ161+'DRE NOVAS PARCERIAS CAIXA'!AZ167+'DRE NOVAS PARCERIAS CAIXA'!AZ168</f>
        <v>-205411.984</v>
      </c>
      <c r="BA41" s="121">
        <f>'DRE NOVAS PARCERIAS CAIXA'!BA161+'DRE NOVAS PARCERIAS CAIXA'!BA167+'DRE NOVAS PARCERIAS CAIXA'!BA168</f>
        <v>-64958</v>
      </c>
    </row>
    <row r="42" spans="1:53">
      <c r="A42" s="357"/>
      <c r="B42" s="11" t="s">
        <v>576</v>
      </c>
      <c r="C42" s="12"/>
      <c r="D42" s="12"/>
      <c r="E42" s="12"/>
      <c r="F42" s="12"/>
      <c r="G42" s="40"/>
      <c r="H42" s="12"/>
      <c r="I42" s="12"/>
      <c r="J42" s="12"/>
      <c r="K42" s="12"/>
      <c r="L42" s="40"/>
      <c r="M42" s="12"/>
      <c r="N42" s="12"/>
      <c r="O42" s="12"/>
      <c r="P42" s="12"/>
      <c r="Q42" s="40"/>
      <c r="R42" s="12"/>
      <c r="S42" s="12"/>
      <c r="T42" s="12"/>
      <c r="U42" s="12"/>
      <c r="V42" s="40"/>
      <c r="W42" s="12"/>
      <c r="X42" s="12"/>
      <c r="Y42" s="12"/>
      <c r="Z42" s="153"/>
      <c r="AA42" s="144">
        <f>'DRE NOVAS PARCERIAS CAIXA'!AA185+'DRE NOVAS PARCERIAS CAIXA'!AA192+'DRE NOVAS PARCERIAS CAIXA'!AA193</f>
        <v>0</v>
      </c>
      <c r="AB42" s="153">
        <f>'DRE NOVAS PARCERIAS CAIXA'!AB185+'DRE NOVAS PARCERIAS CAIXA'!AB192+'DRE NOVAS PARCERIAS CAIXA'!AB193</f>
        <v>0</v>
      </c>
      <c r="AC42" s="153">
        <f>'DRE NOVAS PARCERIAS CAIXA'!AC185+'DRE NOVAS PARCERIAS CAIXA'!AC192+'DRE NOVAS PARCERIAS CAIXA'!AC193</f>
        <v>720.11990999999989</v>
      </c>
      <c r="AD42" s="153">
        <f>'DRE NOVAS PARCERIAS CAIXA'!AD185+'DRE NOVAS PARCERIAS CAIXA'!AD192+'DRE NOVAS PARCERIAS CAIXA'!AD193</f>
        <v>941.58559000000002</v>
      </c>
      <c r="AE42" s="153">
        <f>'DRE NOVAS PARCERIAS CAIXA'!AE185+'DRE NOVAS PARCERIAS CAIXA'!AE192+'DRE NOVAS PARCERIAS CAIXA'!AE193</f>
        <v>4065</v>
      </c>
      <c r="AF42" s="144">
        <f>'DRE NOVAS PARCERIAS CAIXA'!AF185+'DRE NOVAS PARCERIAS CAIXA'!AF192+'DRE NOVAS PARCERIAS CAIXA'!AF193</f>
        <v>5726.7055</v>
      </c>
      <c r="AG42" s="153">
        <f>'DRE NOVAS PARCERIAS CAIXA'!AG185+'DRE NOVAS PARCERIAS CAIXA'!AG192+'DRE NOVAS PARCERIAS CAIXA'!AG193</f>
        <v>6968</v>
      </c>
      <c r="AH42" s="153">
        <f>'DRE NOVAS PARCERIAS CAIXA'!AH185+'DRE NOVAS PARCERIAS CAIXA'!AH192+'DRE NOVAS PARCERIAS CAIXA'!AH193</f>
        <v>-13165</v>
      </c>
      <c r="AI42" s="153">
        <f>'DRE NOVAS PARCERIAS CAIXA'!AI185+'DRE NOVAS PARCERIAS CAIXA'!AI192+'DRE NOVAS PARCERIAS CAIXA'!AI193</f>
        <v>-13431</v>
      </c>
      <c r="AJ42" s="153">
        <f>'DRE NOVAS PARCERIAS CAIXA'!AJ185+'DRE NOVAS PARCERIAS CAIXA'!AJ192+'DRE NOVAS PARCERIAS CAIXA'!AJ193</f>
        <v>-27879</v>
      </c>
      <c r="AK42" s="144">
        <f>'DRE NOVAS PARCERIAS CAIXA'!AK185+'DRE NOVAS PARCERIAS CAIXA'!AK192+'DRE NOVAS PARCERIAS CAIXA'!AK193</f>
        <v>-47507</v>
      </c>
      <c r="AL42" s="153">
        <f>'DRE NOVAS PARCERIAS CAIXA'!AL185+'DRE NOVAS PARCERIAS CAIXA'!AL192+'DRE NOVAS PARCERIAS CAIXA'!AL193</f>
        <v>-27089</v>
      </c>
      <c r="AM42" s="153">
        <f>'DRE NOVAS PARCERIAS CAIXA'!AM185+'DRE NOVAS PARCERIAS CAIXA'!AM192+'DRE NOVAS PARCERIAS CAIXA'!AM193</f>
        <v>-31422</v>
      </c>
      <c r="AN42" s="153">
        <f>'DRE NOVAS PARCERIAS CAIXA'!AN185+'DRE NOVAS PARCERIAS CAIXA'!AN192+'DRE NOVAS PARCERIAS CAIXA'!AN193</f>
        <v>-39194</v>
      </c>
      <c r="AO42" s="153">
        <f>'DRE NOVAS PARCERIAS CAIXA'!AO185+'DRE NOVAS PARCERIAS CAIXA'!AO192+'DRE NOVAS PARCERIAS CAIXA'!AO193</f>
        <v>-48517</v>
      </c>
      <c r="AP42" s="144">
        <f>'DRE NOVAS PARCERIAS CAIXA'!AP185+'DRE NOVAS PARCERIAS CAIXA'!AP192+'DRE NOVAS PARCERIAS CAIXA'!AP193</f>
        <v>-146222</v>
      </c>
      <c r="AQ42" s="153">
        <f>'DRE NOVAS PARCERIAS CAIXA'!AQ185+'DRE NOVAS PARCERIAS CAIXA'!AQ192+'DRE NOVAS PARCERIAS CAIXA'!AQ193</f>
        <v>-53445</v>
      </c>
      <c r="AR42" s="153">
        <f>'DRE NOVAS PARCERIAS CAIXA'!AR185+'DRE NOVAS PARCERIAS CAIXA'!AR192+'DRE NOVAS PARCERIAS CAIXA'!AR193</f>
        <v>-59737</v>
      </c>
      <c r="AS42" s="153">
        <f>'DRE NOVAS PARCERIAS CAIXA'!AS185+'DRE NOVAS PARCERIAS CAIXA'!AS192+'DRE NOVAS PARCERIAS CAIXA'!AS193</f>
        <v>-61757</v>
      </c>
      <c r="AT42" s="153">
        <f>'DRE NOVAS PARCERIAS CAIXA'!AT185+'DRE NOVAS PARCERIAS CAIXA'!AT192+'DRE NOVAS PARCERIAS CAIXA'!AT193</f>
        <v>-54367</v>
      </c>
      <c r="AU42" s="144">
        <f>'DRE NOVAS PARCERIAS CAIXA'!AU185+'DRE NOVAS PARCERIAS CAIXA'!AU192+'DRE NOVAS PARCERIAS CAIXA'!AU193</f>
        <v>-229306</v>
      </c>
      <c r="AV42" s="153">
        <f>'DRE NOVAS PARCERIAS CAIXA'!AV185+'DRE NOVAS PARCERIAS CAIXA'!AV192+'DRE NOVAS PARCERIAS CAIXA'!AV193</f>
        <v>-67283</v>
      </c>
      <c r="AW42" s="121">
        <f>'DRE NOVAS PARCERIAS CAIXA'!AW185+'DRE NOVAS PARCERIAS CAIXA'!AW192+'DRE NOVAS PARCERIAS CAIXA'!AW193</f>
        <v>-72236</v>
      </c>
      <c r="AX42" s="121">
        <f>'DRE NOVAS PARCERIAS CAIXA'!AX185+'DRE NOVAS PARCERIAS CAIXA'!AX192+'DRE NOVAS PARCERIAS CAIXA'!AX193</f>
        <v>-69538</v>
      </c>
      <c r="AY42" s="121">
        <f>'DRE NOVAS PARCERIAS CAIXA'!AY185+'DRE NOVAS PARCERIAS CAIXA'!AY192+'DRE NOVAS PARCERIAS CAIXA'!AY193</f>
        <v>-55171</v>
      </c>
      <c r="AZ42" s="144">
        <f>'DRE NOVAS PARCERIAS CAIXA'!AZ185+'DRE NOVAS PARCERIAS CAIXA'!AZ192+'DRE NOVAS PARCERIAS CAIXA'!AZ193</f>
        <v>-264228</v>
      </c>
      <c r="BA42" s="121">
        <f>'DRE NOVAS PARCERIAS CAIXA'!BA185+'DRE NOVAS PARCERIAS CAIXA'!BA192+'DRE NOVAS PARCERIAS CAIXA'!BA193</f>
        <v>-54438</v>
      </c>
    </row>
    <row r="43" spans="1:53">
      <c r="A43" s="357"/>
      <c r="B43" s="11" t="s">
        <v>268</v>
      </c>
      <c r="C43" s="12"/>
      <c r="D43" s="12"/>
      <c r="E43" s="12"/>
      <c r="F43" s="12"/>
      <c r="G43" s="40"/>
      <c r="H43" s="12"/>
      <c r="I43" s="12"/>
      <c r="J43" s="12"/>
      <c r="K43" s="12"/>
      <c r="L43" s="40"/>
      <c r="M43" s="12"/>
      <c r="N43" s="12"/>
      <c r="O43" s="12"/>
      <c r="P43" s="12"/>
      <c r="Q43" s="40"/>
      <c r="R43" s="12"/>
      <c r="S43" s="12"/>
      <c r="T43" s="12"/>
      <c r="U43" s="12"/>
      <c r="V43" s="40"/>
      <c r="W43" s="12"/>
      <c r="X43" s="12"/>
      <c r="Y43" s="12"/>
      <c r="Z43" s="153"/>
      <c r="AA43" s="144">
        <f>'DRE NOVAS PARCERIAS CAIXA'!AA210+'DRE NOVAS PARCERIAS CAIXA'!AA217+'DRE NOVAS PARCERIAS CAIXA'!AA218</f>
        <v>-18</v>
      </c>
      <c r="AB43" s="153">
        <f>'DRE NOVAS PARCERIAS CAIXA'!AB210+'DRE NOVAS PARCERIAS CAIXA'!AB217+'DRE NOVAS PARCERIAS CAIXA'!AB218</f>
        <v>85.504829999999998</v>
      </c>
      <c r="AC43" s="153">
        <f>'DRE NOVAS PARCERIAS CAIXA'!AC210+'DRE NOVAS PARCERIAS CAIXA'!AC217+'DRE NOVAS PARCERIAS CAIXA'!AC218</f>
        <v>182.49517000000003</v>
      </c>
      <c r="AD43" s="153">
        <f>'DRE NOVAS PARCERIAS CAIXA'!AD210+'DRE NOVAS PARCERIAS CAIXA'!AD217+'DRE NOVAS PARCERIAS CAIXA'!AD218</f>
        <v>432</v>
      </c>
      <c r="AE43" s="153">
        <f>'DRE NOVAS PARCERIAS CAIXA'!AE210+'DRE NOVAS PARCERIAS CAIXA'!AE217+'DRE NOVAS PARCERIAS CAIXA'!AE218</f>
        <v>652</v>
      </c>
      <c r="AF43" s="144">
        <f>'DRE NOVAS PARCERIAS CAIXA'!AF210+'DRE NOVAS PARCERIAS CAIXA'!AF217+'DRE NOVAS PARCERIAS CAIXA'!AF218</f>
        <v>1352</v>
      </c>
      <c r="AG43" s="153">
        <f>'DRE NOVAS PARCERIAS CAIXA'!AG210+'DRE NOVAS PARCERIAS CAIXA'!AG217+'DRE NOVAS PARCERIAS CAIXA'!AG218</f>
        <v>8</v>
      </c>
      <c r="AH43" s="153">
        <f>'DRE NOVAS PARCERIAS CAIXA'!AH210+'DRE NOVAS PARCERIAS CAIXA'!AH217+'DRE NOVAS PARCERIAS CAIXA'!AH218</f>
        <v>-171.32</v>
      </c>
      <c r="AI43" s="153">
        <f>'DRE NOVAS PARCERIAS CAIXA'!AI210+'DRE NOVAS PARCERIAS CAIXA'!AI217+'DRE NOVAS PARCERIAS CAIXA'!AI218</f>
        <v>-699.68000000000006</v>
      </c>
      <c r="AJ43" s="153">
        <f>'DRE NOVAS PARCERIAS CAIXA'!AJ210+'DRE NOVAS PARCERIAS CAIXA'!AJ217+'DRE NOVAS PARCERIAS CAIXA'!AJ218</f>
        <v>-1547.2410000000002</v>
      </c>
      <c r="AK43" s="144">
        <f>'DRE NOVAS PARCERIAS CAIXA'!AK210+'DRE NOVAS PARCERIAS CAIXA'!AK217+'DRE NOVAS PARCERIAS CAIXA'!AK218</f>
        <v>-2410.241</v>
      </c>
      <c r="AL43" s="153">
        <f>'DRE NOVAS PARCERIAS CAIXA'!AL210+'DRE NOVAS PARCERIAS CAIXA'!AL217+'DRE NOVAS PARCERIAS CAIXA'!AL218</f>
        <v>-1843.9999999999998</v>
      </c>
      <c r="AM43" s="153">
        <f>'DRE NOVAS PARCERIAS CAIXA'!AM210+'DRE NOVAS PARCERIAS CAIXA'!AM217+'DRE NOVAS PARCERIAS CAIXA'!AM218</f>
        <v>-3128</v>
      </c>
      <c r="AN43" s="153">
        <f>'DRE NOVAS PARCERIAS CAIXA'!AN210+'DRE NOVAS PARCERIAS CAIXA'!AN217+'DRE NOVAS PARCERIAS CAIXA'!AN218</f>
        <v>-3572.9999999999995</v>
      </c>
      <c r="AO43" s="153">
        <f>'DRE NOVAS PARCERIAS CAIXA'!AO210+'DRE NOVAS PARCERIAS CAIXA'!AO217+'DRE NOVAS PARCERIAS CAIXA'!AO218</f>
        <v>-3665.0000000000014</v>
      </c>
      <c r="AP43" s="144">
        <f>'DRE NOVAS PARCERIAS CAIXA'!AP210+'DRE NOVAS PARCERIAS CAIXA'!AP217+'DRE NOVAS PARCERIAS CAIXA'!AP218</f>
        <v>-12210</v>
      </c>
      <c r="AQ43" s="153">
        <f>'DRE NOVAS PARCERIAS CAIXA'!AQ210+'DRE NOVAS PARCERIAS CAIXA'!AQ217+'DRE NOVAS PARCERIAS CAIXA'!AQ218</f>
        <v>-3560</v>
      </c>
      <c r="AR43" s="153">
        <f>'DRE NOVAS PARCERIAS CAIXA'!AR210+'DRE NOVAS PARCERIAS CAIXA'!AR217+'DRE NOVAS PARCERIAS CAIXA'!AR218</f>
        <v>-2988</v>
      </c>
      <c r="AS43" s="153">
        <f>'DRE NOVAS PARCERIAS CAIXA'!AS210+'DRE NOVAS PARCERIAS CAIXA'!AS217+'DRE NOVAS PARCERIAS CAIXA'!AS218</f>
        <v>-3884.0000000000009</v>
      </c>
      <c r="AT43" s="153">
        <f>'DRE NOVAS PARCERIAS CAIXA'!AT210+'DRE NOVAS PARCERIAS CAIXA'!AT217+'DRE NOVAS PARCERIAS CAIXA'!AT218</f>
        <v>-6091.0000000000009</v>
      </c>
      <c r="AU43" s="144">
        <f>'DRE NOVAS PARCERIAS CAIXA'!AU210+'DRE NOVAS PARCERIAS CAIXA'!AU217+'DRE NOVAS PARCERIAS CAIXA'!AU218</f>
        <v>-16523</v>
      </c>
      <c r="AV43" s="153">
        <f>'DRE NOVAS PARCERIAS CAIXA'!AV210+'DRE NOVAS PARCERIAS CAIXA'!AV217+'DRE NOVAS PARCERIAS CAIXA'!AV218</f>
        <v>-5827</v>
      </c>
      <c r="AW43" s="121">
        <f>'DRE NOVAS PARCERIAS CAIXA'!AW210+'DRE NOVAS PARCERIAS CAIXA'!AW217+'DRE NOVAS PARCERIAS CAIXA'!AW218</f>
        <v>-6403.9999999999991</v>
      </c>
      <c r="AX43" s="121">
        <f>'DRE NOVAS PARCERIAS CAIXA'!AX210+'DRE NOVAS PARCERIAS CAIXA'!AX217+'DRE NOVAS PARCERIAS CAIXA'!AX218</f>
        <v>-8026.0000000000027</v>
      </c>
      <c r="AY43" s="121">
        <f>'DRE NOVAS PARCERIAS CAIXA'!AY210+'DRE NOVAS PARCERIAS CAIXA'!AY217+'DRE NOVAS PARCERIAS CAIXA'!AY218</f>
        <v>-5014.9999999999991</v>
      </c>
      <c r="AZ43" s="144">
        <f>'DRE NOVAS PARCERIAS CAIXA'!AZ210+'DRE NOVAS PARCERIAS CAIXA'!AZ217+'DRE NOVAS PARCERIAS CAIXA'!AZ218</f>
        <v>-25272</v>
      </c>
      <c r="BA43" s="121">
        <f>'DRE NOVAS PARCERIAS CAIXA'!BA210+'DRE NOVAS PARCERIAS CAIXA'!BA217+'DRE NOVAS PARCERIAS CAIXA'!BA218</f>
        <v>-5161</v>
      </c>
    </row>
    <row r="44" spans="1:53" s="2" customFormat="1">
      <c r="A44" s="363"/>
      <c r="B44" s="21" t="s">
        <v>610</v>
      </c>
      <c r="C44" s="218"/>
      <c r="D44" s="218"/>
      <c r="E44" s="218"/>
      <c r="F44" s="218"/>
      <c r="G44" s="364"/>
      <c r="H44" s="218"/>
      <c r="I44" s="218"/>
      <c r="J44" s="218"/>
      <c r="K44" s="218"/>
      <c r="L44" s="364"/>
      <c r="M44" s="218"/>
      <c r="N44" s="218"/>
      <c r="O44" s="218"/>
      <c r="P44" s="218"/>
      <c r="Q44" s="364"/>
      <c r="R44" s="218"/>
      <c r="S44" s="218"/>
      <c r="T44" s="218"/>
      <c r="U44" s="218"/>
      <c r="V44" s="364"/>
      <c r="W44" s="218"/>
      <c r="X44" s="218"/>
      <c r="Y44" s="218"/>
      <c r="Z44" s="365"/>
      <c r="AA44" s="366">
        <f t="shared" ref="AA44:AV44" si="30">AA45</f>
        <v>-2105352.3682899997</v>
      </c>
      <c r="AB44" s="365">
        <f t="shared" si="30"/>
        <v>-249038.96983000005</v>
      </c>
      <c r="AC44" s="365">
        <f t="shared" si="30"/>
        <v>-212253.47203000003</v>
      </c>
      <c r="AD44" s="365">
        <f t="shared" si="30"/>
        <v>-214185.21057000002</v>
      </c>
      <c r="AE44" s="365">
        <f t="shared" si="30"/>
        <v>-168724.85298000003</v>
      </c>
      <c r="AF44" s="366">
        <f t="shared" si="30"/>
        <v>-837601.7745099999</v>
      </c>
      <c r="AG44" s="365">
        <f t="shared" si="30"/>
        <v>-223487</v>
      </c>
      <c r="AH44" s="365">
        <f t="shared" si="30"/>
        <v>-189038.34239000001</v>
      </c>
      <c r="AI44" s="365">
        <f t="shared" si="30"/>
        <v>-217398</v>
      </c>
      <c r="AJ44" s="365">
        <f t="shared" si="30"/>
        <v>-234551.42217999999</v>
      </c>
      <c r="AK44" s="366">
        <f t="shared" si="30"/>
        <v>-864474.76457</v>
      </c>
      <c r="AL44" s="365">
        <f t="shared" si="30"/>
        <v>-191473</v>
      </c>
      <c r="AM44" s="365">
        <f t="shared" si="30"/>
        <v>-179900</v>
      </c>
      <c r="AN44" s="365">
        <f t="shared" si="30"/>
        <v>-205997</v>
      </c>
      <c r="AO44" s="365">
        <f t="shared" si="30"/>
        <v>-172854</v>
      </c>
      <c r="AP44" s="366">
        <f>AP45</f>
        <v>-750224</v>
      </c>
      <c r="AQ44" s="365">
        <f t="shared" si="30"/>
        <v>-178880</v>
      </c>
      <c r="AR44" s="365">
        <f t="shared" si="30"/>
        <v>-131903</v>
      </c>
      <c r="AS44" s="365">
        <f t="shared" si="30"/>
        <v>-178334</v>
      </c>
      <c r="AT44" s="365">
        <f t="shared" si="30"/>
        <v>-119936</v>
      </c>
      <c r="AU44" s="366">
        <f>AU45</f>
        <v>-609053</v>
      </c>
      <c r="AV44" s="365">
        <f t="shared" si="30"/>
        <v>-161178</v>
      </c>
      <c r="AW44" s="367">
        <f>AW45</f>
        <v>-171005</v>
      </c>
      <c r="AX44" s="367">
        <f>AX45</f>
        <v>-180229</v>
      </c>
      <c r="AY44" s="367">
        <f>AY45</f>
        <v>-184910</v>
      </c>
      <c r="AZ44" s="366">
        <f>AZ45</f>
        <v>-697322</v>
      </c>
      <c r="BA44" s="367">
        <f>BA45</f>
        <v>-185320</v>
      </c>
    </row>
    <row r="45" spans="1:53">
      <c r="A45" s="357"/>
      <c r="B45" s="11" t="s">
        <v>611</v>
      </c>
      <c r="C45" s="12"/>
      <c r="D45" s="12"/>
      <c r="E45" s="12"/>
      <c r="F45" s="12"/>
      <c r="G45" s="40"/>
      <c r="H45" s="12"/>
      <c r="I45" s="12"/>
      <c r="J45" s="12"/>
      <c r="K45" s="12"/>
      <c r="L45" s="40"/>
      <c r="M45" s="12"/>
      <c r="N45" s="12"/>
      <c r="O45" s="12"/>
      <c r="P45" s="12"/>
      <c r="Q45" s="40"/>
      <c r="R45" s="12"/>
      <c r="S45" s="12"/>
      <c r="T45" s="12"/>
      <c r="U45" s="12"/>
      <c r="V45" s="40"/>
      <c r="W45" s="12"/>
      <c r="X45" s="12"/>
      <c r="Y45" s="12"/>
      <c r="Z45" s="153"/>
      <c r="AA45" s="144">
        <f t="shared" ref="AA45:AC45" si="31">SUM(AA46:AA54)</f>
        <v>-2105352.3682899997</v>
      </c>
      <c r="AB45" s="153">
        <f t="shared" si="31"/>
        <v>-249038.96983000005</v>
      </c>
      <c r="AC45" s="153">
        <f t="shared" si="31"/>
        <v>-212253.47203000003</v>
      </c>
      <c r="AD45" s="153">
        <f t="shared" ref="AD45:AM45" si="32">SUM(AD46:AD55)</f>
        <v>-214185.21057000002</v>
      </c>
      <c r="AE45" s="153">
        <f t="shared" si="32"/>
        <v>-168724.85298000003</v>
      </c>
      <c r="AF45" s="121">
        <f t="shared" si="32"/>
        <v>-837601.7745099999</v>
      </c>
      <c r="AG45" s="153">
        <f t="shared" si="32"/>
        <v>-223487</v>
      </c>
      <c r="AH45" s="153">
        <f t="shared" si="32"/>
        <v>-189038.34239000001</v>
      </c>
      <c r="AI45" s="153">
        <f t="shared" si="32"/>
        <v>-217398</v>
      </c>
      <c r="AJ45" s="153">
        <f t="shared" si="32"/>
        <v>-234551.42217999999</v>
      </c>
      <c r="AK45" s="121">
        <f t="shared" si="32"/>
        <v>-864474.76457</v>
      </c>
      <c r="AL45" s="153">
        <f t="shared" si="32"/>
        <v>-191473</v>
      </c>
      <c r="AM45" s="153">
        <f t="shared" si="32"/>
        <v>-179900</v>
      </c>
      <c r="AN45" s="153">
        <f t="shared" ref="AN45:AO45" si="33">SUM(AN46:AN55)</f>
        <v>-205997</v>
      </c>
      <c r="AO45" s="153">
        <f t="shared" si="33"/>
        <v>-172854</v>
      </c>
      <c r="AP45" s="144">
        <f>SUM(AP46:AP55)</f>
        <v>-750224</v>
      </c>
      <c r="AQ45" s="153">
        <f t="shared" ref="AQ45:AT45" si="34">SUM(AQ46:AQ55)</f>
        <v>-178880</v>
      </c>
      <c r="AR45" s="153">
        <f t="shared" si="34"/>
        <v>-131903</v>
      </c>
      <c r="AS45" s="153">
        <f t="shared" si="34"/>
        <v>-178334</v>
      </c>
      <c r="AT45" s="153">
        <f t="shared" si="34"/>
        <v>-119936</v>
      </c>
      <c r="AU45" s="144">
        <f>SUM(AU46:AU55)</f>
        <v>-609053</v>
      </c>
      <c r="AV45" s="153">
        <f t="shared" ref="AV45" si="35">SUM(AV46:AV55)</f>
        <v>-161178</v>
      </c>
      <c r="AW45" s="121">
        <f>SUM(AW46:AW55)</f>
        <v>-171005</v>
      </c>
      <c r="AX45" s="121">
        <f>SUM(AX46:AX55)</f>
        <v>-180229</v>
      </c>
      <c r="AY45" s="121">
        <f>SUM(AY46:AY55)</f>
        <v>-184910</v>
      </c>
      <c r="AZ45" s="144">
        <f>SUM(AZ46:AZ55)</f>
        <v>-697322</v>
      </c>
      <c r="BA45" s="121">
        <f>SUM(BA46:BA55)</f>
        <v>-185320</v>
      </c>
    </row>
    <row r="46" spans="1:53">
      <c r="A46" s="357"/>
      <c r="B46" s="318" t="s">
        <v>612</v>
      </c>
      <c r="C46" s="12"/>
      <c r="D46" s="12"/>
      <c r="E46" s="12"/>
      <c r="F46" s="12"/>
      <c r="G46" s="40"/>
      <c r="H46" s="12"/>
      <c r="I46" s="12"/>
      <c r="J46" s="12"/>
      <c r="K46" s="12"/>
      <c r="L46" s="40"/>
      <c r="M46" s="12"/>
      <c r="N46" s="12"/>
      <c r="O46" s="12"/>
      <c r="P46" s="12"/>
      <c r="Q46" s="40"/>
      <c r="R46" s="12"/>
      <c r="S46" s="12"/>
      <c r="T46" s="12"/>
      <c r="U46" s="12"/>
      <c r="V46" s="40"/>
      <c r="W46" s="12"/>
      <c r="X46" s="12"/>
      <c r="Y46" s="12"/>
      <c r="Z46" s="153"/>
      <c r="AA46" s="144">
        <f>'DRE ANTIGA PARCERIA CAIXA'!AA40+'DRE ANTIGA PARCERIA CAIXA'!AA46+'DRE ANTIGA PARCERIA CAIXA'!AA47</f>
        <v>-1017939.6434299999</v>
      </c>
      <c r="AB46" s="153">
        <f>'DRE ANTIGA PARCERIA CAIXA'!AB40+'DRE ANTIGA PARCERIA CAIXA'!AB46+'DRE ANTIGA PARCERIA CAIXA'!AB47</f>
        <v>-190991.49202000001</v>
      </c>
      <c r="AC46" s="153">
        <f>'DRE ANTIGA PARCERIA CAIXA'!AC40+'DRE ANTIGA PARCERIA CAIXA'!AC46+'DRE ANTIGA PARCERIA CAIXA'!AC47</f>
        <v>-157695.13047999999</v>
      </c>
      <c r="AD46" s="153">
        <f>'DRE ANTIGA PARCERIA CAIXA'!AD40+'DRE ANTIGA PARCERIA CAIXA'!AD46+'DRE ANTIGA PARCERIA CAIXA'!AD47</f>
        <v>-160476.68757000001</v>
      </c>
      <c r="AE46" s="153">
        <f>'DRE ANTIGA PARCERIA CAIXA'!AE40+'DRE ANTIGA PARCERIA CAIXA'!AE46+'DRE ANTIGA PARCERIA CAIXA'!AE47</f>
        <v>-121877</v>
      </c>
      <c r="AF46" s="144">
        <f>'DRE ANTIGA PARCERIA CAIXA'!AF40+'DRE ANTIGA PARCERIA CAIXA'!AF46+'DRE ANTIGA PARCERIA CAIXA'!AF47</f>
        <v>-631040.31007000001</v>
      </c>
      <c r="AG46" s="153">
        <f>'DRE ANTIGA PARCERIA CAIXA'!AG40+'DRE ANTIGA PARCERIA CAIXA'!AG46+'DRE ANTIGA PARCERIA CAIXA'!AG47</f>
        <v>-166806</v>
      </c>
      <c r="AH46" s="153">
        <f>'DRE ANTIGA PARCERIA CAIXA'!AH40+'DRE ANTIGA PARCERIA CAIXA'!AH46+'DRE ANTIGA PARCERIA CAIXA'!AH47</f>
        <v>-145274</v>
      </c>
      <c r="AI46" s="153">
        <f>'DRE ANTIGA PARCERIA CAIXA'!AI40+'DRE ANTIGA PARCERIA CAIXA'!AI46+'DRE ANTIGA PARCERIA CAIXA'!AI47</f>
        <v>-172602</v>
      </c>
      <c r="AJ46" s="153">
        <f>'DRE ANTIGA PARCERIA CAIXA'!AJ40+'DRE ANTIGA PARCERIA CAIXA'!AJ46+'DRE ANTIGA PARCERIA CAIXA'!AJ47</f>
        <v>-185472</v>
      </c>
      <c r="AK46" s="144">
        <f>'DRE ANTIGA PARCERIA CAIXA'!AK40+'DRE ANTIGA PARCERIA CAIXA'!AK46+'DRE ANTIGA PARCERIA CAIXA'!AK47</f>
        <v>-670154</v>
      </c>
      <c r="AL46" s="153">
        <f>'DRE ANTIGA PARCERIA CAIXA'!AL40+'DRE ANTIGA PARCERIA CAIXA'!AL46+'DRE ANTIGA PARCERIA CAIXA'!AL47</f>
        <v>-182587</v>
      </c>
      <c r="AM46" s="153">
        <f>'DRE ANTIGA PARCERIA CAIXA'!AM40+'DRE ANTIGA PARCERIA CAIXA'!AM46+'DRE ANTIGA PARCERIA CAIXA'!AM47</f>
        <v>-169647</v>
      </c>
      <c r="AN46" s="153">
        <f>'DRE ANTIGA PARCERIA CAIXA'!AN40+'DRE ANTIGA PARCERIA CAIXA'!AN46+'DRE ANTIGA PARCERIA CAIXA'!AN47</f>
        <v>-194346</v>
      </c>
      <c r="AO46" s="153">
        <f>'DRE ANTIGA PARCERIA CAIXA'!AO40+'DRE ANTIGA PARCERIA CAIXA'!AO46+'DRE ANTIGA PARCERIA CAIXA'!AO47</f>
        <v>-159644</v>
      </c>
      <c r="AP46" s="144">
        <f>'DRE ANTIGA PARCERIA CAIXA'!AP40+'DRE ANTIGA PARCERIA CAIXA'!AP46+'DRE ANTIGA PARCERIA CAIXA'!AP47</f>
        <v>-706224</v>
      </c>
      <c r="AQ46" s="153">
        <f>'DRE ANTIGA PARCERIA CAIXA'!AQ40+'DRE ANTIGA PARCERIA CAIXA'!AQ46+'DRE ANTIGA PARCERIA CAIXA'!AQ47</f>
        <v>-170087</v>
      </c>
      <c r="AR46" s="153">
        <f>'DRE ANTIGA PARCERIA CAIXA'!AR40+'DRE ANTIGA PARCERIA CAIXA'!AR46+'DRE ANTIGA PARCERIA CAIXA'!AR47</f>
        <v>-120991</v>
      </c>
      <c r="AS46" s="153">
        <f>'DRE ANTIGA PARCERIA CAIXA'!AS40+'DRE ANTIGA PARCERIA CAIXA'!AS46+'DRE ANTIGA PARCERIA CAIXA'!AS47</f>
        <v>-167077</v>
      </c>
      <c r="AT46" s="153">
        <f>'DRE ANTIGA PARCERIA CAIXA'!AT40+'DRE ANTIGA PARCERIA CAIXA'!AT46+'DRE ANTIGA PARCERIA CAIXA'!AT47</f>
        <v>-135628</v>
      </c>
      <c r="AU46" s="144">
        <f>'DRE ANTIGA PARCERIA CAIXA'!AU40+'DRE ANTIGA PARCERIA CAIXA'!AU46+'DRE ANTIGA PARCERIA CAIXA'!AU47</f>
        <v>-593783</v>
      </c>
      <c r="AV46" s="153">
        <f>'DRE ANTIGA PARCERIA CAIXA'!AV40+'DRE ANTIGA PARCERIA CAIXA'!AV46+'DRE ANTIGA PARCERIA CAIXA'!AV47</f>
        <v>-145126</v>
      </c>
      <c r="AW46" s="121">
        <f>'DRE ANTIGA PARCERIA CAIXA'!AW40+'DRE ANTIGA PARCERIA CAIXA'!AW46+'DRE ANTIGA PARCERIA CAIXA'!AW47</f>
        <v>-165357</v>
      </c>
      <c r="AX46" s="121">
        <f>'DRE ANTIGA PARCERIA CAIXA'!AX40+'DRE ANTIGA PARCERIA CAIXA'!AX46+'DRE ANTIGA PARCERIA CAIXA'!AX47</f>
        <v>-161292</v>
      </c>
      <c r="AY46" s="121">
        <f>'DRE ANTIGA PARCERIA CAIXA'!AY40+'DRE ANTIGA PARCERIA CAIXA'!AY46+'DRE ANTIGA PARCERIA CAIXA'!AY47</f>
        <v>-174108</v>
      </c>
      <c r="AZ46" s="144">
        <f>'DRE ANTIGA PARCERIA CAIXA'!AZ40+'DRE ANTIGA PARCERIA CAIXA'!AZ46+'DRE ANTIGA PARCERIA CAIXA'!AZ47</f>
        <v>-645883</v>
      </c>
      <c r="BA46" s="121">
        <f>'DRE ANTIGA PARCERIA CAIXA'!BA40+'DRE ANTIGA PARCERIA CAIXA'!BA46+'DRE ANTIGA PARCERIA CAIXA'!BA47</f>
        <v>-170963</v>
      </c>
    </row>
    <row r="47" spans="1:53">
      <c r="A47" s="357"/>
      <c r="B47" s="318" t="s">
        <v>613</v>
      </c>
      <c r="C47" s="12"/>
      <c r="D47" s="12"/>
      <c r="E47" s="12"/>
      <c r="F47" s="12"/>
      <c r="G47" s="40"/>
      <c r="H47" s="12"/>
      <c r="I47" s="12"/>
      <c r="J47" s="12"/>
      <c r="K47" s="12"/>
      <c r="L47" s="40"/>
      <c r="M47" s="12"/>
      <c r="N47" s="12"/>
      <c r="O47" s="12"/>
      <c r="P47" s="12"/>
      <c r="Q47" s="40"/>
      <c r="R47" s="12"/>
      <c r="S47" s="12"/>
      <c r="T47" s="12"/>
      <c r="U47" s="12"/>
      <c r="V47" s="40"/>
      <c r="W47" s="12"/>
      <c r="X47" s="12"/>
      <c r="Y47" s="12"/>
      <c r="Z47" s="153"/>
      <c r="AA47" s="144">
        <f>'DRE ANTIGA PARCERIA CAIXA'!AA78+'DRE ANTIGA PARCERIA CAIXA'!AA85+'DRE ANTIGA PARCERIA CAIXA'!AA84</f>
        <v>-842203.05564999999</v>
      </c>
      <c r="AB47" s="153"/>
      <c r="AC47" s="153"/>
      <c r="AD47" s="153"/>
      <c r="AE47" s="153"/>
      <c r="AF47" s="144"/>
      <c r="AG47" s="153"/>
      <c r="AH47" s="153"/>
      <c r="AI47" s="153"/>
      <c r="AJ47" s="153"/>
      <c r="AK47" s="144"/>
      <c r="AL47" s="153"/>
      <c r="AM47" s="153"/>
      <c r="AN47" s="153"/>
      <c r="AO47" s="153"/>
      <c r="AP47" s="144"/>
      <c r="AQ47" s="153"/>
      <c r="AR47" s="153"/>
      <c r="AS47" s="153"/>
      <c r="AT47" s="153"/>
      <c r="AU47" s="144"/>
      <c r="AV47" s="153"/>
      <c r="AW47" s="121"/>
      <c r="AX47" s="121"/>
      <c r="AY47" s="121"/>
      <c r="AZ47" s="144"/>
      <c r="BA47" s="121"/>
    </row>
    <row r="48" spans="1:53">
      <c r="A48" s="357"/>
      <c r="B48" s="318" t="s">
        <v>566</v>
      </c>
      <c r="C48" s="12"/>
      <c r="D48" s="12"/>
      <c r="E48" s="12"/>
      <c r="F48" s="12"/>
      <c r="G48" s="40"/>
      <c r="H48" s="12"/>
      <c r="I48" s="12"/>
      <c r="J48" s="12"/>
      <c r="K48" s="12"/>
      <c r="L48" s="40"/>
      <c r="M48" s="12"/>
      <c r="N48" s="12"/>
      <c r="O48" s="12"/>
      <c r="P48" s="12"/>
      <c r="Q48" s="40"/>
      <c r="R48" s="12"/>
      <c r="S48" s="12"/>
      <c r="T48" s="12"/>
      <c r="U48" s="12"/>
      <c r="V48" s="40"/>
      <c r="W48" s="12"/>
      <c r="X48" s="12"/>
      <c r="Y48" s="12"/>
      <c r="Z48" s="153"/>
      <c r="AA48" s="144">
        <f>'DRE ANTIGA PARCERIA CAIXA'!AA106+'DRE ANTIGA PARCERIA CAIXA'!AA112+'DRE ANTIGA PARCERIA CAIXA'!AA113</f>
        <v>-86423.468409999987</v>
      </c>
      <c r="AB48" s="153">
        <f>'DRE ANTIGA PARCERIA CAIXA'!AB106+'DRE ANTIGA PARCERIA CAIXA'!AB112+'DRE ANTIGA PARCERIA CAIXA'!AB113</f>
        <v>-27958.035669999997</v>
      </c>
      <c r="AC48" s="153">
        <f>'DRE ANTIGA PARCERIA CAIXA'!AC106+'DRE ANTIGA PARCERIA CAIXA'!AC112+'DRE ANTIGA PARCERIA CAIXA'!AC113</f>
        <v>-22137.300170000002</v>
      </c>
      <c r="AD48" s="153">
        <f>'DRE ANTIGA PARCERIA CAIXA'!AD106+'DRE ANTIGA PARCERIA CAIXA'!AD112+'DRE ANTIGA PARCERIA CAIXA'!AD113</f>
        <v>-21390.380969999998</v>
      </c>
      <c r="AE48" s="153">
        <f>'DRE ANTIGA PARCERIA CAIXA'!AE106+'DRE ANTIGA PARCERIA CAIXA'!AE112+'DRE ANTIGA PARCERIA CAIXA'!AE113</f>
        <v>-15996.95003</v>
      </c>
      <c r="AF48" s="144">
        <f>'DRE ANTIGA PARCERIA CAIXA'!AF106+'DRE ANTIGA PARCERIA CAIXA'!AF112+'DRE ANTIGA PARCERIA CAIXA'!AF113</f>
        <v>-87482.666840000005</v>
      </c>
      <c r="AG48" s="153">
        <f>'DRE ANTIGA PARCERIA CAIXA'!AG106+'DRE ANTIGA PARCERIA CAIXA'!AG112+'DRE ANTIGA PARCERIA CAIXA'!AG113</f>
        <v>-16751</v>
      </c>
      <c r="AH48" s="153">
        <f>'DRE ANTIGA PARCERIA CAIXA'!AH106+'DRE ANTIGA PARCERIA CAIXA'!AH112+'DRE ANTIGA PARCERIA CAIXA'!AH113</f>
        <v>-12102</v>
      </c>
      <c r="AI48" s="153">
        <f>'DRE ANTIGA PARCERIA CAIXA'!AI106+'DRE ANTIGA PARCERIA CAIXA'!AI112+'DRE ANTIGA PARCERIA CAIXA'!AI113</f>
        <v>-9496</v>
      </c>
      <c r="AJ48" s="153">
        <f>'DRE ANTIGA PARCERIA CAIXA'!AJ106+'DRE ANTIGA PARCERIA CAIXA'!AJ112+'DRE ANTIGA PARCERIA CAIXA'!AJ113</f>
        <v>-3404</v>
      </c>
      <c r="AK48" s="144">
        <f>'DRE ANTIGA PARCERIA CAIXA'!AK106+'DRE ANTIGA PARCERIA CAIXA'!AK112+'DRE ANTIGA PARCERIA CAIXA'!AK113</f>
        <v>-41753</v>
      </c>
      <c r="AL48" s="153"/>
      <c r="AM48" s="153"/>
      <c r="AN48" s="153"/>
      <c r="AO48" s="153"/>
      <c r="AP48" s="144"/>
      <c r="AQ48" s="153"/>
      <c r="AR48" s="153"/>
      <c r="AS48" s="153"/>
      <c r="AT48" s="153"/>
      <c r="AU48" s="144"/>
      <c r="AV48" s="153"/>
      <c r="AW48" s="121"/>
      <c r="AX48" s="121"/>
      <c r="AY48" s="121"/>
      <c r="AZ48" s="144"/>
      <c r="BA48" s="121"/>
    </row>
    <row r="49" spans="1:53">
      <c r="A49" s="357"/>
      <c r="B49" s="318" t="s">
        <v>271</v>
      </c>
      <c r="C49" s="12"/>
      <c r="D49" s="12"/>
      <c r="E49" s="12"/>
      <c r="F49" s="12"/>
      <c r="G49" s="40"/>
      <c r="H49" s="12"/>
      <c r="I49" s="12"/>
      <c r="J49" s="12"/>
      <c r="K49" s="12"/>
      <c r="L49" s="40"/>
      <c r="M49" s="12"/>
      <c r="N49" s="12"/>
      <c r="O49" s="12"/>
      <c r="P49" s="12"/>
      <c r="Q49" s="40"/>
      <c r="R49" s="12"/>
      <c r="S49" s="12"/>
      <c r="T49" s="12"/>
      <c r="U49" s="12"/>
      <c r="V49" s="40"/>
      <c r="W49" s="12"/>
      <c r="X49" s="12"/>
      <c r="Y49" s="12"/>
      <c r="Z49" s="153"/>
      <c r="AA49" s="144">
        <f>'DRE ANTIGA PARCERIA CAIXA'!AA128+'DRE ANTIGA PARCERIA CAIXA'!AA134+'DRE ANTIGA PARCERIA CAIXA'!AA135</f>
        <v>-115208.12865</v>
      </c>
      <c r="AB49" s="153">
        <f>'DRE ANTIGA PARCERIA CAIXA'!AB128+'DRE ANTIGA PARCERIA CAIXA'!AB134+'DRE ANTIGA PARCERIA CAIXA'!AB135</f>
        <v>-30391.407470000002</v>
      </c>
      <c r="AC49" s="153">
        <f>'DRE ANTIGA PARCERIA CAIXA'!AC128+'DRE ANTIGA PARCERIA CAIXA'!AC134+'DRE ANTIGA PARCERIA CAIXA'!AC135</f>
        <v>-31851.602540000004</v>
      </c>
      <c r="AD49" s="153">
        <f>'DRE ANTIGA PARCERIA CAIXA'!AD128+'DRE ANTIGA PARCERIA CAIXA'!AD134+'DRE ANTIGA PARCERIA CAIXA'!AD135</f>
        <v>-38656.497150000003</v>
      </c>
      <c r="AE49" s="153">
        <f>'DRE ANTIGA PARCERIA CAIXA'!AE128+'DRE ANTIGA PARCERIA CAIXA'!AE134+'DRE ANTIGA PARCERIA CAIXA'!AE135</f>
        <v>-30367</v>
      </c>
      <c r="AF49" s="144">
        <f>'DRE ANTIGA PARCERIA CAIXA'!AF128+'DRE ANTIGA PARCERIA CAIXA'!AF134+'DRE ANTIGA PARCERIA CAIXA'!AF135</f>
        <v>-131266.50716000001</v>
      </c>
      <c r="AG49" s="153">
        <f>'DRE ANTIGA PARCERIA CAIXA'!AG128+'DRE ANTIGA PARCERIA CAIXA'!AG134+'DRE ANTIGA PARCERIA CAIXA'!AG135</f>
        <v>-33680</v>
      </c>
      <c r="AH49" s="153">
        <f>'DRE ANTIGA PARCERIA CAIXA'!AH128+'DRE ANTIGA PARCERIA CAIXA'!AH134+'DRE ANTIGA PARCERIA CAIXA'!AH135</f>
        <v>-29100.342390000002</v>
      </c>
      <c r="AI49" s="153">
        <f>'DRE ANTIGA PARCERIA CAIXA'!AI128+'DRE ANTIGA PARCERIA CAIXA'!AI134+'DRE ANTIGA PARCERIA CAIXA'!AI135</f>
        <v>-17008</v>
      </c>
      <c r="AJ49" s="153">
        <f>'DRE ANTIGA PARCERIA CAIXA'!AJ128+'DRE ANTIGA PARCERIA CAIXA'!AJ134+'DRE ANTIGA PARCERIA CAIXA'!AJ135</f>
        <v>-4173.4221799999959</v>
      </c>
      <c r="AK49" s="144">
        <f>'DRE ANTIGA PARCERIA CAIXA'!AK128+'DRE ANTIGA PARCERIA CAIXA'!AK134+'DRE ANTIGA PARCERIA CAIXA'!AK135</f>
        <v>-83961.764569999985</v>
      </c>
      <c r="AL49" s="153"/>
      <c r="AM49" s="153"/>
      <c r="AN49" s="153"/>
      <c r="AO49" s="153"/>
      <c r="AP49" s="144"/>
      <c r="AQ49" s="153"/>
      <c r="AR49" s="153"/>
      <c r="AS49" s="153"/>
      <c r="AT49" s="153"/>
      <c r="AU49" s="144"/>
      <c r="AV49" s="153"/>
      <c r="AW49" s="121"/>
      <c r="AX49" s="121"/>
      <c r="AY49" s="121"/>
      <c r="AZ49" s="144"/>
      <c r="BA49" s="121"/>
    </row>
    <row r="50" spans="1:53">
      <c r="A50" s="357"/>
      <c r="B50" s="318" t="s">
        <v>614</v>
      </c>
      <c r="C50" s="12"/>
      <c r="D50" s="12"/>
      <c r="E50" s="12"/>
      <c r="F50" s="12"/>
      <c r="G50" s="40"/>
      <c r="H50" s="12"/>
      <c r="I50" s="12"/>
      <c r="J50" s="12"/>
      <c r="K50" s="12"/>
      <c r="L50" s="40"/>
      <c r="M50" s="12"/>
      <c r="N50" s="12"/>
      <c r="O50" s="12"/>
      <c r="P50" s="12"/>
      <c r="Q50" s="40"/>
      <c r="R50" s="12"/>
      <c r="S50" s="12"/>
      <c r="T50" s="12"/>
      <c r="U50" s="12"/>
      <c r="V50" s="40"/>
      <c r="W50" s="12"/>
      <c r="X50" s="12"/>
      <c r="Y50" s="12"/>
      <c r="Z50" s="153"/>
      <c r="AA50" s="144">
        <f>'DRE ANTIGA PARCERIA CAIXA'!AA150+'DRE ANTIGA PARCERIA CAIXA'!AA156+'DRE ANTIGA PARCERIA CAIXA'!AA157</f>
        <v>-25747.728040000002</v>
      </c>
      <c r="AB50" s="153">
        <f>'DRE ANTIGA PARCERIA CAIXA'!AB150+'DRE ANTIGA PARCERIA CAIXA'!AB156+'DRE ANTIGA PARCERIA CAIXA'!AB157</f>
        <v>-108.68526</v>
      </c>
      <c r="AC50" s="153">
        <f>'DRE ANTIGA PARCERIA CAIXA'!AC150+'DRE ANTIGA PARCERIA CAIXA'!AC156+'DRE ANTIGA PARCERIA CAIXA'!AC157</f>
        <v>-265.35558000000003</v>
      </c>
      <c r="AD50" s="153">
        <f>'DRE ANTIGA PARCERIA CAIXA'!AD150+'DRE ANTIGA PARCERIA CAIXA'!AD156+'DRE ANTIGA PARCERIA CAIXA'!AD157</f>
        <v>301.26409999999998</v>
      </c>
      <c r="AE50" s="153">
        <f>'DRE ANTIGA PARCERIA CAIXA'!AE150+'DRE ANTIGA PARCERIA CAIXA'!AE156+'DRE ANTIGA PARCERIA CAIXA'!AE157</f>
        <v>-1.0000000009313226E-5</v>
      </c>
      <c r="AF50" s="144">
        <f>'DRE ANTIGA PARCERIA CAIXA'!AF150+'DRE ANTIGA PARCERIA CAIXA'!AF156+'DRE ANTIGA PARCERIA CAIXA'!AF157</f>
        <v>-72.776750000000007</v>
      </c>
      <c r="AG50" s="153">
        <f>'DRE ANTIGA PARCERIA CAIXA'!AG150+'DRE ANTIGA PARCERIA CAIXA'!AG156+'DRE ANTIGA PARCERIA CAIXA'!AG157</f>
        <v>-12</v>
      </c>
      <c r="AH50" s="153">
        <f>'DRE ANTIGA PARCERIA CAIXA'!AH150+'DRE ANTIGA PARCERIA CAIXA'!AH156+'DRE ANTIGA PARCERIA CAIXA'!AH157</f>
        <v>-73</v>
      </c>
      <c r="AI50" s="153">
        <f>'DRE ANTIGA PARCERIA CAIXA'!AI150+'DRE ANTIGA PARCERIA CAIXA'!AI156+'DRE ANTIGA PARCERIA CAIXA'!AI157</f>
        <v>-2332</v>
      </c>
      <c r="AJ50" s="153">
        <f>'DRE ANTIGA PARCERIA CAIXA'!AJ150+'DRE ANTIGA PARCERIA CAIXA'!AJ156+'DRE ANTIGA PARCERIA CAIXA'!AJ157</f>
        <v>-774</v>
      </c>
      <c r="AK50" s="144">
        <f>'DRE ANTIGA PARCERIA CAIXA'!AK150+'DRE ANTIGA PARCERIA CAIXA'!AK156+'DRE ANTIGA PARCERIA CAIXA'!AK157</f>
        <v>-3191</v>
      </c>
      <c r="AL50" s="153">
        <f>'DRE ANTIGA PARCERIA CAIXA'!AL150+'DRE ANTIGA PARCERIA CAIXA'!AL156+'DRE ANTIGA PARCERIA CAIXA'!AL157</f>
        <v>-1757</v>
      </c>
      <c r="AM50" s="153">
        <f>'DRE ANTIGA PARCERIA CAIXA'!AM150+'DRE ANTIGA PARCERIA CAIXA'!AM156+'DRE ANTIGA PARCERIA CAIXA'!AM157</f>
        <v>-2693</v>
      </c>
      <c r="AN50" s="153">
        <f>'DRE ANTIGA PARCERIA CAIXA'!AN150+'DRE ANTIGA PARCERIA CAIXA'!AN156+'DRE ANTIGA PARCERIA CAIXA'!AN157</f>
        <v>-1242</v>
      </c>
      <c r="AO50" s="153">
        <f>'DRE ANTIGA PARCERIA CAIXA'!AO150+'DRE ANTIGA PARCERIA CAIXA'!AO156+'DRE ANTIGA PARCERIA CAIXA'!AO157</f>
        <v>-994</v>
      </c>
      <c r="AP50" s="144">
        <f>'DRE ANTIGA PARCERIA CAIXA'!AP150+'DRE ANTIGA PARCERIA CAIXA'!AP156+'DRE ANTIGA PARCERIA CAIXA'!AP157</f>
        <v>-6686</v>
      </c>
      <c r="AQ50" s="153">
        <f>'DRE ANTIGA PARCERIA CAIXA'!AQ150+'DRE ANTIGA PARCERIA CAIXA'!AQ156+'DRE ANTIGA PARCERIA CAIXA'!AQ157</f>
        <v>-809</v>
      </c>
      <c r="AR50" s="153">
        <f>'DRE ANTIGA PARCERIA CAIXA'!AR150+'DRE ANTIGA PARCERIA CAIXA'!AR156+'DRE ANTIGA PARCERIA CAIXA'!AR157</f>
        <v>-1145</v>
      </c>
      <c r="AS50" s="153">
        <f>'DRE ANTIGA PARCERIA CAIXA'!AS150+'DRE ANTIGA PARCERIA CAIXA'!AS156+'DRE ANTIGA PARCERIA CAIXA'!AS157</f>
        <v>-516</v>
      </c>
      <c r="AT50" s="153">
        <f>'DRE ANTIGA PARCERIA CAIXA'!AT150+'DRE ANTIGA PARCERIA CAIXA'!AT156+'DRE ANTIGA PARCERIA CAIXA'!AT157</f>
        <v>-517</v>
      </c>
      <c r="AU50" s="144">
        <f>'DRE ANTIGA PARCERIA CAIXA'!AU150+'DRE ANTIGA PARCERIA CAIXA'!AU156+'DRE ANTIGA PARCERIA CAIXA'!AU157</f>
        <v>-2987</v>
      </c>
      <c r="AV50" s="153">
        <f>'DRE ANTIGA PARCERIA CAIXA'!AV150+'DRE ANTIGA PARCERIA CAIXA'!AV156+'DRE ANTIGA PARCERIA CAIXA'!AV157</f>
        <v>-32</v>
      </c>
      <c r="AW50" s="121">
        <f>'DRE ANTIGA PARCERIA CAIXA'!AW150+'DRE ANTIGA PARCERIA CAIXA'!AW156+'DRE ANTIGA PARCERIA CAIXA'!AW157</f>
        <v>-257</v>
      </c>
      <c r="AX50" s="121">
        <f>'DRE ANTIGA PARCERIA CAIXA'!AX150+'DRE ANTIGA PARCERIA CAIXA'!AX156+'DRE ANTIGA PARCERIA CAIXA'!AX157</f>
        <v>-1249</v>
      </c>
      <c r="AY50" s="121">
        <f>'DRE ANTIGA PARCERIA CAIXA'!AY150+'DRE ANTIGA PARCERIA CAIXA'!AY156+'DRE ANTIGA PARCERIA CAIXA'!AY157</f>
        <v>-906</v>
      </c>
      <c r="AZ50" s="144">
        <f>'DRE ANTIGA PARCERIA CAIXA'!AZ150+'DRE ANTIGA PARCERIA CAIXA'!AZ156+'DRE ANTIGA PARCERIA CAIXA'!AZ157</f>
        <v>-2444</v>
      </c>
      <c r="BA50" s="121">
        <f>'DRE ANTIGA PARCERIA CAIXA'!BA150+'DRE ANTIGA PARCERIA CAIXA'!BA156+'DRE ANTIGA PARCERIA CAIXA'!BA157</f>
        <v>-1930</v>
      </c>
    </row>
    <row r="51" spans="1:53">
      <c r="A51" s="357"/>
      <c r="B51" s="318" t="s">
        <v>568</v>
      </c>
      <c r="C51" s="12"/>
      <c r="D51" s="12"/>
      <c r="E51" s="12"/>
      <c r="F51" s="12"/>
      <c r="G51" s="40"/>
      <c r="H51" s="12"/>
      <c r="I51" s="12"/>
      <c r="J51" s="12"/>
      <c r="K51" s="12"/>
      <c r="L51" s="40"/>
      <c r="M51" s="12"/>
      <c r="N51" s="12"/>
      <c r="O51" s="12"/>
      <c r="P51" s="12"/>
      <c r="Q51" s="40"/>
      <c r="R51" s="12"/>
      <c r="S51" s="12"/>
      <c r="T51" s="12"/>
      <c r="U51" s="12"/>
      <c r="V51" s="40"/>
      <c r="W51" s="12"/>
      <c r="X51" s="12"/>
      <c r="Y51" s="12"/>
      <c r="Z51" s="153"/>
      <c r="AA51" s="144">
        <f>'DRE ANTIGA PARCERIA CAIXA'!AA180+'DRE ANTIGA PARCERIA CAIXA'!AA186+'DRE ANTIGA PARCERIA CAIXA'!AA187</f>
        <v>-4095.8536800000002</v>
      </c>
      <c r="AB51" s="153">
        <f>'DRE ANTIGA PARCERIA CAIXA'!AB180+'DRE ANTIGA PARCERIA CAIXA'!AB186+'DRE ANTIGA PARCERIA CAIXA'!AB187</f>
        <v>3273.7282699999996</v>
      </c>
      <c r="AC51" s="153">
        <f>'DRE ANTIGA PARCERIA CAIXA'!AC180+'DRE ANTIGA PARCERIA CAIXA'!AC186+'DRE ANTIGA PARCERIA CAIXA'!AC187</f>
        <v>3237.3263999999999</v>
      </c>
      <c r="AD51" s="153">
        <f>'DRE ANTIGA PARCERIA CAIXA'!AD180+'DRE ANTIGA PARCERIA CAIXA'!AD186+'DRE ANTIGA PARCERIA CAIXA'!AD187</f>
        <v>1731.8098200000004</v>
      </c>
      <c r="AE51" s="153">
        <f>'DRE ANTIGA PARCERIA CAIXA'!AE180+'DRE ANTIGA PARCERIA CAIXA'!AE186+'DRE ANTIGA PARCERIA CAIXA'!AE187</f>
        <v>3118.5490099999997</v>
      </c>
      <c r="AF51" s="144">
        <f>'DRE ANTIGA PARCERIA CAIXA'!AF180+'DRE ANTIGA PARCERIA CAIXA'!AF186+'DRE ANTIGA PARCERIA CAIXA'!AF187</f>
        <v>11361.413499999999</v>
      </c>
      <c r="AG51" s="153">
        <f>'DRE ANTIGA PARCERIA CAIXA'!AG180+'DRE ANTIGA PARCERIA CAIXA'!AG186+'DRE ANTIGA PARCERIA CAIXA'!AG187</f>
        <v>746</v>
      </c>
      <c r="AH51" s="153">
        <f>'DRE ANTIGA PARCERIA CAIXA'!AH180+'DRE ANTIGA PARCERIA CAIXA'!AH186+'DRE ANTIGA PARCERIA CAIXA'!AH187</f>
        <v>9988</v>
      </c>
      <c r="AI51" s="153">
        <f>'DRE ANTIGA PARCERIA CAIXA'!AI180+'DRE ANTIGA PARCERIA CAIXA'!AI186+'DRE ANTIGA PARCERIA CAIXA'!AI187</f>
        <v>304</v>
      </c>
      <c r="AJ51" s="153">
        <f>'DRE ANTIGA PARCERIA CAIXA'!AJ180+'DRE ANTIGA PARCERIA CAIXA'!AJ186+'DRE ANTIGA PARCERIA CAIXA'!AJ187</f>
        <v>-39705</v>
      </c>
      <c r="AK51" s="144">
        <f>'DRE ANTIGA PARCERIA CAIXA'!AK180+'DRE ANTIGA PARCERIA CAIXA'!AK186+'DRE ANTIGA PARCERIA CAIXA'!AK187</f>
        <v>-28667</v>
      </c>
      <c r="AL51" s="153"/>
      <c r="AM51" s="153"/>
      <c r="AN51" s="153"/>
      <c r="AO51" s="153"/>
      <c r="AP51" s="144"/>
      <c r="AQ51" s="153"/>
      <c r="AR51" s="153"/>
      <c r="AS51" s="153"/>
      <c r="AT51" s="153"/>
      <c r="AU51" s="144"/>
      <c r="AV51" s="153"/>
      <c r="AW51" s="121"/>
      <c r="AX51" s="121"/>
      <c r="AY51" s="121"/>
      <c r="AZ51" s="144"/>
      <c r="BA51" s="121"/>
    </row>
    <row r="52" spans="1:53">
      <c r="A52" s="357"/>
      <c r="B52" s="318" t="s">
        <v>569</v>
      </c>
      <c r="C52" s="12"/>
      <c r="D52" s="12"/>
      <c r="E52" s="12"/>
      <c r="F52" s="12"/>
      <c r="G52" s="40"/>
      <c r="H52" s="12"/>
      <c r="I52" s="12"/>
      <c r="J52" s="12"/>
      <c r="K52" s="12"/>
      <c r="L52" s="40"/>
      <c r="M52" s="12"/>
      <c r="N52" s="12"/>
      <c r="O52" s="12"/>
      <c r="P52" s="12"/>
      <c r="Q52" s="40"/>
      <c r="R52" s="12"/>
      <c r="S52" s="12"/>
      <c r="T52" s="12"/>
      <c r="U52" s="12"/>
      <c r="V52" s="40"/>
      <c r="W52" s="12"/>
      <c r="X52" s="12"/>
      <c r="Y52" s="12"/>
      <c r="Z52" s="153"/>
      <c r="AA52" s="144">
        <f>'DRE ANTIGA PARCERIA CAIXA'!AA201+'DRE ANTIGA PARCERIA CAIXA'!AA207+'DRE ANTIGA PARCERIA CAIXA'!AA208</f>
        <v>-7027.9817000000003</v>
      </c>
      <c r="AB52" s="153">
        <f>'DRE ANTIGA PARCERIA CAIXA'!AB201+'DRE ANTIGA PARCERIA CAIXA'!AB207+'DRE ANTIGA PARCERIA CAIXA'!AB208</f>
        <v>-1110.83833</v>
      </c>
      <c r="AC52" s="153">
        <f>'DRE ANTIGA PARCERIA CAIXA'!AC201+'DRE ANTIGA PARCERIA CAIXA'!AC207+'DRE ANTIGA PARCERIA CAIXA'!AC208</f>
        <v>-1261.47273</v>
      </c>
      <c r="AD52" s="153">
        <f>'DRE ANTIGA PARCERIA CAIXA'!AD201+'DRE ANTIGA PARCERIA CAIXA'!AD207+'DRE ANTIGA PARCERIA CAIXA'!AD208</f>
        <v>-1013.6038100000003</v>
      </c>
      <c r="AE52" s="153">
        <f>'DRE ANTIGA PARCERIA CAIXA'!AE201+'DRE ANTIGA PARCERIA CAIXA'!AE207+'DRE ANTIGA PARCERIA CAIXA'!AE208</f>
        <v>-514.95389999999986</v>
      </c>
      <c r="AF52" s="144">
        <f>'DRE ANTIGA PARCERIA CAIXA'!AF201+'DRE ANTIGA PARCERIA CAIXA'!AF207+'DRE ANTIGA PARCERIA CAIXA'!AF208</f>
        <v>-3900.8687699999996</v>
      </c>
      <c r="AG52" s="153">
        <f>'DRE ANTIGA PARCERIA CAIXA'!AG201+'DRE ANTIGA PARCERIA CAIXA'!AG207+'DRE ANTIGA PARCERIA CAIXA'!AG208</f>
        <v>-1022</v>
      </c>
      <c r="AH52" s="153">
        <f>'DRE ANTIGA PARCERIA CAIXA'!AH201+'DRE ANTIGA PARCERIA CAIXA'!AH207+'DRE ANTIGA PARCERIA CAIXA'!AH208</f>
        <v>-1176</v>
      </c>
      <c r="AI52" s="153">
        <f>'DRE ANTIGA PARCERIA CAIXA'!AI201+'DRE ANTIGA PARCERIA CAIXA'!AI207+'DRE ANTIGA PARCERIA CAIXA'!AI208</f>
        <v>-1190</v>
      </c>
      <c r="AJ52" s="153">
        <f>'DRE ANTIGA PARCERIA CAIXA'!AJ201+'DRE ANTIGA PARCERIA CAIXA'!AJ207+'DRE ANTIGA PARCERIA CAIXA'!AJ208</f>
        <v>-552</v>
      </c>
      <c r="AK52" s="144">
        <f>'DRE ANTIGA PARCERIA CAIXA'!AK201+'DRE ANTIGA PARCERIA CAIXA'!AK207+'DRE ANTIGA PARCERIA CAIXA'!AK208</f>
        <v>-3940</v>
      </c>
      <c r="AL52" s="153"/>
      <c r="AM52" s="153"/>
      <c r="AN52" s="153"/>
      <c r="AO52" s="153"/>
      <c r="AP52" s="144"/>
      <c r="AQ52" s="153"/>
      <c r="AR52" s="153"/>
      <c r="AS52" s="153"/>
      <c r="AT52" s="153"/>
      <c r="AU52" s="144"/>
      <c r="AV52" s="153"/>
      <c r="AW52" s="121"/>
      <c r="AX52" s="121"/>
      <c r="AY52" s="121"/>
      <c r="AZ52" s="144"/>
      <c r="BA52" s="121"/>
    </row>
    <row r="53" spans="1:53">
      <c r="A53" s="357"/>
      <c r="B53" s="318" t="s">
        <v>570</v>
      </c>
      <c r="C53" s="12"/>
      <c r="D53" s="12"/>
      <c r="E53" s="12"/>
      <c r="F53" s="12"/>
      <c r="G53" s="40"/>
      <c r="H53" s="12"/>
      <c r="I53" s="12"/>
      <c r="J53" s="12"/>
      <c r="K53" s="12"/>
      <c r="L53" s="40"/>
      <c r="M53" s="12"/>
      <c r="N53" s="12"/>
      <c r="O53" s="12"/>
      <c r="P53" s="12"/>
      <c r="Q53" s="40"/>
      <c r="R53" s="12"/>
      <c r="S53" s="12"/>
      <c r="T53" s="12"/>
      <c r="U53" s="12"/>
      <c r="V53" s="40"/>
      <c r="W53" s="12"/>
      <c r="X53" s="12"/>
      <c r="Y53" s="12"/>
      <c r="Z53" s="153"/>
      <c r="AA53" s="144">
        <f>'DRE ANTIGA PARCERIA CAIXA'!AA223+'DRE ANTIGA PARCERIA CAIXA'!AA229+'DRE ANTIGA PARCERIA CAIXA'!AA230</f>
        <v>-1043.74188</v>
      </c>
      <c r="AB53" s="153">
        <f>'DRE ANTIGA PARCERIA CAIXA'!AB223+'DRE ANTIGA PARCERIA CAIXA'!AB229+'DRE ANTIGA PARCERIA CAIXA'!AB230</f>
        <v>-207.84782999999999</v>
      </c>
      <c r="AC53" s="153">
        <f>'DRE ANTIGA PARCERIA CAIXA'!AC223+'DRE ANTIGA PARCERIA CAIXA'!AC229+'DRE ANTIGA PARCERIA CAIXA'!AC230</f>
        <v>-85.542339999999996</v>
      </c>
      <c r="AD53" s="153">
        <f>'DRE ANTIGA PARCERIA CAIXA'!AD223+'DRE ANTIGA PARCERIA CAIXA'!AD229+'DRE ANTIGA PARCERIA CAIXA'!AD230</f>
        <v>-189.70621</v>
      </c>
      <c r="AE53" s="153">
        <f>'DRE ANTIGA PARCERIA CAIXA'!AE223+'DRE ANTIGA PARCERIA CAIXA'!AE229+'DRE ANTIGA PARCERIA CAIXA'!AE230</f>
        <v>-262.24128999999999</v>
      </c>
      <c r="AF53" s="144">
        <f>'DRE ANTIGA PARCERIA CAIXA'!AF223+'DRE ANTIGA PARCERIA CAIXA'!AF229+'DRE ANTIGA PARCERIA CAIXA'!AF230</f>
        <v>-745.33767</v>
      </c>
      <c r="AG53" s="153">
        <f>'DRE ANTIGA PARCERIA CAIXA'!AG223+'DRE ANTIGA PARCERIA CAIXA'!AG229+'DRE ANTIGA PARCERIA CAIXA'!AG230</f>
        <v>-405</v>
      </c>
      <c r="AH53" s="153">
        <f>'DRE ANTIGA PARCERIA CAIXA'!AH223+'DRE ANTIGA PARCERIA CAIXA'!AH229+'DRE ANTIGA PARCERIA CAIXA'!AH230</f>
        <v>-443</v>
      </c>
      <c r="AI53" s="153">
        <f>'DRE ANTIGA PARCERIA CAIXA'!AI223+'DRE ANTIGA PARCERIA CAIXA'!AI229+'DRE ANTIGA PARCERIA CAIXA'!AI230</f>
        <v>-919</v>
      </c>
      <c r="AJ53" s="153">
        <f>'DRE ANTIGA PARCERIA CAIXA'!AJ223+'DRE ANTIGA PARCERIA CAIXA'!AJ229+'DRE ANTIGA PARCERIA CAIXA'!AJ230</f>
        <v>-184</v>
      </c>
      <c r="AK53" s="144">
        <f>'DRE ANTIGA PARCERIA CAIXA'!AK223+'DRE ANTIGA PARCERIA CAIXA'!AK229+'DRE ANTIGA PARCERIA CAIXA'!AK230</f>
        <v>-1951</v>
      </c>
      <c r="AL53" s="153">
        <f>'DRE ANTIGA PARCERIA CAIXA'!AL223+'DRE ANTIGA PARCERIA CAIXA'!AL229+'DRE ANTIGA PARCERIA CAIXA'!AL230</f>
        <v>-741</v>
      </c>
      <c r="AM53" s="153">
        <f>'DRE ANTIGA PARCERIA CAIXA'!AM223+'DRE ANTIGA PARCERIA CAIXA'!AM229+'DRE ANTIGA PARCERIA CAIXA'!AM230</f>
        <v>-683</v>
      </c>
      <c r="AN53" s="153">
        <f>'DRE ANTIGA PARCERIA CAIXA'!AN223+'DRE ANTIGA PARCERIA CAIXA'!AN229+'DRE ANTIGA PARCERIA CAIXA'!AN230</f>
        <v>-695</v>
      </c>
      <c r="AO53" s="153">
        <f>'DRE ANTIGA PARCERIA CAIXA'!AO223+'DRE ANTIGA PARCERIA CAIXA'!AO229+'DRE ANTIGA PARCERIA CAIXA'!AO230</f>
        <v>-641</v>
      </c>
      <c r="AP53" s="144">
        <f>'DRE ANTIGA PARCERIA CAIXA'!AP223+'DRE ANTIGA PARCERIA CAIXA'!AP229+'DRE ANTIGA PARCERIA CAIXA'!AP230</f>
        <v>-2760</v>
      </c>
      <c r="AQ53" s="153">
        <f>'DRE ANTIGA PARCERIA CAIXA'!AQ223+'DRE ANTIGA PARCERIA CAIXA'!AQ229+'DRE ANTIGA PARCERIA CAIXA'!AQ230</f>
        <v>-553</v>
      </c>
      <c r="AR53" s="153">
        <f>'DRE ANTIGA PARCERIA CAIXA'!AR223+'DRE ANTIGA PARCERIA CAIXA'!AR229+'DRE ANTIGA PARCERIA CAIXA'!AR230</f>
        <v>-564</v>
      </c>
      <c r="AS53" s="153">
        <f>'DRE ANTIGA PARCERIA CAIXA'!AS223+'DRE ANTIGA PARCERIA CAIXA'!AS229+'DRE ANTIGA PARCERIA CAIXA'!AS230</f>
        <v>-624</v>
      </c>
      <c r="AT53" s="153">
        <f>'DRE ANTIGA PARCERIA CAIXA'!AT223+'DRE ANTIGA PARCERIA CAIXA'!AT229+'DRE ANTIGA PARCERIA CAIXA'!AT230</f>
        <v>-546</v>
      </c>
      <c r="AU53" s="144">
        <f>'DRE ANTIGA PARCERIA CAIXA'!AU223+'DRE ANTIGA PARCERIA CAIXA'!AU229+'DRE ANTIGA PARCERIA CAIXA'!AU230</f>
        <v>-2287</v>
      </c>
      <c r="AV53" s="153">
        <f>'DRE ANTIGA PARCERIA CAIXA'!AV223+'DRE ANTIGA PARCERIA CAIXA'!AV229+'DRE ANTIGA PARCERIA CAIXA'!AV230</f>
        <v>-769</v>
      </c>
      <c r="AW53" s="121">
        <f>'DRE ANTIGA PARCERIA CAIXA'!AW223+'DRE ANTIGA PARCERIA CAIXA'!AW229+'DRE ANTIGA PARCERIA CAIXA'!AW230</f>
        <v>-657</v>
      </c>
      <c r="AX53" s="121">
        <f>'DRE ANTIGA PARCERIA CAIXA'!AX223+'DRE ANTIGA PARCERIA CAIXA'!AX229+'DRE ANTIGA PARCERIA CAIXA'!AX230</f>
        <v>-831</v>
      </c>
      <c r="AY53" s="121">
        <f>'DRE ANTIGA PARCERIA CAIXA'!AY223+'DRE ANTIGA PARCERIA CAIXA'!AY229+'DRE ANTIGA PARCERIA CAIXA'!AY230</f>
        <v>-808</v>
      </c>
      <c r="AZ53" s="144">
        <f>'DRE ANTIGA PARCERIA CAIXA'!AZ223+'DRE ANTIGA PARCERIA CAIXA'!AZ229+'DRE ANTIGA PARCERIA CAIXA'!AZ230</f>
        <v>-3065</v>
      </c>
      <c r="BA53" s="121">
        <f>'DRE ANTIGA PARCERIA CAIXA'!BA223+'DRE ANTIGA PARCERIA CAIXA'!BA229+'DRE ANTIGA PARCERIA CAIXA'!BA230</f>
        <v>-787</v>
      </c>
    </row>
    <row r="54" spans="1:53">
      <c r="A54" s="357"/>
      <c r="B54" s="318" t="s">
        <v>615</v>
      </c>
      <c r="C54" s="12"/>
      <c r="D54" s="12"/>
      <c r="E54" s="12"/>
      <c r="F54" s="12"/>
      <c r="G54" s="40"/>
      <c r="H54" s="12"/>
      <c r="I54" s="12"/>
      <c r="J54" s="12"/>
      <c r="K54" s="12"/>
      <c r="L54" s="40"/>
      <c r="M54" s="12"/>
      <c r="N54" s="12"/>
      <c r="O54" s="12"/>
      <c r="P54" s="12"/>
      <c r="Q54" s="40"/>
      <c r="R54" s="12"/>
      <c r="S54" s="12"/>
      <c r="T54" s="12"/>
      <c r="U54" s="12"/>
      <c r="V54" s="40"/>
      <c r="W54" s="12"/>
      <c r="X54" s="12"/>
      <c r="Y54" s="12"/>
      <c r="Z54" s="153"/>
      <c r="AA54" s="144">
        <f>'DRE ANTIGA PARCERIA CAIXA'!AA245+'DRE ANTIGA PARCERIA CAIXA'!AA251+'DRE ANTIGA PARCERIA CAIXA'!AA252</f>
        <v>-5662.76685</v>
      </c>
      <c r="AB54" s="153">
        <f>'DRE ANTIGA PARCERIA CAIXA'!AB245+'DRE ANTIGA PARCERIA CAIXA'!AB251+'DRE ANTIGA PARCERIA CAIXA'!AB252</f>
        <v>-1544.3915200000001</v>
      </c>
      <c r="AC54" s="153">
        <f>'DRE ANTIGA PARCERIA CAIXA'!AC245+'DRE ANTIGA PARCERIA CAIXA'!AC251+'DRE ANTIGA PARCERIA CAIXA'!AC252</f>
        <v>-2194.3945899999999</v>
      </c>
      <c r="AD54" s="153">
        <f>'DRE ANTIGA PARCERIA CAIXA'!AD245+'DRE ANTIGA PARCERIA CAIXA'!AD251+'DRE ANTIGA PARCERIA CAIXA'!AD252</f>
        <v>-2926.8606600000003</v>
      </c>
      <c r="AE54" s="153">
        <f>'DRE ANTIGA PARCERIA CAIXA'!AE245+'DRE ANTIGA PARCERIA CAIXA'!AE251+'DRE ANTIGA PARCERIA CAIXA'!AE252</f>
        <v>-3202.7550699999997</v>
      </c>
      <c r="AF54" s="144">
        <f>'DRE ANTIGA PARCERIA CAIXA'!AF245+'DRE ANTIGA PARCERIA CAIXA'!AF251+'DRE ANTIGA PARCERIA CAIXA'!AF252</f>
        <v>-9868.4018400000004</v>
      </c>
      <c r="AG54" s="153">
        <f>'DRE ANTIGA PARCERIA CAIXA'!AG245+'DRE ANTIGA PARCERIA CAIXA'!AG251+'DRE ANTIGA PARCERIA CAIXA'!AG252</f>
        <v>-3883</v>
      </c>
      <c r="AH54" s="153">
        <f>'DRE ANTIGA PARCERIA CAIXA'!AH245+'DRE ANTIGA PARCERIA CAIXA'!AH251+'DRE ANTIGA PARCERIA CAIXA'!AH252</f>
        <v>-5564</v>
      </c>
      <c r="AI54" s="153">
        <f>'DRE ANTIGA PARCERIA CAIXA'!AI245+'DRE ANTIGA PARCERIA CAIXA'!AI251+'DRE ANTIGA PARCERIA CAIXA'!AI252</f>
        <v>-8344</v>
      </c>
      <c r="AJ54" s="153">
        <f>'DRE ANTIGA PARCERIA CAIXA'!AJ245+'DRE ANTIGA PARCERIA CAIXA'!AJ251+'DRE ANTIGA PARCERIA CAIXA'!AJ252</f>
        <v>-1516</v>
      </c>
      <c r="AK54" s="144">
        <f>'DRE ANTIGA PARCERIA CAIXA'!AK245+'DRE ANTIGA PARCERIA CAIXA'!AK251+'DRE ANTIGA PARCERIA CAIXA'!AK252</f>
        <v>-19307</v>
      </c>
      <c r="AL54" s="153">
        <f>'DRE ANTIGA PARCERIA CAIXA'!AL245+'DRE ANTIGA PARCERIA CAIXA'!AL251+'DRE ANTIGA PARCERIA CAIXA'!AL252</f>
        <v>-3774</v>
      </c>
      <c r="AM54" s="153">
        <f>'DRE ANTIGA PARCERIA CAIXA'!AM245+'DRE ANTIGA PARCERIA CAIXA'!AM251+'DRE ANTIGA PARCERIA CAIXA'!AM252</f>
        <v>-3971</v>
      </c>
      <c r="AN54" s="153">
        <f>'DRE ANTIGA PARCERIA CAIXA'!AN245+'DRE ANTIGA PARCERIA CAIXA'!AN251+'DRE ANTIGA PARCERIA CAIXA'!AN252</f>
        <v>-4009</v>
      </c>
      <c r="AO54" s="153">
        <f>'DRE ANTIGA PARCERIA CAIXA'!AO245+'DRE ANTIGA PARCERIA CAIXA'!AO251+'DRE ANTIGA PARCERIA CAIXA'!AO252</f>
        <v>-4071</v>
      </c>
      <c r="AP54" s="144">
        <f>'DRE ANTIGA PARCERIA CAIXA'!AP245+'DRE ANTIGA PARCERIA CAIXA'!AP251+'DRE ANTIGA PARCERIA CAIXA'!AP252</f>
        <v>-15825</v>
      </c>
      <c r="AQ54" s="153">
        <f>'DRE ANTIGA PARCERIA CAIXA'!AQ245+'DRE ANTIGA PARCERIA CAIXA'!AQ251+'DRE ANTIGA PARCERIA CAIXA'!AQ252</f>
        <v>-4142</v>
      </c>
      <c r="AR54" s="153">
        <f>'DRE ANTIGA PARCERIA CAIXA'!AR245+'DRE ANTIGA PARCERIA CAIXA'!AR251+'DRE ANTIGA PARCERIA CAIXA'!AR252</f>
        <v>-4740</v>
      </c>
      <c r="AS54" s="153">
        <f>'DRE ANTIGA PARCERIA CAIXA'!AS245+'DRE ANTIGA PARCERIA CAIXA'!AS251+'DRE ANTIGA PARCERIA CAIXA'!AS252</f>
        <v>-5191</v>
      </c>
      <c r="AT54" s="153">
        <f>'DRE ANTIGA PARCERIA CAIXA'!AT245+'DRE ANTIGA PARCERIA CAIXA'!AT251+'DRE ANTIGA PARCERIA CAIXA'!AT252</f>
        <v>-5835</v>
      </c>
      <c r="AU54" s="144">
        <f>'DRE ANTIGA PARCERIA CAIXA'!AU245+'DRE ANTIGA PARCERIA CAIXA'!AU251+'DRE ANTIGA PARCERIA CAIXA'!AU252</f>
        <v>-19908</v>
      </c>
      <c r="AV54" s="153">
        <f>'DRE ANTIGA PARCERIA CAIXA'!AV245+'DRE ANTIGA PARCERIA CAIXA'!AV251+'DRE ANTIGA PARCERIA CAIXA'!AV252</f>
        <v>-5075</v>
      </c>
      <c r="AW54" s="121">
        <f>'DRE ANTIGA PARCERIA CAIXA'!AW245+'DRE ANTIGA PARCERIA CAIXA'!AW251+'DRE ANTIGA PARCERIA CAIXA'!AW252</f>
        <v>-3866</v>
      </c>
      <c r="AX54" s="121">
        <f>'DRE ANTIGA PARCERIA CAIXA'!AX245+'DRE ANTIGA PARCERIA CAIXA'!AX251+'DRE ANTIGA PARCERIA CAIXA'!AX252</f>
        <v>-5323</v>
      </c>
      <c r="AY54" s="121">
        <f>'DRE ANTIGA PARCERIA CAIXA'!AY245+'DRE ANTIGA PARCERIA CAIXA'!AY251+'DRE ANTIGA PARCERIA CAIXA'!AY252</f>
        <v>-5380</v>
      </c>
      <c r="AZ54" s="144">
        <f>'DRE ANTIGA PARCERIA CAIXA'!AZ245+'DRE ANTIGA PARCERIA CAIXA'!AZ251+'DRE ANTIGA PARCERIA CAIXA'!AZ252</f>
        <v>-19644</v>
      </c>
      <c r="BA54" s="121">
        <f>'DRE ANTIGA PARCERIA CAIXA'!BA245+'DRE ANTIGA PARCERIA CAIXA'!BA251+'DRE ANTIGA PARCERIA CAIXA'!BA252</f>
        <v>-7015</v>
      </c>
    </row>
    <row r="55" spans="1:53">
      <c r="A55" s="357"/>
      <c r="B55" s="318" t="s">
        <v>616</v>
      </c>
      <c r="C55" s="12"/>
      <c r="D55" s="12"/>
      <c r="E55" s="12"/>
      <c r="F55" s="12"/>
      <c r="G55" s="40"/>
      <c r="H55" s="12"/>
      <c r="I55" s="12"/>
      <c r="J55" s="12"/>
      <c r="K55" s="12"/>
      <c r="L55" s="40"/>
      <c r="M55" s="12"/>
      <c r="N55" s="12"/>
      <c r="O55" s="12"/>
      <c r="P55" s="12"/>
      <c r="Q55" s="40"/>
      <c r="R55" s="12"/>
      <c r="S55" s="12"/>
      <c r="T55" s="12"/>
      <c r="U55" s="12"/>
      <c r="V55" s="40"/>
      <c r="W55" s="12"/>
      <c r="X55" s="12"/>
      <c r="Y55" s="12"/>
      <c r="Z55" s="153"/>
      <c r="AA55" s="144">
        <f>'DRE ANTIGA PARCERIA CAIXA'!AA267+'DRE ANTIGA PARCERIA CAIXA'!AA273+'DRE ANTIGA PARCERIA CAIXA'!AA274</f>
        <v>-5099.4801500000012</v>
      </c>
      <c r="AB55" s="153">
        <f>'DRE ANTIGA PARCERIA CAIXA'!AB267+'DRE ANTIGA PARCERIA CAIXA'!AB273+'DRE ANTIGA PARCERIA CAIXA'!AB274</f>
        <v>4164.5944600000003</v>
      </c>
      <c r="AC55" s="153">
        <f>'DRE ANTIGA PARCERIA CAIXA'!AC267+'DRE ANTIGA PARCERIA CAIXA'!AC273+'DRE ANTIGA PARCERIA CAIXA'!AC274</f>
        <v>2436.1364400000002</v>
      </c>
      <c r="AD55" s="153">
        <f>'DRE ANTIGA PARCERIA CAIXA'!AD267+'DRE ANTIGA PARCERIA CAIXA'!AD273+'DRE ANTIGA PARCERIA CAIXA'!AD274</f>
        <v>8435.4518799999987</v>
      </c>
      <c r="AE55" s="153">
        <f>'DRE ANTIGA PARCERIA CAIXA'!AE267+'DRE ANTIGA PARCERIA CAIXA'!AE273+'DRE ANTIGA PARCERIA CAIXA'!AE274</f>
        <v>377.49830999999955</v>
      </c>
      <c r="AF55" s="144">
        <f>'DRE ANTIGA PARCERIA CAIXA'!AF267+'DRE ANTIGA PARCERIA CAIXA'!AF273+'DRE ANTIGA PARCERIA CAIXA'!AF274</f>
        <v>15413.681089999998</v>
      </c>
      <c r="AG55" s="153">
        <f>'DRE ANTIGA PARCERIA CAIXA'!AG267+'DRE ANTIGA PARCERIA CAIXA'!AG273+'DRE ANTIGA PARCERIA CAIXA'!AG274</f>
        <v>-1674</v>
      </c>
      <c r="AH55" s="153">
        <f>'DRE ANTIGA PARCERIA CAIXA'!AH267+'DRE ANTIGA PARCERIA CAIXA'!AH273+'DRE ANTIGA PARCERIA CAIXA'!AH274</f>
        <v>-5294</v>
      </c>
      <c r="AI55" s="153">
        <f>'DRE ANTIGA PARCERIA CAIXA'!AI267+'DRE ANTIGA PARCERIA CAIXA'!AI273+'DRE ANTIGA PARCERIA CAIXA'!AI274</f>
        <v>-5811</v>
      </c>
      <c r="AJ55" s="153">
        <f>'DRE ANTIGA PARCERIA CAIXA'!AJ267+'DRE ANTIGA PARCERIA CAIXA'!AJ273+'DRE ANTIGA PARCERIA CAIXA'!AJ274</f>
        <v>1229</v>
      </c>
      <c r="AK55" s="144">
        <f>'DRE ANTIGA PARCERIA CAIXA'!AK267+'DRE ANTIGA PARCERIA CAIXA'!AK273+'DRE ANTIGA PARCERIA CAIXA'!AK274</f>
        <v>-11550</v>
      </c>
      <c r="AL55" s="153">
        <f>'DRE ANTIGA PARCERIA CAIXA'!AL267+'DRE ANTIGA PARCERIA CAIXA'!AL273+'DRE ANTIGA PARCERIA CAIXA'!AL274</f>
        <v>-2614</v>
      </c>
      <c r="AM55" s="153">
        <f>'DRE ANTIGA PARCERIA CAIXA'!AM267+'DRE ANTIGA PARCERIA CAIXA'!AM273+'DRE ANTIGA PARCERIA CAIXA'!AM274</f>
        <v>-2906</v>
      </c>
      <c r="AN55" s="475">
        <f>'DRE ANTIGA PARCERIA CAIXA'!AN267+'DRE ANTIGA PARCERIA CAIXA'!AN273+'DRE ANTIGA PARCERIA CAIXA'!AN274</f>
        <v>-5705</v>
      </c>
      <c r="AO55" s="153">
        <f>'DRE ANTIGA PARCERIA CAIXA'!AO267+'DRE ANTIGA PARCERIA CAIXA'!AO273+'DRE ANTIGA PARCERIA CAIXA'!AO274</f>
        <v>-7504</v>
      </c>
      <c r="AP55" s="144">
        <f>'DRE ANTIGA PARCERIA CAIXA'!AP267+'DRE ANTIGA PARCERIA CAIXA'!AP273+'DRE ANTIGA PARCERIA CAIXA'!AP274</f>
        <v>-18729</v>
      </c>
      <c r="AQ55" s="153">
        <f>'DRE ANTIGA PARCERIA CAIXA'!AQ267+'DRE ANTIGA PARCERIA CAIXA'!AQ273+'DRE ANTIGA PARCERIA CAIXA'!AQ274</f>
        <v>-3289</v>
      </c>
      <c r="AR55" s="153">
        <f>'DRE ANTIGA PARCERIA CAIXA'!AR267+'DRE ANTIGA PARCERIA CAIXA'!AR273+'DRE ANTIGA PARCERIA CAIXA'!AR274</f>
        <v>-4463</v>
      </c>
      <c r="AS55" s="475">
        <f>'DRE ANTIGA PARCERIA CAIXA'!AS267+'DRE ANTIGA PARCERIA CAIXA'!AS273+'DRE ANTIGA PARCERIA CAIXA'!AS274</f>
        <v>-4926</v>
      </c>
      <c r="AT55" s="153">
        <f>'DRE ANTIGA PARCERIA CAIXA'!AT267+'DRE ANTIGA PARCERIA CAIXA'!AT273+'DRE ANTIGA PARCERIA CAIXA'!AT274</f>
        <v>22590</v>
      </c>
      <c r="AU55" s="144">
        <f>'DRE ANTIGA PARCERIA CAIXA'!AU267+'DRE ANTIGA PARCERIA CAIXA'!AU273+'DRE ANTIGA PARCERIA CAIXA'!AU274</f>
        <v>9912</v>
      </c>
      <c r="AV55" s="153">
        <f>'DRE ANTIGA PARCERIA CAIXA'!AV267+'DRE ANTIGA PARCERIA CAIXA'!AV273+'DRE ANTIGA PARCERIA CAIXA'!AV274</f>
        <v>-10176</v>
      </c>
      <c r="AW55" s="121">
        <f>'DRE ANTIGA PARCERIA CAIXA'!AW267+'DRE ANTIGA PARCERIA CAIXA'!AW273+'DRE ANTIGA PARCERIA CAIXA'!AW274</f>
        <v>-868</v>
      </c>
      <c r="AX55" s="121">
        <f>'DRE ANTIGA PARCERIA CAIXA'!AX267+'DRE ANTIGA PARCERIA CAIXA'!AX273+'DRE ANTIGA PARCERIA CAIXA'!AX274</f>
        <v>-11534</v>
      </c>
      <c r="AY55" s="121">
        <f>'DRE ANTIGA PARCERIA CAIXA'!AY267+'DRE ANTIGA PARCERIA CAIXA'!AY273+'DRE ANTIGA PARCERIA CAIXA'!AY274</f>
        <v>-3708</v>
      </c>
      <c r="AZ55" s="144">
        <f>'DRE ANTIGA PARCERIA CAIXA'!AZ267+'DRE ANTIGA PARCERIA CAIXA'!AZ273+'DRE ANTIGA PARCERIA CAIXA'!AZ274</f>
        <v>-26286</v>
      </c>
      <c r="BA55" s="121">
        <f>'DRE ANTIGA PARCERIA CAIXA'!BA267+'DRE ANTIGA PARCERIA CAIXA'!BA273+'DRE ANTIGA PARCERIA CAIXA'!BA274</f>
        <v>-4625</v>
      </c>
    </row>
    <row r="56" spans="1:53" s="2" customFormat="1">
      <c r="A56" s="363"/>
      <c r="B56" s="21" t="s">
        <v>617</v>
      </c>
      <c r="C56" s="218"/>
      <c r="D56" s="218"/>
      <c r="E56" s="218"/>
      <c r="F56" s="218"/>
      <c r="G56" s="364"/>
      <c r="H56" s="218"/>
      <c r="I56" s="218"/>
      <c r="J56" s="218"/>
      <c r="K56" s="218"/>
      <c r="L56" s="364"/>
      <c r="M56" s="218"/>
      <c r="N56" s="218"/>
      <c r="O56" s="218"/>
      <c r="P56" s="218"/>
      <c r="Q56" s="364"/>
      <c r="R56" s="218"/>
      <c r="S56" s="218"/>
      <c r="T56" s="218"/>
      <c r="U56" s="218"/>
      <c r="V56" s="364"/>
      <c r="W56" s="218"/>
      <c r="X56" s="218"/>
      <c r="Y56" s="218"/>
      <c r="Z56" s="365"/>
      <c r="AA56" s="366">
        <f t="shared" ref="AA56:AM56" si="36">AA57+AA58</f>
        <v>-72950.033289999992</v>
      </c>
      <c r="AB56" s="365">
        <f t="shared" si="36"/>
        <v>-22782</v>
      </c>
      <c r="AC56" s="365">
        <f t="shared" si="36"/>
        <v>-20539</v>
      </c>
      <c r="AD56" s="365">
        <f t="shared" si="36"/>
        <v>-16111.218510000001</v>
      </c>
      <c r="AE56" s="365">
        <f t="shared" si="36"/>
        <v>-13544</v>
      </c>
      <c r="AF56" s="366">
        <f t="shared" si="36"/>
        <v>-72976.218510000006</v>
      </c>
      <c r="AG56" s="365">
        <f t="shared" si="36"/>
        <v>-34431</v>
      </c>
      <c r="AH56" s="365">
        <f t="shared" si="36"/>
        <v>-36286</v>
      </c>
      <c r="AI56" s="365">
        <f t="shared" si="36"/>
        <v>-55800</v>
      </c>
      <c r="AJ56" s="365">
        <f t="shared" si="36"/>
        <v>-45151</v>
      </c>
      <c r="AK56" s="366">
        <f t="shared" si="36"/>
        <v>-171668</v>
      </c>
      <c r="AL56" s="365">
        <f t="shared" si="36"/>
        <v>-66961</v>
      </c>
      <c r="AM56" s="365">
        <f t="shared" si="36"/>
        <v>-62789</v>
      </c>
      <c r="AN56" s="365">
        <f t="shared" ref="AN56:AO56" si="37">AN57+AN58</f>
        <v>-69422</v>
      </c>
      <c r="AO56" s="365">
        <f t="shared" si="37"/>
        <v>-58623.809000000001</v>
      </c>
      <c r="AP56" s="366">
        <f>AP57+AP58</f>
        <v>-257795.80900000001</v>
      </c>
      <c r="AQ56" s="365">
        <f t="shared" ref="AQ56:AT56" si="38">AQ57+AQ58</f>
        <v>-86160.486999999994</v>
      </c>
      <c r="AR56" s="365">
        <f t="shared" si="38"/>
        <v>-79013.709000000003</v>
      </c>
      <c r="AS56" s="365">
        <f t="shared" si="38"/>
        <v>-94100.332999999999</v>
      </c>
      <c r="AT56" s="365">
        <f t="shared" si="38"/>
        <v>-76178.91</v>
      </c>
      <c r="AU56" s="366">
        <f>AU57+AU58</f>
        <v>-335453.43900000001</v>
      </c>
      <c r="AV56" s="365">
        <f t="shared" ref="AV56" si="39">AV57+AV58</f>
        <v>-93042.934999999998</v>
      </c>
      <c r="AW56" s="367">
        <f>AW57+AW58</f>
        <v>-89945.01</v>
      </c>
      <c r="AX56" s="367">
        <f>AX57+AX58</f>
        <v>-105172.57399999999</v>
      </c>
      <c r="AY56" s="367">
        <f>AY57+AY58</f>
        <v>-64286.462</v>
      </c>
      <c r="AZ56" s="366">
        <f>AZ57+AZ58</f>
        <v>-352446.98100000003</v>
      </c>
      <c r="BA56" s="367">
        <f>BA57+BA58</f>
        <v>-120617.16899999999</v>
      </c>
    </row>
    <row r="57" spans="1:53">
      <c r="A57" s="357"/>
      <c r="B57" s="11" t="s">
        <v>269</v>
      </c>
      <c r="C57" s="12"/>
      <c r="D57" s="12"/>
      <c r="E57" s="12"/>
      <c r="F57" s="12"/>
      <c r="G57" s="40"/>
      <c r="H57" s="12"/>
      <c r="I57" s="12"/>
      <c r="J57" s="12"/>
      <c r="K57" s="12"/>
      <c r="L57" s="40"/>
      <c r="M57" s="12"/>
      <c r="N57" s="12"/>
      <c r="O57" s="12"/>
      <c r="P57" s="12"/>
      <c r="Q57" s="40"/>
      <c r="R57" s="12"/>
      <c r="S57" s="12"/>
      <c r="T57" s="12"/>
      <c r="U57" s="12"/>
      <c r="V57" s="40"/>
      <c r="W57" s="12"/>
      <c r="X57" s="12"/>
      <c r="Y57" s="12"/>
      <c r="Z57" s="153"/>
      <c r="AA57" s="144">
        <f>'DRE PARCERIAS BANCO PAN'!AA18+'DRE PARCERIAS BANCO PAN'!AA25+'DRE PARCERIAS BANCO PAN'!AA26</f>
        <v>-62975</v>
      </c>
      <c r="AB57" s="153">
        <f>'DRE PARCERIAS BANCO PAN'!AB18+'DRE PARCERIAS BANCO PAN'!AB25+'DRE PARCERIAS BANCO PAN'!AB26</f>
        <v>-20656</v>
      </c>
      <c r="AC57" s="153">
        <f>'DRE PARCERIAS BANCO PAN'!AC18+'DRE PARCERIAS BANCO PAN'!AC25+'DRE PARCERIAS BANCO PAN'!AC26</f>
        <v>-18481</v>
      </c>
      <c r="AD57" s="153">
        <f>'DRE PARCERIAS BANCO PAN'!AD18+'DRE PARCERIAS BANCO PAN'!AD25+'DRE PARCERIAS BANCO PAN'!AD26</f>
        <v>-14347</v>
      </c>
      <c r="AE57" s="153">
        <f>'DRE PARCERIAS BANCO PAN'!AE18+'DRE PARCERIAS BANCO PAN'!AE25+'DRE PARCERIAS BANCO PAN'!AE26</f>
        <v>-11594</v>
      </c>
      <c r="AF57" s="144">
        <f>'DRE PARCERIAS BANCO PAN'!AF18+'DRE PARCERIAS BANCO PAN'!AF25+'DRE PARCERIAS BANCO PAN'!AF26</f>
        <v>-65078</v>
      </c>
      <c r="AG57" s="153">
        <f>'DRE PARCERIAS BANCO PAN'!AG18+'DRE PARCERIAS BANCO PAN'!AG25+'DRE PARCERIAS BANCO PAN'!AG26</f>
        <v>-32506</v>
      </c>
      <c r="AH57" s="153">
        <f>'DRE PARCERIAS BANCO PAN'!AH18+'DRE PARCERIAS BANCO PAN'!AH25+'DRE PARCERIAS BANCO PAN'!AH26</f>
        <v>-34280</v>
      </c>
      <c r="AI57" s="153">
        <f>'DRE PARCERIAS BANCO PAN'!AI18+'DRE PARCERIAS BANCO PAN'!AI25+'DRE PARCERIAS BANCO PAN'!AI26</f>
        <v>-53486</v>
      </c>
      <c r="AJ57" s="153">
        <f>'DRE PARCERIAS BANCO PAN'!AJ18+'DRE PARCERIAS BANCO PAN'!AJ25+'DRE PARCERIAS BANCO PAN'!AJ26</f>
        <v>-42608</v>
      </c>
      <c r="AK57" s="144">
        <f>'DRE PARCERIAS BANCO PAN'!AK18+'DRE PARCERIAS BANCO PAN'!AK25+'DRE PARCERIAS BANCO PAN'!AK26</f>
        <v>-162880</v>
      </c>
      <c r="AL57" s="153">
        <f>'DRE PARCERIAS BANCO PAN'!AL18+'DRE PARCERIAS BANCO PAN'!AL25+'DRE PARCERIAS BANCO PAN'!AL26</f>
        <v>-64341</v>
      </c>
      <c r="AM57" s="153">
        <f>'DRE PARCERIAS BANCO PAN'!AM18+'DRE PARCERIAS BANCO PAN'!AM25+'DRE PARCERIAS BANCO PAN'!AM26</f>
        <v>-60672</v>
      </c>
      <c r="AN57" s="153">
        <f>'DRE PARCERIAS BANCO PAN'!AN18+'DRE PARCERIAS BANCO PAN'!AN25+'DRE PARCERIAS BANCO PAN'!AN26</f>
        <v>-66812</v>
      </c>
      <c r="AO57" s="153">
        <f>'DRE PARCERIAS BANCO PAN'!AO18+'DRE PARCERIAS BANCO PAN'!AO25+'DRE PARCERIAS BANCO PAN'!AO26</f>
        <v>-55412</v>
      </c>
      <c r="AP57" s="144">
        <f>'DRE PARCERIAS BANCO PAN'!AP18+'DRE PARCERIAS BANCO PAN'!AP25+'DRE PARCERIAS BANCO PAN'!AP26</f>
        <v>-247237</v>
      </c>
      <c r="AQ57" s="153">
        <f>'DRE PARCERIAS BANCO PAN'!AQ18+'DRE PARCERIAS BANCO PAN'!AQ25+'DRE PARCERIAS BANCO PAN'!AQ26</f>
        <v>-83030</v>
      </c>
      <c r="AR57" s="153">
        <f>'DRE PARCERIAS BANCO PAN'!AR18+'DRE PARCERIAS BANCO PAN'!AR25+'DRE PARCERIAS BANCO PAN'!AR26</f>
        <v>-77416</v>
      </c>
      <c r="AS57" s="153">
        <f>'DRE PARCERIAS BANCO PAN'!AS18+'DRE PARCERIAS BANCO PAN'!AS25+'DRE PARCERIAS BANCO PAN'!AS26</f>
        <v>-92277</v>
      </c>
      <c r="AT57" s="153">
        <f>'DRE PARCERIAS BANCO PAN'!AT18+'DRE PARCERIAS BANCO PAN'!AT25+'DRE PARCERIAS BANCO PAN'!AT26</f>
        <v>-74231</v>
      </c>
      <c r="AU57" s="144">
        <f>'DRE PARCERIAS BANCO PAN'!AU18+'DRE PARCERIAS BANCO PAN'!AU25+'DRE PARCERIAS BANCO PAN'!AU26</f>
        <v>-326954</v>
      </c>
      <c r="AV57" s="153">
        <f>'DRE PARCERIAS BANCO PAN'!AV18+'DRE PARCERIAS BANCO PAN'!AV25+'DRE PARCERIAS BANCO PAN'!AV26</f>
        <v>-90140</v>
      </c>
      <c r="AW57" s="121">
        <f>'DRE PARCERIAS BANCO PAN'!AW18+'DRE PARCERIAS BANCO PAN'!AW25+'DRE PARCERIAS BANCO PAN'!AW26</f>
        <v>-87981</v>
      </c>
      <c r="AX57" s="121">
        <f>'DRE PARCERIAS BANCO PAN'!AX18+'DRE PARCERIAS BANCO PAN'!AX25+'DRE PARCERIAS BANCO PAN'!AX26</f>
        <v>-103041</v>
      </c>
      <c r="AY57" s="121">
        <f>'DRE PARCERIAS BANCO PAN'!AY18+'DRE PARCERIAS BANCO PAN'!AY25+'DRE PARCERIAS BANCO PAN'!AY26</f>
        <v>-63485</v>
      </c>
      <c r="AZ57" s="144">
        <f>'DRE PARCERIAS BANCO PAN'!AZ18+'DRE PARCERIAS BANCO PAN'!AZ25+'DRE PARCERIAS BANCO PAN'!AZ26</f>
        <v>-344647</v>
      </c>
      <c r="BA57" s="121">
        <f>'DRE PARCERIAS BANCO PAN'!BA18+'DRE PARCERIAS BANCO PAN'!BA25+'DRE PARCERIAS BANCO PAN'!BA26</f>
        <v>-118276</v>
      </c>
    </row>
    <row r="58" spans="1:53">
      <c r="A58" s="357"/>
      <c r="B58" s="11" t="s">
        <v>618</v>
      </c>
      <c r="C58" s="12"/>
      <c r="D58" s="12"/>
      <c r="E58" s="12"/>
      <c r="F58" s="12"/>
      <c r="G58" s="40"/>
      <c r="H58" s="12"/>
      <c r="I58" s="12"/>
      <c r="J58" s="12"/>
      <c r="K58" s="12"/>
      <c r="L58" s="40"/>
      <c r="M58" s="12"/>
      <c r="N58" s="12"/>
      <c r="O58" s="12"/>
      <c r="P58" s="12"/>
      <c r="Q58" s="40"/>
      <c r="R58" s="12"/>
      <c r="S58" s="12"/>
      <c r="T58" s="12"/>
      <c r="U58" s="12"/>
      <c r="V58" s="40"/>
      <c r="W58" s="12"/>
      <c r="X58" s="12"/>
      <c r="Y58" s="12"/>
      <c r="Z58" s="153"/>
      <c r="AA58" s="144">
        <f>'DRE PARCERIAS BANCO PAN'!AA35+'DRE PARCERIAS BANCO PAN'!AA42+'DRE PARCERIAS BANCO PAN'!AA43</f>
        <v>-9975.0332899999994</v>
      </c>
      <c r="AB58" s="153">
        <f>'DRE PARCERIAS BANCO PAN'!AB35+'DRE PARCERIAS BANCO PAN'!AB42+'DRE PARCERIAS BANCO PAN'!AB43</f>
        <v>-2126</v>
      </c>
      <c r="AC58" s="153">
        <f>'DRE PARCERIAS BANCO PAN'!AC35+'DRE PARCERIAS BANCO PAN'!AC42+'DRE PARCERIAS BANCO PAN'!AC43</f>
        <v>-2058</v>
      </c>
      <c r="AD58" s="153">
        <f>'DRE PARCERIAS BANCO PAN'!AD35+'DRE PARCERIAS BANCO PAN'!AD42+'DRE PARCERIAS BANCO PAN'!AD43</f>
        <v>-1764.2185099999999</v>
      </c>
      <c r="AE58" s="153">
        <f>'DRE PARCERIAS BANCO PAN'!AE35+'DRE PARCERIAS BANCO PAN'!AE42+'DRE PARCERIAS BANCO PAN'!AE43</f>
        <v>-1950</v>
      </c>
      <c r="AF58" s="144">
        <f>'DRE PARCERIAS BANCO PAN'!AF35+'DRE PARCERIAS BANCO PAN'!AF42+'DRE PARCERIAS BANCO PAN'!AF43</f>
        <v>-7898.2185100000006</v>
      </c>
      <c r="AG58" s="153">
        <f>'DRE PARCERIAS BANCO PAN'!AG35+'DRE PARCERIAS BANCO PAN'!AG42+'DRE PARCERIAS BANCO PAN'!AG43</f>
        <v>-1925</v>
      </c>
      <c r="AH58" s="153">
        <f>'DRE PARCERIAS BANCO PAN'!AH35+'DRE PARCERIAS BANCO PAN'!AH42+'DRE PARCERIAS BANCO PAN'!AH43</f>
        <v>-2006</v>
      </c>
      <c r="AI58" s="153">
        <f>'DRE PARCERIAS BANCO PAN'!AI35+'DRE PARCERIAS BANCO PAN'!AI42+'DRE PARCERIAS BANCO PAN'!AI43</f>
        <v>-2314</v>
      </c>
      <c r="AJ58" s="153">
        <f>'DRE PARCERIAS BANCO PAN'!AJ35+'DRE PARCERIAS BANCO PAN'!AJ42+'DRE PARCERIAS BANCO PAN'!AJ43</f>
        <v>-2543</v>
      </c>
      <c r="AK58" s="144">
        <f>'DRE PARCERIAS BANCO PAN'!AK35+'DRE PARCERIAS BANCO PAN'!AK42+'DRE PARCERIAS BANCO PAN'!AK43</f>
        <v>-8788</v>
      </c>
      <c r="AL58" s="153">
        <f>'DRE PARCERIAS BANCO PAN'!AL35+'DRE PARCERIAS BANCO PAN'!AL42+'DRE PARCERIAS BANCO PAN'!AL43</f>
        <v>-2620</v>
      </c>
      <c r="AM58" s="153">
        <f>'DRE PARCERIAS BANCO PAN'!AM35+'DRE PARCERIAS BANCO PAN'!AM42+'DRE PARCERIAS BANCO PAN'!AM43</f>
        <v>-2117</v>
      </c>
      <c r="AN58" s="153">
        <f>'DRE PARCERIAS BANCO PAN'!AN35+'DRE PARCERIAS BANCO PAN'!AN42+'DRE PARCERIAS BANCO PAN'!AN43</f>
        <v>-2610</v>
      </c>
      <c r="AO58" s="153">
        <f>'DRE PARCERIAS BANCO PAN'!AO35+'DRE PARCERIAS BANCO PAN'!AO42+'DRE PARCERIAS BANCO PAN'!AO43</f>
        <v>-3211.8090000000002</v>
      </c>
      <c r="AP58" s="144">
        <f>'DRE PARCERIAS BANCO PAN'!AP35+'DRE PARCERIAS BANCO PAN'!AP42+'DRE PARCERIAS BANCO PAN'!AP43</f>
        <v>-10558.809000000001</v>
      </c>
      <c r="AQ58" s="153">
        <f>'DRE PARCERIAS BANCO PAN'!AQ35+'DRE PARCERIAS BANCO PAN'!AQ42+'DRE PARCERIAS BANCO PAN'!AQ43</f>
        <v>-3130.4870000000001</v>
      </c>
      <c r="AR58" s="153">
        <f>'DRE PARCERIAS BANCO PAN'!AR35+'DRE PARCERIAS BANCO PAN'!AR42+'DRE PARCERIAS BANCO PAN'!AR43</f>
        <v>-1597.7090000000003</v>
      </c>
      <c r="AS58" s="153">
        <f>'DRE PARCERIAS BANCO PAN'!AS35+'DRE PARCERIAS BANCO PAN'!AS42+'DRE PARCERIAS BANCO PAN'!AS43</f>
        <v>-1823.3330000000001</v>
      </c>
      <c r="AT58" s="153">
        <f>'DRE PARCERIAS BANCO PAN'!AT35+'DRE PARCERIAS BANCO PAN'!AT42+'DRE PARCERIAS BANCO PAN'!AT43</f>
        <v>-1947.9099999999996</v>
      </c>
      <c r="AU58" s="144">
        <f>'DRE PARCERIAS BANCO PAN'!AU35+'DRE PARCERIAS BANCO PAN'!AU42+'DRE PARCERIAS BANCO PAN'!AU43</f>
        <v>-8499.4390000000003</v>
      </c>
      <c r="AV58" s="153">
        <f>'DRE PARCERIAS BANCO PAN'!AV35+'DRE PARCERIAS BANCO PAN'!AV42+'DRE PARCERIAS BANCO PAN'!AV43</f>
        <v>-2902.9349999999999</v>
      </c>
      <c r="AW58" s="121">
        <f>'DRE PARCERIAS BANCO PAN'!AW35+'DRE PARCERIAS BANCO PAN'!AW42+'DRE PARCERIAS BANCO PAN'!AW43</f>
        <v>-1964.0100000000002</v>
      </c>
      <c r="AX58" s="121">
        <f>'DRE PARCERIAS BANCO PAN'!AX35+'DRE PARCERIAS BANCO PAN'!AX42+'DRE PARCERIAS BANCO PAN'!AX43</f>
        <v>-2131.5740000000001</v>
      </c>
      <c r="AY58" s="121">
        <f>'DRE PARCERIAS BANCO PAN'!AY35+'DRE PARCERIAS BANCO PAN'!AY42+'DRE PARCERIAS BANCO PAN'!AY43</f>
        <v>-801.46199999999953</v>
      </c>
      <c r="AZ58" s="144">
        <f>'DRE PARCERIAS BANCO PAN'!AZ35+'DRE PARCERIAS BANCO PAN'!AZ42+'DRE PARCERIAS BANCO PAN'!AZ43</f>
        <v>-7799.9809999999998</v>
      </c>
      <c r="BA58" s="121">
        <f>'DRE PARCERIAS BANCO PAN'!BA35+'DRE PARCERIAS BANCO PAN'!BA42+'DRE PARCERIAS BANCO PAN'!BA43</f>
        <v>-2341.1689999999999</v>
      </c>
    </row>
    <row r="59" spans="1:53" s="2" customFormat="1">
      <c r="A59" s="363"/>
      <c r="B59" s="21" t="s">
        <v>441</v>
      </c>
      <c r="C59" s="218"/>
      <c r="D59" s="218"/>
      <c r="E59" s="218"/>
      <c r="F59" s="218"/>
      <c r="G59" s="364"/>
      <c r="H59" s="218"/>
      <c r="I59" s="218"/>
      <c r="J59" s="218"/>
      <c r="K59" s="218"/>
      <c r="L59" s="364"/>
      <c r="M59" s="218"/>
      <c r="N59" s="218"/>
      <c r="O59" s="218"/>
      <c r="P59" s="218"/>
      <c r="Q59" s="364"/>
      <c r="R59" s="218"/>
      <c r="S59" s="218"/>
      <c r="T59" s="218"/>
      <c r="U59" s="218"/>
      <c r="V59" s="364"/>
      <c r="W59" s="218"/>
      <c r="X59" s="218"/>
      <c r="Y59" s="218"/>
      <c r="Z59" s="365"/>
      <c r="AA59" s="366">
        <f>'DRE CAIXA SEGURIDADE'!AA43+'DRE CAIXA SEGURIDADE'!AA54</f>
        <v>-361081.54200999998</v>
      </c>
      <c r="AB59" s="365">
        <f>'DRE CAIXA SEGURIDADE'!AB43+'DRE CAIXA SEGURIDADE'!AB54</f>
        <v>-74982.590079999994</v>
      </c>
      <c r="AC59" s="365">
        <f>'DRE CAIXA SEGURIDADE'!AC43+'DRE CAIXA SEGURIDADE'!AC54</f>
        <v>-76788.417580000008</v>
      </c>
      <c r="AD59" s="365">
        <f>'DRE CAIXA SEGURIDADE'!AD43+'DRE CAIXA SEGURIDADE'!AD54</f>
        <v>-137294.12749999997</v>
      </c>
      <c r="AE59" s="365">
        <f>'DRE CAIXA SEGURIDADE'!AE43+'DRE CAIXA SEGURIDADE'!AE54</f>
        <v>-139707.21619000004</v>
      </c>
      <c r="AF59" s="366">
        <f>'DRE CAIXA SEGURIDADE'!AF43+'DRE CAIXA SEGURIDADE'!AF54</f>
        <v>-428772.35135000001</v>
      </c>
      <c r="AG59" s="365">
        <f>'DRE CAIXA SEGURIDADE'!AG43+'DRE CAIXA SEGURIDADE'!AG54</f>
        <v>-125315</v>
      </c>
      <c r="AH59" s="365">
        <f>'DRE CAIXA SEGURIDADE'!AH43+'DRE CAIXA SEGURIDADE'!AH54</f>
        <v>-147997</v>
      </c>
      <c r="AI59" s="365">
        <f>'DRE CAIXA SEGURIDADE'!AI43+'DRE CAIXA SEGURIDADE'!AI54</f>
        <v>-193190</v>
      </c>
      <c r="AJ59" s="365">
        <f>'DRE CAIXA SEGURIDADE'!AJ43+'DRE CAIXA SEGURIDADE'!AJ54</f>
        <v>-152648</v>
      </c>
      <c r="AK59" s="366">
        <f>'DRE CAIXA SEGURIDADE'!AK43+'DRE CAIXA SEGURIDADE'!AK54</f>
        <v>-619150</v>
      </c>
      <c r="AL59" s="365">
        <f>'DRE CAIXA SEGURIDADE'!AL43+'DRE CAIXA SEGURIDADE'!AL54</f>
        <v>-166025</v>
      </c>
      <c r="AM59" s="365">
        <f>'DRE CAIXA SEGURIDADE'!AM43+'DRE CAIXA SEGURIDADE'!AM54</f>
        <v>-173285</v>
      </c>
      <c r="AN59" s="365">
        <f>'DRE CAIXA SEGURIDADE'!AN43+'DRE CAIXA SEGURIDADE'!AN54</f>
        <v>-181177</v>
      </c>
      <c r="AO59" s="365">
        <f>'DRE CAIXA SEGURIDADE'!AO43+'DRE CAIXA SEGURIDADE'!AO54</f>
        <v>-199059</v>
      </c>
      <c r="AP59" s="366">
        <f>'DRE CAIXA SEGURIDADE'!AP43+'DRE CAIXA SEGURIDADE'!AP54</f>
        <v>-719546</v>
      </c>
      <c r="AQ59" s="365">
        <f>'DRE CAIXA SEGURIDADE'!AQ43+'DRE CAIXA SEGURIDADE'!AQ54</f>
        <v>-183374</v>
      </c>
      <c r="AR59" s="365">
        <f>'DRE CAIXA SEGURIDADE'!AR43+'DRE CAIXA SEGURIDADE'!AR54</f>
        <v>-189700</v>
      </c>
      <c r="AS59" s="365">
        <f>'DRE CAIXA SEGURIDADE'!AS43+'DRE CAIXA SEGURIDADE'!AS54</f>
        <v>-200273.88492485401</v>
      </c>
      <c r="AT59" s="365">
        <f>'DRE CAIXA SEGURIDADE'!AT43+'DRE CAIXA SEGURIDADE'!AT54</f>
        <v>-243869</v>
      </c>
      <c r="AU59" s="366">
        <f>'DRE CAIXA SEGURIDADE'!AU43+'DRE CAIXA SEGURIDADE'!AU54</f>
        <v>-817216.88492485392</v>
      </c>
      <c r="AV59" s="365">
        <f>'DRE CAIXA SEGURIDADE'!AV43+'DRE CAIXA SEGURIDADE'!AV54</f>
        <v>-206014.85060999979</v>
      </c>
      <c r="AW59" s="367">
        <f>'DRE CAIXA SEGURIDADE'!AW43+'DRE CAIXA SEGURIDADE'!AW54</f>
        <v>-201132.15799000132</v>
      </c>
      <c r="AX59" s="367">
        <f>'DRE CAIXA SEGURIDADE'!AX43+'DRE CAIXA SEGURIDADE'!AX54</f>
        <v>-220469.7368100005</v>
      </c>
      <c r="AY59" s="367">
        <f>'DRE CAIXA SEGURIDADE'!AY43+'DRE CAIXA SEGURIDADE'!AY54</f>
        <v>-219679.87086999996</v>
      </c>
      <c r="AZ59" s="366">
        <f>'DRE CAIXA SEGURIDADE'!AZ43+'DRE CAIXA SEGURIDADE'!AZ54</f>
        <v>-847296.61628000159</v>
      </c>
      <c r="BA59" s="367">
        <f>'DRE CAIXA SEGURIDADE'!BA43+'DRE CAIXA SEGURIDADE'!BA54</f>
        <v>-205571.93631999992</v>
      </c>
    </row>
    <row r="60" spans="1:53">
      <c r="A60" s="357"/>
      <c r="B60" s="318"/>
      <c r="C60" s="12"/>
      <c r="D60" s="12"/>
      <c r="E60" s="12"/>
      <c r="F60" s="12"/>
      <c r="G60" s="40"/>
      <c r="H60" s="12"/>
      <c r="I60" s="12"/>
      <c r="J60" s="12"/>
      <c r="K60" s="12"/>
      <c r="L60" s="40"/>
      <c r="M60" s="12"/>
      <c r="N60" s="12"/>
      <c r="O60" s="12"/>
      <c r="P60" s="12"/>
      <c r="Q60" s="40"/>
      <c r="R60" s="12"/>
      <c r="S60" s="12"/>
      <c r="T60" s="12"/>
      <c r="U60" s="12"/>
      <c r="V60" s="40"/>
      <c r="W60" s="12"/>
      <c r="X60" s="12"/>
      <c r="Y60" s="12"/>
      <c r="Z60" s="153"/>
      <c r="AA60" s="144"/>
      <c r="AB60" s="153"/>
      <c r="AC60" s="153"/>
      <c r="AD60" s="153"/>
      <c r="AE60" s="153"/>
      <c r="AF60" s="144"/>
      <c r="AG60" s="153"/>
      <c r="AH60" s="153"/>
      <c r="AI60" s="153"/>
      <c r="AJ60" s="153"/>
      <c r="AK60" s="144"/>
      <c r="AL60" s="153"/>
      <c r="AM60" s="153"/>
      <c r="AN60" s="153"/>
      <c r="AO60" s="153"/>
      <c r="AP60" s="144"/>
      <c r="AQ60" s="153"/>
      <c r="AR60" s="153"/>
      <c r="AS60" s="153"/>
      <c r="AT60" s="153"/>
      <c r="AU60" s="144"/>
      <c r="AV60" s="153"/>
      <c r="AW60" s="121"/>
      <c r="AX60" s="121"/>
      <c r="AY60" s="121"/>
      <c r="AZ60" s="144"/>
      <c r="BA60" s="121"/>
    </row>
    <row r="61" spans="1:53" s="261" customFormat="1">
      <c r="A61" s="235"/>
      <c r="B61" s="235" t="s">
        <v>319</v>
      </c>
      <c r="C61" s="235"/>
      <c r="D61" s="235"/>
      <c r="E61" s="235"/>
      <c r="F61" s="235"/>
      <c r="G61" s="383"/>
      <c r="H61" s="235"/>
      <c r="I61" s="235"/>
      <c r="J61" s="235"/>
      <c r="K61" s="235"/>
      <c r="L61" s="383"/>
      <c r="M61" s="235"/>
      <c r="N61" s="235"/>
      <c r="O61" s="235"/>
      <c r="P61" s="235"/>
      <c r="Q61" s="383"/>
      <c r="R61" s="235"/>
      <c r="S61" s="235"/>
      <c r="T61" s="235"/>
      <c r="U61" s="235"/>
      <c r="V61" s="383"/>
      <c r="W61" s="235"/>
      <c r="X61" s="235"/>
      <c r="Y61" s="235"/>
      <c r="Z61" s="235"/>
      <c r="AA61" s="383">
        <f t="shared" ref="AA61:AM61" si="40">AA62+AA70+AA82+AA85</f>
        <v>1019852.0159000088</v>
      </c>
      <c r="AB61" s="235">
        <f t="shared" si="40"/>
        <v>243037.78097999954</v>
      </c>
      <c r="AC61" s="235">
        <f t="shared" si="40"/>
        <v>228590.87628000075</v>
      </c>
      <c r="AD61" s="235">
        <f t="shared" si="40"/>
        <v>167624.00371999791</v>
      </c>
      <c r="AE61" s="235">
        <f t="shared" si="40"/>
        <v>245376.38089999999</v>
      </c>
      <c r="AF61" s="383">
        <f t="shared" si="40"/>
        <v>884629.04187999817</v>
      </c>
      <c r="AG61" s="235">
        <f t="shared" si="40"/>
        <v>296180</v>
      </c>
      <c r="AH61" s="235">
        <f t="shared" si="40"/>
        <v>236125.08636000002</v>
      </c>
      <c r="AI61" s="235">
        <f t="shared" si="40"/>
        <v>376761</v>
      </c>
      <c r="AJ61" s="235">
        <f t="shared" si="40"/>
        <v>383261.02280000004</v>
      </c>
      <c r="AK61" s="383">
        <f t="shared" si="40"/>
        <v>1292327.10916</v>
      </c>
      <c r="AL61" s="235">
        <f t="shared" si="40"/>
        <v>454789</v>
      </c>
      <c r="AM61" s="235">
        <f t="shared" si="40"/>
        <v>442214</v>
      </c>
      <c r="AN61" s="235">
        <f t="shared" ref="AN61:AO61" si="41">AN62+AN70+AN82+AN85</f>
        <v>566465</v>
      </c>
      <c r="AO61" s="235">
        <f t="shared" si="41"/>
        <v>544200.00900000008</v>
      </c>
      <c r="AP61" s="383">
        <f>AP62+AP70+AP82+AP85</f>
        <v>1997554.0090000001</v>
      </c>
      <c r="AQ61" s="235">
        <f t="shared" ref="AQ61:AT61" si="42">AQ62+AQ70+AQ82+AQ85</f>
        <v>433361.45</v>
      </c>
      <c r="AR61" s="235">
        <f t="shared" si="42"/>
        <v>471291</v>
      </c>
      <c r="AS61" s="235">
        <f t="shared" si="42"/>
        <v>532145.55300000007</v>
      </c>
      <c r="AT61" s="235">
        <f t="shared" si="42"/>
        <v>543487.23900000006</v>
      </c>
      <c r="AU61" s="383">
        <f>AU62+AU70+AU82+AU85</f>
        <v>1970999.2420000001</v>
      </c>
      <c r="AV61" s="235">
        <f t="shared" ref="AV61" si="43">AV62+AV70+AV82+AV85</f>
        <v>570347.21539999999</v>
      </c>
      <c r="AW61" s="235">
        <f>AW62+AW70+AW82+AW85</f>
        <v>625075.78910999896</v>
      </c>
      <c r="AX61" s="235">
        <f>AX62+AX70+AX82+AX85</f>
        <v>767984.31436999887</v>
      </c>
      <c r="AY61" s="235">
        <f>AY62+AY70+AY82+AY85</f>
        <v>731695.72103999893</v>
      </c>
      <c r="AZ61" s="383">
        <f>AZ62+AZ70+AZ82+AZ85</f>
        <v>2683984.0399199966</v>
      </c>
      <c r="BA61" s="235">
        <f>BA62+BA70+BA82+BA85</f>
        <v>682554.97784999991</v>
      </c>
    </row>
    <row r="62" spans="1:53" s="2" customFormat="1" ht="14.1" customHeight="1">
      <c r="A62" s="363"/>
      <c r="B62" s="21" t="s">
        <v>609</v>
      </c>
      <c r="C62" s="218"/>
      <c r="D62" s="218"/>
      <c r="E62" s="218"/>
      <c r="F62" s="218"/>
      <c r="G62" s="364"/>
      <c r="H62" s="218"/>
      <c r="I62" s="218"/>
      <c r="J62" s="218"/>
      <c r="K62" s="218"/>
      <c r="L62" s="364"/>
      <c r="M62" s="218"/>
      <c r="N62" s="218"/>
      <c r="O62" s="218"/>
      <c r="P62" s="218"/>
      <c r="Q62" s="364"/>
      <c r="R62" s="218"/>
      <c r="S62" s="218"/>
      <c r="T62" s="218"/>
      <c r="U62" s="218"/>
      <c r="V62" s="364"/>
      <c r="W62" s="218"/>
      <c r="X62" s="218"/>
      <c r="Y62" s="218"/>
      <c r="Z62" s="365"/>
      <c r="AA62" s="366">
        <f t="shared" ref="AA62:AM62" si="44">AA63+AA66+AA67+AA68+AA69</f>
        <v>1043.6027300000001</v>
      </c>
      <c r="AB62" s="365">
        <f t="shared" si="44"/>
        <v>111551.7820399995</v>
      </c>
      <c r="AC62" s="365">
        <f t="shared" si="44"/>
        <v>113354.43247000076</v>
      </c>
      <c r="AD62" s="365">
        <f t="shared" si="44"/>
        <v>90744.998459997965</v>
      </c>
      <c r="AE62" s="365">
        <f t="shared" si="44"/>
        <v>154881.37151999999</v>
      </c>
      <c r="AF62" s="366">
        <f t="shared" si="44"/>
        <v>470532.58448999823</v>
      </c>
      <c r="AG62" s="365">
        <f t="shared" si="44"/>
        <v>175051</v>
      </c>
      <c r="AH62" s="365">
        <f t="shared" si="44"/>
        <v>136766</v>
      </c>
      <c r="AI62" s="365">
        <f t="shared" si="44"/>
        <v>195148</v>
      </c>
      <c r="AJ62" s="365">
        <f t="shared" si="44"/>
        <v>242991</v>
      </c>
      <c r="AK62" s="366">
        <f t="shared" si="44"/>
        <v>749956</v>
      </c>
      <c r="AL62" s="365">
        <f t="shared" si="44"/>
        <v>306636</v>
      </c>
      <c r="AM62" s="365">
        <f t="shared" si="44"/>
        <v>281494</v>
      </c>
      <c r="AN62" s="365">
        <f t="shared" ref="AN62:AO62" si="45">AN63+AN66+AN67+AN68+AN69</f>
        <v>352435</v>
      </c>
      <c r="AO62" s="365">
        <f t="shared" si="45"/>
        <v>340186</v>
      </c>
      <c r="AP62" s="366">
        <f>AP63+AP66+AP67+AP68+AP69</f>
        <v>1280751</v>
      </c>
      <c r="AQ62" s="365">
        <f t="shared" ref="AQ62:AT62" si="46">AQ63+AQ66+AQ67+AQ68+AQ69</f>
        <v>319481</v>
      </c>
      <c r="AR62" s="365">
        <f t="shared" si="46"/>
        <v>333090</v>
      </c>
      <c r="AS62" s="365">
        <f t="shared" si="46"/>
        <v>340806</v>
      </c>
      <c r="AT62" s="365">
        <f t="shared" si="46"/>
        <v>366715</v>
      </c>
      <c r="AU62" s="366">
        <f>AU63+AU66+AU67+AU68+AU69</f>
        <v>1360092</v>
      </c>
      <c r="AV62" s="365">
        <f t="shared" ref="AV62" si="47">AV63+AV66+AV67+AV68+AV69</f>
        <v>388581</v>
      </c>
      <c r="AW62" s="367">
        <f>AW63+AW66+AW67+AW68+AW69</f>
        <v>401426</v>
      </c>
      <c r="AX62" s="367">
        <f>AX63+AX66+AX67+AX68+AX69</f>
        <v>495901</v>
      </c>
      <c r="AY62" s="367">
        <f>AY63+AY66+AY67+AY68+AY69</f>
        <v>476519</v>
      </c>
      <c r="AZ62" s="366">
        <f>AZ63+AZ66+AZ67+AZ68+AZ69</f>
        <v>1762427</v>
      </c>
      <c r="BA62" s="367">
        <f>BA63+BA66+BA67+BA68+BA69</f>
        <v>454720</v>
      </c>
    </row>
    <row r="63" spans="1:53">
      <c r="A63" s="357"/>
      <c r="B63" s="11" t="s">
        <v>553</v>
      </c>
      <c r="C63" s="12"/>
      <c r="D63" s="12"/>
      <c r="E63" s="12"/>
      <c r="F63" s="12"/>
      <c r="G63" s="40"/>
      <c r="H63" s="12"/>
      <c r="I63" s="12"/>
      <c r="J63" s="12"/>
      <c r="K63" s="12"/>
      <c r="L63" s="40"/>
      <c r="M63" s="12"/>
      <c r="N63" s="12"/>
      <c r="O63" s="12"/>
      <c r="P63" s="12"/>
      <c r="Q63" s="40"/>
      <c r="R63" s="12"/>
      <c r="S63" s="12"/>
      <c r="T63" s="12"/>
      <c r="U63" s="12"/>
      <c r="V63" s="40"/>
      <c r="W63" s="12"/>
      <c r="X63" s="12"/>
      <c r="Y63" s="12"/>
      <c r="Z63" s="153"/>
      <c r="AA63" s="144">
        <f t="shared" ref="AA63:AM63" si="48">SUM(AA64:AA65)</f>
        <v>249.60272999999998</v>
      </c>
      <c r="AB63" s="153">
        <f t="shared" si="48"/>
        <v>111311.66760999948</v>
      </c>
      <c r="AC63" s="153">
        <f t="shared" si="48"/>
        <v>111228.80387000075</v>
      </c>
      <c r="AD63" s="153">
        <f t="shared" si="48"/>
        <v>84725.504209997962</v>
      </c>
      <c r="AE63" s="153">
        <f t="shared" si="48"/>
        <v>146966.35501999999</v>
      </c>
      <c r="AF63" s="144">
        <f t="shared" si="48"/>
        <v>454232.3307099982</v>
      </c>
      <c r="AG63" s="153">
        <f t="shared" si="48"/>
        <v>156501</v>
      </c>
      <c r="AH63" s="153">
        <f t="shared" si="48"/>
        <v>114119</v>
      </c>
      <c r="AI63" s="153">
        <f t="shared" si="48"/>
        <v>162719</v>
      </c>
      <c r="AJ63" s="153">
        <f t="shared" si="48"/>
        <v>201965</v>
      </c>
      <c r="AK63" s="144">
        <f t="shared" si="48"/>
        <v>635304</v>
      </c>
      <c r="AL63" s="153">
        <f t="shared" si="48"/>
        <v>259355</v>
      </c>
      <c r="AM63" s="153">
        <f t="shared" si="48"/>
        <v>237577</v>
      </c>
      <c r="AN63" s="153">
        <f t="shared" ref="AN63:AO63" si="49">SUM(AN64:AN65)</f>
        <v>298396</v>
      </c>
      <c r="AO63" s="153">
        <f t="shared" si="49"/>
        <v>285890</v>
      </c>
      <c r="AP63" s="144">
        <f>SUM(AP64:AP65)</f>
        <v>1081218</v>
      </c>
      <c r="AQ63" s="153">
        <f t="shared" ref="AQ63:AR63" si="50">SUM(AQ64:AQ65)</f>
        <v>256468</v>
      </c>
      <c r="AR63" s="153">
        <f t="shared" si="50"/>
        <v>275320</v>
      </c>
      <c r="AS63" s="153">
        <f t="shared" ref="AS63:AT63" si="51">SUM(AS64:AS65)</f>
        <v>280307</v>
      </c>
      <c r="AT63" s="153">
        <f t="shared" si="51"/>
        <v>289078</v>
      </c>
      <c r="AU63" s="144">
        <f>SUM(AU64:AU65)</f>
        <v>1101173</v>
      </c>
      <c r="AV63" s="153">
        <f t="shared" ref="AV63" si="52">SUM(AV64:AV65)</f>
        <v>294989</v>
      </c>
      <c r="AW63" s="121">
        <f>SUM(AW64:AW65)</f>
        <v>306521</v>
      </c>
      <c r="AX63" s="121">
        <f>SUM(AX64:AX65)</f>
        <v>383437</v>
      </c>
      <c r="AY63" s="121">
        <f>SUM(AY64:AY65)</f>
        <v>351949</v>
      </c>
      <c r="AZ63" s="144">
        <f>SUM(AZ64:AZ65)</f>
        <v>1336896</v>
      </c>
      <c r="BA63" s="121">
        <f>SUM(BA64:BA65)</f>
        <v>327977</v>
      </c>
    </row>
    <row r="64" spans="1:53">
      <c r="A64" s="357"/>
      <c r="B64" s="335" t="s">
        <v>573</v>
      </c>
      <c r="C64" s="12"/>
      <c r="D64" s="12"/>
      <c r="E64" s="12"/>
      <c r="F64" s="12"/>
      <c r="G64" s="40"/>
      <c r="H64" s="12"/>
      <c r="I64" s="12"/>
      <c r="J64" s="12"/>
      <c r="K64" s="12"/>
      <c r="L64" s="40"/>
      <c r="M64" s="12"/>
      <c r="N64" s="12"/>
      <c r="O64" s="12"/>
      <c r="P64" s="12"/>
      <c r="Q64" s="40"/>
      <c r="R64" s="12"/>
      <c r="S64" s="12"/>
      <c r="T64" s="12"/>
      <c r="U64" s="12"/>
      <c r="V64" s="40"/>
      <c r="W64" s="12"/>
      <c r="X64" s="12"/>
      <c r="Y64" s="12"/>
      <c r="Z64" s="153"/>
      <c r="AA64" s="144">
        <f>'DRE NOVAS PARCERIAS CAIXA'!AA51</f>
        <v>0</v>
      </c>
      <c r="AB64" s="153">
        <f>'DRE NOVAS PARCERIAS CAIXA'!AB51</f>
        <v>104385.49487999949</v>
      </c>
      <c r="AC64" s="153">
        <f>'DRE NOVAS PARCERIAS CAIXA'!AC51</f>
        <v>95494.159360000747</v>
      </c>
      <c r="AD64" s="153">
        <f>'DRE NOVAS PARCERIAS CAIXA'!AD51</f>
        <v>53207.904359997978</v>
      </c>
      <c r="AE64" s="153">
        <f>'DRE NOVAS PARCERIAS CAIXA'!AE51</f>
        <v>102355</v>
      </c>
      <c r="AF64" s="144">
        <f>'DRE NOVAS PARCERIAS CAIXA'!AF51</f>
        <v>355442.55859999824</v>
      </c>
      <c r="AG64" s="153">
        <f>'DRE NOVAS PARCERIAS CAIXA'!AG51</f>
        <v>98928</v>
      </c>
      <c r="AH64" s="153">
        <f>'DRE NOVAS PARCERIAS CAIXA'!AH51</f>
        <v>49950</v>
      </c>
      <c r="AI64" s="153">
        <f>'DRE NOVAS PARCERIAS CAIXA'!AI51</f>
        <v>70375</v>
      </c>
      <c r="AJ64" s="153">
        <f>'DRE NOVAS PARCERIAS CAIXA'!AJ51</f>
        <v>90867</v>
      </c>
      <c r="AK64" s="144">
        <f>'DRE NOVAS PARCERIAS CAIXA'!AK51</f>
        <v>310120</v>
      </c>
      <c r="AL64" s="153">
        <f>'DRE NOVAS PARCERIAS CAIXA'!AL51</f>
        <v>118344</v>
      </c>
      <c r="AM64" s="153">
        <f>'DRE NOVAS PARCERIAS CAIXA'!AM51</f>
        <v>84251</v>
      </c>
      <c r="AN64" s="153">
        <f>'DRE NOVAS PARCERIAS CAIXA'!AN51</f>
        <v>132511</v>
      </c>
      <c r="AO64" s="153">
        <f>'DRE NOVAS PARCERIAS CAIXA'!AO51</f>
        <v>135452</v>
      </c>
      <c r="AP64" s="144">
        <f>'DRE NOVAS PARCERIAS CAIXA'!AP51</f>
        <v>470558</v>
      </c>
      <c r="AQ64" s="153">
        <f>'DRE NOVAS PARCERIAS CAIXA'!AQ51</f>
        <v>99246</v>
      </c>
      <c r="AR64" s="153">
        <f>'DRE NOVAS PARCERIAS CAIXA'!AR51</f>
        <v>112904</v>
      </c>
      <c r="AS64" s="153">
        <f>'DRE NOVAS PARCERIAS CAIXA'!AS51</f>
        <v>161543</v>
      </c>
      <c r="AT64" s="153">
        <f>'DRE NOVAS PARCERIAS CAIXA'!AT51</f>
        <v>289078</v>
      </c>
      <c r="AU64" s="144">
        <f>'DRE NOVAS PARCERIAS CAIXA'!AU51</f>
        <v>662771</v>
      </c>
      <c r="AV64" s="153">
        <f>'DRE NOVAS PARCERIAS CAIXA'!AV51</f>
        <v>294989</v>
      </c>
      <c r="AW64" s="121">
        <f>'DRE NOVAS PARCERIAS CAIXA'!AW51</f>
        <v>306521</v>
      </c>
      <c r="AX64" s="121">
        <f>'DRE NOVAS PARCERIAS CAIXA'!AX51</f>
        <v>383437</v>
      </c>
      <c r="AY64" s="121">
        <f>'DRE NOVAS PARCERIAS CAIXA'!AY51</f>
        <v>351949</v>
      </c>
      <c r="AZ64" s="144">
        <f>'DRE NOVAS PARCERIAS CAIXA'!AZ51</f>
        <v>1336896</v>
      </c>
      <c r="BA64" s="121">
        <f>'DRE NOVAS PARCERIAS CAIXA'!BA51</f>
        <v>327977</v>
      </c>
    </row>
    <row r="65" spans="1:53">
      <c r="A65" s="357"/>
      <c r="B65" s="335" t="s">
        <v>574</v>
      </c>
      <c r="C65" s="12"/>
      <c r="D65" s="12"/>
      <c r="E65" s="12"/>
      <c r="F65" s="12"/>
      <c r="G65" s="40"/>
      <c r="H65" s="12"/>
      <c r="I65" s="12"/>
      <c r="J65" s="12"/>
      <c r="K65" s="12"/>
      <c r="L65" s="40"/>
      <c r="M65" s="12"/>
      <c r="N65" s="12"/>
      <c r="O65" s="12"/>
      <c r="P65" s="12"/>
      <c r="Q65" s="40"/>
      <c r="R65" s="12"/>
      <c r="S65" s="12"/>
      <c r="T65" s="12"/>
      <c r="U65" s="12"/>
      <c r="V65" s="40"/>
      <c r="W65" s="12"/>
      <c r="X65" s="12"/>
      <c r="Y65" s="12"/>
      <c r="Z65" s="153"/>
      <c r="AA65" s="144">
        <f>'DRE NOVAS PARCERIAS CAIXA'!AA80</f>
        <v>249.60272999999998</v>
      </c>
      <c r="AB65" s="153">
        <f>'DRE NOVAS PARCERIAS CAIXA'!AB80</f>
        <v>6926.1727299999984</v>
      </c>
      <c r="AC65" s="153">
        <f>'DRE NOVAS PARCERIAS CAIXA'!AC80</f>
        <v>15734.644509999995</v>
      </c>
      <c r="AD65" s="153">
        <f>'DRE NOVAS PARCERIAS CAIXA'!AD80</f>
        <v>31517.599849999988</v>
      </c>
      <c r="AE65" s="153">
        <f>'DRE NOVAS PARCERIAS CAIXA'!AE80</f>
        <v>44611.355019999995</v>
      </c>
      <c r="AF65" s="144">
        <f>'DRE NOVAS PARCERIAS CAIXA'!AF80</f>
        <v>98789.772109999976</v>
      </c>
      <c r="AG65" s="153">
        <f>'DRE NOVAS PARCERIAS CAIXA'!AG80</f>
        <v>57573</v>
      </c>
      <c r="AH65" s="153">
        <f>'DRE NOVAS PARCERIAS CAIXA'!AH80</f>
        <v>64169</v>
      </c>
      <c r="AI65" s="153">
        <f>'DRE NOVAS PARCERIAS CAIXA'!AI80</f>
        <v>92344</v>
      </c>
      <c r="AJ65" s="153">
        <f>'DRE NOVAS PARCERIAS CAIXA'!AJ80</f>
        <v>111098</v>
      </c>
      <c r="AK65" s="144">
        <f>'DRE NOVAS PARCERIAS CAIXA'!AK80</f>
        <v>325184</v>
      </c>
      <c r="AL65" s="153">
        <f>'DRE NOVAS PARCERIAS CAIXA'!AL80</f>
        <v>141011</v>
      </c>
      <c r="AM65" s="153">
        <f>'DRE NOVAS PARCERIAS CAIXA'!AM80</f>
        <v>153326</v>
      </c>
      <c r="AN65" s="153">
        <f>'DRE NOVAS PARCERIAS CAIXA'!AN80</f>
        <v>165885</v>
      </c>
      <c r="AO65" s="153">
        <f>'DRE NOVAS PARCERIAS CAIXA'!AO80</f>
        <v>150438</v>
      </c>
      <c r="AP65" s="144">
        <f>'DRE NOVAS PARCERIAS CAIXA'!AP80</f>
        <v>610660</v>
      </c>
      <c r="AQ65" s="153">
        <f>'DRE NOVAS PARCERIAS CAIXA'!AQ80</f>
        <v>157222</v>
      </c>
      <c r="AR65" s="153">
        <f>'DRE NOVAS PARCERIAS CAIXA'!AR80</f>
        <v>162416</v>
      </c>
      <c r="AS65" s="153">
        <f>'DRE NOVAS PARCERIAS CAIXA'!AS80</f>
        <v>118764</v>
      </c>
      <c r="AT65" s="153">
        <f>'DRE NOVAS PARCERIAS CAIXA'!AT80</f>
        <v>0</v>
      </c>
      <c r="AU65" s="144">
        <f>'DRE NOVAS PARCERIAS CAIXA'!AU80</f>
        <v>438402</v>
      </c>
      <c r="AV65" s="153">
        <f>'DRE NOVAS PARCERIAS CAIXA'!AV80</f>
        <v>0</v>
      </c>
      <c r="AW65" s="121">
        <f>'DRE NOVAS PARCERIAS CAIXA'!AW80</f>
        <v>0</v>
      </c>
      <c r="AX65" s="121">
        <f>'DRE NOVAS PARCERIAS CAIXA'!AX80</f>
        <v>0</v>
      </c>
      <c r="AY65" s="121">
        <f>'DRE NOVAS PARCERIAS CAIXA'!AY80</f>
        <v>0</v>
      </c>
      <c r="AZ65" s="144">
        <f>'DRE NOVAS PARCERIAS CAIXA'!AZ80</f>
        <v>0</v>
      </c>
      <c r="BA65" s="121">
        <f>'DRE NOVAS PARCERIAS CAIXA'!BA80</f>
        <v>0</v>
      </c>
    </row>
    <row r="66" spans="1:53">
      <c r="A66" s="357"/>
      <c r="B66" s="11" t="s">
        <v>264</v>
      </c>
      <c r="C66" s="12"/>
      <c r="D66" s="12"/>
      <c r="E66" s="12"/>
      <c r="F66" s="12"/>
      <c r="G66" s="40"/>
      <c r="H66" s="12"/>
      <c r="I66" s="12"/>
      <c r="J66" s="12"/>
      <c r="K66" s="12"/>
      <c r="L66" s="40"/>
      <c r="M66" s="12"/>
      <c r="N66" s="12"/>
      <c r="O66" s="12"/>
      <c r="P66" s="12"/>
      <c r="Q66" s="40"/>
      <c r="R66" s="12"/>
      <c r="S66" s="12"/>
      <c r="T66" s="12"/>
      <c r="U66" s="12"/>
      <c r="V66" s="40"/>
      <c r="W66" s="12"/>
      <c r="X66" s="12"/>
      <c r="Y66" s="12"/>
      <c r="Z66" s="153"/>
      <c r="AA66" s="144">
        <f>'DRE NOVAS PARCERIAS CAIXA'!AA132</f>
        <v>348</v>
      </c>
      <c r="AB66" s="153">
        <f>'DRE NOVAS PARCERIAS CAIXA'!AB132</f>
        <v>123.51067999999999</v>
      </c>
      <c r="AC66" s="153">
        <f>'DRE NOVAS PARCERIAS CAIXA'!AC132</f>
        <v>1465.19571</v>
      </c>
      <c r="AD66" s="153">
        <f>'DRE NOVAS PARCERIAS CAIXA'!AD132</f>
        <v>3644.0989500000001</v>
      </c>
      <c r="AE66" s="153">
        <f>'DRE NOVAS PARCERIAS CAIXA'!AE132</f>
        <v>7454</v>
      </c>
      <c r="AF66" s="144">
        <f>'DRE NOVAS PARCERIAS CAIXA'!AF132</f>
        <v>12686.805339999999</v>
      </c>
      <c r="AG66" s="153">
        <f>'DRE NOVAS PARCERIAS CAIXA'!AG132</f>
        <v>12008</v>
      </c>
      <c r="AH66" s="153">
        <f>'DRE NOVAS PARCERIAS CAIXA'!AH132</f>
        <v>14955</v>
      </c>
      <c r="AI66" s="153">
        <f>'DRE NOVAS PARCERIAS CAIXA'!AI132</f>
        <v>20743</v>
      </c>
      <c r="AJ66" s="153">
        <f>'DRE NOVAS PARCERIAS CAIXA'!AJ132</f>
        <v>24510</v>
      </c>
      <c r="AK66" s="144">
        <f>'DRE NOVAS PARCERIAS CAIXA'!AK132</f>
        <v>72216</v>
      </c>
      <c r="AL66" s="153">
        <f>'DRE NOVAS PARCERIAS CAIXA'!AL132</f>
        <v>28166</v>
      </c>
      <c r="AM66" s="153">
        <f>'DRE NOVAS PARCERIAS CAIXA'!AM132</f>
        <v>26753</v>
      </c>
      <c r="AN66" s="153">
        <f>'DRE NOVAS PARCERIAS CAIXA'!AN132</f>
        <v>31533</v>
      </c>
      <c r="AO66" s="153">
        <f>'DRE NOVAS PARCERIAS CAIXA'!AO132</f>
        <v>29168</v>
      </c>
      <c r="AP66" s="144">
        <f>'DRE NOVAS PARCERIAS CAIXA'!AP132</f>
        <v>115620</v>
      </c>
      <c r="AQ66" s="153">
        <f>'DRE NOVAS PARCERIAS CAIXA'!AQ132</f>
        <v>31202</v>
      </c>
      <c r="AR66" s="153">
        <f>'DRE NOVAS PARCERIAS CAIXA'!AR132</f>
        <v>26765</v>
      </c>
      <c r="AS66" s="153">
        <f>'DRE NOVAS PARCERIAS CAIXA'!AS132</f>
        <v>32357</v>
      </c>
      <c r="AT66" s="153">
        <f>'DRE NOVAS PARCERIAS CAIXA'!AT132</f>
        <v>38751</v>
      </c>
      <c r="AU66" s="144">
        <f>'DRE NOVAS PARCERIAS CAIXA'!AU132</f>
        <v>129075</v>
      </c>
      <c r="AV66" s="153">
        <f>'DRE NOVAS PARCERIAS CAIXA'!AV132</f>
        <v>41833</v>
      </c>
      <c r="AW66" s="121">
        <f>'DRE NOVAS PARCERIAS CAIXA'!AW132</f>
        <v>43878</v>
      </c>
      <c r="AX66" s="121">
        <f>'DRE NOVAS PARCERIAS CAIXA'!AX132</f>
        <v>51044</v>
      </c>
      <c r="AY66" s="121">
        <f>'DRE NOVAS PARCERIAS CAIXA'!AY132</f>
        <v>60922</v>
      </c>
      <c r="AZ66" s="144">
        <f>'DRE NOVAS PARCERIAS CAIXA'!AZ132</f>
        <v>197677</v>
      </c>
      <c r="BA66" s="121">
        <f>'DRE NOVAS PARCERIAS CAIXA'!BA132</f>
        <v>49572</v>
      </c>
    </row>
    <row r="67" spans="1:53">
      <c r="A67" s="357"/>
      <c r="B67" s="11" t="s">
        <v>265</v>
      </c>
      <c r="C67" s="12"/>
      <c r="D67" s="12"/>
      <c r="E67" s="12"/>
      <c r="F67" s="12"/>
      <c r="G67" s="40"/>
      <c r="H67" s="12"/>
      <c r="I67" s="12"/>
      <c r="J67" s="12"/>
      <c r="K67" s="12"/>
      <c r="L67" s="40"/>
      <c r="M67" s="12"/>
      <c r="N67" s="12"/>
      <c r="O67" s="12"/>
      <c r="P67" s="12"/>
      <c r="Q67" s="40"/>
      <c r="R67" s="12"/>
      <c r="S67" s="12"/>
      <c r="T67" s="12"/>
      <c r="U67" s="12"/>
      <c r="V67" s="40"/>
      <c r="W67" s="12"/>
      <c r="X67" s="12"/>
      <c r="Y67" s="12"/>
      <c r="Z67" s="153"/>
      <c r="AA67" s="144">
        <f>'DRE NOVAS PARCERIAS CAIXA'!AA162</f>
        <v>390</v>
      </c>
      <c r="AB67" s="153">
        <f>'DRE NOVAS PARCERIAS CAIXA'!AB162</f>
        <v>65.016469999999998</v>
      </c>
      <c r="AC67" s="153">
        <f>'DRE NOVAS PARCERIAS CAIXA'!AC162</f>
        <v>484.68316999999996</v>
      </c>
      <c r="AD67" s="153">
        <f>'DRE NOVAS PARCERIAS CAIXA'!AD162</f>
        <v>2340.7322999999997</v>
      </c>
      <c r="AE67" s="153">
        <f>'DRE NOVAS PARCERIAS CAIXA'!AE162</f>
        <v>465.01650000000046</v>
      </c>
      <c r="AF67" s="144">
        <f>'DRE NOVAS PARCERIAS CAIXA'!AF162</f>
        <v>3355.4484400000001</v>
      </c>
      <c r="AG67" s="153">
        <f>'DRE NOVAS PARCERIAS CAIXA'!AG162</f>
        <v>3826</v>
      </c>
      <c r="AH67" s="153">
        <f>'DRE NOVAS PARCERIAS CAIXA'!AH162</f>
        <v>5370</v>
      </c>
      <c r="AI67" s="153">
        <f>'DRE NOVAS PARCERIAS CAIXA'!AI162</f>
        <v>9595</v>
      </c>
      <c r="AJ67" s="153">
        <f>'DRE NOVAS PARCERIAS CAIXA'!AJ162</f>
        <v>12255</v>
      </c>
      <c r="AK67" s="144">
        <f>'DRE NOVAS PARCERIAS CAIXA'!AK162</f>
        <v>31046</v>
      </c>
      <c r="AL67" s="153">
        <f>'DRE NOVAS PARCERIAS CAIXA'!AL162</f>
        <v>15250</v>
      </c>
      <c r="AM67" s="153">
        <f>'DRE NOVAS PARCERIAS CAIXA'!AM162</f>
        <v>12881</v>
      </c>
      <c r="AN67" s="153">
        <f>'DRE NOVAS PARCERIAS CAIXA'!AN162</f>
        <v>16670</v>
      </c>
      <c r="AO67" s="153">
        <f>'DRE NOVAS PARCERIAS CAIXA'!AO162</f>
        <v>19022</v>
      </c>
      <c r="AP67" s="144">
        <f>'DRE NOVAS PARCERIAS CAIXA'!AP162</f>
        <v>63823</v>
      </c>
      <c r="AQ67" s="153">
        <f>'DRE NOVAS PARCERIAS CAIXA'!AQ162</f>
        <v>25290</v>
      </c>
      <c r="AR67" s="153">
        <f>'DRE NOVAS PARCERIAS CAIXA'!AR162</f>
        <v>23685</v>
      </c>
      <c r="AS67" s="153">
        <f>'DRE NOVAS PARCERIAS CAIXA'!AS162</f>
        <v>19329</v>
      </c>
      <c r="AT67" s="153">
        <f>'DRE NOVAS PARCERIAS CAIXA'!AT162</f>
        <v>29562</v>
      </c>
      <c r="AU67" s="144">
        <f>'DRE NOVAS PARCERIAS CAIXA'!AU162</f>
        <v>97866</v>
      </c>
      <c r="AV67" s="153">
        <f>'DRE NOVAS PARCERIAS CAIXA'!AV162</f>
        <v>41116</v>
      </c>
      <c r="AW67" s="121">
        <f>'DRE NOVAS PARCERIAS CAIXA'!AW162</f>
        <v>36832</v>
      </c>
      <c r="AX67" s="121">
        <f>'DRE NOVAS PARCERIAS CAIXA'!AX162</f>
        <v>45312</v>
      </c>
      <c r="AY67" s="121">
        <f>'DRE NOVAS PARCERIAS CAIXA'!AY162</f>
        <v>44983</v>
      </c>
      <c r="AZ67" s="144">
        <f>'DRE NOVAS PARCERIAS CAIXA'!AZ162</f>
        <v>168243</v>
      </c>
      <c r="BA67" s="121">
        <f>'DRE NOVAS PARCERIAS CAIXA'!BA162</f>
        <v>61385</v>
      </c>
    </row>
    <row r="68" spans="1:53">
      <c r="A68" s="357"/>
      <c r="B68" s="11" t="s">
        <v>576</v>
      </c>
      <c r="C68" s="12"/>
      <c r="D68" s="12"/>
      <c r="E68" s="12"/>
      <c r="F68" s="12"/>
      <c r="G68" s="40"/>
      <c r="H68" s="12"/>
      <c r="I68" s="12"/>
      <c r="J68" s="12"/>
      <c r="K68" s="12"/>
      <c r="L68" s="40"/>
      <c r="M68" s="12"/>
      <c r="N68" s="12"/>
      <c r="O68" s="12"/>
      <c r="P68" s="12"/>
      <c r="Q68" s="40"/>
      <c r="R68" s="12"/>
      <c r="S68" s="12"/>
      <c r="T68" s="12"/>
      <c r="U68" s="12"/>
      <c r="V68" s="40"/>
      <c r="W68" s="12"/>
      <c r="X68" s="12"/>
      <c r="Y68" s="12"/>
      <c r="Z68" s="153"/>
      <c r="AA68" s="144">
        <f>'DRE NOVAS PARCERIAS CAIXA'!AA186</f>
        <v>0</v>
      </c>
      <c r="AB68" s="153">
        <f>'DRE NOVAS PARCERIAS CAIXA'!AB186</f>
        <v>0</v>
      </c>
      <c r="AC68" s="153">
        <f>'DRE NOVAS PARCERIAS CAIXA'!AC186</f>
        <v>0</v>
      </c>
      <c r="AD68" s="153">
        <f>'DRE NOVAS PARCERIAS CAIXA'!AD186</f>
        <v>0</v>
      </c>
      <c r="AE68" s="153">
        <f>'DRE NOVAS PARCERIAS CAIXA'!AE186</f>
        <v>0</v>
      </c>
      <c r="AF68" s="144">
        <f>'DRE NOVAS PARCERIAS CAIXA'!AF186</f>
        <v>0</v>
      </c>
      <c r="AG68" s="153">
        <f>'DRE NOVAS PARCERIAS CAIXA'!AG186</f>
        <v>2818</v>
      </c>
      <c r="AH68" s="153">
        <f>'DRE NOVAS PARCERIAS CAIXA'!AH186</f>
        <v>2382</v>
      </c>
      <c r="AI68" s="153">
        <f>'DRE NOVAS PARCERIAS CAIXA'!AI186</f>
        <v>1716</v>
      </c>
      <c r="AJ68" s="153">
        <f>'DRE NOVAS PARCERIAS CAIXA'!AJ186</f>
        <v>2399</v>
      </c>
      <c r="AK68" s="144">
        <f>'DRE NOVAS PARCERIAS CAIXA'!AK186</f>
        <v>9315</v>
      </c>
      <c r="AL68" s="153">
        <f>'DRE NOVAS PARCERIAS CAIXA'!AL186</f>
        <v>2756</v>
      </c>
      <c r="AM68" s="153">
        <f>'DRE NOVAS PARCERIAS CAIXA'!AM186</f>
        <v>2920</v>
      </c>
      <c r="AN68" s="153">
        <f>'DRE NOVAS PARCERIAS CAIXA'!AN186</f>
        <v>4247</v>
      </c>
      <c r="AO68" s="153">
        <f>'DRE NOVAS PARCERIAS CAIXA'!AO186</f>
        <v>4562</v>
      </c>
      <c r="AP68" s="144">
        <f>'DRE NOVAS PARCERIAS CAIXA'!AP186</f>
        <v>14485</v>
      </c>
      <c r="AQ68" s="153">
        <f>'DRE NOVAS PARCERIAS CAIXA'!AQ186</f>
        <v>5138</v>
      </c>
      <c r="AR68" s="153">
        <f>'DRE NOVAS PARCERIAS CAIXA'!AR186</f>
        <v>5664</v>
      </c>
      <c r="AS68" s="153">
        <f>'DRE NOVAS PARCERIAS CAIXA'!AS186</f>
        <v>6750</v>
      </c>
      <c r="AT68" s="153">
        <f>'DRE NOVAS PARCERIAS CAIXA'!AT186</f>
        <v>6863</v>
      </c>
      <c r="AU68" s="144">
        <f>'DRE NOVAS PARCERIAS CAIXA'!AU186</f>
        <v>24415</v>
      </c>
      <c r="AV68" s="153">
        <f>'DRE NOVAS PARCERIAS CAIXA'!AV186</f>
        <v>7514</v>
      </c>
      <c r="AW68" s="121">
        <f>'DRE NOVAS PARCERIAS CAIXA'!AW186</f>
        <v>10213</v>
      </c>
      <c r="AX68" s="121">
        <f>'DRE NOVAS PARCERIAS CAIXA'!AX186</f>
        <v>11098</v>
      </c>
      <c r="AY68" s="121">
        <f>'DRE NOVAS PARCERIAS CAIXA'!AY186</f>
        <v>13628</v>
      </c>
      <c r="AZ68" s="144">
        <f>'DRE NOVAS PARCERIAS CAIXA'!AZ186</f>
        <v>42453</v>
      </c>
      <c r="BA68" s="121">
        <f>'DRE NOVAS PARCERIAS CAIXA'!BA186</f>
        <v>10171</v>
      </c>
    </row>
    <row r="69" spans="1:53">
      <c r="A69" s="357"/>
      <c r="B69" s="11" t="s">
        <v>268</v>
      </c>
      <c r="C69" s="12"/>
      <c r="D69" s="12"/>
      <c r="E69" s="12"/>
      <c r="F69" s="12"/>
      <c r="G69" s="40"/>
      <c r="H69" s="12"/>
      <c r="I69" s="12"/>
      <c r="J69" s="12"/>
      <c r="K69" s="12"/>
      <c r="L69" s="40"/>
      <c r="M69" s="12"/>
      <c r="N69" s="12"/>
      <c r="O69" s="12"/>
      <c r="P69" s="12"/>
      <c r="Q69" s="40"/>
      <c r="R69" s="12"/>
      <c r="S69" s="12"/>
      <c r="T69" s="12"/>
      <c r="U69" s="12"/>
      <c r="V69" s="40"/>
      <c r="W69" s="12"/>
      <c r="X69" s="12"/>
      <c r="Y69" s="12"/>
      <c r="Z69" s="153"/>
      <c r="AA69" s="144">
        <f>'DRE NOVAS PARCERIAS CAIXA'!AA211</f>
        <v>56</v>
      </c>
      <c r="AB69" s="153">
        <f>'DRE NOVAS PARCERIAS CAIXA'!AB211</f>
        <v>51.58728</v>
      </c>
      <c r="AC69" s="153">
        <f>'DRE NOVAS PARCERIAS CAIXA'!AC211</f>
        <v>175.74972</v>
      </c>
      <c r="AD69" s="153">
        <f>'DRE NOVAS PARCERIAS CAIXA'!AD211</f>
        <v>34.663000000000011</v>
      </c>
      <c r="AE69" s="153">
        <f>'DRE NOVAS PARCERIAS CAIXA'!AE211</f>
        <v>-4</v>
      </c>
      <c r="AF69" s="144">
        <f>'DRE NOVAS PARCERIAS CAIXA'!AF211</f>
        <v>258</v>
      </c>
      <c r="AG69" s="153">
        <f>'DRE NOVAS PARCERIAS CAIXA'!AG211</f>
        <v>-102</v>
      </c>
      <c r="AH69" s="153">
        <f>'DRE NOVAS PARCERIAS CAIXA'!AH211</f>
        <v>-60</v>
      </c>
      <c r="AI69" s="153">
        <f>'DRE NOVAS PARCERIAS CAIXA'!AI211</f>
        <v>375</v>
      </c>
      <c r="AJ69" s="153">
        <f>'DRE NOVAS PARCERIAS CAIXA'!AJ211</f>
        <v>1862</v>
      </c>
      <c r="AK69" s="144">
        <f>'DRE NOVAS PARCERIAS CAIXA'!AK211</f>
        <v>2075</v>
      </c>
      <c r="AL69" s="153">
        <f>'DRE NOVAS PARCERIAS CAIXA'!AL211</f>
        <v>1109</v>
      </c>
      <c r="AM69" s="153">
        <f>'DRE NOVAS PARCERIAS CAIXA'!AM211</f>
        <v>1363</v>
      </c>
      <c r="AN69" s="153">
        <f>'DRE NOVAS PARCERIAS CAIXA'!AN211</f>
        <v>1589</v>
      </c>
      <c r="AO69" s="153">
        <f>'DRE NOVAS PARCERIAS CAIXA'!AO211</f>
        <v>1544</v>
      </c>
      <c r="AP69" s="144">
        <f>'DRE NOVAS PARCERIAS CAIXA'!AP211</f>
        <v>5605</v>
      </c>
      <c r="AQ69" s="153">
        <f>'DRE NOVAS PARCERIAS CAIXA'!AQ211</f>
        <v>1383</v>
      </c>
      <c r="AR69" s="153">
        <f>'DRE NOVAS PARCERIAS CAIXA'!AR211</f>
        <v>1656</v>
      </c>
      <c r="AS69" s="153">
        <f>'DRE NOVAS PARCERIAS CAIXA'!AS211</f>
        <v>2063</v>
      </c>
      <c r="AT69" s="153">
        <f>'DRE NOVAS PARCERIAS CAIXA'!AT211</f>
        <v>2461</v>
      </c>
      <c r="AU69" s="144">
        <f>'DRE NOVAS PARCERIAS CAIXA'!AU211</f>
        <v>7563</v>
      </c>
      <c r="AV69" s="153">
        <f>'DRE NOVAS PARCERIAS CAIXA'!AV211</f>
        <v>3129</v>
      </c>
      <c r="AW69" s="121">
        <f>'DRE NOVAS PARCERIAS CAIXA'!AW211</f>
        <v>3982</v>
      </c>
      <c r="AX69" s="121">
        <f>'DRE NOVAS PARCERIAS CAIXA'!AX211</f>
        <v>5010</v>
      </c>
      <c r="AY69" s="121">
        <f>'DRE NOVAS PARCERIAS CAIXA'!AY211</f>
        <v>5037</v>
      </c>
      <c r="AZ69" s="144">
        <f>'DRE NOVAS PARCERIAS CAIXA'!AZ211</f>
        <v>17158</v>
      </c>
      <c r="BA69" s="121">
        <f>'DRE NOVAS PARCERIAS CAIXA'!BA211</f>
        <v>5615</v>
      </c>
    </row>
    <row r="70" spans="1:53" s="2" customFormat="1">
      <c r="A70" s="363"/>
      <c r="B70" s="21" t="s">
        <v>610</v>
      </c>
      <c r="C70" s="218"/>
      <c r="D70" s="218"/>
      <c r="E70" s="218"/>
      <c r="F70" s="218"/>
      <c r="G70" s="364"/>
      <c r="H70" s="218"/>
      <c r="I70" s="218"/>
      <c r="J70" s="218"/>
      <c r="K70" s="218"/>
      <c r="L70" s="364"/>
      <c r="M70" s="218"/>
      <c r="N70" s="218"/>
      <c r="O70" s="218"/>
      <c r="P70" s="218"/>
      <c r="Q70" s="364"/>
      <c r="R70" s="218"/>
      <c r="S70" s="218"/>
      <c r="T70" s="218"/>
      <c r="U70" s="218"/>
      <c r="V70" s="364"/>
      <c r="W70" s="218"/>
      <c r="X70" s="218"/>
      <c r="Y70" s="218"/>
      <c r="Z70" s="365"/>
      <c r="AA70" s="366">
        <f t="shared" ref="AA70:AV70" si="53">AA71</f>
        <v>978340.80250000872</v>
      </c>
      <c r="AB70" s="365">
        <f t="shared" si="53"/>
        <v>125389.89321000004</v>
      </c>
      <c r="AC70" s="365">
        <f t="shared" si="53"/>
        <v>101710.99299000001</v>
      </c>
      <c r="AD70" s="365">
        <f t="shared" si="53"/>
        <v>67086.940109999952</v>
      </c>
      <c r="AE70" s="365">
        <f t="shared" si="53"/>
        <v>74146.685930000007</v>
      </c>
      <c r="AF70" s="366">
        <f t="shared" si="53"/>
        <v>368334.51223999995</v>
      </c>
      <c r="AG70" s="365">
        <f t="shared" si="53"/>
        <v>80924</v>
      </c>
      <c r="AH70" s="365">
        <f t="shared" si="53"/>
        <v>51338.086360000001</v>
      </c>
      <c r="AI70" s="365">
        <f t="shared" si="53"/>
        <v>116508</v>
      </c>
      <c r="AJ70" s="365">
        <f t="shared" si="53"/>
        <v>65197.022800000006</v>
      </c>
      <c r="AK70" s="366">
        <f t="shared" si="53"/>
        <v>313967.10915999999</v>
      </c>
      <c r="AL70" s="365">
        <f t="shared" si="53"/>
        <v>92896</v>
      </c>
      <c r="AM70" s="365">
        <f t="shared" si="53"/>
        <v>85123</v>
      </c>
      <c r="AN70" s="365">
        <f t="shared" si="53"/>
        <v>128604</v>
      </c>
      <c r="AO70" s="365">
        <f t="shared" si="53"/>
        <v>119988</v>
      </c>
      <c r="AP70" s="366">
        <f>AP71</f>
        <v>416497</v>
      </c>
      <c r="AQ70" s="365">
        <f t="shared" si="53"/>
        <v>75289</v>
      </c>
      <c r="AR70" s="365">
        <f t="shared" si="53"/>
        <v>71270</v>
      </c>
      <c r="AS70" s="365">
        <f t="shared" si="53"/>
        <v>110663</v>
      </c>
      <c r="AT70" s="365">
        <f t="shared" si="53"/>
        <v>86857</v>
      </c>
      <c r="AU70" s="366">
        <f>AU71</f>
        <v>334793</v>
      </c>
      <c r="AV70" s="365">
        <f t="shared" si="53"/>
        <v>98996</v>
      </c>
      <c r="AW70" s="367">
        <f>AW71</f>
        <v>117732</v>
      </c>
      <c r="AX70" s="367">
        <f>AX71</f>
        <v>148530</v>
      </c>
      <c r="AY70" s="367">
        <f>AY71</f>
        <v>133967</v>
      </c>
      <c r="AZ70" s="366">
        <f>AZ71</f>
        <v>488106</v>
      </c>
      <c r="BA70" s="367">
        <f>BA71</f>
        <v>133717</v>
      </c>
    </row>
    <row r="71" spans="1:53">
      <c r="A71" s="357"/>
      <c r="B71" s="318" t="s">
        <v>611</v>
      </c>
      <c r="C71" s="1"/>
      <c r="D71" s="1"/>
      <c r="E71" s="1"/>
      <c r="F71" s="1"/>
      <c r="G71" s="40"/>
      <c r="H71" s="1"/>
      <c r="I71" s="1"/>
      <c r="J71" s="1"/>
      <c r="K71" s="1"/>
      <c r="L71" s="40"/>
      <c r="M71" s="1"/>
      <c r="N71" s="1"/>
      <c r="O71" s="1"/>
      <c r="P71" s="1"/>
      <c r="Q71" s="40"/>
      <c r="R71" s="1"/>
      <c r="S71" s="1"/>
      <c r="T71" s="1"/>
      <c r="U71" s="1"/>
      <c r="V71" s="40"/>
      <c r="W71" s="1"/>
      <c r="X71" s="1"/>
      <c r="Y71" s="1"/>
      <c r="Z71" s="121"/>
      <c r="AA71" s="144">
        <f t="shared" ref="AA71:AM71" si="54">SUM(AA72:AA81)</f>
        <v>978340.80250000872</v>
      </c>
      <c r="AB71" s="121">
        <f t="shared" si="54"/>
        <v>125389.89321000004</v>
      </c>
      <c r="AC71" s="121">
        <f t="shared" si="54"/>
        <v>101710.99299000001</v>
      </c>
      <c r="AD71" s="121">
        <f t="shared" si="54"/>
        <v>67086.940109999952</v>
      </c>
      <c r="AE71" s="121">
        <f t="shared" si="54"/>
        <v>74146.685930000007</v>
      </c>
      <c r="AF71" s="144">
        <f t="shared" si="54"/>
        <v>368334.51223999995</v>
      </c>
      <c r="AG71" s="121">
        <f t="shared" si="54"/>
        <v>80924</v>
      </c>
      <c r="AH71" s="121">
        <f t="shared" si="54"/>
        <v>51338.086360000001</v>
      </c>
      <c r="AI71" s="121">
        <f t="shared" si="54"/>
        <v>116508</v>
      </c>
      <c r="AJ71" s="121">
        <f t="shared" si="54"/>
        <v>65197.022800000006</v>
      </c>
      <c r="AK71" s="144">
        <f t="shared" si="54"/>
        <v>313967.10915999999</v>
      </c>
      <c r="AL71" s="121">
        <f t="shared" si="54"/>
        <v>92896</v>
      </c>
      <c r="AM71" s="121">
        <f t="shared" si="54"/>
        <v>85123</v>
      </c>
      <c r="AN71" s="121">
        <f t="shared" ref="AN71:AO71" si="55">SUM(AN72:AN81)</f>
        <v>128604</v>
      </c>
      <c r="AO71" s="121">
        <f t="shared" si="55"/>
        <v>119988</v>
      </c>
      <c r="AP71" s="144">
        <f>SUM(AP72:AP81)</f>
        <v>416497</v>
      </c>
      <c r="AQ71" s="121">
        <f t="shared" ref="AQ71:AT71" si="56">SUM(AQ72:AQ81)</f>
        <v>75289</v>
      </c>
      <c r="AR71" s="121">
        <f t="shared" si="56"/>
        <v>71270</v>
      </c>
      <c r="AS71" s="121">
        <f t="shared" si="56"/>
        <v>110663</v>
      </c>
      <c r="AT71" s="121">
        <f t="shared" si="56"/>
        <v>86857</v>
      </c>
      <c r="AU71" s="144">
        <f>SUM(AU72:AU81)</f>
        <v>334793</v>
      </c>
      <c r="AV71" s="121">
        <f t="shared" ref="AV71" si="57">SUM(AV72:AV81)</f>
        <v>98996</v>
      </c>
      <c r="AW71" s="121">
        <f>SUM(AW72:AW81)</f>
        <v>117732</v>
      </c>
      <c r="AX71" s="121">
        <f>SUM(AX72:AX81)</f>
        <v>148530</v>
      </c>
      <c r="AY71" s="121">
        <f>SUM(AY72:AY81)</f>
        <v>133967</v>
      </c>
      <c r="AZ71" s="144">
        <f>SUM(AZ72:AZ81)</f>
        <v>488106</v>
      </c>
      <c r="BA71" s="121">
        <f>SUM(BA72:BA81)</f>
        <v>133717</v>
      </c>
    </row>
    <row r="72" spans="1:53">
      <c r="A72" s="357"/>
      <c r="B72" s="318" t="s">
        <v>612</v>
      </c>
      <c r="C72" s="12"/>
      <c r="D72" s="12"/>
      <c r="E72" s="12"/>
      <c r="F72" s="12"/>
      <c r="G72" s="40"/>
      <c r="H72" s="12"/>
      <c r="I72" s="12"/>
      <c r="J72" s="12"/>
      <c r="K72" s="12"/>
      <c r="L72" s="40"/>
      <c r="M72" s="12"/>
      <c r="N72" s="12"/>
      <c r="O72" s="12"/>
      <c r="P72" s="12"/>
      <c r="Q72" s="40"/>
      <c r="R72" s="12"/>
      <c r="S72" s="12"/>
      <c r="T72" s="12"/>
      <c r="U72" s="12"/>
      <c r="V72" s="40"/>
      <c r="W72" s="12"/>
      <c r="X72" s="12"/>
      <c r="Y72" s="12"/>
      <c r="Z72" s="153"/>
      <c r="AA72" s="144">
        <f>'DRE ANTIGA PARCERIA CAIXA'!AA41</f>
        <v>431215.25649000047</v>
      </c>
      <c r="AB72" s="153">
        <f>'DRE ANTIGA PARCERIA CAIXA'!AB41</f>
        <v>60120.629050000047</v>
      </c>
      <c r="AC72" s="153">
        <f>'DRE ANTIGA PARCERIA CAIXA'!AC41</f>
        <v>34418.722359999971</v>
      </c>
      <c r="AD72" s="153">
        <f>'DRE ANTIGA PARCERIA CAIXA'!AD41</f>
        <v>17836.069149999981</v>
      </c>
      <c r="AE72" s="153">
        <f>'DRE ANTIGA PARCERIA CAIXA'!AE41</f>
        <v>20740</v>
      </c>
      <c r="AF72" s="144">
        <f>'DRE ANTIGA PARCERIA CAIXA'!AF41</f>
        <v>133115.42056</v>
      </c>
      <c r="AG72" s="153">
        <f>'DRE ANTIGA PARCERIA CAIXA'!AG41</f>
        <v>22349</v>
      </c>
      <c r="AH72" s="153">
        <f>'DRE ANTIGA PARCERIA CAIXA'!AH41</f>
        <v>-10810</v>
      </c>
      <c r="AI72" s="153">
        <f>'DRE ANTIGA PARCERIA CAIXA'!AI41</f>
        <v>43839</v>
      </c>
      <c r="AJ72" s="153">
        <f>'DRE ANTIGA PARCERIA CAIXA'!AJ41</f>
        <v>52256</v>
      </c>
      <c r="AK72" s="144">
        <f>'DRE ANTIGA PARCERIA CAIXA'!AK41</f>
        <v>107634</v>
      </c>
      <c r="AL72" s="153">
        <f>'DRE ANTIGA PARCERIA CAIXA'!AL41</f>
        <v>75669</v>
      </c>
      <c r="AM72" s="153">
        <f>'DRE ANTIGA PARCERIA CAIXA'!AM41</f>
        <v>66380</v>
      </c>
      <c r="AN72" s="153">
        <f>'DRE ANTIGA PARCERIA CAIXA'!AN41</f>
        <v>101880</v>
      </c>
      <c r="AO72" s="153">
        <f>'DRE ANTIGA PARCERIA CAIXA'!AO41</f>
        <v>91929</v>
      </c>
      <c r="AP72" s="144">
        <f>'DRE ANTIGA PARCERIA CAIXA'!AP41</f>
        <v>335858</v>
      </c>
      <c r="AQ72" s="153">
        <f>'DRE ANTIGA PARCERIA CAIXA'!AQ41</f>
        <v>58159</v>
      </c>
      <c r="AR72" s="153">
        <f>'DRE ANTIGA PARCERIA CAIXA'!AR41</f>
        <v>51505</v>
      </c>
      <c r="AS72" s="153">
        <f>'DRE ANTIGA PARCERIA CAIXA'!AS41</f>
        <v>89218</v>
      </c>
      <c r="AT72" s="153">
        <f>'DRE ANTIGA PARCERIA CAIXA'!AT41</f>
        <v>66490</v>
      </c>
      <c r="AU72" s="144">
        <f>'DRE ANTIGA PARCERIA CAIXA'!AU41</f>
        <v>265372</v>
      </c>
      <c r="AV72" s="153">
        <f>'DRE ANTIGA PARCERIA CAIXA'!AV41</f>
        <v>77375</v>
      </c>
      <c r="AW72" s="121">
        <f>'DRE ANTIGA PARCERIA CAIXA'!AW41</f>
        <v>92997</v>
      </c>
      <c r="AX72" s="121">
        <f>'DRE ANTIGA PARCERIA CAIXA'!AX41</f>
        <v>104627</v>
      </c>
      <c r="AY72" s="121">
        <f>'DRE ANTIGA PARCERIA CAIXA'!AY41</f>
        <v>111352</v>
      </c>
      <c r="AZ72" s="144">
        <f>'DRE ANTIGA PARCERIA CAIXA'!AZ41</f>
        <v>386351</v>
      </c>
      <c r="BA72" s="121">
        <f>'DRE ANTIGA PARCERIA CAIXA'!BA41</f>
        <v>111696</v>
      </c>
    </row>
    <row r="73" spans="1:53">
      <c r="A73" s="357"/>
      <c r="B73" s="318" t="s">
        <v>613</v>
      </c>
      <c r="C73" s="12"/>
      <c r="D73" s="12"/>
      <c r="E73" s="12"/>
      <c r="F73" s="12"/>
      <c r="G73" s="40"/>
      <c r="H73" s="12"/>
      <c r="I73" s="12"/>
      <c r="J73" s="12"/>
      <c r="K73" s="12"/>
      <c r="L73" s="40"/>
      <c r="M73" s="12"/>
      <c r="N73" s="12"/>
      <c r="O73" s="12"/>
      <c r="P73" s="12"/>
      <c r="Q73" s="40"/>
      <c r="R73" s="12"/>
      <c r="S73" s="12"/>
      <c r="T73" s="12"/>
      <c r="U73" s="12"/>
      <c r="V73" s="40"/>
      <c r="W73" s="12"/>
      <c r="X73" s="12"/>
      <c r="Y73" s="12"/>
      <c r="Z73" s="153"/>
      <c r="AA73" s="144">
        <f>'DRE ANTIGA PARCERIA CAIXA'!AA79</f>
        <v>222995.00529000821</v>
      </c>
      <c r="AB73" s="153"/>
      <c r="AC73" s="153"/>
      <c r="AD73" s="153"/>
      <c r="AE73" s="153"/>
      <c r="AF73" s="144"/>
      <c r="AG73" s="153"/>
      <c r="AH73" s="153"/>
      <c r="AI73" s="153"/>
      <c r="AJ73" s="153"/>
      <c r="AK73" s="144"/>
      <c r="AL73" s="153"/>
      <c r="AM73" s="153"/>
      <c r="AN73" s="153"/>
      <c r="AO73" s="153"/>
      <c r="AP73" s="144"/>
      <c r="AQ73" s="153"/>
      <c r="AR73" s="153"/>
      <c r="AS73" s="153"/>
      <c r="AT73" s="153"/>
      <c r="AU73" s="144"/>
      <c r="AV73" s="153"/>
      <c r="AW73" s="121"/>
      <c r="AX73" s="121"/>
      <c r="AY73" s="121"/>
      <c r="AZ73" s="144"/>
      <c r="BA73" s="121"/>
    </row>
    <row r="74" spans="1:53">
      <c r="A74" s="357"/>
      <c r="B74" s="318" t="s">
        <v>566</v>
      </c>
      <c r="C74" s="12"/>
      <c r="D74" s="12"/>
      <c r="E74" s="12"/>
      <c r="F74" s="12"/>
      <c r="G74" s="40"/>
      <c r="H74" s="12"/>
      <c r="I74" s="12"/>
      <c r="J74" s="12"/>
      <c r="K74" s="12"/>
      <c r="L74" s="40"/>
      <c r="M74" s="12"/>
      <c r="N74" s="12"/>
      <c r="O74" s="12"/>
      <c r="P74" s="12"/>
      <c r="Q74" s="40"/>
      <c r="R74" s="12"/>
      <c r="S74" s="12"/>
      <c r="T74" s="12"/>
      <c r="U74" s="12"/>
      <c r="V74" s="40"/>
      <c r="W74" s="12"/>
      <c r="X74" s="12"/>
      <c r="Y74" s="12"/>
      <c r="Z74" s="153"/>
      <c r="AA74" s="144">
        <f>'DRE ANTIGA PARCERIA CAIXA'!AA107</f>
        <v>135544.95849000005</v>
      </c>
      <c r="AB74" s="153">
        <f>'DRE ANTIGA PARCERIA CAIXA'!AB107</f>
        <v>48856.995719999977</v>
      </c>
      <c r="AC74" s="153">
        <f>'DRE ANTIGA PARCERIA CAIXA'!AC107</f>
        <v>38892.805470000036</v>
      </c>
      <c r="AD74" s="153">
        <f>'DRE ANTIGA PARCERIA CAIXA'!AD107</f>
        <v>35747.928769999984</v>
      </c>
      <c r="AE74" s="153">
        <f>'DRE ANTIGA PARCERIA CAIXA'!AE107</f>
        <v>33329.119809999997</v>
      </c>
      <c r="AF74" s="144">
        <f>'DRE ANTIGA PARCERIA CAIXA'!AF107</f>
        <v>156826.84977</v>
      </c>
      <c r="AG74" s="153">
        <f>'DRE ANTIGA PARCERIA CAIXA'!AG107</f>
        <v>31148</v>
      </c>
      <c r="AH74" s="153">
        <f>'DRE ANTIGA PARCERIA CAIXA'!AH107</f>
        <v>24196</v>
      </c>
      <c r="AI74" s="153">
        <f>'DRE ANTIGA PARCERIA CAIXA'!AI107</f>
        <v>22281</v>
      </c>
      <c r="AJ74" s="153">
        <f>'DRE ANTIGA PARCERIA CAIXA'!AJ107</f>
        <v>7175</v>
      </c>
      <c r="AK74" s="144">
        <f>'DRE ANTIGA PARCERIA CAIXA'!AK107</f>
        <v>84800</v>
      </c>
      <c r="AL74" s="153"/>
      <c r="AM74" s="153"/>
      <c r="AN74" s="153"/>
      <c r="AO74" s="153"/>
      <c r="AP74" s="144"/>
      <c r="AQ74" s="153"/>
      <c r="AR74" s="153"/>
      <c r="AS74" s="153"/>
      <c r="AT74" s="153"/>
      <c r="AU74" s="144"/>
      <c r="AV74" s="153"/>
      <c r="AW74" s="121"/>
      <c r="AX74" s="121"/>
      <c r="AY74" s="121"/>
      <c r="AZ74" s="144"/>
      <c r="BA74" s="121"/>
    </row>
    <row r="75" spans="1:53">
      <c r="A75" s="357"/>
      <c r="B75" s="318" t="s">
        <v>271</v>
      </c>
      <c r="C75" s="12"/>
      <c r="D75" s="12"/>
      <c r="E75" s="12"/>
      <c r="F75" s="12"/>
      <c r="G75" s="40"/>
      <c r="H75" s="12"/>
      <c r="I75" s="12"/>
      <c r="J75" s="12"/>
      <c r="K75" s="12"/>
      <c r="L75" s="40"/>
      <c r="M75" s="12"/>
      <c r="N75" s="12"/>
      <c r="O75" s="12"/>
      <c r="P75" s="12"/>
      <c r="Q75" s="40"/>
      <c r="R75" s="12"/>
      <c r="S75" s="12"/>
      <c r="T75" s="12"/>
      <c r="U75" s="12"/>
      <c r="V75" s="40"/>
      <c r="W75" s="12"/>
      <c r="X75" s="12"/>
      <c r="Y75" s="12"/>
      <c r="Z75" s="153"/>
      <c r="AA75" s="144">
        <f>'DRE ANTIGA PARCERIA CAIXA'!AA129</f>
        <v>13988.676890000004</v>
      </c>
      <c r="AB75" s="153">
        <f>'DRE ANTIGA PARCERIA CAIXA'!AB129</f>
        <v>4072.3048900000003</v>
      </c>
      <c r="AC75" s="153">
        <f>'DRE ANTIGA PARCERIA CAIXA'!AC129</f>
        <v>4612.9757500000005</v>
      </c>
      <c r="AD75" s="153">
        <f>'DRE ANTIGA PARCERIA CAIXA'!AD129</f>
        <v>6876.4893200000006</v>
      </c>
      <c r="AE75" s="153">
        <f>'DRE ANTIGA PARCERIA CAIXA'!AE129</f>
        <v>6457</v>
      </c>
      <c r="AF75" s="144">
        <f>'DRE ANTIGA PARCERIA CAIXA'!AF129</f>
        <v>22018.769960000001</v>
      </c>
      <c r="AG75" s="153">
        <f>'DRE ANTIGA PARCERIA CAIXA'!AG129</f>
        <v>8511</v>
      </c>
      <c r="AH75" s="153">
        <f>'DRE ANTIGA PARCERIA CAIXA'!AH129</f>
        <v>6941.0863600000012</v>
      </c>
      <c r="AI75" s="153">
        <f>'DRE ANTIGA PARCERIA CAIXA'!AI129</f>
        <v>8494</v>
      </c>
      <c r="AJ75" s="153">
        <f>'DRE ANTIGA PARCERIA CAIXA'!AJ129</f>
        <v>3041.0227999999988</v>
      </c>
      <c r="AK75" s="144">
        <f>'DRE ANTIGA PARCERIA CAIXA'!AK129</f>
        <v>26987.10916</v>
      </c>
      <c r="AL75" s="153"/>
      <c r="AM75" s="153"/>
      <c r="AN75" s="153"/>
      <c r="AO75" s="153"/>
      <c r="AP75" s="144"/>
      <c r="AQ75" s="153"/>
      <c r="AR75" s="153"/>
      <c r="AS75" s="153"/>
      <c r="AT75" s="153"/>
      <c r="AU75" s="144"/>
      <c r="AV75" s="153"/>
      <c r="AW75" s="121"/>
      <c r="AX75" s="121"/>
      <c r="AY75" s="121"/>
      <c r="AZ75" s="144"/>
      <c r="BA75" s="121"/>
    </row>
    <row r="76" spans="1:53">
      <c r="A76" s="357"/>
      <c r="B76" s="318" t="s">
        <v>614</v>
      </c>
      <c r="C76" s="1"/>
      <c r="D76" s="1"/>
      <c r="E76" s="1"/>
      <c r="F76" s="1"/>
      <c r="G76" s="40"/>
      <c r="H76" s="1"/>
      <c r="I76" s="1"/>
      <c r="J76" s="1"/>
      <c r="K76" s="1"/>
      <c r="L76" s="40"/>
      <c r="M76" s="1"/>
      <c r="N76" s="1"/>
      <c r="O76" s="1"/>
      <c r="P76" s="1"/>
      <c r="Q76" s="40"/>
      <c r="R76" s="1"/>
      <c r="S76" s="1"/>
      <c r="T76" s="1"/>
      <c r="U76" s="1"/>
      <c r="V76" s="40"/>
      <c r="W76" s="1"/>
      <c r="X76" s="1"/>
      <c r="Y76" s="1"/>
      <c r="Z76" s="121"/>
      <c r="AA76" s="144">
        <f>'DRE ANTIGA PARCERIA CAIXA'!AA151</f>
        <v>92067.178719999996</v>
      </c>
      <c r="AB76" s="121">
        <f>'DRE ANTIGA PARCERIA CAIXA'!AB151</f>
        <v>2546.9959800000001</v>
      </c>
      <c r="AC76" s="121">
        <f>'DRE ANTIGA PARCERIA CAIXA'!AC151</f>
        <v>2753.8512299999998</v>
      </c>
      <c r="AD76" s="121">
        <f>'DRE ANTIGA PARCERIA CAIXA'!AD151</f>
        <v>2860.7862300000006</v>
      </c>
      <c r="AE76" s="121">
        <f>'DRE ANTIGA PARCERIA CAIXA'!AE151</f>
        <v>2913.4575400000017</v>
      </c>
      <c r="AF76" s="144">
        <f>SUM(AB76:AE76)</f>
        <v>11075.090980000003</v>
      </c>
      <c r="AG76" s="121">
        <f>'DRE ANTIGA PARCERIA CAIXA'!AG151</f>
        <v>3273</v>
      </c>
      <c r="AH76" s="121">
        <f>'DRE ANTIGA PARCERIA CAIXA'!AH151</f>
        <v>3422</v>
      </c>
      <c r="AI76" s="121">
        <f>'DRE ANTIGA PARCERIA CAIXA'!AI151</f>
        <v>5109</v>
      </c>
      <c r="AJ76" s="121">
        <f>'DRE ANTIGA PARCERIA CAIXA'!AJ151</f>
        <v>5021</v>
      </c>
      <c r="AK76" s="144">
        <f>SUM(AG76:AJ76)</f>
        <v>16825</v>
      </c>
      <c r="AL76" s="121">
        <f>'DRE ANTIGA PARCERIA CAIXA'!AL151</f>
        <v>4909</v>
      </c>
      <c r="AM76" s="121">
        <f>'DRE ANTIGA PARCERIA CAIXA'!AM151</f>
        <v>4905</v>
      </c>
      <c r="AN76" s="121">
        <f>'DRE ANTIGA PARCERIA CAIXA'!AN151</f>
        <v>5419</v>
      </c>
      <c r="AO76" s="121">
        <f>'DRE ANTIGA PARCERIA CAIXA'!AO151</f>
        <v>4695</v>
      </c>
      <c r="AP76" s="144">
        <f>SUM(AL76:AM76)</f>
        <v>9814</v>
      </c>
      <c r="AQ76" s="121">
        <f>'DRE ANTIGA PARCERIA CAIXA'!AQ151</f>
        <v>4172</v>
      </c>
      <c r="AR76" s="121">
        <f>'DRE ANTIGA PARCERIA CAIXA'!AR151</f>
        <v>4876</v>
      </c>
      <c r="AS76" s="121">
        <f>'DRE ANTIGA PARCERIA CAIXA'!AS151</f>
        <v>4683</v>
      </c>
      <c r="AT76" s="121">
        <f>'DRE ANTIGA PARCERIA CAIXA'!AT151</f>
        <v>4603</v>
      </c>
      <c r="AU76" s="144">
        <f>SUM(AQ76:AR76)</f>
        <v>9048</v>
      </c>
      <c r="AV76" s="121">
        <f>'DRE ANTIGA PARCERIA CAIXA'!AV151</f>
        <v>4782</v>
      </c>
      <c r="AW76" s="121">
        <f>'DRE ANTIGA PARCERIA CAIXA'!AW151</f>
        <v>5006</v>
      </c>
      <c r="AX76" s="121">
        <f>'DRE ANTIGA PARCERIA CAIXA'!AX151</f>
        <v>5613</v>
      </c>
      <c r="AY76" s="121">
        <f>'DRE ANTIGA PARCERIA CAIXA'!AY151</f>
        <v>5506</v>
      </c>
      <c r="AZ76" s="144">
        <f>SUM(AV76:AW76)</f>
        <v>9788</v>
      </c>
      <c r="BA76" s="121">
        <f>'DRE ANTIGA PARCERIA CAIXA'!BA151</f>
        <v>5309</v>
      </c>
    </row>
    <row r="77" spans="1:53">
      <c r="A77" s="357"/>
      <c r="B77" s="318" t="s">
        <v>568</v>
      </c>
      <c r="C77" s="12"/>
      <c r="D77" s="12"/>
      <c r="E77" s="12"/>
      <c r="F77" s="12"/>
      <c r="G77" s="40"/>
      <c r="H77" s="12"/>
      <c r="I77" s="12"/>
      <c r="J77" s="12"/>
      <c r="K77" s="12"/>
      <c r="L77" s="40"/>
      <c r="M77" s="12"/>
      <c r="N77" s="12"/>
      <c r="O77" s="12"/>
      <c r="P77" s="12"/>
      <c r="Q77" s="40"/>
      <c r="R77" s="12"/>
      <c r="S77" s="12"/>
      <c r="T77" s="12"/>
      <c r="U77" s="12"/>
      <c r="V77" s="40"/>
      <c r="W77" s="12"/>
      <c r="X77" s="12"/>
      <c r="Y77" s="12"/>
      <c r="Z77" s="153"/>
      <c r="AA77" s="144">
        <f>'DRE ANTIGA PARCERIA CAIXA'!AA181</f>
        <v>11820.849679999999</v>
      </c>
      <c r="AB77" s="153">
        <f>'DRE ANTIGA PARCERIA CAIXA'!AB181</f>
        <v>1765.5275600000004</v>
      </c>
      <c r="AC77" s="153">
        <f>'DRE ANTIGA PARCERIA CAIXA'!AC181</f>
        <v>4954.7438000000002</v>
      </c>
      <c r="AD77" s="153">
        <f>'DRE ANTIGA PARCERIA CAIXA'!AD181</f>
        <v>2932.7318699999983</v>
      </c>
      <c r="AE77" s="153">
        <f>'DRE ANTIGA PARCERIA CAIXA'!AE181</f>
        <v>1978.32817</v>
      </c>
      <c r="AF77" s="144">
        <f>'DRE ANTIGA PARCERIA CAIXA'!AF181</f>
        <v>11631.331399999999</v>
      </c>
      <c r="AG77" s="153">
        <f>'DRE ANTIGA PARCERIA CAIXA'!AG181</f>
        <v>1689</v>
      </c>
      <c r="AH77" s="153">
        <f>'DRE ANTIGA PARCERIA CAIXA'!AH181</f>
        <v>1797</v>
      </c>
      <c r="AI77" s="153">
        <f>'DRE ANTIGA PARCERIA CAIXA'!AI181</f>
        <v>3197</v>
      </c>
      <c r="AJ77" s="153">
        <f>'DRE ANTIGA PARCERIA CAIXA'!AJ181</f>
        <v>3960</v>
      </c>
      <c r="AK77" s="144">
        <f>'DRE ANTIGA PARCERIA CAIXA'!AK181</f>
        <v>10643</v>
      </c>
      <c r="AL77" s="153"/>
      <c r="AM77" s="153"/>
      <c r="AN77" s="153"/>
      <c r="AO77" s="153"/>
      <c r="AP77" s="144"/>
      <c r="AQ77" s="153"/>
      <c r="AR77" s="153"/>
      <c r="AS77" s="153"/>
      <c r="AT77" s="153"/>
      <c r="AU77" s="144"/>
      <c r="AV77" s="153"/>
      <c r="AW77" s="121"/>
      <c r="AX77" s="121"/>
      <c r="AY77" s="121"/>
      <c r="AZ77" s="144"/>
      <c r="BA77" s="121"/>
    </row>
    <row r="78" spans="1:53">
      <c r="A78" s="357"/>
      <c r="B78" s="318" t="s">
        <v>569</v>
      </c>
      <c r="C78" s="12"/>
      <c r="D78" s="12"/>
      <c r="E78" s="12"/>
      <c r="F78" s="12"/>
      <c r="G78" s="40"/>
      <c r="H78" s="12"/>
      <c r="I78" s="12"/>
      <c r="J78" s="12"/>
      <c r="K78" s="12"/>
      <c r="L78" s="40"/>
      <c r="M78" s="12"/>
      <c r="N78" s="12"/>
      <c r="O78" s="12"/>
      <c r="P78" s="12"/>
      <c r="Q78" s="40"/>
      <c r="R78" s="12"/>
      <c r="S78" s="12"/>
      <c r="T78" s="12"/>
      <c r="U78" s="12"/>
      <c r="V78" s="40"/>
      <c r="W78" s="12"/>
      <c r="X78" s="12"/>
      <c r="Y78" s="12"/>
      <c r="Z78" s="153"/>
      <c r="AA78" s="144">
        <f>'DRE ANTIGA PARCERIA CAIXA'!AA202</f>
        <v>-630.19749999999999</v>
      </c>
      <c r="AB78" s="153">
        <f>'DRE ANTIGA PARCERIA CAIXA'!AB202</f>
        <v>54.776710000000008</v>
      </c>
      <c r="AC78" s="153">
        <f>'DRE ANTIGA PARCERIA CAIXA'!AC202</f>
        <v>152.28307000000004</v>
      </c>
      <c r="AD78" s="153">
        <f>'DRE ANTIGA PARCERIA CAIXA'!AD202</f>
        <v>350.75756999999999</v>
      </c>
      <c r="AE78" s="153">
        <f>'DRE ANTIGA PARCERIA CAIXA'!AE202</f>
        <v>510.30389000000048</v>
      </c>
      <c r="AF78" s="144">
        <f>'DRE ANTIGA PARCERIA CAIXA'!AF202</f>
        <v>1068.1212400000004</v>
      </c>
      <c r="AG78" s="153">
        <f>'DRE ANTIGA PARCERIA CAIXA'!AG202</f>
        <v>527</v>
      </c>
      <c r="AH78" s="153">
        <f>'DRE ANTIGA PARCERIA CAIXA'!AH202</f>
        <v>771</v>
      </c>
      <c r="AI78" s="153">
        <f>'DRE ANTIGA PARCERIA CAIXA'!AI202</f>
        <v>955</v>
      </c>
      <c r="AJ78" s="153">
        <f>'DRE ANTIGA PARCERIA CAIXA'!AJ202</f>
        <v>646</v>
      </c>
      <c r="AK78" s="144">
        <f>'DRE ANTIGA PARCERIA CAIXA'!AK202</f>
        <v>2899</v>
      </c>
      <c r="AL78" s="153"/>
      <c r="AM78" s="153"/>
      <c r="AN78" s="153"/>
      <c r="AO78" s="153"/>
      <c r="AP78" s="144"/>
      <c r="AQ78" s="153"/>
      <c r="AR78" s="153"/>
      <c r="AS78" s="153"/>
      <c r="AT78" s="153"/>
      <c r="AU78" s="144"/>
      <c r="AV78" s="153"/>
      <c r="AW78" s="121"/>
      <c r="AX78" s="121"/>
      <c r="AY78" s="121"/>
      <c r="AZ78" s="144"/>
      <c r="BA78" s="121"/>
    </row>
    <row r="79" spans="1:53">
      <c r="A79" s="357"/>
      <c r="B79" s="318" t="s">
        <v>570</v>
      </c>
      <c r="C79" s="12"/>
      <c r="D79" s="12"/>
      <c r="E79" s="12"/>
      <c r="F79" s="12"/>
      <c r="G79" s="40"/>
      <c r="H79" s="12"/>
      <c r="I79" s="12"/>
      <c r="J79" s="12"/>
      <c r="K79" s="12"/>
      <c r="L79" s="40"/>
      <c r="M79" s="12"/>
      <c r="N79" s="12"/>
      <c r="O79" s="12"/>
      <c r="P79" s="12"/>
      <c r="Q79" s="40"/>
      <c r="R79" s="12"/>
      <c r="S79" s="12"/>
      <c r="T79" s="12"/>
      <c r="U79" s="12"/>
      <c r="V79" s="40"/>
      <c r="W79" s="12"/>
      <c r="X79" s="12"/>
      <c r="Y79" s="12"/>
      <c r="Z79" s="153"/>
      <c r="AA79" s="144">
        <f>'DRE ANTIGA PARCERIA CAIXA'!AA224</f>
        <v>2917.6205299999992</v>
      </c>
      <c r="AB79" s="153">
        <f>'DRE ANTIGA PARCERIA CAIXA'!AB224</f>
        <v>661.12504999999987</v>
      </c>
      <c r="AC79" s="153">
        <f>'DRE ANTIGA PARCERIA CAIXA'!AC224</f>
        <v>517.76914000000011</v>
      </c>
      <c r="AD79" s="153">
        <f>'DRE ANTIGA PARCERIA CAIXA'!AD224</f>
        <v>713.88387000000012</v>
      </c>
      <c r="AE79" s="153">
        <f>'DRE ANTIGA PARCERIA CAIXA'!AE224</f>
        <v>905.94624000000022</v>
      </c>
      <c r="AF79" s="144">
        <f>'DRE ANTIGA PARCERIA CAIXA'!AF224</f>
        <v>2798.7243000000003</v>
      </c>
      <c r="AG79" s="153">
        <f>'DRE ANTIGA PARCERIA CAIXA'!AG224</f>
        <v>1123</v>
      </c>
      <c r="AH79" s="153">
        <f>'DRE ANTIGA PARCERIA CAIXA'!AH224</f>
        <v>1275</v>
      </c>
      <c r="AI79" s="153">
        <f>'DRE ANTIGA PARCERIA CAIXA'!AI224</f>
        <v>2408</v>
      </c>
      <c r="AJ79" s="153">
        <f>'DRE ANTIGA PARCERIA CAIXA'!AJ224</f>
        <v>456</v>
      </c>
      <c r="AK79" s="144">
        <f>'DRE ANTIGA PARCERIA CAIXA'!AK224</f>
        <v>5262</v>
      </c>
      <c r="AL79" s="153">
        <f>'DRE ANTIGA PARCERIA CAIXA'!AL224</f>
        <v>1842</v>
      </c>
      <c r="AM79" s="153">
        <f>'DRE ANTIGA PARCERIA CAIXA'!AM224</f>
        <v>1754</v>
      </c>
      <c r="AN79" s="153">
        <f>'DRE ANTIGA PARCERIA CAIXA'!AN224</f>
        <v>1824</v>
      </c>
      <c r="AO79" s="153">
        <f>'DRE ANTIGA PARCERIA CAIXA'!AO224</f>
        <v>1642</v>
      </c>
      <c r="AP79" s="144">
        <f>'DRE ANTIGA PARCERIA CAIXA'!AP224</f>
        <v>7062</v>
      </c>
      <c r="AQ79" s="153">
        <f>'DRE ANTIGA PARCERIA CAIXA'!AQ224</f>
        <v>1390</v>
      </c>
      <c r="AR79" s="153">
        <f>'DRE ANTIGA PARCERIA CAIXA'!AR224</f>
        <v>1435</v>
      </c>
      <c r="AS79" s="153">
        <f>'DRE ANTIGA PARCERIA CAIXA'!AS224</f>
        <v>1593</v>
      </c>
      <c r="AT79" s="153">
        <f>'DRE ANTIGA PARCERIA CAIXA'!AT224</f>
        <v>1611</v>
      </c>
      <c r="AU79" s="144">
        <f>'DRE ANTIGA PARCERIA CAIXA'!AU224</f>
        <v>6029</v>
      </c>
      <c r="AV79" s="153">
        <f>'DRE ANTIGA PARCERIA CAIXA'!AV224</f>
        <v>1720</v>
      </c>
      <c r="AW79" s="121">
        <f>'DRE ANTIGA PARCERIA CAIXA'!AW224</f>
        <v>1748</v>
      </c>
      <c r="AX79" s="121">
        <f>'DRE ANTIGA PARCERIA CAIXA'!AX224</f>
        <v>1958</v>
      </c>
      <c r="AY79" s="121">
        <f>'DRE ANTIGA PARCERIA CAIXA'!AY224</f>
        <v>1937</v>
      </c>
      <c r="AZ79" s="144">
        <f>'DRE ANTIGA PARCERIA CAIXA'!AZ224</f>
        <v>7363</v>
      </c>
      <c r="BA79" s="121">
        <f>'DRE ANTIGA PARCERIA CAIXA'!BA224</f>
        <v>1742</v>
      </c>
    </row>
    <row r="80" spans="1:53">
      <c r="A80" s="357"/>
      <c r="B80" s="318" t="s">
        <v>615</v>
      </c>
      <c r="C80" s="12"/>
      <c r="D80" s="12"/>
      <c r="E80" s="12"/>
      <c r="F80" s="12"/>
      <c r="G80" s="40"/>
      <c r="H80" s="12"/>
      <c r="I80" s="12"/>
      <c r="J80" s="12"/>
      <c r="K80" s="12"/>
      <c r="L80" s="40"/>
      <c r="M80" s="12"/>
      <c r="N80" s="12"/>
      <c r="O80" s="12"/>
      <c r="P80" s="12"/>
      <c r="Q80" s="40"/>
      <c r="R80" s="12"/>
      <c r="S80" s="12"/>
      <c r="T80" s="12"/>
      <c r="U80" s="12"/>
      <c r="V80" s="40"/>
      <c r="W80" s="12"/>
      <c r="X80" s="12"/>
      <c r="Y80" s="12"/>
      <c r="Z80" s="153"/>
      <c r="AA80" s="144">
        <f>'DRE ANTIGA PARCERIA CAIXA'!AA246</f>
        <v>654.33782000000008</v>
      </c>
      <c r="AB80" s="153">
        <f>'DRE ANTIGA PARCERIA CAIXA'!AB246</f>
        <v>132.07637</v>
      </c>
      <c r="AC80" s="153">
        <f>'DRE ANTIGA PARCERIA CAIXA'!AC246</f>
        <v>203.82567</v>
      </c>
      <c r="AD80" s="153">
        <f>'DRE ANTIGA PARCERIA CAIXA'!AD246</f>
        <v>394.09372999999999</v>
      </c>
      <c r="AE80" s="153">
        <f>'DRE ANTIGA PARCERIA CAIXA'!AE246</f>
        <v>669.13846999999998</v>
      </c>
      <c r="AF80" s="144">
        <f>'DRE ANTIGA PARCERIA CAIXA'!AF246</f>
        <v>1399.1342399999999</v>
      </c>
      <c r="AG80" s="153">
        <f>'DRE ANTIGA PARCERIA CAIXA'!AG246</f>
        <v>984</v>
      </c>
      <c r="AH80" s="153">
        <f>'DRE ANTIGA PARCERIA CAIXA'!AH246</f>
        <v>843</v>
      </c>
      <c r="AI80" s="153">
        <f>'DRE ANTIGA PARCERIA CAIXA'!AI246</f>
        <v>2262</v>
      </c>
      <c r="AJ80" s="153">
        <f>'DRE ANTIGA PARCERIA CAIXA'!AJ246</f>
        <v>291</v>
      </c>
      <c r="AK80" s="144">
        <f>'DRE ANTIGA PARCERIA CAIXA'!AK246</f>
        <v>4380</v>
      </c>
      <c r="AL80" s="153">
        <f>'DRE ANTIGA PARCERIA CAIXA'!AL246</f>
        <v>1399</v>
      </c>
      <c r="AM80" s="153">
        <f>'DRE ANTIGA PARCERIA CAIXA'!AM246</f>
        <v>824</v>
      </c>
      <c r="AN80" s="153">
        <f>'DRE ANTIGA PARCERIA CAIXA'!AN246</f>
        <v>938</v>
      </c>
      <c r="AO80" s="153">
        <f>'DRE ANTIGA PARCERIA CAIXA'!AO246</f>
        <v>976</v>
      </c>
      <c r="AP80" s="144">
        <f>'DRE ANTIGA PARCERIA CAIXA'!AP246</f>
        <v>4137</v>
      </c>
      <c r="AQ80" s="153">
        <f>'DRE ANTIGA PARCERIA CAIXA'!AQ246</f>
        <v>1002</v>
      </c>
      <c r="AR80" s="153">
        <f>'DRE ANTIGA PARCERIA CAIXA'!AR246</f>
        <v>867</v>
      </c>
      <c r="AS80" s="153">
        <f>'DRE ANTIGA PARCERIA CAIXA'!AS246</f>
        <v>918</v>
      </c>
      <c r="AT80" s="153">
        <f>'DRE ANTIGA PARCERIA CAIXA'!AT246</f>
        <v>1187</v>
      </c>
      <c r="AU80" s="144">
        <f>'DRE ANTIGA PARCERIA CAIXA'!AU246</f>
        <v>3974</v>
      </c>
      <c r="AV80" s="153">
        <f>'DRE ANTIGA PARCERIA CAIXA'!AV246</f>
        <v>1408</v>
      </c>
      <c r="AW80" s="121">
        <f>'DRE ANTIGA PARCERIA CAIXA'!AW246</f>
        <v>1167</v>
      </c>
      <c r="AX80" s="121">
        <f>'DRE ANTIGA PARCERIA CAIXA'!AX246</f>
        <v>1321</v>
      </c>
      <c r="AY80" s="121">
        <f>'DRE ANTIGA PARCERIA CAIXA'!AY246</f>
        <v>1626</v>
      </c>
      <c r="AZ80" s="144">
        <f>'DRE ANTIGA PARCERIA CAIXA'!AZ246</f>
        <v>5522</v>
      </c>
      <c r="BA80" s="121">
        <f>'DRE ANTIGA PARCERIA CAIXA'!BA246</f>
        <v>1293</v>
      </c>
    </row>
    <row r="81" spans="1:53">
      <c r="A81" s="357"/>
      <c r="B81" s="318" t="s">
        <v>616</v>
      </c>
      <c r="C81" s="12"/>
      <c r="D81" s="12"/>
      <c r="E81" s="12"/>
      <c r="F81" s="12"/>
      <c r="G81" s="40"/>
      <c r="H81" s="12"/>
      <c r="I81" s="12"/>
      <c r="J81" s="12"/>
      <c r="K81" s="12"/>
      <c r="L81" s="40"/>
      <c r="M81" s="12"/>
      <c r="N81" s="12"/>
      <c r="O81" s="12"/>
      <c r="P81" s="12"/>
      <c r="Q81" s="40"/>
      <c r="R81" s="12"/>
      <c r="S81" s="12"/>
      <c r="T81" s="12"/>
      <c r="U81" s="12"/>
      <c r="V81" s="40"/>
      <c r="W81" s="12"/>
      <c r="X81" s="12"/>
      <c r="Y81" s="12"/>
      <c r="Z81" s="153"/>
      <c r="AA81" s="144">
        <f>'DRE ANTIGA PARCERIA CAIXA'!AA268</f>
        <v>67767.116089999996</v>
      </c>
      <c r="AB81" s="153">
        <f>'DRE ANTIGA PARCERIA CAIXA'!AB268</f>
        <v>7179.4618800000007</v>
      </c>
      <c r="AC81" s="153">
        <f>'DRE ANTIGA PARCERIA CAIXA'!AC268</f>
        <v>15204.016500000003</v>
      </c>
      <c r="AD81" s="153">
        <f>'DRE ANTIGA PARCERIA CAIXA'!AD268</f>
        <v>-625.80040000000372</v>
      </c>
      <c r="AE81" s="153">
        <f>'DRE ANTIGA PARCERIA CAIXA'!AE268</f>
        <v>6643.3918100000028</v>
      </c>
      <c r="AF81" s="144">
        <f>'DRE ANTIGA PARCERIA CAIXA'!AF268</f>
        <v>28401.069790000001</v>
      </c>
      <c r="AG81" s="153">
        <f>'DRE ANTIGA PARCERIA CAIXA'!AG268</f>
        <v>11320</v>
      </c>
      <c r="AH81" s="153">
        <f>'DRE ANTIGA PARCERIA CAIXA'!AH268</f>
        <v>22903</v>
      </c>
      <c r="AI81" s="153">
        <f>'DRE ANTIGA PARCERIA CAIXA'!AI268</f>
        <v>27963</v>
      </c>
      <c r="AJ81" s="153">
        <f>'DRE ANTIGA PARCERIA CAIXA'!AJ268</f>
        <v>-7649</v>
      </c>
      <c r="AK81" s="144">
        <f>'DRE ANTIGA PARCERIA CAIXA'!AK268</f>
        <v>54537</v>
      </c>
      <c r="AL81" s="153">
        <f>'DRE ANTIGA PARCERIA CAIXA'!AL268</f>
        <v>9077</v>
      </c>
      <c r="AM81" s="153">
        <f>'DRE ANTIGA PARCERIA CAIXA'!AM268</f>
        <v>11260</v>
      </c>
      <c r="AN81" s="153">
        <f>'DRE ANTIGA PARCERIA CAIXA'!AN268</f>
        <v>18543</v>
      </c>
      <c r="AO81" s="153">
        <f>'DRE ANTIGA PARCERIA CAIXA'!AO268</f>
        <v>20746</v>
      </c>
      <c r="AP81" s="144">
        <f>'DRE ANTIGA PARCERIA CAIXA'!AP268</f>
        <v>59626</v>
      </c>
      <c r="AQ81" s="153">
        <f>'DRE ANTIGA PARCERIA CAIXA'!AQ268</f>
        <v>10566</v>
      </c>
      <c r="AR81" s="153">
        <f>'DRE ANTIGA PARCERIA CAIXA'!AR268</f>
        <v>12587</v>
      </c>
      <c r="AS81" s="153">
        <f>'DRE ANTIGA PARCERIA CAIXA'!AS268</f>
        <v>14251</v>
      </c>
      <c r="AT81" s="153">
        <f>'DRE ANTIGA PARCERIA CAIXA'!AT268</f>
        <v>12966</v>
      </c>
      <c r="AU81" s="144">
        <f>'DRE ANTIGA PARCERIA CAIXA'!AU268</f>
        <v>50370</v>
      </c>
      <c r="AV81" s="153">
        <f>'DRE ANTIGA PARCERIA CAIXA'!AV268</f>
        <v>13711</v>
      </c>
      <c r="AW81" s="121">
        <f>'DRE ANTIGA PARCERIA CAIXA'!AW268</f>
        <v>16814</v>
      </c>
      <c r="AX81" s="121">
        <f>'DRE ANTIGA PARCERIA CAIXA'!AX268</f>
        <v>35011</v>
      </c>
      <c r="AY81" s="121">
        <f>'DRE ANTIGA PARCERIA CAIXA'!AY268</f>
        <v>13546</v>
      </c>
      <c r="AZ81" s="144">
        <f>'DRE ANTIGA PARCERIA CAIXA'!AZ268</f>
        <v>79082</v>
      </c>
      <c r="BA81" s="121">
        <f>'DRE ANTIGA PARCERIA CAIXA'!BA268</f>
        <v>13677</v>
      </c>
    </row>
    <row r="82" spans="1:53" s="2" customFormat="1">
      <c r="A82" s="363"/>
      <c r="B82" s="21" t="s">
        <v>617</v>
      </c>
      <c r="C82" s="218"/>
      <c r="D82" s="218"/>
      <c r="E82" s="218"/>
      <c r="F82" s="218"/>
      <c r="G82" s="364"/>
      <c r="H82" s="218"/>
      <c r="I82" s="218"/>
      <c r="J82" s="218"/>
      <c r="K82" s="218"/>
      <c r="L82" s="364"/>
      <c r="M82" s="218"/>
      <c r="N82" s="218"/>
      <c r="O82" s="218"/>
      <c r="P82" s="218"/>
      <c r="Q82" s="364"/>
      <c r="R82" s="218"/>
      <c r="S82" s="218"/>
      <c r="T82" s="218"/>
      <c r="U82" s="218"/>
      <c r="V82" s="364"/>
      <c r="W82" s="218"/>
      <c r="X82" s="218"/>
      <c r="Y82" s="218"/>
      <c r="Z82" s="365"/>
      <c r="AA82" s="366">
        <f t="shared" ref="AA82:AM82" si="58">AA83+AA84</f>
        <v>20126.53066</v>
      </c>
      <c r="AB82" s="365">
        <f t="shared" si="58"/>
        <v>6276</v>
      </c>
      <c r="AC82" s="365">
        <f t="shared" si="58"/>
        <v>11081</v>
      </c>
      <c r="AD82" s="365">
        <f t="shared" si="58"/>
        <v>4780.2516299999997</v>
      </c>
      <c r="AE82" s="365">
        <f t="shared" si="58"/>
        <v>13053</v>
      </c>
      <c r="AF82" s="366">
        <f t="shared" si="58"/>
        <v>35190.251629999999</v>
      </c>
      <c r="AG82" s="365">
        <f t="shared" si="58"/>
        <v>26171</v>
      </c>
      <c r="AH82" s="365">
        <f t="shared" si="58"/>
        <v>26748</v>
      </c>
      <c r="AI82" s="365">
        <f t="shared" si="58"/>
        <v>36169</v>
      </c>
      <c r="AJ82" s="365">
        <f t="shared" si="58"/>
        <v>41628</v>
      </c>
      <c r="AK82" s="366">
        <f t="shared" si="58"/>
        <v>130716</v>
      </c>
      <c r="AL82" s="365">
        <f t="shared" si="58"/>
        <v>40068</v>
      </c>
      <c r="AM82" s="365">
        <f t="shared" si="58"/>
        <v>43750</v>
      </c>
      <c r="AN82" s="365">
        <f t="shared" ref="AN82:AO82" si="59">AN83+AN84</f>
        <v>53773</v>
      </c>
      <c r="AO82" s="365">
        <f t="shared" si="59"/>
        <v>48848.008999999998</v>
      </c>
      <c r="AP82" s="366">
        <f>AP83+AP84</f>
        <v>186439.00899999999</v>
      </c>
      <c r="AQ82" s="365">
        <f t="shared" ref="AQ82:AT82" si="60">AQ83+AQ84</f>
        <v>45873.45</v>
      </c>
      <c r="AR82" s="365">
        <f t="shared" si="60"/>
        <v>49173</v>
      </c>
      <c r="AS82" s="365">
        <f t="shared" si="60"/>
        <v>51420.553</v>
      </c>
      <c r="AT82" s="365">
        <f t="shared" si="60"/>
        <v>54793.239000000001</v>
      </c>
      <c r="AU82" s="366">
        <f>AU83+AU84</f>
        <v>201260.242</v>
      </c>
      <c r="AV82" s="365">
        <f t="shared" ref="AV82" si="61">AV83+AV84</f>
        <v>54074</v>
      </c>
      <c r="AW82" s="367">
        <f>AW83+AW84</f>
        <v>60442</v>
      </c>
      <c r="AX82" s="367">
        <f>AX83+AX84</f>
        <v>72458</v>
      </c>
      <c r="AY82" s="367">
        <f>AY83+AY84</f>
        <v>64281</v>
      </c>
      <c r="AZ82" s="366">
        <f>AZ83+AZ84</f>
        <v>251255</v>
      </c>
      <c r="BA82" s="367">
        <f>BA83+BA84</f>
        <v>65450.764000000003</v>
      </c>
    </row>
    <row r="83" spans="1:53">
      <c r="A83" s="357"/>
      <c r="B83" s="11" t="s">
        <v>269</v>
      </c>
      <c r="C83" s="12"/>
      <c r="D83" s="12"/>
      <c r="E83" s="12"/>
      <c r="F83" s="12"/>
      <c r="G83" s="40"/>
      <c r="H83" s="12"/>
      <c r="I83" s="12"/>
      <c r="J83" s="12"/>
      <c r="K83" s="12"/>
      <c r="L83" s="40"/>
      <c r="M83" s="12"/>
      <c r="N83" s="12"/>
      <c r="O83" s="12"/>
      <c r="P83" s="12"/>
      <c r="Q83" s="40"/>
      <c r="R83" s="12"/>
      <c r="S83" s="12"/>
      <c r="T83" s="12"/>
      <c r="U83" s="12"/>
      <c r="V83" s="40"/>
      <c r="W83" s="12"/>
      <c r="X83" s="12"/>
      <c r="Y83" s="12"/>
      <c r="Z83" s="153"/>
      <c r="AA83" s="144">
        <f>'DRE PARCERIAS BANCO PAN'!AA19</f>
        <v>13458</v>
      </c>
      <c r="AB83" s="153">
        <f>'DRE PARCERIAS BANCO PAN'!AB19</f>
        <v>6002</v>
      </c>
      <c r="AC83" s="153">
        <f>'DRE PARCERIAS BANCO PAN'!AC19</f>
        <v>10599</v>
      </c>
      <c r="AD83" s="153">
        <f>'DRE PARCERIAS BANCO PAN'!AD19</f>
        <v>4019</v>
      </c>
      <c r="AE83" s="153">
        <f>'DRE PARCERIAS BANCO PAN'!AE19</f>
        <v>11778</v>
      </c>
      <c r="AF83" s="144">
        <f>'DRE PARCERIAS BANCO PAN'!AF19</f>
        <v>32398</v>
      </c>
      <c r="AG83" s="153">
        <f>'DRE PARCERIAS BANCO PAN'!AG19</f>
        <v>24800</v>
      </c>
      <c r="AH83" s="153">
        <f>'DRE PARCERIAS BANCO PAN'!AH19</f>
        <v>25438</v>
      </c>
      <c r="AI83" s="153">
        <f>'DRE PARCERIAS BANCO PAN'!AI19</f>
        <v>34234</v>
      </c>
      <c r="AJ83" s="153">
        <f>'DRE PARCERIAS BANCO PAN'!AJ19</f>
        <v>39398</v>
      </c>
      <c r="AK83" s="144">
        <f>'DRE PARCERIAS BANCO PAN'!AK19</f>
        <v>123870</v>
      </c>
      <c r="AL83" s="153">
        <f>'DRE PARCERIAS BANCO PAN'!AL19</f>
        <v>37992</v>
      </c>
      <c r="AM83" s="153">
        <f>'DRE PARCERIAS BANCO PAN'!AM19</f>
        <v>42196</v>
      </c>
      <c r="AN83" s="153">
        <f>'DRE PARCERIAS BANCO PAN'!AN19</f>
        <v>51802</v>
      </c>
      <c r="AO83" s="153">
        <f>'DRE PARCERIAS BANCO PAN'!AO19</f>
        <v>46225</v>
      </c>
      <c r="AP83" s="144">
        <f>'DRE PARCERIAS BANCO PAN'!AP19</f>
        <v>178215</v>
      </c>
      <c r="AQ83" s="153">
        <f>'DRE PARCERIAS BANCO PAN'!AQ19</f>
        <v>43817</v>
      </c>
      <c r="AR83" s="153">
        <f>'DRE PARCERIAS BANCO PAN'!AR19</f>
        <v>47208</v>
      </c>
      <c r="AS83" s="153">
        <f>'DRE PARCERIAS BANCO PAN'!AS19</f>
        <v>49217</v>
      </c>
      <c r="AT83" s="153">
        <f>'DRE PARCERIAS BANCO PAN'!AT19</f>
        <v>52398</v>
      </c>
      <c r="AU83" s="144">
        <f>'DRE PARCERIAS BANCO PAN'!AU19</f>
        <v>192640</v>
      </c>
      <c r="AV83" s="153">
        <f>'DRE PARCERIAS BANCO PAN'!AV19</f>
        <v>52532</v>
      </c>
      <c r="AW83" s="121">
        <f>'DRE PARCERIAS BANCO PAN'!AW19</f>
        <v>59669</v>
      </c>
      <c r="AX83" s="121">
        <f>'DRE PARCERIAS BANCO PAN'!AX19</f>
        <v>71267</v>
      </c>
      <c r="AY83" s="121">
        <f>'DRE PARCERIAS BANCO PAN'!AY19</f>
        <v>62627</v>
      </c>
      <c r="AZ83" s="144">
        <f>'DRE PARCERIAS BANCO PAN'!AZ19</f>
        <v>246095</v>
      </c>
      <c r="BA83" s="121">
        <f>'DRE PARCERIAS BANCO PAN'!BA19</f>
        <v>63354</v>
      </c>
    </row>
    <row r="84" spans="1:53">
      <c r="A84" s="357"/>
      <c r="B84" s="11" t="s">
        <v>618</v>
      </c>
      <c r="C84" s="12"/>
      <c r="D84" s="12"/>
      <c r="E84" s="12"/>
      <c r="F84" s="12"/>
      <c r="G84" s="40"/>
      <c r="H84" s="12"/>
      <c r="I84" s="12"/>
      <c r="J84" s="12"/>
      <c r="K84" s="12"/>
      <c r="L84" s="40"/>
      <c r="M84" s="12"/>
      <c r="N84" s="12"/>
      <c r="O84" s="12"/>
      <c r="P84" s="12"/>
      <c r="Q84" s="40"/>
      <c r="R84" s="12"/>
      <c r="S84" s="12"/>
      <c r="T84" s="12"/>
      <c r="U84" s="12"/>
      <c r="V84" s="40"/>
      <c r="W84" s="12"/>
      <c r="X84" s="12"/>
      <c r="Y84" s="12"/>
      <c r="Z84" s="153"/>
      <c r="AA84" s="144">
        <f>'DRE PARCERIAS BANCO PAN'!AA36</f>
        <v>6668.5306600000004</v>
      </c>
      <c r="AB84" s="153">
        <f>'DRE PARCERIAS BANCO PAN'!AB36</f>
        <v>274</v>
      </c>
      <c r="AC84" s="153">
        <f>'DRE PARCERIAS BANCO PAN'!AC36</f>
        <v>482</v>
      </c>
      <c r="AD84" s="153">
        <f>'DRE PARCERIAS BANCO PAN'!AD36</f>
        <v>761.25163000000009</v>
      </c>
      <c r="AE84" s="153">
        <f>'DRE PARCERIAS BANCO PAN'!AE36</f>
        <v>1275</v>
      </c>
      <c r="AF84" s="144">
        <f>'DRE PARCERIAS BANCO PAN'!AF36</f>
        <v>2792.2516300000002</v>
      </c>
      <c r="AG84" s="153">
        <f>'DRE PARCERIAS BANCO PAN'!AG36</f>
        <v>1371</v>
      </c>
      <c r="AH84" s="153">
        <f>'DRE PARCERIAS BANCO PAN'!AH36</f>
        <v>1310</v>
      </c>
      <c r="AI84" s="153">
        <f>'DRE PARCERIAS BANCO PAN'!AI36</f>
        <v>1935</v>
      </c>
      <c r="AJ84" s="153">
        <f>'DRE PARCERIAS BANCO PAN'!AJ36</f>
        <v>2230</v>
      </c>
      <c r="AK84" s="144">
        <f>'DRE PARCERIAS BANCO PAN'!AK36</f>
        <v>6846</v>
      </c>
      <c r="AL84" s="153">
        <f>'DRE PARCERIAS BANCO PAN'!AL36</f>
        <v>2076</v>
      </c>
      <c r="AM84" s="153">
        <f>'DRE PARCERIAS BANCO PAN'!AM36</f>
        <v>1554</v>
      </c>
      <c r="AN84" s="153">
        <f>'DRE PARCERIAS BANCO PAN'!AN36</f>
        <v>1971</v>
      </c>
      <c r="AO84" s="153">
        <f>'DRE PARCERIAS BANCO PAN'!AO36</f>
        <v>2623.009</v>
      </c>
      <c r="AP84" s="144">
        <f>'DRE PARCERIAS BANCO PAN'!AP36</f>
        <v>8224.009</v>
      </c>
      <c r="AQ84" s="153">
        <f>'DRE PARCERIAS BANCO PAN'!AQ36</f>
        <v>2056.4499999999998</v>
      </c>
      <c r="AR84" s="153">
        <f>'DRE PARCERIAS BANCO PAN'!AR36</f>
        <v>1965</v>
      </c>
      <c r="AS84" s="153">
        <f>'DRE PARCERIAS BANCO PAN'!AS36</f>
        <v>2203.5529999999999</v>
      </c>
      <c r="AT84" s="153">
        <f>'DRE PARCERIAS BANCO PAN'!AT36</f>
        <v>2395.2390000000005</v>
      </c>
      <c r="AU84" s="144">
        <f>'DRE PARCERIAS BANCO PAN'!AU36</f>
        <v>8620.2420000000002</v>
      </c>
      <c r="AV84" s="153">
        <f>'DRE PARCERIAS BANCO PAN'!AV36</f>
        <v>1542</v>
      </c>
      <c r="AW84" s="121">
        <f>'DRE PARCERIAS BANCO PAN'!AW36</f>
        <v>773</v>
      </c>
      <c r="AX84" s="121">
        <f>'DRE PARCERIAS BANCO PAN'!AX36</f>
        <v>1191</v>
      </c>
      <c r="AY84" s="121">
        <f>'DRE PARCERIAS BANCO PAN'!AY36</f>
        <v>1654</v>
      </c>
      <c r="AZ84" s="144">
        <f>'DRE PARCERIAS BANCO PAN'!AZ36</f>
        <v>5160</v>
      </c>
      <c r="BA84" s="121">
        <f>'DRE PARCERIAS BANCO PAN'!BA36</f>
        <v>2096.7640000000001</v>
      </c>
    </row>
    <row r="85" spans="1:53" s="2" customFormat="1">
      <c r="A85" s="363"/>
      <c r="B85" s="21" t="s">
        <v>441</v>
      </c>
      <c r="C85" s="218"/>
      <c r="D85" s="218"/>
      <c r="E85" s="218"/>
      <c r="F85" s="218"/>
      <c r="G85" s="364"/>
      <c r="H85" s="218"/>
      <c r="I85" s="218"/>
      <c r="J85" s="218"/>
      <c r="K85" s="218"/>
      <c r="L85" s="364"/>
      <c r="M85" s="218"/>
      <c r="N85" s="218"/>
      <c r="O85" s="218"/>
      <c r="P85" s="218"/>
      <c r="Q85" s="364"/>
      <c r="R85" s="218"/>
      <c r="S85" s="218"/>
      <c r="T85" s="218"/>
      <c r="U85" s="218"/>
      <c r="V85" s="364"/>
      <c r="W85" s="218"/>
      <c r="X85" s="218"/>
      <c r="Y85" s="218"/>
      <c r="Z85" s="365"/>
      <c r="AA85" s="366">
        <f>'DRE CAIXA SEGURIDADE'!AA47</f>
        <v>20341.080009999998</v>
      </c>
      <c r="AB85" s="365">
        <f>'DRE CAIXA SEGURIDADE'!AB47</f>
        <v>-179.89427000000001</v>
      </c>
      <c r="AC85" s="365">
        <f>'DRE CAIXA SEGURIDADE'!AC47</f>
        <v>2444.45082</v>
      </c>
      <c r="AD85" s="365">
        <f>'DRE CAIXA SEGURIDADE'!AD47</f>
        <v>5011.8135200000006</v>
      </c>
      <c r="AE85" s="365">
        <f>'DRE CAIXA SEGURIDADE'!AE47</f>
        <v>3295.3234499999994</v>
      </c>
      <c r="AF85" s="366">
        <f>'DRE CAIXA SEGURIDADE'!AF47</f>
        <v>10571.693520000001</v>
      </c>
      <c r="AG85" s="365">
        <f>'DRE CAIXA SEGURIDADE'!AG47</f>
        <v>14034</v>
      </c>
      <c r="AH85" s="365">
        <f>'DRE CAIXA SEGURIDADE'!AH47</f>
        <v>21273</v>
      </c>
      <c r="AI85" s="365">
        <f>'DRE CAIXA SEGURIDADE'!AI47</f>
        <v>28936</v>
      </c>
      <c r="AJ85" s="365">
        <f>'DRE CAIXA SEGURIDADE'!AJ47</f>
        <v>33445</v>
      </c>
      <c r="AK85" s="366">
        <f>'DRE CAIXA SEGURIDADE'!AK47</f>
        <v>97688</v>
      </c>
      <c r="AL85" s="365">
        <f>'DRE CAIXA SEGURIDADE'!AL47</f>
        <v>15189</v>
      </c>
      <c r="AM85" s="365">
        <f>'DRE CAIXA SEGURIDADE'!AM47</f>
        <v>31847</v>
      </c>
      <c r="AN85" s="365">
        <f>'DRE CAIXA SEGURIDADE'!AN47</f>
        <v>31653</v>
      </c>
      <c r="AO85" s="365">
        <f>'DRE CAIXA SEGURIDADE'!AO47</f>
        <v>35178</v>
      </c>
      <c r="AP85" s="366">
        <f>'DRE CAIXA SEGURIDADE'!AP47</f>
        <v>113867</v>
      </c>
      <c r="AQ85" s="365">
        <f>'DRE CAIXA SEGURIDADE'!AQ47</f>
        <v>-7282</v>
      </c>
      <c r="AR85" s="365">
        <f>'DRE CAIXA SEGURIDADE'!AR47</f>
        <v>17758</v>
      </c>
      <c r="AS85" s="365">
        <f>'DRE CAIXA SEGURIDADE'!AS47</f>
        <v>29256</v>
      </c>
      <c r="AT85" s="365">
        <f>'DRE CAIXA SEGURIDADE'!AT47</f>
        <v>35122</v>
      </c>
      <c r="AU85" s="366">
        <f>'DRE CAIXA SEGURIDADE'!AU47</f>
        <v>74854</v>
      </c>
      <c r="AV85" s="365">
        <f>'DRE CAIXA SEGURIDADE'!AV47</f>
        <v>28696.215400000001</v>
      </c>
      <c r="AW85" s="367">
        <f>'DRE CAIXA SEGURIDADE'!AW47</f>
        <v>45475.789109998972</v>
      </c>
      <c r="AX85" s="367">
        <f>'DRE CAIXA SEGURIDADE'!AX47</f>
        <v>51095.31436999888</v>
      </c>
      <c r="AY85" s="367">
        <f>'DRE CAIXA SEGURIDADE'!AY47</f>
        <v>56928.721039998898</v>
      </c>
      <c r="AZ85" s="366">
        <f>'DRE CAIXA SEGURIDADE'!AZ47</f>
        <v>182196.03991999675</v>
      </c>
      <c r="BA85" s="367">
        <f>'DRE CAIXA SEGURIDADE'!BA47</f>
        <v>28667.213849999891</v>
      </c>
    </row>
    <row r="86" spans="1:53">
      <c r="A86" s="357"/>
      <c r="B86" s="11"/>
      <c r="C86" s="12"/>
      <c r="D86" s="12"/>
      <c r="E86" s="12"/>
      <c r="F86" s="12"/>
      <c r="G86" s="40"/>
      <c r="H86" s="12"/>
      <c r="I86" s="12"/>
      <c r="J86" s="12"/>
      <c r="K86" s="12"/>
      <c r="L86" s="40"/>
      <c r="M86" s="12"/>
      <c r="N86" s="12"/>
      <c r="O86" s="12"/>
      <c r="P86" s="12"/>
      <c r="Q86" s="40"/>
      <c r="R86" s="12"/>
      <c r="S86" s="12"/>
      <c r="T86" s="12"/>
      <c r="U86" s="12"/>
      <c r="V86" s="40"/>
      <c r="W86" s="12"/>
      <c r="X86" s="12"/>
      <c r="Y86" s="12"/>
      <c r="Z86" s="153"/>
      <c r="AA86" s="144"/>
      <c r="AB86" s="153"/>
      <c r="AC86" s="153"/>
      <c r="AD86" s="153"/>
      <c r="AE86" s="153"/>
      <c r="AF86" s="144"/>
      <c r="AG86" s="153"/>
      <c r="AH86" s="153"/>
      <c r="AI86" s="153"/>
      <c r="AJ86" s="153"/>
      <c r="AK86" s="144"/>
      <c r="AL86" s="153"/>
      <c r="AM86" s="153"/>
      <c r="AN86" s="153"/>
      <c r="AO86" s="153"/>
      <c r="AP86" s="144"/>
      <c r="AQ86" s="153"/>
      <c r="AR86" s="153"/>
      <c r="AS86" s="153"/>
      <c r="AT86" s="153"/>
      <c r="AU86" s="144"/>
      <c r="AV86" s="153"/>
      <c r="AW86" s="121"/>
      <c r="AX86" s="121"/>
      <c r="AY86" s="121"/>
      <c r="AZ86" s="144"/>
      <c r="BA86" s="121"/>
    </row>
    <row r="87" spans="1:53" s="261" customFormat="1">
      <c r="A87" s="235"/>
      <c r="B87" s="235" t="s">
        <v>620</v>
      </c>
      <c r="C87" s="235"/>
      <c r="D87" s="235"/>
      <c r="E87" s="235"/>
      <c r="F87" s="235"/>
      <c r="G87" s="383"/>
      <c r="H87" s="235"/>
      <c r="I87" s="235"/>
      <c r="J87" s="235"/>
      <c r="K87" s="235"/>
      <c r="L87" s="383"/>
      <c r="M87" s="235"/>
      <c r="N87" s="235"/>
      <c r="O87" s="235"/>
      <c r="P87" s="235"/>
      <c r="Q87" s="383"/>
      <c r="R87" s="235"/>
      <c r="S87" s="235"/>
      <c r="T87" s="235"/>
      <c r="U87" s="235"/>
      <c r="V87" s="383"/>
      <c r="W87" s="235"/>
      <c r="X87" s="235"/>
      <c r="Y87" s="235"/>
      <c r="Z87" s="235"/>
      <c r="AA87" s="383"/>
      <c r="AB87" s="235"/>
      <c r="AC87" s="235"/>
      <c r="AD87" s="235"/>
      <c r="AE87" s="235"/>
      <c r="AF87" s="383"/>
      <c r="AG87" s="235"/>
      <c r="AH87" s="235"/>
      <c r="AI87" s="235"/>
      <c r="AJ87" s="235"/>
      <c r="AK87" s="383"/>
      <c r="AL87" s="235"/>
      <c r="AM87" s="235"/>
      <c r="AN87" s="235"/>
      <c r="AO87" s="235"/>
      <c r="AP87" s="383"/>
      <c r="AQ87" s="235"/>
      <c r="AR87" s="235"/>
      <c r="AS87" s="235"/>
      <c r="AT87" s="235"/>
      <c r="AU87" s="383"/>
      <c r="AV87" s="235"/>
      <c r="AW87" s="235"/>
      <c r="AX87" s="235"/>
      <c r="AY87" s="235"/>
      <c r="AZ87" s="383"/>
      <c r="BA87" s="235"/>
    </row>
    <row r="88" spans="1:53" s="2" customFormat="1">
      <c r="A88" s="363"/>
      <c r="B88" s="21" t="s">
        <v>609</v>
      </c>
      <c r="C88" s="218"/>
      <c r="D88" s="218"/>
      <c r="E88" s="218"/>
      <c r="F88" s="218"/>
      <c r="G88" s="364"/>
      <c r="H88" s="218"/>
      <c r="I88" s="218"/>
      <c r="J88" s="218"/>
      <c r="K88" s="218"/>
      <c r="L88" s="364"/>
      <c r="M88" s="218"/>
      <c r="N88" s="218"/>
      <c r="O88" s="218"/>
      <c r="P88" s="218"/>
      <c r="Q88" s="364"/>
      <c r="R88" s="218"/>
      <c r="S88" s="218"/>
      <c r="T88" s="218"/>
      <c r="U88" s="218"/>
      <c r="V88" s="364"/>
      <c r="W88" s="218"/>
      <c r="X88" s="218"/>
      <c r="Y88" s="218"/>
      <c r="Z88" s="365"/>
      <c r="AA88" s="366">
        <f t="shared" ref="AA88:AM88" si="62">AA89+AA92+AA93+AA94+AA95</f>
        <v>520</v>
      </c>
      <c r="AB88" s="365">
        <f t="shared" si="62"/>
        <v>310462.66117001872</v>
      </c>
      <c r="AC88" s="365">
        <f t="shared" si="62"/>
        <v>316156.73236993671</v>
      </c>
      <c r="AD88" s="365">
        <f t="shared" si="62"/>
        <v>333974.48506983713</v>
      </c>
      <c r="AE88" s="365">
        <f t="shared" si="62"/>
        <v>379022.73532019241</v>
      </c>
      <c r="AF88" s="366">
        <f t="shared" si="62"/>
        <v>1339616.6139299846</v>
      </c>
      <c r="AG88" s="365">
        <f t="shared" si="62"/>
        <v>395221</v>
      </c>
      <c r="AH88" s="365">
        <f t="shared" si="62"/>
        <v>496243.68</v>
      </c>
      <c r="AI88" s="365">
        <f t="shared" si="62"/>
        <v>524459.31999999995</v>
      </c>
      <c r="AJ88" s="365">
        <f t="shared" si="62"/>
        <v>608454.75899999996</v>
      </c>
      <c r="AK88" s="366">
        <f t="shared" si="62"/>
        <v>2024378.7590000001</v>
      </c>
      <c r="AL88" s="365">
        <f t="shared" si="62"/>
        <v>696685.79758000758</v>
      </c>
      <c r="AM88" s="365">
        <f t="shared" si="62"/>
        <v>741017</v>
      </c>
      <c r="AN88" s="365">
        <f t="shared" ref="AN88:AO88" si="63">AN89+AN92+AN93+AN94+AN95</f>
        <v>805065.45509999082</v>
      </c>
      <c r="AO88" s="365">
        <f t="shared" si="63"/>
        <v>766423.64022999187</v>
      </c>
      <c r="AP88" s="366">
        <f>AP89+AP92+AP93+AP94+AP95</f>
        <v>3009191.8929099902</v>
      </c>
      <c r="AQ88" s="365">
        <f t="shared" ref="AQ88:AT88" si="64">AQ89+AQ92+AQ93+AQ94+AQ95</f>
        <v>816782.10638000001</v>
      </c>
      <c r="AR88" s="365">
        <f t="shared" si="64"/>
        <v>592955.08261000167</v>
      </c>
      <c r="AS88" s="365">
        <f t="shared" si="64"/>
        <v>870430.29615999782</v>
      </c>
      <c r="AT88" s="365">
        <f t="shared" si="64"/>
        <v>894428.9556499999</v>
      </c>
      <c r="AU88" s="366">
        <f>AU89+AU92+AU93+AU94+AU95</f>
        <v>3174596.4407999995</v>
      </c>
      <c r="AV88" s="365">
        <f t="shared" ref="AV88" si="65">AV89+AV92+AV93+AV94+AV95</f>
        <v>919542.67864999874</v>
      </c>
      <c r="AW88" s="367">
        <f>AW89+AW92+AW93+AW94+AW95</f>
        <v>947832.81196000101</v>
      </c>
      <c r="AX88" s="367">
        <f>AX89+AX92+AX93+AX94+AX95</f>
        <v>1044132.6098099995</v>
      </c>
      <c r="AY88" s="367">
        <f>AY89+AY92+AY93+AY94+AY95</f>
        <v>1041869.0081700041</v>
      </c>
      <c r="AZ88" s="366">
        <f>AZ89+AZ92+AZ93+AZ94+AZ95</f>
        <v>3953377.1085900031</v>
      </c>
      <c r="BA88" s="367">
        <f>BA89+BA92+BA93+BA94+BA95</f>
        <v>1064034.6476099987</v>
      </c>
    </row>
    <row r="89" spans="1:53">
      <c r="A89" s="357"/>
      <c r="B89" s="11" t="s">
        <v>553</v>
      </c>
      <c r="C89" s="12"/>
      <c r="D89" s="12"/>
      <c r="E89" s="12"/>
      <c r="F89" s="12"/>
      <c r="G89" s="40"/>
      <c r="H89" s="12"/>
      <c r="I89" s="12"/>
      <c r="J89" s="12"/>
      <c r="K89" s="12"/>
      <c r="L89" s="40"/>
      <c r="M89" s="12"/>
      <c r="N89" s="12"/>
      <c r="O89" s="12"/>
      <c r="P89" s="12"/>
      <c r="Q89" s="40"/>
      <c r="R89" s="12"/>
      <c r="S89" s="12"/>
      <c r="T89" s="12"/>
      <c r="U89" s="12"/>
      <c r="V89" s="40"/>
      <c r="W89" s="12"/>
      <c r="X89" s="12"/>
      <c r="Y89" s="12"/>
      <c r="Z89" s="153"/>
      <c r="AA89" s="144">
        <f>'DRE NOVAS PARCERIAS CAIXA'!AA25</f>
        <v>56</v>
      </c>
      <c r="AB89" s="153">
        <f>'DRE NOVAS PARCERIAS CAIXA'!AB25</f>
        <v>345445.63746001868</v>
      </c>
      <c r="AC89" s="153">
        <f>'DRE NOVAS PARCERIAS CAIXA'!AC25</f>
        <v>340119.21519993676</v>
      </c>
      <c r="AD89" s="153">
        <f>'DRE NOVAS PARCERIAS CAIXA'!AD25</f>
        <v>334897.49196983711</v>
      </c>
      <c r="AE89" s="153">
        <f>'DRE NOVAS PARCERIAS CAIXA'!AE25</f>
        <v>374660.52181019244</v>
      </c>
      <c r="AF89" s="144">
        <f>'DRE NOVAS PARCERIAS CAIXA'!AF25</f>
        <v>1395122.8664399849</v>
      </c>
      <c r="AG89" s="153">
        <f>'DRE NOVAS PARCERIAS CAIXA'!AG25</f>
        <v>369573</v>
      </c>
      <c r="AH89" s="153">
        <f>'DRE NOVAS PARCERIAS CAIXA'!AH25</f>
        <v>411180</v>
      </c>
      <c r="AI89" s="153">
        <f>'DRE NOVAS PARCERIAS CAIXA'!AI25</f>
        <v>420932</v>
      </c>
      <c r="AJ89" s="153">
        <f>'DRE NOVAS PARCERIAS CAIXA'!AJ25</f>
        <v>484417</v>
      </c>
      <c r="AK89" s="144">
        <f>'DRE NOVAS PARCERIAS CAIXA'!AK25</f>
        <v>1686102</v>
      </c>
      <c r="AL89" s="153">
        <f>'DRE NOVAS PARCERIAS CAIXA'!AL25</f>
        <v>552015.79758000758</v>
      </c>
      <c r="AM89" s="153">
        <f>'DRE NOVAS PARCERIAS CAIXA'!AM25</f>
        <v>587112</v>
      </c>
      <c r="AN89" s="153">
        <f>'DRE NOVAS PARCERIAS CAIXA'!AN25</f>
        <v>613439.45509999082</v>
      </c>
      <c r="AO89" s="153">
        <f>'DRE NOVAS PARCERIAS CAIXA'!AO25</f>
        <v>561053.64022999187</v>
      </c>
      <c r="AP89" s="144">
        <f>'DRE NOVAS PARCERIAS CAIXA'!AP25</f>
        <v>2313620.8929099902</v>
      </c>
      <c r="AQ89" s="153">
        <f>'DRE NOVAS PARCERIAS CAIXA'!AQ25</f>
        <v>595926.54638000007</v>
      </c>
      <c r="AR89" s="153">
        <f>'DRE NOVAS PARCERIAS CAIXA'!AR25</f>
        <v>372217.58261000167</v>
      </c>
      <c r="AS89" s="153">
        <f>'DRE NOVAS PARCERIAS CAIXA'!AS25</f>
        <v>597027.29615999782</v>
      </c>
      <c r="AT89" s="153">
        <f>'DRE NOVAS PARCERIAS CAIXA'!AT25</f>
        <v>624373.9556499999</v>
      </c>
      <c r="AU89" s="144">
        <f>'DRE NOVAS PARCERIAS CAIXA'!AU25</f>
        <v>2189545.3807999995</v>
      </c>
      <c r="AV89" s="153">
        <f>'DRE NOVAS PARCERIAS CAIXA'!AV25</f>
        <v>595628.39310999867</v>
      </c>
      <c r="AW89" s="121">
        <f>'DRE NOVAS PARCERIAS CAIXA'!AW25</f>
        <v>595532.61996000097</v>
      </c>
      <c r="AX89" s="121">
        <f>'DRE NOVAS PARCERIAS CAIXA'!AX25</f>
        <v>662447.92880999949</v>
      </c>
      <c r="AY89" s="121">
        <f>'DRE NOVAS PARCERIAS CAIXA'!AY25</f>
        <v>671874.6282600041</v>
      </c>
      <c r="AZ89" s="144">
        <f>'DRE NOVAS PARCERIAS CAIXA'!AZ25</f>
        <v>2525483.5701400032</v>
      </c>
      <c r="BA89" s="121">
        <f>'DRE NOVAS PARCERIAS CAIXA'!BA25</f>
        <v>658176.6476099987</v>
      </c>
    </row>
    <row r="90" spans="1:53">
      <c r="A90" s="357"/>
      <c r="B90" s="335" t="s">
        <v>573</v>
      </c>
      <c r="C90" s="12"/>
      <c r="D90" s="12"/>
      <c r="E90" s="12"/>
      <c r="F90" s="12"/>
      <c r="G90" s="40"/>
      <c r="H90" s="12"/>
      <c r="I90" s="12"/>
      <c r="J90" s="12"/>
      <c r="K90" s="12"/>
      <c r="L90" s="40"/>
      <c r="M90" s="12"/>
      <c r="N90" s="12"/>
      <c r="O90" s="12"/>
      <c r="P90" s="12"/>
      <c r="Q90" s="40"/>
      <c r="R90" s="12"/>
      <c r="S90" s="12"/>
      <c r="T90" s="12"/>
      <c r="U90" s="12"/>
      <c r="V90" s="40"/>
      <c r="W90" s="12"/>
      <c r="X90" s="12"/>
      <c r="Y90" s="12"/>
      <c r="Z90" s="153"/>
      <c r="AA90" s="144">
        <f>'DRE NOVAS PARCERIAS CAIXA'!AA63</f>
        <v>0</v>
      </c>
      <c r="AB90" s="153">
        <f>'DRE NOVAS PARCERIAS CAIXA'!AB63</f>
        <v>381324.25110001693</v>
      </c>
      <c r="AC90" s="153">
        <f>'DRE NOVAS PARCERIAS CAIXA'!AC63</f>
        <v>357362.66826994083</v>
      </c>
      <c r="AD90" s="153">
        <f>'DRE NOVAS PARCERIAS CAIXA'!AD63</f>
        <v>323341.88796983322</v>
      </c>
      <c r="AE90" s="153">
        <f>'DRE NOVAS PARCERIAS CAIXA'!AE63</f>
        <v>368707</v>
      </c>
      <c r="AF90" s="144">
        <f>'DRE NOVAS PARCERIAS CAIXA'!AF63</f>
        <v>1430735.807339791</v>
      </c>
      <c r="AG90" s="153">
        <f>'DRE NOVAS PARCERIAS CAIXA'!AG63</f>
        <v>357137</v>
      </c>
      <c r="AH90" s="153">
        <f>'DRE NOVAS PARCERIAS CAIXA'!AH63</f>
        <v>349219</v>
      </c>
      <c r="AI90" s="153">
        <f>'DRE NOVAS PARCERIAS CAIXA'!AI63</f>
        <v>339204</v>
      </c>
      <c r="AJ90" s="153">
        <f>'DRE NOVAS PARCERIAS CAIXA'!AJ63</f>
        <v>364564</v>
      </c>
      <c r="AK90" s="144">
        <f>'DRE NOVAS PARCERIAS CAIXA'!AK63</f>
        <v>1410124</v>
      </c>
      <c r="AL90" s="153">
        <f>'DRE NOVAS PARCERIAS CAIXA'!AL63</f>
        <v>397426</v>
      </c>
      <c r="AM90" s="153">
        <f>'DRE NOVAS PARCERIAS CAIXA'!AM63</f>
        <v>406096</v>
      </c>
      <c r="AN90" s="153">
        <f>'DRE NOVAS PARCERIAS CAIXA'!AN63</f>
        <v>410090</v>
      </c>
      <c r="AO90" s="153">
        <f>'DRE NOVAS PARCERIAS CAIXA'!AO63</f>
        <v>374485</v>
      </c>
      <c r="AP90" s="144">
        <f>'DRE NOVAS PARCERIAS CAIXA'!AP63</f>
        <v>1588097</v>
      </c>
      <c r="AQ90" s="153">
        <f>'DRE NOVAS PARCERIAS CAIXA'!AQ63</f>
        <v>385997</v>
      </c>
      <c r="AR90" s="153">
        <f>'DRE NOVAS PARCERIAS CAIXA'!AR63</f>
        <v>216526</v>
      </c>
      <c r="AS90" s="153">
        <f>'DRE NOVAS PARCERIAS CAIXA'!AS63</f>
        <v>453600</v>
      </c>
      <c r="AT90" s="153">
        <f>'DRE NOVAS PARCERIAS CAIXA'!AT63</f>
        <v>625681</v>
      </c>
      <c r="AU90" s="144">
        <f>'DRE NOVAS PARCERIAS CAIXA'!AU63</f>
        <v>1681804</v>
      </c>
      <c r="AV90" s="153">
        <f>'DRE NOVAS PARCERIAS CAIXA'!AV63</f>
        <v>595875</v>
      </c>
      <c r="AW90" s="121">
        <f>'DRE NOVAS PARCERIAS CAIXA'!AW63</f>
        <v>596420</v>
      </c>
      <c r="AX90" s="121">
        <f>'DRE NOVAS PARCERIAS CAIXA'!AX63</f>
        <v>663239</v>
      </c>
      <c r="AY90" s="121">
        <f>'DRE NOVAS PARCERIAS CAIXA'!AY63</f>
        <v>671519</v>
      </c>
      <c r="AZ90" s="144">
        <f>'DRE NOVAS PARCERIAS CAIXA'!AZ63</f>
        <v>2527053</v>
      </c>
      <c r="BA90" s="121">
        <f>'DRE NOVAS PARCERIAS CAIXA'!BA63</f>
        <v>658228</v>
      </c>
    </row>
    <row r="91" spans="1:53">
      <c r="A91" s="357"/>
      <c r="B91" s="335" t="s">
        <v>574</v>
      </c>
      <c r="C91" s="12"/>
      <c r="D91" s="12"/>
      <c r="E91" s="12"/>
      <c r="F91" s="12"/>
      <c r="G91" s="40"/>
      <c r="H91" s="12"/>
      <c r="I91" s="12"/>
      <c r="J91" s="12"/>
      <c r="K91" s="12"/>
      <c r="L91" s="40"/>
      <c r="M91" s="12"/>
      <c r="N91" s="12"/>
      <c r="O91" s="12"/>
      <c r="P91" s="12"/>
      <c r="Q91" s="40"/>
      <c r="R91" s="12"/>
      <c r="S91" s="12"/>
      <c r="T91" s="12"/>
      <c r="U91" s="12"/>
      <c r="V91" s="40"/>
      <c r="W91" s="12"/>
      <c r="X91" s="12"/>
      <c r="Y91" s="12"/>
      <c r="Z91" s="153"/>
      <c r="AA91" s="144">
        <f>'DRE NOVAS PARCERIAS CAIXA'!AA92</f>
        <v>125.46834</v>
      </c>
      <c r="AB91" s="153">
        <f>'DRE NOVAS PARCERIAS CAIXA'!AB92</f>
        <v>-35522.371369999193</v>
      </c>
      <c r="AC91" s="153">
        <f>'DRE NOVAS PARCERIAS CAIXA'!AC92</f>
        <v>-17253.001980003341</v>
      </c>
      <c r="AD91" s="153">
        <f>'DRE NOVAS PARCERIAS CAIXA'!AD92</f>
        <v>11783.979300001312</v>
      </c>
      <c r="AE91" s="153">
        <f>'DRE NOVAS PARCERIAS CAIXA'!AE92</f>
        <v>35569.009180000234</v>
      </c>
      <c r="AF91" s="144">
        <f>'DRE NOVAS PARCERIAS CAIXA'!AF92</f>
        <v>-5422.3848700009912</v>
      </c>
      <c r="AG91" s="153">
        <f>'DRE NOVAS PARCERIAS CAIXA'!AG92</f>
        <v>12143</v>
      </c>
      <c r="AH91" s="153">
        <f>'DRE NOVAS PARCERIAS CAIXA'!AH92</f>
        <v>62188</v>
      </c>
      <c r="AI91" s="153">
        <f>'DRE NOVAS PARCERIAS CAIXA'!AI92</f>
        <v>94434</v>
      </c>
      <c r="AJ91" s="153">
        <f>'DRE NOVAS PARCERIAS CAIXA'!AJ92</f>
        <v>108081</v>
      </c>
      <c r="AK91" s="144">
        <f>'DRE NOVAS PARCERIAS CAIXA'!AK92</f>
        <v>276846</v>
      </c>
      <c r="AL91" s="153">
        <f>'DRE NOVAS PARCERIAS CAIXA'!AL92</f>
        <v>155115</v>
      </c>
      <c r="AM91" s="153">
        <f>'DRE NOVAS PARCERIAS CAIXA'!AM92</f>
        <v>181733</v>
      </c>
      <c r="AN91" s="153">
        <f>'DRE NOVAS PARCERIAS CAIXA'!AN92</f>
        <v>204049</v>
      </c>
      <c r="AO91" s="153">
        <f>'DRE NOVAS PARCERIAS CAIXA'!AO92</f>
        <v>187476</v>
      </c>
      <c r="AP91" s="144">
        <f>'DRE NOVAS PARCERIAS CAIXA'!AP92</f>
        <v>728373</v>
      </c>
      <c r="AQ91" s="153">
        <f>'DRE NOVAS PARCERIAS CAIXA'!AQ92</f>
        <v>211281</v>
      </c>
      <c r="AR91" s="153">
        <f>'DRE NOVAS PARCERIAS CAIXA'!AR92</f>
        <v>157468</v>
      </c>
      <c r="AS91" s="153">
        <f>'DRE NOVAS PARCERIAS CAIXA'!AS92</f>
        <v>145117</v>
      </c>
      <c r="AT91" s="153">
        <f>'DRE NOVAS PARCERIAS CAIXA'!AT92</f>
        <v>0</v>
      </c>
      <c r="AU91" s="144">
        <f>'DRE NOVAS PARCERIAS CAIXA'!AU92</f>
        <v>513866</v>
      </c>
      <c r="AV91" s="153">
        <f>'DRE NOVAS PARCERIAS CAIXA'!AV92</f>
        <v>0</v>
      </c>
      <c r="AW91" s="121">
        <f>'DRE NOVAS PARCERIAS CAIXA'!AW92</f>
        <v>0</v>
      </c>
      <c r="AX91" s="121">
        <f>'DRE NOVAS PARCERIAS CAIXA'!AX92</f>
        <v>0</v>
      </c>
      <c r="AY91" s="121">
        <f>'DRE NOVAS PARCERIAS CAIXA'!AY92</f>
        <v>0</v>
      </c>
      <c r="AZ91" s="144">
        <f>'DRE NOVAS PARCERIAS CAIXA'!AZ92</f>
        <v>0</v>
      </c>
      <c r="BA91" s="121">
        <f>'DRE NOVAS PARCERIAS CAIXA'!BA92</f>
        <v>0</v>
      </c>
    </row>
    <row r="92" spans="1:53">
      <c r="A92" s="357"/>
      <c r="B92" s="11" t="s">
        <v>264</v>
      </c>
      <c r="C92" s="12"/>
      <c r="D92" s="12"/>
      <c r="E92" s="12"/>
      <c r="F92" s="12"/>
      <c r="G92" s="40"/>
      <c r="H92" s="12"/>
      <c r="I92" s="12"/>
      <c r="J92" s="12"/>
      <c r="K92" s="12"/>
      <c r="L92" s="40"/>
      <c r="M92" s="12"/>
      <c r="N92" s="12"/>
      <c r="O92" s="12"/>
      <c r="P92" s="12"/>
      <c r="Q92" s="40"/>
      <c r="R92" s="12"/>
      <c r="S92" s="12"/>
      <c r="T92" s="12"/>
      <c r="U92" s="12"/>
      <c r="V92" s="40"/>
      <c r="W92" s="12"/>
      <c r="X92" s="12"/>
      <c r="Y92" s="12"/>
      <c r="Z92" s="153"/>
      <c r="AA92" s="144">
        <f>'DRE NOVAS PARCERIAS CAIXA'!AA144</f>
        <v>200</v>
      </c>
      <c r="AB92" s="153">
        <f>'DRE NOVAS PARCERIAS CAIXA'!AB144</f>
        <v>-34857.938289999984</v>
      </c>
      <c r="AC92" s="153">
        <f>'DRE NOVAS PARCERIAS CAIXA'!AC144</f>
        <v>-21188.079450000005</v>
      </c>
      <c r="AD92" s="153">
        <f>'DRE NOVAS PARCERIAS CAIXA'!AD144</f>
        <v>-1593.1404100000086</v>
      </c>
      <c r="AE92" s="153">
        <f>'DRE NOVAS PARCERIAS CAIXA'!AE144</f>
        <v>13094</v>
      </c>
      <c r="AF92" s="144">
        <f>'DRE NOVAS PARCERIAS CAIXA'!AF144</f>
        <v>-44545.158149999996</v>
      </c>
      <c r="AG92" s="153">
        <f>'DRE NOVAS PARCERIAS CAIXA'!AG144</f>
        <v>28584</v>
      </c>
      <c r="AH92" s="153">
        <f>'DRE NOVAS PARCERIAS CAIXA'!AH144</f>
        <v>51446</v>
      </c>
      <c r="AI92" s="153">
        <f>'DRE NOVAS PARCERIAS CAIXA'!AI144</f>
        <v>58120</v>
      </c>
      <c r="AJ92" s="153">
        <f>'DRE NOVAS PARCERIAS CAIXA'!AJ144</f>
        <v>63133</v>
      </c>
      <c r="AK92" s="144">
        <f>'DRE NOVAS PARCERIAS CAIXA'!AK144</f>
        <v>201283</v>
      </c>
      <c r="AL92" s="153">
        <f>'DRE NOVAS PARCERIAS CAIXA'!AL144</f>
        <v>80676</v>
      </c>
      <c r="AM92" s="153">
        <f>'DRE NOVAS PARCERIAS CAIXA'!AM144</f>
        <v>87560</v>
      </c>
      <c r="AN92" s="153">
        <f>'DRE NOVAS PARCERIAS CAIXA'!AN144</f>
        <v>106480</v>
      </c>
      <c r="AO92" s="153">
        <f>'DRE NOVAS PARCERIAS CAIXA'!AO144</f>
        <v>107540</v>
      </c>
      <c r="AP92" s="144">
        <f>'DRE NOVAS PARCERIAS CAIXA'!AP144</f>
        <v>382256</v>
      </c>
      <c r="AQ92" s="153">
        <f>'DRE NOVAS PARCERIAS CAIXA'!AQ144</f>
        <v>116710.56</v>
      </c>
      <c r="AR92" s="153">
        <f>'DRE NOVAS PARCERIAS CAIXA'!AR144</f>
        <v>109792.5</v>
      </c>
      <c r="AS92" s="153">
        <f>'DRE NOVAS PARCERIAS CAIXA'!AS144</f>
        <v>145233</v>
      </c>
      <c r="AT92" s="153">
        <f>'DRE NOVAS PARCERIAS CAIXA'!AT144</f>
        <v>148953</v>
      </c>
      <c r="AU92" s="144">
        <f>'DRE NOVAS PARCERIAS CAIXA'!AU144</f>
        <v>520689.06</v>
      </c>
      <c r="AV92" s="153">
        <f>'DRE NOVAS PARCERIAS CAIXA'!AV144</f>
        <v>172214.47100000002</v>
      </c>
      <c r="AW92" s="121">
        <f>'DRE NOVAS PARCERIAS CAIXA'!AW144</f>
        <v>179040</v>
      </c>
      <c r="AX92" s="121">
        <f>'DRE NOVAS PARCERIAS CAIXA'!AX144</f>
        <v>199980.522</v>
      </c>
      <c r="AY92" s="121">
        <f>'DRE NOVAS PARCERIAS CAIXA'!AY144</f>
        <v>209579.549</v>
      </c>
      <c r="AZ92" s="144">
        <f>'DRE NOVAS PARCERIAS CAIXA'!AZ144</f>
        <v>760814.54200000002</v>
      </c>
      <c r="BA92" s="121">
        <f>'DRE NOVAS PARCERIAS CAIXA'!BA144</f>
        <v>233395</v>
      </c>
    </row>
    <row r="93" spans="1:53">
      <c r="A93" s="357"/>
      <c r="B93" s="11" t="s">
        <v>265</v>
      </c>
      <c r="C93" s="12"/>
      <c r="D93" s="12"/>
      <c r="E93" s="12"/>
      <c r="F93" s="12"/>
      <c r="G93" s="40"/>
      <c r="H93" s="12"/>
      <c r="I93" s="12"/>
      <c r="J93" s="12"/>
      <c r="K93" s="12"/>
      <c r="L93" s="40"/>
      <c r="M93" s="12"/>
      <c r="N93" s="12"/>
      <c r="O93" s="12"/>
      <c r="P93" s="12"/>
      <c r="Q93" s="40"/>
      <c r="R93" s="12"/>
      <c r="S93" s="12"/>
      <c r="T93" s="12"/>
      <c r="U93" s="12"/>
      <c r="V93" s="40"/>
      <c r="W93" s="12"/>
      <c r="X93" s="12"/>
      <c r="Y93" s="12"/>
      <c r="Z93" s="153"/>
      <c r="AA93" s="144">
        <f>'DRE NOVAS PARCERIAS CAIXA'!AA174</f>
        <v>226</v>
      </c>
      <c r="AB93" s="153">
        <f>'DRE NOVAS PARCERIAS CAIXA'!AB174</f>
        <v>40.326299999999996</v>
      </c>
      <c r="AC93" s="153">
        <f>'DRE NOVAS PARCERIAS CAIXA'!AC174</f>
        <v>-937.73951</v>
      </c>
      <c r="AD93" s="153">
        <f>'DRE NOVAS PARCERIAS CAIXA'!AD174</f>
        <v>3514.0607100000007</v>
      </c>
      <c r="AE93" s="153">
        <f>'DRE NOVAS PARCERIAS CAIXA'!AE174</f>
        <v>1563.2135099999709</v>
      </c>
      <c r="AF93" s="144">
        <f>'DRE NOVAS PARCERIAS CAIXA'!AF174</f>
        <v>4179.8610099999714</v>
      </c>
      <c r="AG93" s="153">
        <f>'DRE NOVAS PARCERIAS CAIXA'!AG174</f>
        <v>15487</v>
      </c>
      <c r="AH93" s="153">
        <f>'DRE NOVAS PARCERIAS CAIXA'!AH174</f>
        <v>18697</v>
      </c>
      <c r="AI93" s="153">
        <f>'DRE NOVAS PARCERIAS CAIXA'!AI174</f>
        <v>37147</v>
      </c>
      <c r="AJ93" s="153">
        <f>'DRE NOVAS PARCERIAS CAIXA'!AJ174</f>
        <v>31642</v>
      </c>
      <c r="AK93" s="144">
        <f>'DRE NOVAS PARCERIAS CAIXA'!AK174</f>
        <v>102973</v>
      </c>
      <c r="AL93" s="153">
        <f>'DRE NOVAS PARCERIAS CAIXA'!AL174</f>
        <v>41801</v>
      </c>
      <c r="AM93" s="153">
        <f>'DRE NOVAS PARCERIAS CAIXA'!AM174</f>
        <v>35409</v>
      </c>
      <c r="AN93" s="153">
        <f>'DRE NOVAS PARCERIAS CAIXA'!AN174</f>
        <v>44924</v>
      </c>
      <c r="AO93" s="153">
        <f>'DRE NOVAS PARCERIAS CAIXA'!AO174</f>
        <v>45933</v>
      </c>
      <c r="AP93" s="144">
        <f>'DRE NOVAS PARCERIAS CAIXA'!AP174</f>
        <v>168067</v>
      </c>
      <c r="AQ93" s="153">
        <f>'DRE NOVAS PARCERIAS CAIXA'!AQ174</f>
        <v>48859</v>
      </c>
      <c r="AR93" s="153">
        <f>'DRE NOVAS PARCERIAS CAIXA'!AR174</f>
        <v>49558</v>
      </c>
      <c r="AS93" s="153">
        <f>'DRE NOVAS PARCERIAS CAIXA'!AS174</f>
        <v>51192</v>
      </c>
      <c r="AT93" s="153">
        <f>'DRE NOVAS PARCERIAS CAIXA'!AT174</f>
        <v>56467</v>
      </c>
      <c r="AU93" s="144">
        <f>'DRE NOVAS PARCERIAS CAIXA'!AU174</f>
        <v>206076</v>
      </c>
      <c r="AV93" s="153">
        <f>'DRE NOVAS PARCERIAS CAIXA'!AV174</f>
        <v>68887.953000000052</v>
      </c>
      <c r="AW93" s="121">
        <f>'DRE NOVAS PARCERIAS CAIXA'!AW174</f>
        <v>63457.192000000003</v>
      </c>
      <c r="AX93" s="121">
        <f>'DRE NOVAS PARCERIAS CAIXA'!AX174</f>
        <v>69514.159000000014</v>
      </c>
      <c r="AY93" s="121">
        <f>'DRE NOVAS PARCERIAS CAIXA'!AY174</f>
        <v>68245</v>
      </c>
      <c r="AZ93" s="144">
        <f>'DRE NOVAS PARCERIAS CAIXA'!AZ174</f>
        <v>270104.30400000006</v>
      </c>
      <c r="BA93" s="121">
        <f>'DRE NOVAS PARCERIAS CAIXA'!BA174</f>
        <v>81296</v>
      </c>
    </row>
    <row r="94" spans="1:53">
      <c r="A94" s="357"/>
      <c r="B94" s="11" t="s">
        <v>576</v>
      </c>
      <c r="C94" s="12"/>
      <c r="D94" s="12"/>
      <c r="E94" s="12"/>
      <c r="F94" s="12"/>
      <c r="G94" s="40"/>
      <c r="H94" s="12"/>
      <c r="I94" s="12"/>
      <c r="J94" s="12"/>
      <c r="K94" s="12"/>
      <c r="L94" s="40"/>
      <c r="M94" s="12"/>
      <c r="N94" s="12"/>
      <c r="O94" s="12"/>
      <c r="P94" s="12"/>
      <c r="Q94" s="40"/>
      <c r="R94" s="12"/>
      <c r="S94" s="12"/>
      <c r="T94" s="12"/>
      <c r="U94" s="12"/>
      <c r="V94" s="40"/>
      <c r="W94" s="12"/>
      <c r="X94" s="12"/>
      <c r="Y94" s="12"/>
      <c r="Z94" s="153"/>
      <c r="AA94" s="144">
        <f>'DRE NOVAS PARCERIAS CAIXA'!AA199</f>
        <v>0</v>
      </c>
      <c r="AB94" s="153">
        <f>'DRE NOVAS PARCERIAS CAIXA'!AB199</f>
        <v>-0.24540000000000001</v>
      </c>
      <c r="AC94" s="153">
        <f>'DRE NOVAS PARCERIAS CAIXA'!AC199</f>
        <v>-1481.5930200000005</v>
      </c>
      <c r="AD94" s="153">
        <f>'DRE NOVAS PARCERIAS CAIXA'!AD199</f>
        <v>-1999.1169500000001</v>
      </c>
      <c r="AE94" s="153">
        <f>'DRE NOVAS PARCERIAS CAIXA'!AE199</f>
        <v>-9024</v>
      </c>
      <c r="AF94" s="144">
        <f>'DRE NOVAS PARCERIAS CAIXA'!AF199</f>
        <v>-12504.95537</v>
      </c>
      <c r="AG94" s="153">
        <f>'DRE NOVAS PARCERIAS CAIXA'!AG199</f>
        <v>-18325</v>
      </c>
      <c r="AH94" s="153">
        <f>'DRE NOVAS PARCERIAS CAIXA'!AH199</f>
        <v>14588</v>
      </c>
      <c r="AI94" s="153">
        <f>'DRE NOVAS PARCERIAS CAIXA'!AI199</f>
        <v>6904</v>
      </c>
      <c r="AJ94" s="153">
        <f>'DRE NOVAS PARCERIAS CAIXA'!AJ199</f>
        <v>26298.000000000007</v>
      </c>
      <c r="AK94" s="144">
        <f>'DRE NOVAS PARCERIAS CAIXA'!AK199</f>
        <v>29465.000000000007</v>
      </c>
      <c r="AL94" s="153">
        <f>'DRE NOVAS PARCERIAS CAIXA'!AL199</f>
        <v>18638</v>
      </c>
      <c r="AM94" s="153">
        <f>'DRE NOVAS PARCERIAS CAIXA'!AM199</f>
        <v>24894.999999999993</v>
      </c>
      <c r="AN94" s="153">
        <f>'DRE NOVAS PARCERIAS CAIXA'!AN199</f>
        <v>33294</v>
      </c>
      <c r="AO94" s="153">
        <f>'DRE NOVAS PARCERIAS CAIXA'!AO199</f>
        <v>44916</v>
      </c>
      <c r="AP94" s="144">
        <f>'DRE NOVAS PARCERIAS CAIXA'!AP199</f>
        <v>121743</v>
      </c>
      <c r="AQ94" s="153">
        <f>'DRE NOVAS PARCERIAS CAIXA'!AQ199</f>
        <v>48405</v>
      </c>
      <c r="AR94" s="153">
        <f>'DRE NOVAS PARCERIAS CAIXA'!AR199</f>
        <v>55893</v>
      </c>
      <c r="AS94" s="153">
        <f>'DRE NOVAS PARCERIAS CAIXA'!AS199</f>
        <v>69465.999999999985</v>
      </c>
      <c r="AT94" s="153">
        <f>'DRE NOVAS PARCERIAS CAIXA'!AT199</f>
        <v>53540</v>
      </c>
      <c r="AU94" s="144">
        <f>'DRE NOVAS PARCERIAS CAIXA'!AU199</f>
        <v>227304</v>
      </c>
      <c r="AV94" s="153">
        <f>'DRE NOVAS PARCERIAS CAIXA'!AV199</f>
        <v>71590.861539999998</v>
      </c>
      <c r="AW94" s="121">
        <f>'DRE NOVAS PARCERIAS CAIXA'!AW199</f>
        <v>96726</v>
      </c>
      <c r="AX94" s="121">
        <f>'DRE NOVAS PARCERIAS CAIXA'!AX199</f>
        <v>97158</v>
      </c>
      <c r="AY94" s="121">
        <f>'DRE NOVAS PARCERIAS CAIXA'!AY199</f>
        <v>81973</v>
      </c>
      <c r="AZ94" s="144">
        <f>'DRE NOVAS PARCERIAS CAIXA'!AZ199</f>
        <v>347447.86154000001</v>
      </c>
      <c r="BA94" s="121">
        <f>'DRE NOVAS PARCERIAS CAIXA'!BA199</f>
        <v>81682</v>
      </c>
    </row>
    <row r="95" spans="1:53">
      <c r="A95" s="357"/>
      <c r="B95" s="11" t="s">
        <v>268</v>
      </c>
      <c r="C95" s="12"/>
      <c r="D95" s="12"/>
      <c r="E95" s="12"/>
      <c r="F95" s="12"/>
      <c r="G95" s="40"/>
      <c r="H95" s="12"/>
      <c r="I95" s="12"/>
      <c r="J95" s="12"/>
      <c r="K95" s="12"/>
      <c r="L95" s="40"/>
      <c r="M95" s="12"/>
      <c r="N95" s="12"/>
      <c r="O95" s="12"/>
      <c r="P95" s="12"/>
      <c r="Q95" s="40"/>
      <c r="R95" s="12"/>
      <c r="S95" s="12"/>
      <c r="T95" s="12"/>
      <c r="U95" s="12"/>
      <c r="V95" s="40"/>
      <c r="W95" s="12"/>
      <c r="X95" s="12"/>
      <c r="Y95" s="12"/>
      <c r="Z95" s="153"/>
      <c r="AA95" s="144">
        <f>'DRE NOVAS PARCERIAS CAIXA'!AA224</f>
        <v>38</v>
      </c>
      <c r="AB95" s="153">
        <f>'DRE NOVAS PARCERIAS CAIXA'!AB224</f>
        <v>-165.1189</v>
      </c>
      <c r="AC95" s="153">
        <f>'DRE NOVAS PARCERIAS CAIXA'!AC224</f>
        <v>-355.07084999999995</v>
      </c>
      <c r="AD95" s="153">
        <f>'DRE NOVAS PARCERIAS CAIXA'!AD224</f>
        <v>-844.81025</v>
      </c>
      <c r="AE95" s="153">
        <f>'DRE NOVAS PARCERIAS CAIXA'!AE224</f>
        <v>-1271</v>
      </c>
      <c r="AF95" s="144">
        <f>'DRE NOVAS PARCERIAS CAIXA'!AF224</f>
        <v>-2636</v>
      </c>
      <c r="AG95" s="153">
        <f>'DRE NOVAS PARCERIAS CAIXA'!AG224</f>
        <v>-98</v>
      </c>
      <c r="AH95" s="153">
        <f>'DRE NOVAS PARCERIAS CAIXA'!AH224</f>
        <v>332.68</v>
      </c>
      <c r="AI95" s="153">
        <f>'DRE NOVAS PARCERIAS CAIXA'!AI224</f>
        <v>1356.32</v>
      </c>
      <c r="AJ95" s="153">
        <f>'DRE NOVAS PARCERIAS CAIXA'!AJ224</f>
        <v>2964.759</v>
      </c>
      <c r="AK95" s="144">
        <f>'DRE NOVAS PARCERIAS CAIXA'!AK224</f>
        <v>4555.759</v>
      </c>
      <c r="AL95" s="153">
        <f>'DRE NOVAS PARCERIAS CAIXA'!AL224</f>
        <v>3555</v>
      </c>
      <c r="AM95" s="153">
        <f>'DRE NOVAS PARCERIAS CAIXA'!AM224</f>
        <v>6041</v>
      </c>
      <c r="AN95" s="153">
        <f>'DRE NOVAS PARCERIAS CAIXA'!AN224</f>
        <v>6928</v>
      </c>
      <c r="AO95" s="153">
        <f>'DRE NOVAS PARCERIAS CAIXA'!AO224</f>
        <v>6980.9999999999982</v>
      </c>
      <c r="AP95" s="144">
        <f>'DRE NOVAS PARCERIAS CAIXA'!AP224</f>
        <v>23505</v>
      </c>
      <c r="AQ95" s="153">
        <f>'DRE NOVAS PARCERIAS CAIXA'!AQ224</f>
        <v>6881</v>
      </c>
      <c r="AR95" s="153">
        <f>'DRE NOVAS PARCERIAS CAIXA'!AR224</f>
        <v>5494</v>
      </c>
      <c r="AS95" s="153">
        <f>'DRE NOVAS PARCERIAS CAIXA'!AS224</f>
        <v>7512</v>
      </c>
      <c r="AT95" s="153">
        <f>'DRE NOVAS PARCERIAS CAIXA'!AT224</f>
        <v>11094.999999999998</v>
      </c>
      <c r="AU95" s="144">
        <f>'DRE NOVAS PARCERIAS CAIXA'!AU224</f>
        <v>30982</v>
      </c>
      <c r="AV95" s="153">
        <f>'DRE NOVAS PARCERIAS CAIXA'!AV224</f>
        <v>11221</v>
      </c>
      <c r="AW95" s="121">
        <f>'DRE NOVAS PARCERIAS CAIXA'!AW224</f>
        <v>13077</v>
      </c>
      <c r="AX95" s="121">
        <f>'DRE NOVAS PARCERIAS CAIXA'!AX224</f>
        <v>15031.999999999996</v>
      </c>
      <c r="AY95" s="121">
        <f>'DRE NOVAS PARCERIAS CAIXA'!AY224</f>
        <v>10196.830910000011</v>
      </c>
      <c r="AZ95" s="144">
        <f>'DRE NOVAS PARCERIAS CAIXA'!AZ224</f>
        <v>49526.830910000011</v>
      </c>
      <c r="BA95" s="121">
        <f>'DRE NOVAS PARCERIAS CAIXA'!BA224</f>
        <v>9485</v>
      </c>
    </row>
    <row r="96" spans="1:53" s="2" customFormat="1">
      <c r="A96" s="363"/>
      <c r="B96" s="21" t="s">
        <v>610</v>
      </c>
      <c r="C96" s="218"/>
      <c r="D96" s="218"/>
      <c r="E96" s="218"/>
      <c r="F96" s="218"/>
      <c r="G96" s="364"/>
      <c r="H96" s="218"/>
      <c r="I96" s="218"/>
      <c r="J96" s="218"/>
      <c r="K96" s="218"/>
      <c r="L96" s="364"/>
      <c r="M96" s="218"/>
      <c r="N96" s="218"/>
      <c r="O96" s="218"/>
      <c r="P96" s="218"/>
      <c r="Q96" s="364"/>
      <c r="R96" s="218"/>
      <c r="S96" s="218"/>
      <c r="T96" s="218"/>
      <c r="U96" s="218"/>
      <c r="V96" s="364"/>
      <c r="W96" s="218"/>
      <c r="X96" s="218"/>
      <c r="Y96" s="218"/>
      <c r="Z96" s="365"/>
      <c r="AA96" s="366">
        <f t="shared" ref="AA96:AV96" si="66">AA97</f>
        <v>2538517.4809499793</v>
      </c>
      <c r="AB96" s="365">
        <f t="shared" si="66"/>
        <v>296824.63703000156</v>
      </c>
      <c r="AC96" s="365">
        <f t="shared" si="66"/>
        <v>261854.49650999918</v>
      </c>
      <c r="AD96" s="365">
        <f t="shared" si="66"/>
        <v>272039.91561999731</v>
      </c>
      <c r="AE96" s="365">
        <f t="shared" si="66"/>
        <v>280610.49333999999</v>
      </c>
      <c r="AF96" s="366">
        <f t="shared" si="66"/>
        <v>1111329.5424999979</v>
      </c>
      <c r="AG96" s="365">
        <f t="shared" si="66"/>
        <v>268295</v>
      </c>
      <c r="AH96" s="365">
        <f t="shared" si="66"/>
        <v>212908</v>
      </c>
      <c r="AI96" s="365">
        <f t="shared" si="66"/>
        <v>249473</v>
      </c>
      <c r="AJ96" s="365">
        <f t="shared" si="66"/>
        <v>217761.65726999997</v>
      </c>
      <c r="AK96" s="366">
        <f t="shared" si="66"/>
        <v>948437.65726999997</v>
      </c>
      <c r="AL96" s="365">
        <f t="shared" si="66"/>
        <v>240837</v>
      </c>
      <c r="AM96" s="365">
        <f t="shared" si="66"/>
        <v>225684</v>
      </c>
      <c r="AN96" s="365">
        <f t="shared" si="66"/>
        <v>263792</v>
      </c>
      <c r="AO96" s="365">
        <f t="shared" si="66"/>
        <v>261617</v>
      </c>
      <c r="AP96" s="366">
        <f>AP97</f>
        <v>991930</v>
      </c>
      <c r="AQ96" s="365">
        <f t="shared" si="66"/>
        <v>223085</v>
      </c>
      <c r="AR96" s="365">
        <f t="shared" si="66"/>
        <v>162661</v>
      </c>
      <c r="AS96" s="365">
        <f t="shared" si="66"/>
        <v>229634</v>
      </c>
      <c r="AT96" s="365">
        <f t="shared" si="66"/>
        <v>213121</v>
      </c>
      <c r="AU96" s="366">
        <f>AU97</f>
        <v>828501</v>
      </c>
      <c r="AV96" s="365">
        <f t="shared" si="66"/>
        <v>189938.63299999997</v>
      </c>
      <c r="AW96" s="367">
        <f>AW97</f>
        <v>219601.49399999995</v>
      </c>
      <c r="AX96" s="367">
        <f>AX97</f>
        <v>220296</v>
      </c>
      <c r="AY96" s="367">
        <f>AY97</f>
        <v>257301</v>
      </c>
      <c r="AZ96" s="366">
        <f>AZ97</f>
        <v>887137.12699999986</v>
      </c>
      <c r="BA96" s="367">
        <f>BA97</f>
        <v>233129</v>
      </c>
    </row>
    <row r="97" spans="1:53">
      <c r="A97" s="357"/>
      <c r="B97" s="11" t="s">
        <v>611</v>
      </c>
      <c r="C97" s="12"/>
      <c r="D97" s="12"/>
      <c r="E97" s="12"/>
      <c r="F97" s="12"/>
      <c r="G97" s="40"/>
      <c r="H97" s="12"/>
      <c r="I97" s="12"/>
      <c r="J97" s="12"/>
      <c r="K97" s="12"/>
      <c r="L97" s="40"/>
      <c r="M97" s="12"/>
      <c r="N97" s="12"/>
      <c r="O97" s="12"/>
      <c r="P97" s="12"/>
      <c r="Q97" s="40"/>
      <c r="R97" s="12"/>
      <c r="S97" s="12"/>
      <c r="T97" s="12"/>
      <c r="U97" s="12"/>
      <c r="V97" s="40"/>
      <c r="W97" s="12"/>
      <c r="X97" s="12"/>
      <c r="Y97" s="12"/>
      <c r="Z97" s="153"/>
      <c r="AA97" s="144">
        <f t="shared" ref="AA97:AP97" si="67">SUM(AA98:AA107)</f>
        <v>2538517.4809499793</v>
      </c>
      <c r="AB97" s="153">
        <f t="shared" si="67"/>
        <v>296824.63703000156</v>
      </c>
      <c r="AC97" s="153">
        <f t="shared" si="67"/>
        <v>261854.49650999918</v>
      </c>
      <c r="AD97" s="153">
        <f t="shared" si="67"/>
        <v>272039.91561999731</v>
      </c>
      <c r="AE97" s="153">
        <f t="shared" si="67"/>
        <v>280610.49333999999</v>
      </c>
      <c r="AF97" s="144">
        <f t="shared" si="67"/>
        <v>1111329.5424999979</v>
      </c>
      <c r="AG97" s="153">
        <f t="shared" si="67"/>
        <v>268295</v>
      </c>
      <c r="AH97" s="153">
        <f t="shared" si="67"/>
        <v>212908</v>
      </c>
      <c r="AI97" s="153">
        <f t="shared" si="67"/>
        <v>249473</v>
      </c>
      <c r="AJ97" s="153">
        <f t="shared" si="67"/>
        <v>217761.65726999997</v>
      </c>
      <c r="AK97" s="144">
        <f t="shared" si="67"/>
        <v>948437.65726999997</v>
      </c>
      <c r="AL97" s="153">
        <f t="shared" si="67"/>
        <v>240837</v>
      </c>
      <c r="AM97" s="153">
        <f t="shared" si="67"/>
        <v>225684</v>
      </c>
      <c r="AN97" s="153">
        <f t="shared" ref="AN97:AO97" si="68">SUM(AN98:AN107)</f>
        <v>263792</v>
      </c>
      <c r="AO97" s="153">
        <f t="shared" si="68"/>
        <v>261617</v>
      </c>
      <c r="AP97" s="144">
        <f t="shared" si="67"/>
        <v>991930</v>
      </c>
      <c r="AQ97" s="153">
        <f t="shared" ref="AQ97:AR97" si="69">SUM(AQ98:AQ107)</f>
        <v>223085</v>
      </c>
      <c r="AR97" s="153">
        <f t="shared" si="69"/>
        <v>162661</v>
      </c>
      <c r="AS97" s="153">
        <f t="shared" ref="AS97:AT97" si="70">SUM(AS98:AS107)</f>
        <v>229634</v>
      </c>
      <c r="AT97" s="153">
        <f t="shared" si="70"/>
        <v>213121</v>
      </c>
      <c r="AU97" s="144">
        <f t="shared" ref="AU97:AV97" si="71">SUM(AU98:AU107)</f>
        <v>828501</v>
      </c>
      <c r="AV97" s="153">
        <f t="shared" si="71"/>
        <v>189938.63299999997</v>
      </c>
      <c r="AW97" s="121">
        <f>SUM(AW98:AW107)</f>
        <v>219601.49399999995</v>
      </c>
      <c r="AX97" s="121">
        <f>SUM(AX98:AX107)</f>
        <v>220296</v>
      </c>
      <c r="AY97" s="121">
        <f>SUM(AY98:AY107)</f>
        <v>257301</v>
      </c>
      <c r="AZ97" s="144">
        <f>SUM(AZ98:AZ107)</f>
        <v>887137.12699999986</v>
      </c>
      <c r="BA97" s="121">
        <f>SUM(BA98:BA107)</f>
        <v>233129</v>
      </c>
    </row>
    <row r="98" spans="1:53">
      <c r="A98" s="357"/>
      <c r="B98" s="318" t="s">
        <v>612</v>
      </c>
      <c r="C98" s="12"/>
      <c r="D98" s="12"/>
      <c r="E98" s="12"/>
      <c r="F98" s="12"/>
      <c r="G98" s="40"/>
      <c r="H98" s="12"/>
      <c r="I98" s="12"/>
      <c r="J98" s="12"/>
      <c r="K98" s="12"/>
      <c r="L98" s="40"/>
      <c r="M98" s="12"/>
      <c r="N98" s="12"/>
      <c r="O98" s="12"/>
      <c r="P98" s="12"/>
      <c r="Q98" s="40"/>
      <c r="R98" s="12"/>
      <c r="S98" s="12"/>
      <c r="T98" s="12"/>
      <c r="U98" s="12"/>
      <c r="V98" s="40"/>
      <c r="W98" s="12"/>
      <c r="X98" s="12"/>
      <c r="Y98" s="12"/>
      <c r="Z98" s="153"/>
      <c r="AA98" s="144">
        <f>'DRE ANTIGA PARCERIA CAIXA'!AA51</f>
        <v>1221035.6014399987</v>
      </c>
      <c r="AB98" s="153">
        <f>'DRE ANTIGA PARCERIA CAIXA'!AB51</f>
        <v>237233.1355700015</v>
      </c>
      <c r="AC98" s="153">
        <f>'DRE ANTIGA PARCERIA CAIXA'!AC51</f>
        <v>201624.96784999821</v>
      </c>
      <c r="AD98" s="153">
        <f>'DRE ANTIGA PARCERIA CAIXA'!AD51</f>
        <v>201624.96784999821</v>
      </c>
      <c r="AE98" s="153">
        <f>'DRE ANTIGA PARCERIA CAIXA'!AE51</f>
        <v>234096</v>
      </c>
      <c r="AF98" s="144">
        <f>'DRE ANTIGA PARCERIA CAIXA'!AF51</f>
        <v>874579.07126999786</v>
      </c>
      <c r="AG98" s="153">
        <f>'DRE ANTIGA PARCERIA CAIXA'!AG51</f>
        <v>208032</v>
      </c>
      <c r="AH98" s="153">
        <f>'DRE ANTIGA PARCERIA CAIXA'!AH51</f>
        <v>174851</v>
      </c>
      <c r="AI98" s="153">
        <f>'DRE ANTIGA PARCERIA CAIXA'!AI51</f>
        <v>210906</v>
      </c>
      <c r="AJ98" s="153">
        <f>'DRE ANTIGA PARCERIA CAIXA'!AJ51</f>
        <v>254281</v>
      </c>
      <c r="AK98" s="144">
        <f>'DRE ANTIGA PARCERIA CAIXA'!AK51</f>
        <v>848070</v>
      </c>
      <c r="AL98" s="153">
        <f>'DRE ANTIGA PARCERIA CAIXA'!AL51</f>
        <v>229646</v>
      </c>
      <c r="AM98" s="153">
        <f>'DRE ANTIGA PARCERIA CAIXA'!AM51</f>
        <v>212070</v>
      </c>
      <c r="AN98" s="153">
        <f>'DRE ANTIGA PARCERIA CAIXA'!AN51</f>
        <v>253858</v>
      </c>
      <c r="AO98" s="153">
        <f>'DRE ANTIGA PARCERIA CAIXA'!AO51</f>
        <v>254292</v>
      </c>
      <c r="AP98" s="144">
        <f>'DRE ANTIGA PARCERIA CAIXA'!AP51</f>
        <v>949866</v>
      </c>
      <c r="AQ98" s="153">
        <f>'DRE ANTIGA PARCERIA CAIXA'!AQ51</f>
        <v>214549</v>
      </c>
      <c r="AR98" s="153">
        <f>'DRE ANTIGA PARCERIA CAIXA'!AR51</f>
        <v>153116</v>
      </c>
      <c r="AS98" s="153">
        <f>'DRE ANTIGA PARCERIA CAIXA'!AS51</f>
        <v>220204</v>
      </c>
      <c r="AT98" s="153">
        <f>'DRE ANTIGA PARCERIA CAIXA'!AT51</f>
        <v>198886</v>
      </c>
      <c r="AU98" s="144">
        <f>'DRE ANTIGA PARCERIA CAIXA'!AU51</f>
        <v>786755</v>
      </c>
      <c r="AV98" s="153">
        <f>'DRE ANTIGA PARCERIA CAIXA'!AV51</f>
        <v>181172.63299999997</v>
      </c>
      <c r="AW98" s="121">
        <f>'DRE ANTIGA PARCERIA CAIXA'!AW51</f>
        <v>212071.49399999995</v>
      </c>
      <c r="AX98" s="121">
        <f>'DRE ANTIGA PARCERIA CAIXA'!AX51</f>
        <v>208136</v>
      </c>
      <c r="AY98" s="121">
        <f>'DRE ANTIGA PARCERIA CAIXA'!AY51</f>
        <v>245531</v>
      </c>
      <c r="AZ98" s="144">
        <f>'DRE ANTIGA PARCERIA CAIXA'!AZ51</f>
        <v>846911.12699999986</v>
      </c>
      <c r="BA98" s="121">
        <f>'DRE ANTIGA PARCERIA CAIXA'!BA51</f>
        <v>216686</v>
      </c>
    </row>
    <row r="99" spans="1:53">
      <c r="A99" s="357"/>
      <c r="B99" s="318" t="s">
        <v>613</v>
      </c>
      <c r="C99" s="12"/>
      <c r="D99" s="12"/>
      <c r="E99" s="12"/>
      <c r="F99" s="12"/>
      <c r="G99" s="40"/>
      <c r="H99" s="12"/>
      <c r="I99" s="12"/>
      <c r="J99" s="12"/>
      <c r="K99" s="12"/>
      <c r="L99" s="40"/>
      <c r="M99" s="12"/>
      <c r="N99" s="12"/>
      <c r="O99" s="12"/>
      <c r="P99" s="12"/>
      <c r="Q99" s="40"/>
      <c r="R99" s="12"/>
      <c r="S99" s="12"/>
      <c r="T99" s="12"/>
      <c r="U99" s="12"/>
      <c r="V99" s="40"/>
      <c r="W99" s="12"/>
      <c r="X99" s="12"/>
      <c r="Y99" s="12"/>
      <c r="Z99" s="153"/>
      <c r="AA99" s="144">
        <f>'DRE ANTIGA PARCERIA CAIXA'!AA91</f>
        <v>1047283.1737099814</v>
      </c>
      <c r="AB99" s="153"/>
      <c r="AC99" s="153"/>
      <c r="AD99" s="153"/>
      <c r="AE99" s="153"/>
      <c r="AF99" s="144"/>
      <c r="AG99" s="153"/>
      <c r="AH99" s="153"/>
      <c r="AI99" s="153"/>
      <c r="AJ99" s="153"/>
      <c r="AK99" s="144"/>
      <c r="AL99" s="153"/>
      <c r="AM99" s="153"/>
      <c r="AN99" s="153"/>
      <c r="AO99" s="153"/>
      <c r="AP99" s="144"/>
      <c r="AQ99" s="153"/>
      <c r="AR99" s="153"/>
      <c r="AS99" s="153"/>
      <c r="AT99" s="153"/>
      <c r="AU99" s="144"/>
      <c r="AV99" s="153"/>
      <c r="AW99" s="121"/>
      <c r="AX99" s="121"/>
      <c r="AY99" s="121"/>
      <c r="AZ99" s="144"/>
      <c r="BA99" s="121"/>
    </row>
    <row r="100" spans="1:53">
      <c r="A100" s="357"/>
      <c r="B100" s="318" t="s">
        <v>566</v>
      </c>
      <c r="C100" s="12"/>
      <c r="D100" s="12"/>
      <c r="E100" s="12"/>
      <c r="F100" s="12"/>
      <c r="G100" s="40"/>
      <c r="H100" s="12"/>
      <c r="I100" s="12"/>
      <c r="J100" s="12"/>
      <c r="K100" s="12"/>
      <c r="L100" s="40"/>
      <c r="M100" s="12"/>
      <c r="N100" s="12"/>
      <c r="O100" s="12"/>
      <c r="P100" s="12"/>
      <c r="Q100" s="40"/>
      <c r="R100" s="12"/>
      <c r="S100" s="12"/>
      <c r="T100" s="12"/>
      <c r="U100" s="12"/>
      <c r="V100" s="40"/>
      <c r="W100" s="12"/>
      <c r="X100" s="12"/>
      <c r="Y100" s="12"/>
      <c r="Z100" s="153"/>
      <c r="AA100" s="144">
        <f>'DRE ANTIGA PARCERIA CAIXA'!AA116</f>
        <v>112102.20309999975</v>
      </c>
      <c r="AB100" s="153">
        <f>'DRE ANTIGA PARCERIA CAIXA'!AB116</f>
        <v>38053.526470000004</v>
      </c>
      <c r="AC100" s="153">
        <f>'DRE ANTIGA PARCERIA CAIXA'!AC116</f>
        <v>30664.747870000603</v>
      </c>
      <c r="AD100" s="153">
        <f>'DRE ANTIGA PARCERIA CAIXA'!AD116</f>
        <v>23839.883709999391</v>
      </c>
      <c r="AE100" s="153">
        <f>'DRE ANTIGA PARCERIA CAIXA'!AE116</f>
        <v>14950.400750000008</v>
      </c>
      <c r="AF100" s="144">
        <f>'DRE ANTIGA PARCERIA CAIXA'!AF116</f>
        <v>107508.5588</v>
      </c>
      <c r="AG100" s="153">
        <f>'DRE ANTIGA PARCERIA CAIXA'!AG116</f>
        <v>22468</v>
      </c>
      <c r="AH100" s="153">
        <f>'DRE ANTIGA PARCERIA CAIXA'!AH116</f>
        <v>14938</v>
      </c>
      <c r="AI100" s="153">
        <f>'DRE ANTIGA PARCERIA CAIXA'!AI116</f>
        <v>11931</v>
      </c>
      <c r="AJ100" s="153">
        <f>'DRE ANTIGA PARCERIA CAIXA'!AJ116</f>
        <v>4097</v>
      </c>
      <c r="AK100" s="144">
        <f>'DRE ANTIGA PARCERIA CAIXA'!AK116</f>
        <v>53434</v>
      </c>
      <c r="AL100" s="153"/>
      <c r="AM100" s="153"/>
      <c r="AN100" s="153"/>
      <c r="AO100" s="153"/>
      <c r="AP100" s="144"/>
      <c r="AQ100" s="153"/>
      <c r="AR100" s="153"/>
      <c r="AS100" s="153"/>
      <c r="AT100" s="153"/>
      <c r="AU100" s="144"/>
      <c r="AV100" s="153"/>
      <c r="AW100" s="121"/>
      <c r="AX100" s="121"/>
      <c r="AY100" s="121"/>
      <c r="AZ100" s="144"/>
      <c r="BA100" s="121"/>
    </row>
    <row r="101" spans="1:53">
      <c r="A101" s="357"/>
      <c r="B101" s="318" t="s">
        <v>271</v>
      </c>
      <c r="C101" s="12"/>
      <c r="D101" s="12"/>
      <c r="E101" s="12"/>
      <c r="F101" s="12"/>
      <c r="G101" s="40"/>
      <c r="H101" s="12"/>
      <c r="I101" s="12"/>
      <c r="J101" s="12"/>
      <c r="K101" s="12"/>
      <c r="L101" s="40"/>
      <c r="M101" s="12"/>
      <c r="N101" s="12"/>
      <c r="O101" s="12"/>
      <c r="P101" s="12"/>
      <c r="Q101" s="40"/>
      <c r="R101" s="12"/>
      <c r="S101" s="12"/>
      <c r="T101" s="12"/>
      <c r="U101" s="12"/>
      <c r="V101" s="40"/>
      <c r="W101" s="12"/>
      <c r="X101" s="12"/>
      <c r="Y101" s="12"/>
      <c r="Z101" s="153"/>
      <c r="AA101" s="144">
        <f>'DRE ANTIGA PARCERIA CAIXA'!AA141</f>
        <v>89657.724139999802</v>
      </c>
      <c r="AB101" s="153">
        <f>'DRE ANTIGA PARCERIA CAIXA'!AB141</f>
        <v>24120.844260000023</v>
      </c>
      <c r="AC101" s="153">
        <f>'DRE ANTIGA PARCERIA CAIXA'!AC141</f>
        <v>27722.441350000347</v>
      </c>
      <c r="AD101" s="153">
        <f>'DRE ANTIGA PARCERIA CAIXA'!AD141</f>
        <v>39491.366139999642</v>
      </c>
      <c r="AE101" s="153">
        <f>'DRE ANTIGA PARCERIA CAIXA'!AE141</f>
        <v>27887</v>
      </c>
      <c r="AF101" s="144">
        <f>'DRE ANTIGA PARCERIA CAIXA'!AF141</f>
        <v>119221.65175000002</v>
      </c>
      <c r="AG101" s="153">
        <f>'DRE ANTIGA PARCERIA CAIXA'!AG141</f>
        <v>33536</v>
      </c>
      <c r="AH101" s="153">
        <f>'DRE ANTIGA PARCERIA CAIXA'!AH141</f>
        <v>34315</v>
      </c>
      <c r="AI101" s="153">
        <f>'DRE ANTIGA PARCERIA CAIXA'!AI141</f>
        <v>7785</v>
      </c>
      <c r="AJ101" s="153">
        <f>'DRE ANTIGA PARCERIA CAIXA'!AJ141</f>
        <v>-3873.3427300000276</v>
      </c>
      <c r="AK101" s="144">
        <f>'DRE ANTIGA PARCERIA CAIXA'!AK141</f>
        <v>71762.657269999967</v>
      </c>
      <c r="AL101" s="153"/>
      <c r="AM101" s="153"/>
      <c r="AN101" s="153"/>
      <c r="AO101" s="153"/>
      <c r="AP101" s="144"/>
      <c r="AQ101" s="153"/>
      <c r="AR101" s="153"/>
      <c r="AS101" s="153"/>
      <c r="AT101" s="153"/>
      <c r="AU101" s="144"/>
      <c r="AV101" s="153"/>
      <c r="AW101" s="121"/>
      <c r="AX101" s="121"/>
      <c r="AY101" s="121"/>
      <c r="AZ101" s="144"/>
      <c r="BA101" s="121"/>
    </row>
    <row r="102" spans="1:53">
      <c r="A102" s="357"/>
      <c r="B102" s="318" t="s">
        <v>614</v>
      </c>
      <c r="C102" s="12"/>
      <c r="D102" s="12"/>
      <c r="E102" s="12"/>
      <c r="F102" s="12"/>
      <c r="G102" s="40"/>
      <c r="H102" s="12"/>
      <c r="I102" s="12"/>
      <c r="J102" s="12"/>
      <c r="K102" s="12"/>
      <c r="L102" s="40"/>
      <c r="M102" s="12"/>
      <c r="N102" s="12"/>
      <c r="O102" s="12"/>
      <c r="P102" s="12"/>
      <c r="Q102" s="40"/>
      <c r="R102" s="12"/>
      <c r="S102" s="12"/>
      <c r="T102" s="12"/>
      <c r="U102" s="12"/>
      <c r="V102" s="40"/>
      <c r="W102" s="12"/>
      <c r="X102" s="12"/>
      <c r="Y102" s="12"/>
      <c r="Z102" s="153"/>
      <c r="AA102" s="144">
        <f>'DRE ANTIGA PARCERIA CAIXA'!AA163</f>
        <v>53930.283349999983</v>
      </c>
      <c r="AB102" s="153">
        <f>'DRE ANTIGA PARCERIA CAIXA'!AB163</f>
        <v>713.05160000000228</v>
      </c>
      <c r="AC102" s="153">
        <f>'DRE ANTIGA PARCERIA CAIXA'!AC163</f>
        <v>548.04838999999845</v>
      </c>
      <c r="AD102" s="153">
        <f>'DRE ANTIGA PARCERIA CAIXA'!AD163</f>
        <v>5709.3152399999999</v>
      </c>
      <c r="AE102" s="153">
        <f>'DRE ANTIGA PARCERIA CAIXA'!AE163</f>
        <v>2756.4942199999932</v>
      </c>
      <c r="AF102" s="144">
        <f>'DRE ANTIGA PARCERIA CAIXA'!AF163</f>
        <v>9726.9094499999937</v>
      </c>
      <c r="AG102" s="153">
        <f>'DRE ANTIGA PARCERIA CAIXA'!AG163</f>
        <v>-251</v>
      </c>
      <c r="AH102" s="153">
        <f>'DRE ANTIGA PARCERIA CAIXA'!AH163</f>
        <v>-1978</v>
      </c>
      <c r="AI102" s="153">
        <f>'DRE ANTIGA PARCERIA CAIXA'!AI163</f>
        <v>7270</v>
      </c>
      <c r="AJ102" s="153">
        <f>'DRE ANTIGA PARCERIA CAIXA'!AJ163</f>
        <v>1877</v>
      </c>
      <c r="AK102" s="144">
        <f>'DRE ANTIGA PARCERIA CAIXA'!AK163</f>
        <v>6918</v>
      </c>
      <c r="AL102" s="153">
        <f>'DRE ANTIGA PARCERIA CAIXA'!AL163</f>
        <v>4640</v>
      </c>
      <c r="AM102" s="153">
        <f>'DRE ANTIGA PARCERIA CAIXA'!AM163</f>
        <v>6852</v>
      </c>
      <c r="AN102" s="153">
        <f>'DRE ANTIGA PARCERIA CAIXA'!AN163</f>
        <v>3031</v>
      </c>
      <c r="AO102" s="153">
        <f>'DRE ANTIGA PARCERIA CAIXA'!AO163</f>
        <v>401</v>
      </c>
      <c r="AP102" s="144">
        <f>'DRE ANTIGA PARCERIA CAIXA'!AP163</f>
        <v>14924</v>
      </c>
      <c r="AQ102" s="153">
        <f>'DRE ANTIGA PARCERIA CAIXA'!AQ163</f>
        <v>1774</v>
      </c>
      <c r="AR102" s="153">
        <f>'DRE ANTIGA PARCERIA CAIXA'!AR163</f>
        <v>1989</v>
      </c>
      <c r="AS102" s="153">
        <f>'DRE ANTIGA PARCERIA CAIXA'!AS163</f>
        <v>834</v>
      </c>
      <c r="AT102" s="153">
        <f>'DRE ANTIGA PARCERIA CAIXA'!AT163</f>
        <v>4263</v>
      </c>
      <c r="AU102" s="144">
        <f>'DRE ANTIGA PARCERIA CAIXA'!AU163</f>
        <v>8860</v>
      </c>
      <c r="AV102" s="153">
        <f>'DRE ANTIGA PARCERIA CAIXA'!AV163</f>
        <v>533</v>
      </c>
      <c r="AW102" s="121">
        <f>'DRE ANTIGA PARCERIA CAIXA'!AW163</f>
        <v>878</v>
      </c>
      <c r="AX102" s="121">
        <f>'DRE ANTIGA PARCERIA CAIXA'!AX163</f>
        <v>3244</v>
      </c>
      <c r="AY102" s="121">
        <f>'DRE ANTIGA PARCERIA CAIXA'!AY163</f>
        <v>3296</v>
      </c>
      <c r="AZ102" s="144">
        <f>'DRE ANTIGA PARCERIA CAIXA'!AZ163</f>
        <v>7951</v>
      </c>
      <c r="BA102" s="121">
        <f>'DRE ANTIGA PARCERIA CAIXA'!BA163</f>
        <v>4889</v>
      </c>
    </row>
    <row r="103" spans="1:53">
      <c r="A103" s="357"/>
      <c r="B103" s="318" t="s">
        <v>568</v>
      </c>
      <c r="C103" s="12"/>
      <c r="D103" s="12"/>
      <c r="E103" s="12"/>
      <c r="F103" s="12"/>
      <c r="G103" s="40"/>
      <c r="H103" s="12"/>
      <c r="I103" s="12"/>
      <c r="J103" s="12"/>
      <c r="K103" s="12"/>
      <c r="L103" s="40"/>
      <c r="M103" s="12"/>
      <c r="N103" s="12"/>
      <c r="O103" s="12"/>
      <c r="P103" s="12"/>
      <c r="Q103" s="40"/>
      <c r="R103" s="12"/>
      <c r="S103" s="12"/>
      <c r="T103" s="12"/>
      <c r="U103" s="12"/>
      <c r="V103" s="40"/>
      <c r="W103" s="12"/>
      <c r="X103" s="12"/>
      <c r="Y103" s="12"/>
      <c r="Z103" s="153"/>
      <c r="AA103" s="144">
        <f>'DRE ANTIGA PARCERIA CAIXA'!AA192</f>
        <v>1241.8653799999793</v>
      </c>
      <c r="AB103" s="153">
        <f>'DRE ANTIGA PARCERIA CAIXA'!AB192</f>
        <v>-6174.3651599999876</v>
      </c>
      <c r="AC103" s="153">
        <f>'DRE ANTIGA PARCERIA CAIXA'!AC192</f>
        <v>-4228.137220000016</v>
      </c>
      <c r="AD103" s="153">
        <f>'DRE ANTIGA PARCERIA CAIXA'!AD192</f>
        <v>-4247.4878999999719</v>
      </c>
      <c r="AE103" s="153">
        <f>'DRE ANTIGA PARCERIA CAIXA'!AE192</f>
        <v>-5631.1868100000047</v>
      </c>
      <c r="AF103" s="144">
        <f>'DRE ANTIGA PARCERIA CAIXA'!AF192</f>
        <v>-20281.177089999983</v>
      </c>
      <c r="AG103" s="153">
        <f>'DRE ANTIGA PARCERIA CAIXA'!AG192</f>
        <v>-2630</v>
      </c>
      <c r="AH103" s="153">
        <f>'DRE ANTIGA PARCERIA CAIXA'!AH192</f>
        <v>-16609</v>
      </c>
      <c r="AI103" s="153">
        <f>'DRE ANTIGA PARCERIA CAIXA'!AI192</f>
        <v>-1463</v>
      </c>
      <c r="AJ103" s="153">
        <f>'DRE ANTIGA PARCERIA CAIXA'!AJ192</f>
        <v>-40981</v>
      </c>
      <c r="AK103" s="144">
        <f>'DRE ANTIGA PARCERIA CAIXA'!AK192</f>
        <v>-61683</v>
      </c>
      <c r="AL103" s="153"/>
      <c r="AM103" s="153"/>
      <c r="AN103" s="153"/>
      <c r="AO103" s="153"/>
      <c r="AP103" s="144"/>
      <c r="AQ103" s="153"/>
      <c r="AR103" s="153"/>
      <c r="AS103" s="153"/>
      <c r="AT103" s="153"/>
      <c r="AU103" s="144"/>
      <c r="AV103" s="153"/>
      <c r="AW103" s="121"/>
      <c r="AX103" s="121"/>
      <c r="AY103" s="121"/>
      <c r="AZ103" s="144"/>
      <c r="BA103" s="121"/>
    </row>
    <row r="104" spans="1:53">
      <c r="A104" s="357"/>
      <c r="B104" s="318" t="s">
        <v>569</v>
      </c>
      <c r="C104" s="12"/>
      <c r="D104" s="12"/>
      <c r="E104" s="12"/>
      <c r="F104" s="12"/>
      <c r="G104" s="40"/>
      <c r="H104" s="12"/>
      <c r="I104" s="12"/>
      <c r="J104" s="12"/>
      <c r="K104" s="12"/>
      <c r="L104" s="40"/>
      <c r="M104" s="12"/>
      <c r="N104" s="12"/>
      <c r="O104" s="12"/>
      <c r="P104" s="12"/>
      <c r="Q104" s="40"/>
      <c r="R104" s="12"/>
      <c r="S104" s="12"/>
      <c r="T104" s="12"/>
      <c r="U104" s="12"/>
      <c r="V104" s="40"/>
      <c r="W104" s="12"/>
      <c r="X104" s="12"/>
      <c r="Y104" s="12"/>
      <c r="Z104" s="153"/>
      <c r="AA104" s="144">
        <f>'DRE ANTIGA PARCERIA CAIXA'!AA211</f>
        <v>3845.9399699999908</v>
      </c>
      <c r="AB104" s="153">
        <f>'DRE ANTIGA PARCERIA CAIXA'!AB211</f>
        <v>409.28059000000417</v>
      </c>
      <c r="AC104" s="153">
        <f>'DRE ANTIGA PARCERIA CAIXA'!AC211</f>
        <v>2238.4030899999952</v>
      </c>
      <c r="AD104" s="153">
        <f>'DRE ANTIGA PARCERIA CAIXA'!AD211</f>
        <v>1167.1254100000017</v>
      </c>
      <c r="AE104" s="153">
        <f>'DRE ANTIGA PARCERIA CAIXA'!AE211</f>
        <v>1510.9245599999651</v>
      </c>
      <c r="AF104" s="144">
        <f>'DRE ANTIGA PARCERIA CAIXA'!AF211</f>
        <v>5325.7336499999656</v>
      </c>
      <c r="AG104" s="153">
        <f>'DRE ANTIGA PARCERIA CAIXA'!AG211</f>
        <v>892</v>
      </c>
      <c r="AH104" s="153">
        <f>'DRE ANTIGA PARCERIA CAIXA'!AH211</f>
        <v>-1475</v>
      </c>
      <c r="AI104" s="153">
        <f>'DRE ANTIGA PARCERIA CAIXA'!AI211</f>
        <v>-381</v>
      </c>
      <c r="AJ104" s="153">
        <f>'DRE ANTIGA PARCERIA CAIXA'!AJ211</f>
        <v>-303</v>
      </c>
      <c r="AK104" s="144">
        <f>'DRE ANTIGA PARCERIA CAIXA'!AK211</f>
        <v>-1267</v>
      </c>
      <c r="AL104" s="153"/>
      <c r="AM104" s="153"/>
      <c r="AN104" s="153"/>
      <c r="AO104" s="153"/>
      <c r="AP104" s="144"/>
      <c r="AQ104" s="153"/>
      <c r="AR104" s="153"/>
      <c r="AS104" s="153"/>
      <c r="AT104" s="153"/>
      <c r="AU104" s="144"/>
      <c r="AV104" s="153"/>
      <c r="AW104" s="121"/>
      <c r="AX104" s="121"/>
      <c r="AY104" s="121"/>
      <c r="AZ104" s="144"/>
      <c r="BA104" s="121"/>
    </row>
    <row r="105" spans="1:53">
      <c r="A105" s="357"/>
      <c r="B105" s="318" t="s">
        <v>570</v>
      </c>
      <c r="C105" s="12"/>
      <c r="D105" s="12"/>
      <c r="E105" s="12"/>
      <c r="F105" s="12"/>
      <c r="G105" s="40"/>
      <c r="H105" s="12"/>
      <c r="I105" s="12"/>
      <c r="J105" s="12"/>
      <c r="K105" s="12"/>
      <c r="L105" s="40"/>
      <c r="M105" s="12"/>
      <c r="N105" s="12"/>
      <c r="O105" s="12"/>
      <c r="P105" s="12"/>
      <c r="Q105" s="40"/>
      <c r="R105" s="12"/>
      <c r="S105" s="12"/>
      <c r="T105" s="12"/>
      <c r="U105" s="12"/>
      <c r="V105" s="40"/>
      <c r="W105" s="12"/>
      <c r="X105" s="12"/>
      <c r="Y105" s="12"/>
      <c r="Z105" s="153"/>
      <c r="AA105" s="144">
        <f>'DRE ANTIGA PARCERIA CAIXA'!AA236</f>
        <v>1195.2716999999991</v>
      </c>
      <c r="AB105" s="153">
        <f>'DRE ANTIGA PARCERIA CAIXA'!AB236</f>
        <v>252.05383999999998</v>
      </c>
      <c r="AC105" s="153">
        <f>'DRE ANTIGA PARCERIA CAIXA'!AC236</f>
        <v>68.595630000000185</v>
      </c>
      <c r="AD105" s="153">
        <f>'DRE ANTIGA PARCERIA CAIXA'!AD236</f>
        <v>129.58726000000007</v>
      </c>
      <c r="AE105" s="153">
        <f>'DRE ANTIGA PARCERIA CAIXA'!AE236</f>
        <v>302.06145000000078</v>
      </c>
      <c r="AF105" s="144">
        <f>'DRE ANTIGA PARCERIA CAIXA'!AF236</f>
        <v>752.29818000000103</v>
      </c>
      <c r="AG105" s="153">
        <f>'DRE ANTIGA PARCERIA CAIXA'!AG236</f>
        <v>534</v>
      </c>
      <c r="AH105" s="153">
        <f>'DRE ANTIGA PARCERIA CAIXA'!AH236</f>
        <v>594</v>
      </c>
      <c r="AI105" s="153">
        <f>'DRE ANTIGA PARCERIA CAIXA'!AI236</f>
        <v>1134</v>
      </c>
      <c r="AJ105" s="153">
        <f>'DRE ANTIGA PARCERIA CAIXA'!AJ236</f>
        <v>315</v>
      </c>
      <c r="AK105" s="144">
        <f>'DRE ANTIGA PARCERIA CAIXA'!AK236</f>
        <v>2577</v>
      </c>
      <c r="AL105" s="153">
        <f>'DRE ANTIGA PARCERIA CAIXA'!AL236</f>
        <v>956</v>
      </c>
      <c r="AM105" s="153">
        <f>'DRE ANTIGA PARCERIA CAIXA'!AM236</f>
        <v>955</v>
      </c>
      <c r="AN105" s="153">
        <f>'DRE ANTIGA PARCERIA CAIXA'!AN236</f>
        <v>1023</v>
      </c>
      <c r="AO105" s="153">
        <f>'DRE ANTIGA PARCERIA CAIXA'!AO236</f>
        <v>918</v>
      </c>
      <c r="AP105" s="144">
        <f>'DRE ANTIGA PARCERIA CAIXA'!AP236</f>
        <v>3852</v>
      </c>
      <c r="AQ105" s="153">
        <f>'DRE ANTIGA PARCERIA CAIXA'!AQ236</f>
        <v>698</v>
      </c>
      <c r="AR105" s="153">
        <f>'DRE ANTIGA PARCERIA CAIXA'!AR236</f>
        <v>763</v>
      </c>
      <c r="AS105" s="153">
        <f>'DRE ANTIGA PARCERIA CAIXA'!AS236</f>
        <v>847</v>
      </c>
      <c r="AT105" s="153">
        <f>'DRE ANTIGA PARCERIA CAIXA'!AT236</f>
        <v>1047</v>
      </c>
      <c r="AU105" s="144">
        <f>'DRE ANTIGA PARCERIA CAIXA'!AU236</f>
        <v>3355</v>
      </c>
      <c r="AV105" s="153">
        <f>'DRE ANTIGA PARCERIA CAIXA'!AV236</f>
        <v>802</v>
      </c>
      <c r="AW105" s="121">
        <f>'DRE ANTIGA PARCERIA CAIXA'!AW236</f>
        <v>996</v>
      </c>
      <c r="AX105" s="121">
        <f>'DRE ANTIGA PARCERIA CAIXA'!AX236</f>
        <v>1053</v>
      </c>
      <c r="AY105" s="121">
        <f>'DRE ANTIGA PARCERIA CAIXA'!AY236</f>
        <v>528</v>
      </c>
      <c r="AZ105" s="144">
        <f>'DRE ANTIGA PARCERIA CAIXA'!AZ236</f>
        <v>3379</v>
      </c>
      <c r="BA105" s="121">
        <f>'DRE ANTIGA PARCERIA CAIXA'!BA236</f>
        <v>1065</v>
      </c>
    </row>
    <row r="106" spans="1:53">
      <c r="A106" s="357"/>
      <c r="B106" s="318" t="s">
        <v>615</v>
      </c>
      <c r="C106" s="12"/>
      <c r="D106" s="12"/>
      <c r="E106" s="12"/>
      <c r="F106" s="12"/>
      <c r="G106" s="40"/>
      <c r="H106" s="12"/>
      <c r="I106" s="12"/>
      <c r="J106" s="12"/>
      <c r="K106" s="12"/>
      <c r="L106" s="40"/>
      <c r="M106" s="12"/>
      <c r="N106" s="12"/>
      <c r="O106" s="12"/>
      <c r="P106" s="12"/>
      <c r="Q106" s="40"/>
      <c r="R106" s="12"/>
      <c r="S106" s="12"/>
      <c r="T106" s="12"/>
      <c r="U106" s="12"/>
      <c r="V106" s="40"/>
      <c r="W106" s="12"/>
      <c r="X106" s="12"/>
      <c r="Y106" s="12"/>
      <c r="Z106" s="153"/>
      <c r="AA106" s="144">
        <f>'DRE ANTIGA PARCERIA CAIXA'!AA258</f>
        <v>8225.4181599999974</v>
      </c>
      <c r="AB106" s="153">
        <f>'DRE ANTIGA PARCERIA CAIXA'!AB258</f>
        <v>2217.1098599999996</v>
      </c>
      <c r="AC106" s="153">
        <f>'DRE ANTIGA PARCERIA CAIXA'!AC258</f>
        <v>3215.4295500000017</v>
      </c>
      <c r="AD106" s="153">
        <f>'DRE ANTIGA PARCERIA CAIXA'!AD258</f>
        <v>4325.1579099999981</v>
      </c>
      <c r="AE106" s="153">
        <f>'DRE ANTIGA PARCERIA CAIXA'!AE258</f>
        <v>4738.7991700000002</v>
      </c>
      <c r="AF106" s="144">
        <f>'DRE ANTIGA PARCERIA CAIXA'!AF258</f>
        <v>14496.49649</v>
      </c>
      <c r="AG106" s="153">
        <f>'DRE ANTIGA PARCERIA CAIXA'!AG258</f>
        <v>5714</v>
      </c>
      <c r="AH106" s="153">
        <f>'DRE ANTIGA PARCERIA CAIXA'!AH258</f>
        <v>8272</v>
      </c>
      <c r="AI106" s="153">
        <f>'DRE ANTIGA PARCERIA CAIXA'!AI258</f>
        <v>12291</v>
      </c>
      <c r="AJ106" s="153">
        <f>'DRE ANTIGA PARCERIA CAIXA'!AJ258</f>
        <v>2349</v>
      </c>
      <c r="AK106" s="144">
        <f>'DRE ANTIGA PARCERIA CAIXA'!AK258</f>
        <v>28626</v>
      </c>
      <c r="AL106" s="153">
        <f>'DRE ANTIGA PARCERIA CAIXA'!AL258</f>
        <v>5595</v>
      </c>
      <c r="AM106" s="153">
        <f>'DRE ANTIGA PARCERIA CAIXA'!AM258</f>
        <v>5807</v>
      </c>
      <c r="AN106" s="153">
        <f>'DRE ANTIGA PARCERIA CAIXA'!AN258</f>
        <v>5880</v>
      </c>
      <c r="AO106" s="153">
        <f>'DRE ANTIGA PARCERIA CAIXA'!AO258</f>
        <v>6006</v>
      </c>
      <c r="AP106" s="144">
        <f>'DRE ANTIGA PARCERIA CAIXA'!AP258</f>
        <v>23288</v>
      </c>
      <c r="AQ106" s="153">
        <f>'DRE ANTIGA PARCERIA CAIXA'!AQ258</f>
        <v>6064</v>
      </c>
      <c r="AR106" s="153">
        <f>'DRE ANTIGA PARCERIA CAIXA'!AR258</f>
        <v>6793</v>
      </c>
      <c r="AS106" s="153">
        <f>'DRE ANTIGA PARCERIA CAIXA'!AS258</f>
        <v>7749</v>
      </c>
      <c r="AT106" s="153">
        <f>'DRE ANTIGA PARCERIA CAIXA'!AT258</f>
        <v>8925</v>
      </c>
      <c r="AU106" s="144">
        <f>'DRE ANTIGA PARCERIA CAIXA'!AU258</f>
        <v>29531</v>
      </c>
      <c r="AV106" s="153">
        <f>'DRE ANTIGA PARCERIA CAIXA'!AV258</f>
        <v>7431</v>
      </c>
      <c r="AW106" s="121">
        <f>'DRE ANTIGA PARCERIA CAIXA'!AW258</f>
        <v>5656</v>
      </c>
      <c r="AX106" s="121">
        <f>'DRE ANTIGA PARCERIA CAIXA'!AX258</f>
        <v>7863</v>
      </c>
      <c r="AY106" s="121">
        <f>'DRE ANTIGA PARCERIA CAIXA'!AY258</f>
        <v>7946</v>
      </c>
      <c r="AZ106" s="144">
        <f>'DRE ANTIGA PARCERIA CAIXA'!AZ258</f>
        <v>28896</v>
      </c>
      <c r="BA106" s="121">
        <f>'DRE ANTIGA PARCERIA CAIXA'!BA258</f>
        <v>10489</v>
      </c>
    </row>
    <row r="107" spans="1:53">
      <c r="A107" s="357"/>
      <c r="B107" s="318" t="s">
        <v>616</v>
      </c>
      <c r="C107" s="12"/>
      <c r="D107" s="12"/>
      <c r="E107" s="12"/>
      <c r="F107" s="12"/>
      <c r="G107" s="40"/>
      <c r="H107" s="12"/>
      <c r="I107" s="12"/>
      <c r="J107" s="12"/>
      <c r="K107" s="12"/>
      <c r="L107" s="40"/>
      <c r="M107" s="12"/>
      <c r="N107" s="12"/>
      <c r="O107" s="12"/>
      <c r="P107" s="12"/>
      <c r="Q107" s="40"/>
      <c r="R107" s="12"/>
      <c r="S107" s="12"/>
      <c r="T107" s="12"/>
      <c r="U107" s="12"/>
      <c r="V107" s="40"/>
      <c r="W107" s="12"/>
      <c r="X107" s="12"/>
      <c r="Y107" s="12"/>
      <c r="Z107" s="153"/>
      <c r="AA107" s="144">
        <v>0</v>
      </c>
      <c r="AB107" s="121">
        <v>0</v>
      </c>
      <c r="AC107" s="121">
        <v>0</v>
      </c>
      <c r="AD107" s="121">
        <v>0</v>
      </c>
      <c r="AE107" s="121">
        <v>0</v>
      </c>
      <c r="AF107" s="144">
        <v>0</v>
      </c>
      <c r="AG107" s="121">
        <v>0</v>
      </c>
      <c r="AH107" s="121">
        <v>0</v>
      </c>
      <c r="AI107" s="121">
        <v>0</v>
      </c>
      <c r="AJ107" s="121">
        <v>0</v>
      </c>
      <c r="AK107" s="144">
        <v>0</v>
      </c>
      <c r="AL107" s="153">
        <v>0</v>
      </c>
      <c r="AM107" s="153">
        <v>0</v>
      </c>
      <c r="AN107" s="153">
        <v>0</v>
      </c>
      <c r="AO107" s="153">
        <v>0</v>
      </c>
      <c r="AP107" s="144">
        <v>0</v>
      </c>
      <c r="AQ107" s="153">
        <v>0</v>
      </c>
      <c r="AR107" s="153">
        <v>0</v>
      </c>
      <c r="AS107" s="153">
        <v>0</v>
      </c>
      <c r="AT107" s="153">
        <v>0</v>
      </c>
      <c r="AU107" s="144">
        <v>0</v>
      </c>
      <c r="AV107" s="153">
        <v>0</v>
      </c>
      <c r="AW107" s="121">
        <v>0</v>
      </c>
      <c r="AX107" s="121">
        <v>0</v>
      </c>
      <c r="AY107" s="121">
        <v>0</v>
      </c>
      <c r="AZ107" s="144">
        <v>0</v>
      </c>
      <c r="BA107" s="121">
        <v>0</v>
      </c>
    </row>
    <row r="108" spans="1:53" s="2" customFormat="1">
      <c r="A108" s="363"/>
      <c r="B108" s="21" t="s">
        <v>617</v>
      </c>
      <c r="C108" s="218"/>
      <c r="D108" s="218"/>
      <c r="E108" s="218"/>
      <c r="F108" s="218"/>
      <c r="G108" s="364"/>
      <c r="H108" s="218"/>
      <c r="I108" s="218"/>
      <c r="J108" s="218"/>
      <c r="K108" s="218"/>
      <c r="L108" s="364"/>
      <c r="M108" s="218"/>
      <c r="N108" s="218"/>
      <c r="O108" s="218"/>
      <c r="P108" s="218"/>
      <c r="Q108" s="364"/>
      <c r="R108" s="218"/>
      <c r="S108" s="218"/>
      <c r="T108" s="218"/>
      <c r="U108" s="218"/>
      <c r="V108" s="364"/>
      <c r="W108" s="218"/>
      <c r="X108" s="218"/>
      <c r="Y108" s="218"/>
      <c r="Z108" s="365"/>
      <c r="AA108" s="366">
        <f t="shared" ref="AA108:AM108" si="72">AA109+AA110</f>
        <v>127727.29665</v>
      </c>
      <c r="AB108" s="365">
        <f t="shared" si="72"/>
        <v>37067</v>
      </c>
      <c r="AC108" s="365">
        <f t="shared" si="72"/>
        <v>29943</v>
      </c>
      <c r="AD108" s="365">
        <f t="shared" si="72"/>
        <v>16003.36170999999</v>
      </c>
      <c r="AE108" s="365">
        <f t="shared" si="72"/>
        <v>46719</v>
      </c>
      <c r="AF108" s="366">
        <f t="shared" si="72"/>
        <v>129732.36171</v>
      </c>
      <c r="AG108" s="365">
        <f t="shared" si="72"/>
        <v>41944</v>
      </c>
      <c r="AH108" s="365">
        <f t="shared" si="72"/>
        <v>44922</v>
      </c>
      <c r="AI108" s="365">
        <f t="shared" si="72"/>
        <v>70362</v>
      </c>
      <c r="AJ108" s="365">
        <f t="shared" si="72"/>
        <v>108537</v>
      </c>
      <c r="AK108" s="366">
        <f t="shared" si="72"/>
        <v>265765</v>
      </c>
      <c r="AL108" s="365">
        <f t="shared" si="72"/>
        <v>100158</v>
      </c>
      <c r="AM108" s="365">
        <f t="shared" si="72"/>
        <v>93669</v>
      </c>
      <c r="AN108" s="365">
        <f t="shared" ref="AN108:AO108" si="73">AN109+AN110</f>
        <v>102972</v>
      </c>
      <c r="AO108" s="365">
        <f t="shared" si="73"/>
        <v>109582.26</v>
      </c>
      <c r="AP108" s="366">
        <f>AP109+AP110</f>
        <v>406381.26</v>
      </c>
      <c r="AQ108" s="365">
        <f t="shared" ref="AQ108:AT108" si="74">AQ109+AQ110</f>
        <v>129429.02499999999</v>
      </c>
      <c r="AR108" s="365">
        <f t="shared" si="74"/>
        <v>111767.24100000001</v>
      </c>
      <c r="AS108" s="365">
        <f t="shared" si="74"/>
        <v>133589.867</v>
      </c>
      <c r="AT108" s="365">
        <f t="shared" si="74"/>
        <v>125138.68100000001</v>
      </c>
      <c r="AU108" s="366">
        <f>AU109+AU110</f>
        <v>499924.81400000001</v>
      </c>
      <c r="AV108" s="365">
        <f t="shared" ref="AV108" si="75">AV109+AV110</f>
        <v>130627.492</v>
      </c>
      <c r="AW108" s="367">
        <f>AW109+AW110</f>
        <v>127415.17200000001</v>
      </c>
      <c r="AX108" s="367">
        <f>AX109+AX110</f>
        <v>151440.21100000001</v>
      </c>
      <c r="AY108" s="367">
        <f>AY109+AY110</f>
        <v>115615.804</v>
      </c>
      <c r="AZ108" s="366">
        <f>AZ109+AZ110</f>
        <v>525098.679</v>
      </c>
      <c r="BA108" s="367">
        <f>BA109+BA110</f>
        <v>176871.95799999998</v>
      </c>
    </row>
    <row r="109" spans="1:53">
      <c r="A109" s="357"/>
      <c r="B109" s="11" t="s">
        <v>269</v>
      </c>
      <c r="C109" s="12"/>
      <c r="D109" s="12"/>
      <c r="E109" s="12"/>
      <c r="F109" s="12"/>
      <c r="G109" s="40"/>
      <c r="H109" s="12"/>
      <c r="I109" s="12"/>
      <c r="J109" s="12"/>
      <c r="K109" s="12"/>
      <c r="L109" s="40"/>
      <c r="M109" s="12"/>
      <c r="N109" s="12"/>
      <c r="O109" s="12"/>
      <c r="P109" s="12"/>
      <c r="Q109" s="40"/>
      <c r="R109" s="12"/>
      <c r="S109" s="12"/>
      <c r="T109" s="12"/>
      <c r="U109" s="12"/>
      <c r="V109" s="40"/>
      <c r="W109" s="12"/>
      <c r="X109" s="12"/>
      <c r="Y109" s="12"/>
      <c r="Z109" s="153"/>
      <c r="AA109" s="144">
        <f>'DRE PARCERIAS BANCO PAN'!AA29</f>
        <v>86697</v>
      </c>
      <c r="AB109" s="153">
        <f>'DRE PARCERIAS BANCO PAN'!AB29</f>
        <v>22710</v>
      </c>
      <c r="AC109" s="153">
        <f>'DRE PARCERIAS BANCO PAN'!AC29</f>
        <v>16683</v>
      </c>
      <c r="AD109" s="153">
        <f>'DRE PARCERIAS BANCO PAN'!AD29</f>
        <v>6666.6899999999878</v>
      </c>
      <c r="AE109" s="153">
        <f>'DRE PARCERIAS BANCO PAN'!AE29</f>
        <v>35784</v>
      </c>
      <c r="AF109" s="144">
        <f>'DRE PARCERIAS BANCO PAN'!AF29</f>
        <v>81843.689999999988</v>
      </c>
      <c r="AG109" s="153">
        <f>'DRE PARCERIAS BANCO PAN'!AG29</f>
        <v>31937</v>
      </c>
      <c r="AH109" s="153">
        <f>'DRE PARCERIAS BANCO PAN'!AH29</f>
        <v>33623</v>
      </c>
      <c r="AI109" s="153">
        <f>'DRE PARCERIAS BANCO PAN'!AI29</f>
        <v>57819</v>
      </c>
      <c r="AJ109" s="153">
        <f>'DRE PARCERIAS BANCO PAN'!AJ29</f>
        <v>94620</v>
      </c>
      <c r="AK109" s="144">
        <f>'DRE PARCERIAS BANCO PAN'!AK29</f>
        <v>217999</v>
      </c>
      <c r="AL109" s="153">
        <f>'DRE PARCERIAS BANCO PAN'!AL29</f>
        <v>85561</v>
      </c>
      <c r="AM109" s="153">
        <f>'DRE PARCERIAS BANCO PAN'!AM29</f>
        <v>80218</v>
      </c>
      <c r="AN109" s="153">
        <f>'DRE PARCERIAS BANCO PAN'!AN29</f>
        <v>89128</v>
      </c>
      <c r="AO109" s="153">
        <f>'DRE PARCERIAS BANCO PAN'!AO29</f>
        <v>90853</v>
      </c>
      <c r="AP109" s="144">
        <f>'DRE PARCERIAS BANCO PAN'!AP29</f>
        <v>345760</v>
      </c>
      <c r="AQ109" s="153">
        <f>'DRE PARCERIAS BANCO PAN'!AQ29</f>
        <v>111430</v>
      </c>
      <c r="AR109" s="153">
        <f>'DRE PARCERIAS BANCO PAN'!AR29</f>
        <v>102763</v>
      </c>
      <c r="AS109" s="153">
        <f>'DRE PARCERIAS BANCO PAN'!AS29</f>
        <v>124694</v>
      </c>
      <c r="AT109" s="153">
        <f>'DRE PARCERIAS BANCO PAN'!AT29</f>
        <v>115885</v>
      </c>
      <c r="AU109" s="144">
        <f>'DRE PARCERIAS BANCO PAN'!AU29</f>
        <v>454772</v>
      </c>
      <c r="AV109" s="153">
        <f>'DRE PARCERIAS BANCO PAN'!AV29</f>
        <v>119212</v>
      </c>
      <c r="AW109" s="121">
        <f>'DRE PARCERIAS BANCO PAN'!AW29</f>
        <v>114765</v>
      </c>
      <c r="AX109" s="121">
        <f>'DRE PARCERIAS BANCO PAN'!AX29</f>
        <v>138243</v>
      </c>
      <c r="AY109" s="121">
        <f>'DRE PARCERIAS BANCO PAN'!AY29</f>
        <v>98628</v>
      </c>
      <c r="AZ109" s="144">
        <f>'DRE PARCERIAS BANCO PAN'!AZ29</f>
        <v>470848</v>
      </c>
      <c r="BA109" s="121">
        <f>'DRE PARCERIAS BANCO PAN'!BA29</f>
        <v>162462</v>
      </c>
    </row>
    <row r="110" spans="1:53">
      <c r="A110" s="357"/>
      <c r="B110" s="11" t="s">
        <v>618</v>
      </c>
      <c r="C110" s="12"/>
      <c r="D110" s="12"/>
      <c r="E110" s="12"/>
      <c r="F110" s="12"/>
      <c r="G110" s="40"/>
      <c r="H110" s="12"/>
      <c r="I110" s="12"/>
      <c r="J110" s="12"/>
      <c r="K110" s="12"/>
      <c r="L110" s="40"/>
      <c r="M110" s="12"/>
      <c r="N110" s="12"/>
      <c r="O110" s="12"/>
      <c r="P110" s="12"/>
      <c r="Q110" s="40"/>
      <c r="R110" s="12"/>
      <c r="S110" s="12"/>
      <c r="T110" s="12"/>
      <c r="U110" s="12"/>
      <c r="V110" s="40"/>
      <c r="W110" s="12"/>
      <c r="X110" s="12"/>
      <c r="Y110" s="12"/>
      <c r="Z110" s="153"/>
      <c r="AA110" s="144">
        <f>'DRE PARCERIAS BANCO PAN'!AA46</f>
        <v>41030.296650000004</v>
      </c>
      <c r="AB110" s="153">
        <f>'DRE PARCERIAS BANCO PAN'!AB46</f>
        <v>14357</v>
      </c>
      <c r="AC110" s="153">
        <f>'DRE PARCERIAS BANCO PAN'!AC46</f>
        <v>13260</v>
      </c>
      <c r="AD110" s="153">
        <f>'DRE PARCERIAS BANCO PAN'!AD46</f>
        <v>9336.6717100000023</v>
      </c>
      <c r="AE110" s="153">
        <f>'DRE PARCERIAS BANCO PAN'!AE46</f>
        <v>10935</v>
      </c>
      <c r="AF110" s="144">
        <f>'DRE PARCERIAS BANCO PAN'!AF46</f>
        <v>47888.671710000002</v>
      </c>
      <c r="AG110" s="153">
        <f>'DRE PARCERIAS BANCO PAN'!AG46</f>
        <v>10007</v>
      </c>
      <c r="AH110" s="153">
        <f>'DRE PARCERIAS BANCO PAN'!AH46</f>
        <v>11299</v>
      </c>
      <c r="AI110" s="153">
        <f>'DRE PARCERIAS BANCO PAN'!AI46</f>
        <v>12543</v>
      </c>
      <c r="AJ110" s="153">
        <f>'DRE PARCERIAS BANCO PAN'!AJ46</f>
        <v>13917</v>
      </c>
      <c r="AK110" s="144">
        <f>'DRE PARCERIAS BANCO PAN'!AK46</f>
        <v>47766</v>
      </c>
      <c r="AL110" s="153">
        <f>'DRE PARCERIAS BANCO PAN'!AL46</f>
        <v>14597</v>
      </c>
      <c r="AM110" s="153">
        <f>'DRE PARCERIAS BANCO PAN'!AM46</f>
        <v>13451</v>
      </c>
      <c r="AN110" s="153">
        <f>'DRE PARCERIAS BANCO PAN'!AN46</f>
        <v>13844</v>
      </c>
      <c r="AO110" s="153">
        <f>'DRE PARCERIAS BANCO PAN'!AO46</f>
        <v>18729.259999999991</v>
      </c>
      <c r="AP110" s="144">
        <f>'DRE PARCERIAS BANCO PAN'!AP46</f>
        <v>60621.259999999995</v>
      </c>
      <c r="AQ110" s="153">
        <f>'DRE PARCERIAS BANCO PAN'!AQ46</f>
        <v>17999.025000000001</v>
      </c>
      <c r="AR110" s="153">
        <f>'DRE PARCERIAS BANCO PAN'!AR46</f>
        <v>9004.2410000000018</v>
      </c>
      <c r="AS110" s="153">
        <f>'DRE PARCERIAS BANCO PAN'!AS46</f>
        <v>8895.8669999999966</v>
      </c>
      <c r="AT110" s="153">
        <f>'DRE PARCERIAS BANCO PAN'!AT46</f>
        <v>9253.681000000006</v>
      </c>
      <c r="AU110" s="144">
        <f>'DRE PARCERIAS BANCO PAN'!AU46</f>
        <v>45152.814000000006</v>
      </c>
      <c r="AV110" s="153">
        <f>'DRE PARCERIAS BANCO PAN'!AV46</f>
        <v>11415.492</v>
      </c>
      <c r="AW110" s="121">
        <f>'DRE PARCERIAS BANCO PAN'!AW46</f>
        <v>12650.172</v>
      </c>
      <c r="AX110" s="121">
        <f>'DRE PARCERIAS BANCO PAN'!AX46</f>
        <v>13197.211000000001</v>
      </c>
      <c r="AY110" s="121">
        <f>'DRE PARCERIAS BANCO PAN'!AY46</f>
        <v>16987.804</v>
      </c>
      <c r="AZ110" s="144">
        <f>'DRE PARCERIAS BANCO PAN'!AZ46</f>
        <v>54250.679000000004</v>
      </c>
      <c r="BA110" s="121">
        <f>'DRE PARCERIAS BANCO PAN'!BA46</f>
        <v>14409.957999999999</v>
      </c>
    </row>
    <row r="111" spans="1:53" s="2" customFormat="1">
      <c r="A111" s="363"/>
      <c r="B111" s="21" t="s">
        <v>441</v>
      </c>
      <c r="C111" s="218"/>
      <c r="D111" s="218"/>
      <c r="E111" s="218"/>
      <c r="F111" s="218"/>
      <c r="G111" s="364"/>
      <c r="H111" s="218"/>
      <c r="I111" s="218"/>
      <c r="J111" s="218"/>
      <c r="K111" s="218"/>
      <c r="L111" s="364"/>
      <c r="M111" s="218"/>
      <c r="N111" s="218"/>
      <c r="O111" s="218"/>
      <c r="P111" s="218"/>
      <c r="Q111" s="364"/>
      <c r="R111" s="218"/>
      <c r="S111" s="218"/>
      <c r="T111" s="218"/>
      <c r="U111" s="218"/>
      <c r="V111" s="364"/>
      <c r="W111" s="218"/>
      <c r="X111" s="218"/>
      <c r="Y111" s="218"/>
      <c r="Z111" s="365"/>
      <c r="AA111" s="366">
        <f>'DRE CAIXA SEGURIDADE'!AA61</f>
        <v>1769413.4447999997</v>
      </c>
      <c r="AB111" s="365">
        <f>'DRE CAIXA SEGURIDADE'!AB61</f>
        <v>431657.39855999994</v>
      </c>
      <c r="AC111" s="365">
        <f>'DRE CAIXA SEGURIDADE'!AC61</f>
        <v>426633.57659537008</v>
      </c>
      <c r="AD111" s="365">
        <f>'DRE CAIXA SEGURIDADE'!AD61</f>
        <v>492137.72590375005</v>
      </c>
      <c r="AE111" s="365">
        <f>'DRE CAIXA SEGURIDADE'!AE61</f>
        <v>545723.68536468991</v>
      </c>
      <c r="AF111" s="366">
        <f>'DRE CAIXA SEGURIDADE'!AF61</f>
        <v>1896152.3864238102</v>
      </c>
      <c r="AG111" s="365">
        <f>'DRE CAIXA SEGURIDADE'!AG61</f>
        <v>557037.51249999995</v>
      </c>
      <c r="AH111" s="365">
        <f>'DRE CAIXA SEGURIDADE'!AH61</f>
        <v>680787.57</v>
      </c>
      <c r="AI111" s="365">
        <f>'DRE CAIXA SEGURIDADE'!AI61</f>
        <v>766249.68500000006</v>
      </c>
      <c r="AJ111" s="365">
        <f>'DRE CAIXA SEGURIDADE'!AJ61</f>
        <v>752929.37250000006</v>
      </c>
      <c r="AK111" s="366">
        <f>'DRE CAIXA SEGURIDADE'!AK61</f>
        <v>2757004.14</v>
      </c>
      <c r="AL111" s="365">
        <f>'DRE CAIXA SEGURIDADE'!AL61</f>
        <v>820120</v>
      </c>
      <c r="AM111" s="365">
        <f>'DRE CAIXA SEGURIDADE'!AM61</f>
        <v>822578</v>
      </c>
      <c r="AN111" s="365">
        <f>'DRE CAIXA SEGURIDADE'!AN61</f>
        <v>916574</v>
      </c>
      <c r="AO111" s="365">
        <f>'DRE CAIXA SEGURIDADE'!AO61</f>
        <v>922413</v>
      </c>
      <c r="AP111" s="366">
        <f>'DRE CAIXA SEGURIDADE'!AP61</f>
        <v>3481685</v>
      </c>
      <c r="AQ111" s="365">
        <f>'DRE CAIXA SEGURIDADE'!AQ61</f>
        <v>924342</v>
      </c>
      <c r="AR111" s="365">
        <f>'DRE CAIXA SEGURIDADE'!AR61</f>
        <v>770300.15207999991</v>
      </c>
      <c r="AS111" s="365">
        <f>'DRE CAIXA SEGURIDADE'!AS61</f>
        <v>1005316.5607540002</v>
      </c>
      <c r="AT111" s="365">
        <f>'DRE CAIXA SEGURIDADE'!AT61</f>
        <v>1056825.2982399999</v>
      </c>
      <c r="AU111" s="366">
        <f>'DRE CAIXA SEGURIDADE'!AU61</f>
        <v>3756784.011074</v>
      </c>
      <c r="AV111" s="365">
        <f>'DRE CAIXA SEGURIDADE'!AV61</f>
        <v>1009321.6498200004</v>
      </c>
      <c r="AW111" s="367">
        <f>'DRE CAIXA SEGURIDADE'!AW61</f>
        <v>1041585.3664899978</v>
      </c>
      <c r="AX111" s="367">
        <f>'DRE CAIXA SEGURIDADE'!AX61</f>
        <v>1140160.2362999981</v>
      </c>
      <c r="AY111" s="367">
        <f>'DRE CAIXA SEGURIDADE'!AY61</f>
        <v>1124824.9344299997</v>
      </c>
      <c r="AZ111" s="366">
        <f>'DRE CAIXA SEGURIDADE'!AZ61</f>
        <v>4315892.1870399956</v>
      </c>
      <c r="BA111" s="367">
        <f>'DRE CAIXA SEGURIDADE'!BA61</f>
        <v>1142974.6174999999</v>
      </c>
    </row>
    <row r="113" spans="1:53">
      <c r="A113" s="235"/>
      <c r="B113" s="235" t="s">
        <v>621</v>
      </c>
      <c r="AA113" s="383">
        <f>'DRE AGRUPADA'!AA24</f>
        <v>1769413.0151637371</v>
      </c>
      <c r="AB113" s="235">
        <f>'DRE AGRUPADA'!AB24</f>
        <v>431657.99547693547</v>
      </c>
      <c r="AC113" s="235">
        <f>'DRE AGRUPADA'!AC24</f>
        <v>426631.15742208826</v>
      </c>
      <c r="AD113" s="235">
        <f>'DRE AGRUPADA'!AD24</f>
        <v>492275.00832635164</v>
      </c>
      <c r="AE113" s="235">
        <f>'DRE AGRUPADA'!AE24</f>
        <v>545587.56006922387</v>
      </c>
      <c r="AF113" s="383">
        <f>'DRE AGRUPADA'!AF24</f>
        <v>1896151.7212945991</v>
      </c>
      <c r="AG113" s="235">
        <f>'DRE AGRUPADA'!AG24</f>
        <v>557036.11247225106</v>
      </c>
      <c r="AH113" s="235">
        <f>'DRE AGRUPADA'!AH24</f>
        <v>680788.23538707627</v>
      </c>
      <c r="AI113" s="235">
        <f>'DRE AGRUPADA'!AI24</f>
        <v>766249.11546986224</v>
      </c>
      <c r="AJ113" s="235">
        <f>'DRE AGRUPADA'!AJ24</f>
        <v>948767.18129014969</v>
      </c>
      <c r="AK113" s="383">
        <f>'DRE AGRUPADA'!AK24</f>
        <v>2952840.6446193391</v>
      </c>
      <c r="AL113" s="235">
        <f>'DRE AGRUPADA'!AL24</f>
        <v>840370.22852796398</v>
      </c>
      <c r="AM113" s="235">
        <f>'DRE AGRUPADA'!AM24</f>
        <v>822578.47644662077</v>
      </c>
      <c r="AN113" s="235">
        <f>'DRE AGRUPADA'!AN24</f>
        <v>916574.44648619241</v>
      </c>
      <c r="AO113" s="235">
        <f>'DRE AGRUPADA'!AO24</f>
        <v>922413.04908559495</v>
      </c>
      <c r="AP113" s="383">
        <f>'DRE AGRUPADA'!AP24</f>
        <v>3501936.2005463718</v>
      </c>
      <c r="AQ113" s="235">
        <f>'DRE AGRUPADA'!AQ24</f>
        <v>924342.3004885714</v>
      </c>
      <c r="AR113" s="235">
        <f>'DRE AGRUPADA'!AR24+34.7+123.2</f>
        <v>770457.72476939799</v>
      </c>
      <c r="AS113" s="235">
        <f>'DRE AGRUPADA'!AS24</f>
        <v>1005316.6046427891</v>
      </c>
      <c r="AT113" s="235">
        <f>'DRE AGRUPADA'!AT24</f>
        <v>1056825.31469441</v>
      </c>
      <c r="AU113" s="383">
        <f>'DRE AGRUPADA'!AU24</f>
        <v>3756784.0445951689</v>
      </c>
      <c r="AV113" s="235">
        <f>'DRE AGRUPADA'!AV24</f>
        <v>1009385.3453980491</v>
      </c>
      <c r="AW113" s="235">
        <f>'DRE AGRUPADA'!AW24</f>
        <v>1041584.9821403809</v>
      </c>
      <c r="AX113" s="235">
        <f>'DRE AGRUPADA'!AX24</f>
        <v>1140159.9227124837</v>
      </c>
      <c r="AY113" s="235">
        <f>'DRE AGRUPADA'!AY24</f>
        <v>1124825.2162471628</v>
      </c>
      <c r="AZ113" s="383">
        <f>'DRE AGRUPADA'!AZ24</f>
        <v>4315955.4664980769</v>
      </c>
      <c r="BA113" s="235">
        <f>'DRE AGRUPADA'!BA24</f>
        <v>1142974.8998942189</v>
      </c>
    </row>
    <row r="114" spans="1:53">
      <c r="B114" t="s">
        <v>622</v>
      </c>
      <c r="AA114" s="114">
        <f>'Operacional x Financeiro'!C9/AA113</f>
        <v>0.26497476928845898</v>
      </c>
      <c r="AB114" s="114">
        <f>'Operacional x Financeiro'!D9/AB113</f>
        <v>0.27443725677482361</v>
      </c>
      <c r="AC114" s="114">
        <f>'Operacional x Financeiro'!E9/AC113</f>
        <v>0.26975633906482305</v>
      </c>
      <c r="AD114" s="114">
        <f>'Operacional x Financeiro'!F9/AD113</f>
        <v>0.17642216649713419</v>
      </c>
      <c r="AE114" s="114">
        <f>'Operacional x Financeiro'!G9/AE113</f>
        <v>0.2401479272115124</v>
      </c>
      <c r="AF114" s="114">
        <f>'Operacional x Financeiro'!H9/AF113</f>
        <v>0.23855267057063656</v>
      </c>
      <c r="AG114" s="114">
        <f>'Operacional x Financeiro'!I9/AG113</f>
        <v>0.28646887926625075</v>
      </c>
      <c r="AH114" s="114">
        <f>'Operacional x Financeiro'!J9/AH113</f>
        <v>0.19158292521568709</v>
      </c>
      <c r="AI114" s="114">
        <f>'Operacional x Financeiro'!K9/AI113</f>
        <v>0.26183421678202368</v>
      </c>
      <c r="AJ114" s="114">
        <f>'Operacional x Financeiro'!L9/AJ113</f>
        <v>0.22163166095506098</v>
      </c>
      <c r="AK114" s="114">
        <f>'Operacional x Financeiro'!M9/AK113</f>
        <v>0.23763320969340251</v>
      </c>
      <c r="AL114" s="114">
        <f>'Operacional x Financeiro'!N9/AL113</f>
        <v>0.28574364460456414</v>
      </c>
      <c r="AM114" s="114">
        <f>'Operacional x Financeiro'!O9/AM113</f>
        <v>0.29024253323414845</v>
      </c>
      <c r="AN114" s="114">
        <f>'Operacional x Financeiro'!P9/AN113</f>
        <v>0.32539169974769011</v>
      </c>
      <c r="AO114" s="114">
        <f>'Operacional x Financeiro'!Q9/AO113</f>
        <v>0.31629324324827213</v>
      </c>
      <c r="AP114" s="114">
        <f>'Operacional x Financeiro'!R9/AP113</f>
        <v>0.30413502202714138</v>
      </c>
      <c r="AQ114" s="114">
        <f>'Operacional x Financeiro'!S9/AQ113</f>
        <v>0.24296614644422604</v>
      </c>
      <c r="AR114" s="114">
        <f>'Operacional x Financeiro'!T9/AR113</f>
        <v>0.33473541801680951</v>
      </c>
      <c r="AS114" s="114">
        <f>'Operacional x Financeiro'!U9/AS113</f>
        <v>0.281513571432017</v>
      </c>
      <c r="AT114" s="114">
        <f>'Operacional x Financeiro'!V9/AT113</f>
        <v>0.28421811090161064</v>
      </c>
      <c r="AU114" s="114">
        <f>'Operacional x Financeiro'!W9/AU113</f>
        <v>0.28284888575306039</v>
      </c>
      <c r="AV114" s="114">
        <f>'Operacional x Financeiro'!X9/AV113</f>
        <v>0.30499481889947988</v>
      </c>
      <c r="AW114" s="114">
        <f>'Operacional x Financeiro'!Y9/AW113</f>
        <v>0.32339375862778469</v>
      </c>
      <c r="AX114" s="114">
        <f>'Operacional x Financeiro'!Z9/AX113</f>
        <v>0.36258096617702384</v>
      </c>
      <c r="AY114" s="114">
        <f>'Operacional x Financeiro'!AA9/AY113</f>
        <v>0.3588429581451445</v>
      </c>
      <c r="AZ114" s="114">
        <f>'Operacional x Financeiro'!AB9/AZ113</f>
        <v>0.33776231930005751</v>
      </c>
      <c r="BA114" s="114">
        <f>'Operacional x Financeiro'!AC9/BA113</f>
        <v>0.318343677449278</v>
      </c>
    </row>
    <row r="116" spans="1:53">
      <c r="B116" t="s">
        <v>623</v>
      </c>
      <c r="AA116" s="1">
        <f>'DRE AGRUPADA'!AA11</f>
        <v>913570.46637328772</v>
      </c>
      <c r="AB116" s="1">
        <f>'DRE AGRUPADA'!AB11</f>
        <v>244076.99347052828</v>
      </c>
      <c r="AC116" s="1">
        <f>'DRE AGRUPADA'!AC11</f>
        <v>259184.91781562596</v>
      </c>
      <c r="AD116" s="1">
        <f>'DRE AGRUPADA'!AD11</f>
        <v>242069.40629075136</v>
      </c>
      <c r="AE116" s="1">
        <f>'DRE AGRUPADA'!AE11</f>
        <v>294459.35686592164</v>
      </c>
      <c r="AF116" s="1">
        <f>'DRE AGRUPADA'!AF11</f>
        <v>1039790.6744428272</v>
      </c>
      <c r="AG116" s="1">
        <f>'DRE AGRUPADA'!AG11</f>
        <v>148653.22890335164</v>
      </c>
      <c r="AH116" s="1">
        <f>'DRE AGRUPADA'!AH11</f>
        <v>116719.19088680801</v>
      </c>
      <c r="AI116" s="1">
        <f>'DRE AGRUPADA'!AI11</f>
        <v>194309.20633091731</v>
      </c>
      <c r="AJ116" s="1">
        <f>'DRE AGRUPADA'!AJ11</f>
        <v>231811.10515156706</v>
      </c>
      <c r="AK116" s="1">
        <f>'DRE AGRUPADA'!AK11</f>
        <v>691492.73127264401</v>
      </c>
      <c r="AL116" s="1">
        <f>'DRE AGRUPADA'!AL11</f>
        <v>265612.07387496455</v>
      </c>
      <c r="AM116" s="1">
        <f>'DRE AGRUPADA'!AM11</f>
        <v>270605.9955929608</v>
      </c>
      <c r="AN116" s="1">
        <f>'DRE AGRUPADA'!AN11</f>
        <v>337345.26923386619</v>
      </c>
      <c r="AO116" s="1">
        <f>'DRE AGRUPADA'!AO11</f>
        <v>322395.34925404517</v>
      </c>
      <c r="AP116" s="1">
        <f>'DRE AGRUPADA'!AP11</f>
        <v>1195958.6879558368</v>
      </c>
      <c r="AQ116" s="1">
        <f>'DRE AGRUPADA'!AQ11</f>
        <v>254207.51368407009</v>
      </c>
      <c r="AR116" s="1">
        <f>'DRE AGRUPADA'!AR11</f>
        <v>279000.55516065098</v>
      </c>
      <c r="AS116" s="1">
        <f>'DRE AGRUPADA'!AS11</f>
        <v>318926.52205068874</v>
      </c>
      <c r="AT116" s="1">
        <f>'DRE AGRUPADA'!AT11</f>
        <v>333199.10114193003</v>
      </c>
      <c r="AU116" s="1">
        <f>'DRE AGRUPADA'!AU11</f>
        <v>1185333.6920373398</v>
      </c>
      <c r="AV116" s="1">
        <f>'DRE AGRUPADA'!AV11</f>
        <v>348122.02770635922</v>
      </c>
      <c r="AW116" s="1">
        <f>'DRE AGRUPADA'!AW11</f>
        <v>386135.97790392063</v>
      </c>
      <c r="AX116" s="1">
        <f>'DRE AGRUPADA'!AX11</f>
        <v>471452.44933601568</v>
      </c>
      <c r="AY116" s="1">
        <f>'DRE AGRUPADA'!AY11</f>
        <v>457183.14560519246</v>
      </c>
      <c r="AZ116" s="1">
        <f>'DRE AGRUPADA'!AZ11</f>
        <v>1662893.6005514881</v>
      </c>
      <c r="BA116" s="1">
        <f>'DRE AGRUPADA'!BA11</f>
        <v>401410.86763938918</v>
      </c>
    </row>
    <row r="117" spans="1:53">
      <c r="A117" s="187">
        <v>0.6</v>
      </c>
      <c r="B117" t="s">
        <v>624</v>
      </c>
      <c r="AA117" s="1">
        <f>'DRE NOVAS PARCERIAS CAIXA'!AA102*$A117</f>
        <v>0.38042399999999926</v>
      </c>
      <c r="AB117" s="1">
        <f>'DRE NOVAS PARCERIAS CAIXA'!AB102*$A117</f>
        <v>154736.58979512961</v>
      </c>
      <c r="AC117" s="1">
        <f>'DRE NOVAS PARCERIAS CAIXA'!AC102*$A117</f>
        <v>167602.39313687026</v>
      </c>
      <c r="AD117" s="1">
        <f>'DRE NOVAS PARCERIAS CAIXA'!AD102*$A117</f>
        <v>179711.57065799987</v>
      </c>
      <c r="AE117" s="1">
        <f>'DRE NOVAS PARCERIAS CAIXA'!AE102*$A117</f>
        <v>180699.6</v>
      </c>
      <c r="AF117" s="1">
        <f>'DRE NOVAS PARCERIAS CAIXA'!AF102*$A117</f>
        <v>682750.15358999977</v>
      </c>
      <c r="AG117" s="1">
        <f>'DRE NOVAS PARCERIAS CAIXA'!AG102*$A117</f>
        <v>188911.8</v>
      </c>
      <c r="AH117" s="1">
        <f>'DRE NOVAS PARCERIAS CAIXA'!AH102*$A117</f>
        <v>198656.4</v>
      </c>
      <c r="AI117" s="1">
        <f>'DRE NOVAS PARCERIAS CAIXA'!AI102*$A117</f>
        <v>208187.4</v>
      </c>
      <c r="AJ117" s="1">
        <f>'DRE NOVAS PARCERIAS CAIXA'!AJ102*$A117</f>
        <v>212794.19999999998</v>
      </c>
      <c r="AK117" s="1">
        <f>'DRE NOVAS PARCERIAS CAIXA'!AK102*$A117</f>
        <v>808549.79999999993</v>
      </c>
      <c r="AL117" s="1">
        <f>'DRE NOVAS PARCERIAS CAIXA'!AL102*$A117</f>
        <v>224304</v>
      </c>
      <c r="AM117" s="1">
        <f>'DRE NOVAS PARCERIAS CAIXA'!AM102*$A117</f>
        <v>224399.4</v>
      </c>
      <c r="AN117" s="1">
        <f>'DRE NOVAS PARCERIAS CAIXA'!AN102*$A117</f>
        <v>235267.8</v>
      </c>
      <c r="AO117" s="1">
        <f>'DRE NOVAS PARCERIAS CAIXA'!AO102*$A117</f>
        <v>254316</v>
      </c>
      <c r="AP117" s="1">
        <f>'DRE NOVAS PARCERIAS CAIXA'!AP102*$A117</f>
        <v>938287.2</v>
      </c>
      <c r="AQ117" s="1">
        <f>'DRE NOVAS PARCERIAS CAIXA'!AQ102*$A117</f>
        <v>248277.59999999998</v>
      </c>
      <c r="AR117" s="1">
        <f>'DRE NOVAS PARCERIAS CAIXA'!AR102*$A117</f>
        <v>262941</v>
      </c>
      <c r="AS117" s="1">
        <f>'DRE NOVAS PARCERIAS CAIXA'!AS102*$A117</f>
        <v>279255</v>
      </c>
      <c r="AT117" s="1">
        <f>'DRE NOVAS PARCERIAS CAIXA'!AT102*$A117</f>
        <v>276899.39999999997</v>
      </c>
      <c r="AU117" s="1">
        <f>'DRE NOVAS PARCERIAS CAIXA'!AU102*$A117</f>
        <v>1067373</v>
      </c>
      <c r="AV117" s="1">
        <f>'DRE NOVAS PARCERIAS CAIXA'!AV102*$A117</f>
        <v>272229.59999999998</v>
      </c>
      <c r="AW117" s="1">
        <f>'DRE NOVAS PARCERIAS CAIXA'!AW102*$A117</f>
        <v>276213</v>
      </c>
      <c r="AX117" s="1">
        <f>'DRE NOVAS PARCERIAS CAIXA'!AX102*$A117</f>
        <v>307550.39999999997</v>
      </c>
      <c r="AY117" s="1">
        <f>'DRE NOVAS PARCERIAS CAIXA'!AY102*$A117</f>
        <v>300499.8</v>
      </c>
      <c r="AZ117" s="1">
        <f>'DRE NOVAS PARCERIAS CAIXA'!AZ102*$A117</f>
        <v>1156492.8</v>
      </c>
      <c r="BA117" s="1">
        <f>'DRE NOVAS PARCERIAS CAIXA'!BA102*$A117</f>
        <v>301014.59999999998</v>
      </c>
    </row>
    <row r="118" spans="1:53">
      <c r="A118" s="187">
        <v>0.48249999999999998</v>
      </c>
      <c r="B118" t="s">
        <v>625</v>
      </c>
      <c r="AA118" s="1">
        <f>'DRE ANTIGA PARCERIA CAIXA'!AA290*$A118</f>
        <v>443151.25267859973</v>
      </c>
      <c r="AB118" s="1">
        <f>'DRE ANTIGA PARCERIA CAIXA'!AB290*$A118</f>
        <v>-29471.530973825014</v>
      </c>
      <c r="AC118" s="1">
        <f>'DRE ANTIGA PARCERIA CAIXA'!AC290*$A118</f>
        <v>-24504.724117675003</v>
      </c>
      <c r="AD118" s="1">
        <f>'DRE ANTIGA PARCERIA CAIXA'!AD290*$A118</f>
        <v>-24262.483603074979</v>
      </c>
      <c r="AE118" s="1">
        <f>'DRE ANTIGA PARCERIA CAIXA'!AE290*$A118</f>
        <v>-17945.470961225001</v>
      </c>
      <c r="AF118" s="1">
        <f>'DRE ANTIGA PARCERIA CAIXA'!AF290*$A118</f>
        <v>-96184.209655800005</v>
      </c>
      <c r="AG118" s="1">
        <f>'DRE ANTIGA PARCERIA CAIXA'!AG290*$A118</f>
        <v>-17698.5825</v>
      </c>
      <c r="AH118" s="1">
        <f>'DRE ANTIGA PARCERIA CAIXA'!AH290*$A118</f>
        <v>-22168.021668699999</v>
      </c>
      <c r="AI118" s="1">
        <f>'DRE ANTIGA PARCERIA CAIXA'!AI290*$A118</f>
        <v>-25249.7075</v>
      </c>
      <c r="AJ118" s="1">
        <f>'DRE ANTIGA PARCERIA CAIXA'!AJ290*$A118</f>
        <v>-4468.4435009999997</v>
      </c>
      <c r="AK118" s="1">
        <f>'DRE ANTIGA PARCERIA CAIXA'!AK290*$A118</f>
        <v>-69584.755169700002</v>
      </c>
      <c r="AL118" s="1">
        <f>'DRE ANTIGA PARCERIA CAIXA'!AL290*$A118</f>
        <v>-5106.78</v>
      </c>
      <c r="AM118" s="1">
        <f>'DRE ANTIGA PARCERIA CAIXA'!AM290*$A118</f>
        <v>766.6925</v>
      </c>
      <c r="AN118" s="1">
        <f>'DRE ANTIGA PARCERIA CAIXA'!AN290*$A118</f>
        <v>-2047.73</v>
      </c>
      <c r="AO118" s="1">
        <f>'DRE ANTIGA PARCERIA CAIXA'!AO290*$A118</f>
        <v>-6624.7249999999995</v>
      </c>
      <c r="AP118" s="1">
        <f>'DRE ANTIGA PARCERIA CAIXA'!AP290*$A118</f>
        <v>-13012.5425</v>
      </c>
      <c r="AQ118" s="1">
        <f>'DRE ANTIGA PARCERIA CAIXA'!AQ290*$A118</f>
        <v>1732.175</v>
      </c>
      <c r="AR118" s="1">
        <f>'DRE ANTIGA PARCERIA CAIXA'!AR290*$A118</f>
        <v>-5507.7375000000002</v>
      </c>
      <c r="AS118" s="1">
        <f>'DRE ANTIGA PARCERIA CAIXA'!AS290*$A118</f>
        <v>-2136.9924999999998</v>
      </c>
      <c r="AT118" s="1">
        <f>'DRE ANTIGA PARCERIA CAIXA'!AT290*$A118</f>
        <v>-2100.3224999999998</v>
      </c>
      <c r="AU118" s="1">
        <f>'DRE ANTIGA PARCERIA CAIXA'!AU290*$A118</f>
        <v>-8012.8774999999996</v>
      </c>
      <c r="AV118" s="1">
        <f>'DRE ANTIGA PARCERIA CAIXA'!AV290*$A118</f>
        <v>-1787.1799999999998</v>
      </c>
      <c r="AW118" s="1">
        <f>'DRE ANTIGA PARCERIA CAIXA'!AW290*$A118</f>
        <v>-631.11</v>
      </c>
      <c r="AX118" s="1">
        <f>'DRE ANTIGA PARCERIA CAIXA'!AX290*$A118</f>
        <v>-934.60249999999996</v>
      </c>
      <c r="AY118" s="1">
        <f>'DRE ANTIGA PARCERIA CAIXA'!AY290*$A118</f>
        <v>-180.45499999999998</v>
      </c>
      <c r="AZ118" s="1">
        <f>'DRE ANTIGA PARCERIA CAIXA'!AZ290*$A118</f>
        <v>-3533.3474999999999</v>
      </c>
      <c r="BA118" s="1">
        <f>'DRE ANTIGA PARCERIA CAIXA'!BA290*$A118</f>
        <v>-15476.67</v>
      </c>
    </row>
    <row r="119" spans="1:53">
      <c r="B119" t="s">
        <v>626</v>
      </c>
      <c r="AA119" s="1">
        <f t="shared" ref="AA119:AP119" si="76">AA116-AA117-AA118</f>
        <v>470418.83327068802</v>
      </c>
      <c r="AB119" s="1">
        <f t="shared" si="76"/>
        <v>118811.93464922369</v>
      </c>
      <c r="AC119" s="1">
        <f t="shared" si="76"/>
        <v>116087.24879643071</v>
      </c>
      <c r="AD119" s="1">
        <f t="shared" si="76"/>
        <v>86620.319235826464</v>
      </c>
      <c r="AE119" s="1">
        <f t="shared" si="76"/>
        <v>131705.22782714665</v>
      </c>
      <c r="AF119" s="1">
        <f t="shared" si="76"/>
        <v>453224.73050862749</v>
      </c>
      <c r="AG119" s="1">
        <f t="shared" si="76"/>
        <v>-22559.988596648345</v>
      </c>
      <c r="AH119" s="1">
        <f t="shared" si="76"/>
        <v>-59769.187444491989</v>
      </c>
      <c r="AI119" s="1">
        <f t="shared" si="76"/>
        <v>11371.513830917316</v>
      </c>
      <c r="AJ119" s="1">
        <f t="shared" si="76"/>
        <v>23485.348652567074</v>
      </c>
      <c r="AK119" s="1">
        <f t="shared" si="76"/>
        <v>-47472.313557655914</v>
      </c>
      <c r="AL119" s="1">
        <f t="shared" si="76"/>
        <v>46414.853874964552</v>
      </c>
      <c r="AM119" s="1">
        <f t="shared" si="76"/>
        <v>45439.903092960805</v>
      </c>
      <c r="AN119" s="1">
        <f t="shared" si="76"/>
        <v>104125.19923386619</v>
      </c>
      <c r="AO119" s="1">
        <f t="shared" ref="AO119" si="77">AO116-AO117-AO118</f>
        <v>74704.074254045176</v>
      </c>
      <c r="AP119" s="1">
        <f t="shared" si="76"/>
        <v>270684.03045583679</v>
      </c>
      <c r="AQ119" s="1">
        <f t="shared" ref="AQ119" si="78">AQ116-AQ117-AQ118</f>
        <v>4197.7386840701101</v>
      </c>
      <c r="AR119" s="1">
        <f t="shared" ref="AR119:AZ119" si="79">AR116-AR117-AR118</f>
        <v>21567.292660650983</v>
      </c>
      <c r="AS119" s="1">
        <f t="shared" si="79"/>
        <v>41808.514550688742</v>
      </c>
      <c r="AT119" s="1">
        <f t="shared" si="79"/>
        <v>58400.023641930071</v>
      </c>
      <c r="AU119" s="1">
        <f t="shared" si="79"/>
        <v>125973.56953733979</v>
      </c>
      <c r="AV119" s="1">
        <f t="shared" si="79"/>
        <v>77679.607706359238</v>
      </c>
      <c r="AW119" s="1">
        <f t="shared" si="79"/>
        <v>110554.08790392063</v>
      </c>
      <c r="AX119" s="1">
        <f t="shared" si="79"/>
        <v>164836.65183601572</v>
      </c>
      <c r="AY119" s="1">
        <f t="shared" si="79"/>
        <v>156863.80060519246</v>
      </c>
      <c r="AZ119" s="1">
        <f t="shared" si="79"/>
        <v>509934.14805148804</v>
      </c>
      <c r="BA119" s="1">
        <f t="shared" ref="BA119" si="80">BA116-BA117-BA118</f>
        <v>115872.9376393892</v>
      </c>
    </row>
    <row r="120" spans="1:53">
      <c r="B120" t="s">
        <v>627</v>
      </c>
      <c r="AA120" s="1">
        <f>AA119*(1-'Operacional x Financeiro'!C21)</f>
        <v>437792.37266261777</v>
      </c>
      <c r="AB120" s="1">
        <f>AB119*(1-'Operacional x Financeiro'!D21)</f>
        <v>112777.05133546489</v>
      </c>
      <c r="AC120" s="1">
        <f>AC119*(1-'Operacional x Financeiro'!E21)</f>
        <v>110788.19595210212</v>
      </c>
      <c r="AD120" s="1">
        <f>AD119*(1-'Operacional x Financeiro'!F21)</f>
        <v>82337.254134223709</v>
      </c>
      <c r="AE120" s="1">
        <f>AE119*(1-'Operacional x Financeiro'!G21)</f>
        <v>126444.80433038178</v>
      </c>
      <c r="AF120" s="1">
        <f>AF119*(1-'Operacional x Financeiro'!H21)</f>
        <v>428099.45480497915</v>
      </c>
      <c r="AG120" s="1">
        <f>AG119*(1-'Operacional x Financeiro'!I21)</f>
        <v>-21184.387483176404</v>
      </c>
      <c r="AH120" s="1">
        <f>AH119*(1-'Operacional x Financeiro'!J21)</f>
        <v>-55955.325112026614</v>
      </c>
      <c r="AI120" s="1">
        <f>AI119*(1-'Operacional x Financeiro'!K21)</f>
        <v>10573.811088770683</v>
      </c>
      <c r="AJ120" s="1">
        <f>AJ119*(1-'Operacional x Financeiro'!L21)</f>
        <v>21155.950844038347</v>
      </c>
      <c r="AK120" s="1">
        <f>AK119*(1-'Operacional x Financeiro'!M21)</f>
        <v>-44050.335861256266</v>
      </c>
      <c r="AL120" s="1">
        <f>AL119*(1-'Operacional x Financeiro'!N21)</f>
        <v>42008.536795767213</v>
      </c>
      <c r="AM120" s="1">
        <f>AM119*(1-'Operacional x Financeiro'!O21)</f>
        <v>41117.668863912644</v>
      </c>
      <c r="AN120" s="1">
        <f>AN119*(1-'Operacional x Financeiro'!P21)</f>
        <v>93849.329686962723</v>
      </c>
      <c r="AO120" s="1">
        <f>AO119*(1-'Operacional x Financeiro'!Q21)</f>
        <v>67401.595311815123</v>
      </c>
      <c r="AP120" s="1">
        <f>AP119*(1-'Operacional x Financeiro'!R21)</f>
        <v>244527.08486066276</v>
      </c>
      <c r="AQ120" s="1">
        <f>AQ119*(1-'Operacional x Financeiro'!S21)</f>
        <v>3778.3349848246912</v>
      </c>
      <c r="AR120" s="1">
        <f>AR119*(1-'Operacional x Financeiro'!T21)</f>
        <v>19688.09064675718</v>
      </c>
      <c r="AS120" s="1">
        <f>AS119*(1-'Operacional x Financeiro'!U21)</f>
        <v>37583.896783354023</v>
      </c>
      <c r="AT120" s="1">
        <f>AT119*(1-'Operacional x Financeiro'!V21)</f>
        <v>52857.083870873263</v>
      </c>
      <c r="AU120" s="1">
        <f>AU119*(1-'Operacional x Financeiro'!W21)</f>
        <v>113903.02744142922</v>
      </c>
      <c r="AV120" s="1">
        <f>AV119*(1-'Operacional x Financeiro'!X21)</f>
        <v>69471.598888127715</v>
      </c>
      <c r="AW120" s="1">
        <f>AW119*(1-'Operacional x Financeiro'!Y21)</f>
        <v>97466.979090567998</v>
      </c>
      <c r="AX120" s="1">
        <f>AX119*(1-'Operacional x Financeiro'!Z21)</f>
        <v>146753.62467888265</v>
      </c>
      <c r="AY120" s="1">
        <f>AY119*(1-'Operacional x Financeiro'!AA21)</f>
        <v>140246.23251589207</v>
      </c>
      <c r="AZ120" s="1">
        <f>AZ119*(1-'Operacional x Financeiro'!AB21)</f>
        <v>453999.3007777796</v>
      </c>
      <c r="BA120" s="1">
        <f>BA119*(1-'Operacional x Financeiro'!AC21)</f>
        <v>102659.74262838651</v>
      </c>
    </row>
    <row r="121" spans="1:53">
      <c r="AA121" s="114">
        <f t="shared" ref="AA121:AP121" si="81">AA120/AA113</f>
        <v>0.24742237618394908</v>
      </c>
      <c r="AB121" s="114">
        <f t="shared" si="81"/>
        <v>0.26126482659230815</v>
      </c>
      <c r="AC121" s="114">
        <f t="shared" si="81"/>
        <v>0.25968144619708033</v>
      </c>
      <c r="AD121" s="114">
        <f t="shared" si="81"/>
        <v>0.16725865165114898</v>
      </c>
      <c r="AE121" s="114">
        <f t="shared" si="81"/>
        <v>0.23175895783682923</v>
      </c>
      <c r="AF121" s="114">
        <f t="shared" si="81"/>
        <v>0.22577278495029601</v>
      </c>
      <c r="AG121" s="114">
        <f t="shared" si="81"/>
        <v>-3.8030545971526594E-2</v>
      </c>
      <c r="AH121" s="114">
        <f t="shared" si="81"/>
        <v>-8.2191968373560464E-2</v>
      </c>
      <c r="AI121" s="114">
        <f t="shared" si="81"/>
        <v>1.3799443125342918E-2</v>
      </c>
      <c r="AJ121" s="114">
        <f t="shared" si="81"/>
        <v>2.2298358608136219E-2</v>
      </c>
      <c r="AK121" s="114">
        <f t="shared" si="81"/>
        <v>-1.4917952291643204E-2</v>
      </c>
      <c r="AL121" s="114">
        <f t="shared" si="81"/>
        <v>4.9988130671110922E-2</v>
      </c>
      <c r="AM121" s="114">
        <f t="shared" si="81"/>
        <v>4.9986317465456898E-2</v>
      </c>
      <c r="AN121" s="114">
        <f t="shared" si="81"/>
        <v>0.10239138789734577</v>
      </c>
      <c r="AO121" s="114">
        <f t="shared" ref="AO121" si="82">AO120/AO113</f>
        <v>7.3070947314363741E-2</v>
      </c>
      <c r="AP121" s="114">
        <f t="shared" si="81"/>
        <v>6.9826253494427351E-2</v>
      </c>
      <c r="AQ121" s="114">
        <f t="shared" ref="AQ121:AV121" si="83">AQ120/AQ113</f>
        <v>4.0875928569184929E-3</v>
      </c>
      <c r="AR121" s="114">
        <f t="shared" si="83"/>
        <v>2.5553758517574639E-2</v>
      </c>
      <c r="AS121" s="114">
        <f t="shared" si="83"/>
        <v>3.7385134802093913E-2</v>
      </c>
      <c r="AT121" s="114">
        <f t="shared" si="83"/>
        <v>5.0014967597703068E-2</v>
      </c>
      <c r="AU121" s="114">
        <f t="shared" si="83"/>
        <v>3.0319290672377049E-2</v>
      </c>
      <c r="AV121" s="114">
        <f t="shared" si="83"/>
        <v>6.8825646424192657E-2</v>
      </c>
      <c r="AW121" s="114">
        <f>AW120/AW113</f>
        <v>9.3575637861329844E-2</v>
      </c>
      <c r="AX121" s="114">
        <f>AX120/AX113</f>
        <v>0.12871319343496149</v>
      </c>
      <c r="AY121" s="114">
        <f>AY120/AY113</f>
        <v>0.12468268891037659</v>
      </c>
      <c r="AZ121" s="114">
        <f>AZ120/AZ113</f>
        <v>0.1051909141097209</v>
      </c>
      <c r="BA121" s="114">
        <f>BA120/BA113</f>
        <v>8.981802018389691E-2</v>
      </c>
    </row>
    <row r="123" spans="1:53" s="261" customFormat="1">
      <c r="A123" s="235"/>
      <c r="B123" s="235" t="s">
        <v>628</v>
      </c>
      <c r="C123" s="235"/>
      <c r="D123" s="235"/>
      <c r="E123" s="235"/>
      <c r="F123" s="235"/>
      <c r="G123" s="383"/>
      <c r="H123" s="235"/>
      <c r="I123" s="235"/>
      <c r="J123" s="235"/>
      <c r="K123" s="235"/>
      <c r="L123" s="383"/>
      <c r="M123" s="235"/>
      <c r="N123" s="235"/>
      <c r="O123" s="235"/>
      <c r="P123" s="235"/>
      <c r="Q123" s="383"/>
      <c r="R123" s="235"/>
      <c r="S123" s="235"/>
      <c r="T123" s="235"/>
      <c r="U123" s="235"/>
      <c r="V123" s="383"/>
      <c r="W123" s="235"/>
      <c r="X123" s="235"/>
      <c r="Y123" s="235"/>
      <c r="Z123" s="235"/>
      <c r="AA123" s="383" t="e">
        <f>AA124+AA132+AA135+AA138</f>
        <v>#VALUE!</v>
      </c>
      <c r="AB123" s="235" t="e">
        <f t="shared" ref="AB123:AM123" si="84">AB124+AB132+AB135+AB138</f>
        <v>#VALUE!</v>
      </c>
      <c r="AC123" s="235">
        <f t="shared" si="84"/>
        <v>196274.15415377717</v>
      </c>
      <c r="AD123" s="235">
        <f t="shared" si="84"/>
        <v>144157.34463338408</v>
      </c>
      <c r="AE123" s="235">
        <f t="shared" si="84"/>
        <v>214611.91929548394</v>
      </c>
      <c r="AF123" s="383">
        <f t="shared" si="84"/>
        <v>770063.29449357092</v>
      </c>
      <c r="AG123" s="235">
        <f t="shared" si="84"/>
        <v>235996.84288644447</v>
      </c>
      <c r="AH123" s="235">
        <f t="shared" si="84"/>
        <v>171859.71884695004</v>
      </c>
      <c r="AI123" s="235">
        <f t="shared" si="84"/>
        <v>281629.66316818126</v>
      </c>
      <c r="AJ123" s="235">
        <f t="shared" si="84"/>
        <v>273487.36749479373</v>
      </c>
      <c r="AK123" s="383">
        <f t="shared" si="84"/>
        <v>964532.60611163313</v>
      </c>
      <c r="AL123" s="235">
        <f t="shared" si="84"/>
        <v>354520.57325869135</v>
      </c>
      <c r="AM123" s="235">
        <f t="shared" si="84"/>
        <v>325877.29556783964</v>
      </c>
      <c r="AN123" s="235">
        <f t="shared" ref="AN123:AO123" si="85">AN124+AN132+AN135+AN138</f>
        <v>422067.06399504794</v>
      </c>
      <c r="AO123" s="235">
        <f t="shared" si="85"/>
        <v>409104.35318732623</v>
      </c>
      <c r="AP123" s="383">
        <f>AP124+AP132+AP135+AP138</f>
        <v>1455272.9786180782</v>
      </c>
      <c r="AQ123" s="235">
        <f t="shared" ref="AQ123" si="86">AQ124+AQ132+AQ135+AQ138</f>
        <v>351772.40239464922</v>
      </c>
      <c r="AR123" s="235">
        <f t="shared" ref="AR123:AZ123" si="87">AR124+AR132+AR135+AR138</f>
        <v>370567.79191504407</v>
      </c>
      <c r="AS123" s="235">
        <f t="shared" si="87"/>
        <v>399332.98436245101</v>
      </c>
      <c r="AT123" s="235">
        <f t="shared" si="87"/>
        <v>410614.77199284092</v>
      </c>
      <c r="AU123" s="383">
        <f t="shared" si="87"/>
        <v>1524656.762817919</v>
      </c>
      <c r="AV123" s="235">
        <f t="shared" si="87"/>
        <v>431735.2027661418</v>
      </c>
      <c r="AW123" s="235">
        <f t="shared" si="87"/>
        <v>453356.70331280725</v>
      </c>
      <c r="AX123" s="235">
        <f t="shared" si="87"/>
        <v>567235.47921428119</v>
      </c>
      <c r="AY123" s="235">
        <f t="shared" si="87"/>
        <v>538760.09956204752</v>
      </c>
      <c r="AZ123" s="383">
        <f t="shared" si="87"/>
        <v>1982630.4280108802</v>
      </c>
      <c r="BA123" s="235">
        <f t="shared" ref="BA123" si="88">BA124+BA132+BA135+BA138</f>
        <v>515525.28955124336</v>
      </c>
    </row>
    <row r="124" spans="1:53" s="2" customFormat="1">
      <c r="A124" s="363"/>
      <c r="B124" s="21" t="s">
        <v>609</v>
      </c>
      <c r="C124" s="218"/>
      <c r="D124" s="218"/>
      <c r="E124" s="218"/>
      <c r="F124" s="218"/>
      <c r="G124" s="364"/>
      <c r="H124" s="218"/>
      <c r="I124" s="218"/>
      <c r="J124" s="218"/>
      <c r="K124" s="218"/>
      <c r="L124" s="364"/>
      <c r="M124" s="218"/>
      <c r="N124" s="218"/>
      <c r="O124" s="218"/>
      <c r="P124" s="218"/>
      <c r="Q124" s="364"/>
      <c r="R124" s="218"/>
      <c r="S124" s="218"/>
      <c r="T124" s="218"/>
      <c r="U124" s="218"/>
      <c r="V124" s="364"/>
      <c r="W124" s="218"/>
      <c r="X124" s="218"/>
      <c r="Y124" s="218"/>
      <c r="Z124" s="365"/>
      <c r="AA124" s="366" t="e">
        <f>AA125+AA128+AA129+AA130+AA131</f>
        <v>#VALUE!</v>
      </c>
      <c r="AB124" s="365" t="e">
        <f t="shared" ref="AB124:AL124" si="89">AB125+AB128+AB129+AB130+AB131</f>
        <v>#VALUE!</v>
      </c>
      <c r="AC124" s="365">
        <f t="shared" si="89"/>
        <v>109820.87797148165</v>
      </c>
      <c r="AD124" s="365">
        <f t="shared" si="89"/>
        <v>87436.943725791672</v>
      </c>
      <c r="AE124" s="365">
        <f t="shared" si="89"/>
        <v>149786.43555042814</v>
      </c>
      <c r="AF124" s="366">
        <f t="shared" si="89"/>
        <v>455276.20085266954</v>
      </c>
      <c r="AG124" s="365">
        <f t="shared" si="89"/>
        <v>168777.84391931366</v>
      </c>
      <c r="AH124" s="365">
        <f t="shared" si="89"/>
        <v>128838.98857567587</v>
      </c>
      <c r="AI124" s="365">
        <f t="shared" si="89"/>
        <v>184659.86827277002</v>
      </c>
      <c r="AJ124" s="365">
        <f t="shared" si="89"/>
        <v>223632.95414624354</v>
      </c>
      <c r="AK124" s="366">
        <f t="shared" si="89"/>
        <v>707352.99462498969</v>
      </c>
      <c r="AL124" s="365">
        <f t="shared" si="89"/>
        <v>283049.85467947286</v>
      </c>
      <c r="AM124" s="365">
        <f t="shared" ref="AM124:AN124" si="90">AM125+AM128+AM129+AM130+AM131</f>
        <v>259252.12032344475</v>
      </c>
      <c r="AN124" s="365">
        <f t="shared" si="90"/>
        <v>324178.75548899802</v>
      </c>
      <c r="AO124" s="365">
        <f t="shared" ref="AO124" si="91">AO125+AO128+AO129+AO130+AO131</f>
        <v>313349.90414163505</v>
      </c>
      <c r="AP124" s="366">
        <f>AP125+AP128+AP129+AP130+AP131</f>
        <v>1131880.9466812427</v>
      </c>
      <c r="AQ124" s="365">
        <f t="shared" ref="AQ124" si="92">AQ125+AQ128+AQ129+AQ130+AQ131</f>
        <v>293106.57602605771</v>
      </c>
      <c r="AR124" s="365">
        <f t="shared" ref="AR124:AZ124" si="93">AR125+AR128+AR129+AR130+AR131</f>
        <v>311194.10309089086</v>
      </c>
      <c r="AS124" s="365">
        <f t="shared" si="93"/>
        <v>312908.1430731538</v>
      </c>
      <c r="AT124" s="365">
        <f t="shared" si="93"/>
        <v>337083.84078967664</v>
      </c>
      <c r="AU124" s="366">
        <f t="shared" si="93"/>
        <v>1254123.2153380739</v>
      </c>
      <c r="AV124" s="365">
        <f t="shared" si="93"/>
        <v>353523.46902813384</v>
      </c>
      <c r="AW124" s="367">
        <f t="shared" si="93"/>
        <v>361106.72678646864</v>
      </c>
      <c r="AX124" s="367">
        <f t="shared" si="93"/>
        <v>450546.11952610512</v>
      </c>
      <c r="AY124" s="367">
        <f t="shared" si="93"/>
        <v>432668.84616476711</v>
      </c>
      <c r="AZ124" s="366">
        <f t="shared" si="93"/>
        <v>1598068.998355753</v>
      </c>
      <c r="BA124" s="367">
        <f t="shared" ref="BA124" si="94">BA125+BA128+BA129+BA130+BA131</f>
        <v>409914.53615144524</v>
      </c>
    </row>
    <row r="125" spans="1:53">
      <c r="A125" s="357"/>
      <c r="B125" s="11" t="s">
        <v>553</v>
      </c>
      <c r="C125" s="12"/>
      <c r="D125" s="12"/>
      <c r="E125" s="12"/>
      <c r="F125" s="12"/>
      <c r="G125" s="40"/>
      <c r="H125" s="12"/>
      <c r="I125" s="12"/>
      <c r="J125" s="12"/>
      <c r="K125" s="12"/>
      <c r="L125" s="40"/>
      <c r="M125" s="12"/>
      <c r="N125" s="12"/>
      <c r="O125" s="12"/>
      <c r="P125" s="12"/>
      <c r="Q125" s="40"/>
      <c r="R125" s="12"/>
      <c r="S125" s="12"/>
      <c r="T125" s="12"/>
      <c r="U125" s="12"/>
      <c r="V125" s="40"/>
      <c r="W125" s="12"/>
      <c r="X125" s="12"/>
      <c r="Y125" s="12"/>
      <c r="Z125" s="153"/>
      <c r="AA125" s="144">
        <f>AA63*(1-'Operacional x Financeiro'!C23)</f>
        <v>157.35142999999997</v>
      </c>
      <c r="AB125" s="153">
        <f>AB63*(1-'Operacional x Financeiro'!D23)</f>
        <v>107358.80157615359</v>
      </c>
      <c r="AC125" s="153">
        <f>AC63*(1-'Operacional x Financeiro'!E23)</f>
        <v>107589.65832264982</v>
      </c>
      <c r="AD125" s="153">
        <f>AD63*(1-'Operacional x Financeiro'!F23)</f>
        <v>81566.236182358858</v>
      </c>
      <c r="AE125" s="153">
        <f>AE63*(1-'Operacional x Financeiro'!G23)</f>
        <v>142380.64901867424</v>
      </c>
      <c r="AF125" s="144">
        <f>AF63*(1-'Operacional x Financeiro'!H23)</f>
        <v>438759.30299420282</v>
      </c>
      <c r="AG125" s="153">
        <f>AG63*(1-'Operacional x Financeiro'!I23)</f>
        <v>151166.15395923742</v>
      </c>
      <c r="AH125" s="153">
        <f>AH63*(1-'Operacional x Financeiro'!J23)</f>
        <v>109995.60921977187</v>
      </c>
      <c r="AI125" s="153">
        <f>AI63*(1-'Operacional x Financeiro'!K23)</f>
        <v>156602.60709362556</v>
      </c>
      <c r="AJ125" s="153">
        <f>AJ63*(1-'Operacional x Financeiro'!L23)</f>
        <v>189179.91980221574</v>
      </c>
      <c r="AK125" s="144">
        <f>AK63*(1-'Operacional x Financeiro'!M23)</f>
        <v>609222.14948672929</v>
      </c>
      <c r="AL125" s="153">
        <f>AL63*(1-'Operacional x Financeiro'!N23)</f>
        <v>243454.89414505762</v>
      </c>
      <c r="AM125" s="153">
        <f>AM63*(1-'Operacional x Financeiro'!O23)</f>
        <v>222599.01940130189</v>
      </c>
      <c r="AN125" s="153">
        <f>AN63*(1-'Operacional x Financeiro'!P23)</f>
        <v>279232.30847646715</v>
      </c>
      <c r="AO125" s="153">
        <f>AO63*(1-'Operacional x Financeiro'!Q23)</f>
        <v>267814.14784642175</v>
      </c>
      <c r="AP125" s="487">
        <f>SUM(AP126:AP127)</f>
        <v>965122.9259548746</v>
      </c>
      <c r="AQ125" s="153">
        <f>AQ63*(1-'Operacional x Financeiro'!S23)</f>
        <v>240077.39010182102</v>
      </c>
      <c r="AR125" s="153">
        <f>AR63*(1-'Operacional x Financeiro'!T23)</f>
        <v>262365.18739238905</v>
      </c>
      <c r="AS125" s="153">
        <f>AS63*(1-'Operacional x Financeiro'!U23)</f>
        <v>262735.11802268756</v>
      </c>
      <c r="AT125" s="153">
        <f>AT63*(1-'Operacional x Financeiro'!V23)</f>
        <v>271633.74301190313</v>
      </c>
      <c r="AU125" s="487">
        <f>AU63*(1-'Operacional x Financeiro'!W23)</f>
        <v>1036576.8387411535</v>
      </c>
      <c r="AV125" s="153">
        <f>AV63*(1-'Operacional x Financeiro'!X23)</f>
        <v>275462.34770014684</v>
      </c>
      <c r="AW125" s="121">
        <f>AW63*(1-'Operacional x Financeiro'!Y23)</f>
        <v>281922.68477305188</v>
      </c>
      <c r="AX125" s="121">
        <f>AX63*(1-'Operacional x Financeiro'!Z23)</f>
        <v>356539.66331703711</v>
      </c>
      <c r="AY125" s="121">
        <f>AY63*(1-'Operacional x Financeiro'!AA23)</f>
        <v>326638.58521197294</v>
      </c>
      <c r="AZ125" s="487">
        <f>AZ63*(1-'Operacional x Financeiro'!AB23)</f>
        <v>1240993.6158244172</v>
      </c>
      <c r="BA125" s="121">
        <f>BA63*(1-'Operacional x Financeiro'!AC23)</f>
        <v>303416.65891911369</v>
      </c>
    </row>
    <row r="126" spans="1:53">
      <c r="A126" s="357"/>
      <c r="B126" s="335" t="s">
        <v>573</v>
      </c>
      <c r="C126" s="12"/>
      <c r="D126" s="12"/>
      <c r="E126" s="12"/>
      <c r="F126" s="12"/>
      <c r="G126" s="40"/>
      <c r="H126" s="12"/>
      <c r="I126" s="12"/>
      <c r="J126" s="12"/>
      <c r="K126" s="12"/>
      <c r="L126" s="40"/>
      <c r="M126" s="12"/>
      <c r="N126" s="12"/>
      <c r="O126" s="12"/>
      <c r="P126" s="12"/>
      <c r="Q126" s="40"/>
      <c r="R126" s="12"/>
      <c r="S126" s="12"/>
      <c r="T126" s="12"/>
      <c r="U126" s="12"/>
      <c r="V126" s="40"/>
      <c r="W126" s="12"/>
      <c r="X126" s="12"/>
      <c r="Y126" s="12"/>
      <c r="Z126" s="153"/>
      <c r="AA126" s="144" t="e">
        <f>AA64*(1-'Operacional x Financeiro'!C24)</f>
        <v>#VALUE!</v>
      </c>
      <c r="AB126" s="153">
        <f>AB64*(1-'Operacional x Financeiro'!D24)</f>
        <v>100069.83554315176</v>
      </c>
      <c r="AC126" s="153">
        <f>AC64*(1-'Operacional x Financeiro'!E24)</f>
        <v>91992.406042317962</v>
      </c>
      <c r="AD126" s="153">
        <f>AD64*(1-'Operacional x Financeiro'!F24)</f>
        <v>51117.267606223482</v>
      </c>
      <c r="AE126" s="153">
        <f>AE64*(1-'Operacional x Financeiro'!G24)</f>
        <v>99278.351023780793</v>
      </c>
      <c r="AF126" s="144">
        <f>AF64*(1-'Operacional x Financeiro'!H24)</f>
        <v>342465.74811398459</v>
      </c>
      <c r="AG126" s="153">
        <f>AG64*(1-'Operacional x Financeiro'!I24)</f>
        <v>95557.736335064677</v>
      </c>
      <c r="AH126" s="153">
        <f>AH64*(1-'Operacional x Financeiro'!J24)</f>
        <v>48299.319876573019</v>
      </c>
      <c r="AI126" s="153">
        <f>AI64*(1-'Operacional x Financeiro'!K24)</f>
        <v>68013.824760822332</v>
      </c>
      <c r="AJ126" s="153">
        <f>AJ64*(1-'Operacional x Financeiro'!L24)</f>
        <v>86073.866861444316</v>
      </c>
      <c r="AK126" s="144">
        <f>AK64*(1-'Operacional x Financeiro'!M24)</f>
        <v>298622.52357895102</v>
      </c>
      <c r="AL126" s="153">
        <f>AL64*(1-'Operacional x Financeiro'!N24)</f>
        <v>112388.2884599946</v>
      </c>
      <c r="AM126" s="153">
        <f>AM64*(1-'Operacional x Financeiro'!O24)</f>
        <v>80079.832408679096</v>
      </c>
      <c r="AN126" s="153">
        <f>AN64*(1-'Operacional x Financeiro'!P24)</f>
        <v>126030.73964135683</v>
      </c>
      <c r="AO126" s="153">
        <f>AO64*(1-'Operacional x Financeiro'!Q24)</f>
        <v>128883.11748952678</v>
      </c>
      <c r="AP126" s="487">
        <f>AP64*(1-'Operacional x Financeiro'!R24)</f>
        <v>447353.68249230325</v>
      </c>
      <c r="AQ126" s="153">
        <f>AQ64*(1-'Operacional x Financeiro'!S24)</f>
        <v>94565.956781304776</v>
      </c>
      <c r="AR126" s="153">
        <f>AR64*(1-'Operacional x Financeiro'!T24)</f>
        <v>109291.69010000161</v>
      </c>
      <c r="AS126" s="153">
        <f>AS64*(1-'Operacional x Financeiro'!U24)</f>
        <v>153064.70332340241</v>
      </c>
      <c r="AT126" s="153">
        <f>AT64*(1-'Operacional x Financeiro'!V24)</f>
        <v>271633.74301190313</v>
      </c>
      <c r="AU126" s="487">
        <f>AU64*(1-'Operacional x Financeiro'!W24)</f>
        <v>630420.07215038606</v>
      </c>
      <c r="AV126" s="153">
        <f>AV64*(1-'Operacional x Financeiro'!X24)</f>
        <v>275462.34770014684</v>
      </c>
      <c r="AW126" s="121">
        <f>AW64*(1-'Operacional x Financeiro'!Y24)</f>
        <v>281922.68477305188</v>
      </c>
      <c r="AX126" s="121">
        <f>AX64*(1-'Operacional x Financeiro'!Z24)</f>
        <v>356539.66331703711</v>
      </c>
      <c r="AY126" s="121">
        <f>AY64*(1-'Operacional x Financeiro'!AA24)</f>
        <v>326638.58521197294</v>
      </c>
      <c r="AZ126" s="487">
        <f>AZ64*(1-'Operacional x Financeiro'!AB24)</f>
        <v>1240993.6158244172</v>
      </c>
      <c r="BA126" s="121">
        <f>BA64*(1-'Operacional x Financeiro'!AC24)</f>
        <v>303416.65891911369</v>
      </c>
    </row>
    <row r="127" spans="1:53">
      <c r="A127" s="357"/>
      <c r="B127" s="335" t="s">
        <v>574</v>
      </c>
      <c r="C127" s="12"/>
      <c r="D127" s="12"/>
      <c r="E127" s="12"/>
      <c r="F127" s="12"/>
      <c r="G127" s="40"/>
      <c r="H127" s="12"/>
      <c r="I127" s="12"/>
      <c r="J127" s="12"/>
      <c r="K127" s="12"/>
      <c r="L127" s="40"/>
      <c r="M127" s="12"/>
      <c r="N127" s="12"/>
      <c r="O127" s="12"/>
      <c r="P127" s="12"/>
      <c r="Q127" s="40"/>
      <c r="R127" s="12"/>
      <c r="S127" s="12"/>
      <c r="T127" s="12"/>
      <c r="U127" s="12"/>
      <c r="V127" s="40"/>
      <c r="W127" s="12"/>
      <c r="X127" s="12"/>
      <c r="Y127" s="12"/>
      <c r="Z127" s="153"/>
      <c r="AA127" s="144">
        <f>AA65*(1-'Operacional x Financeiro'!C25)</f>
        <v>157.35142999999997</v>
      </c>
      <c r="AB127" s="153">
        <f>AB65*(1-'Operacional x Financeiro'!D25)</f>
        <v>7179.4936093721717</v>
      </c>
      <c r="AC127" s="153">
        <f>AC65*(1-'Operacional x Financeiro'!E25)</f>
        <v>15937.624106292635</v>
      </c>
      <c r="AD127" s="153">
        <f>AD65*(1-'Operacional x Financeiro'!F25)</f>
        <v>30880.226458172187</v>
      </c>
      <c r="AE127" s="153">
        <f>AE65*(1-'Operacional x Financeiro'!G25)</f>
        <v>42660.145845276631</v>
      </c>
      <c r="AF127" s="144">
        <f>AF65*(1-'Operacional x Financeiro'!H25)</f>
        <v>97990.160224925596</v>
      </c>
      <c r="AG127" s="153">
        <f>AG65*(1-'Operacional x Financeiro'!I25)</f>
        <v>55595.625141661447</v>
      </c>
      <c r="AH127" s="153">
        <f>AH65*(1-'Operacional x Financeiro'!J25)</f>
        <v>59932.545960684372</v>
      </c>
      <c r="AI127" s="153">
        <f>AI65*(1-'Operacional x Financeiro'!K25)</f>
        <v>86087.380048903869</v>
      </c>
      <c r="AJ127" s="153">
        <f>AJ65*(1-'Operacional x Financeiro'!L25)</f>
        <v>94731.873502210161</v>
      </c>
      <c r="AK127" s="144">
        <f>AK65*(1-'Operacional x Financeiro'!M25)</f>
        <v>299977.6678705255</v>
      </c>
      <c r="AL127" s="153">
        <f>AL65*(1-'Operacional x Financeiro'!N25)</f>
        <v>122100.10976084828</v>
      </c>
      <c r="AM127" s="153">
        <f>AM65*(1-'Operacional x Financeiro'!O25)</f>
        <v>129638.3778687048</v>
      </c>
      <c r="AN127" s="153">
        <f>AN65*(1-'Operacional x Financeiro'!P25)</f>
        <v>137945.3681203376</v>
      </c>
      <c r="AO127" s="153">
        <f>AO65*(1-'Operacional x Financeiro'!Q25)</f>
        <v>127699.6035959711</v>
      </c>
      <c r="AP127" s="487">
        <f>AP65*(1-'Operacional x Financeiro'!R25)</f>
        <v>517769.24346257135</v>
      </c>
      <c r="AQ127" s="153">
        <f>AQ65*(1-'Operacional x Financeiro'!S25)</f>
        <v>129930.74270429877</v>
      </c>
      <c r="AR127" s="153">
        <f>AR65*(1-'Operacional x Financeiro'!T25)</f>
        <v>140465.52094646115</v>
      </c>
      <c r="AS127" s="153">
        <f>AS65*(1-'Operacional x Financeiro'!U25)</f>
        <v>99648.608019029067</v>
      </c>
      <c r="AT127" s="153">
        <f>AT65*(1-'Operacional x Financeiro'!V25)</f>
        <v>0</v>
      </c>
      <c r="AU127" s="487">
        <f>AU65*(1-'Operacional x Financeiro'!W25)</f>
        <v>370118.72878562345</v>
      </c>
      <c r="AV127" s="153">
        <f>AV65*(1-'Operacional x Financeiro'!X25)</f>
        <v>0</v>
      </c>
      <c r="AW127" s="121">
        <f>AW65*(1-'Operacional x Financeiro'!Y25)</f>
        <v>0</v>
      </c>
      <c r="AX127" s="121">
        <f>AX65*(1-'Operacional x Financeiro'!Z25)</f>
        <v>0</v>
      </c>
      <c r="AY127" s="121">
        <f>AY65*(1-'Operacional x Financeiro'!AA25)</f>
        <v>0</v>
      </c>
      <c r="AZ127" s="487">
        <f>AZ65*(1-'Operacional x Financeiro'!AB25)</f>
        <v>0</v>
      </c>
      <c r="BA127" s="121">
        <f>BA65*(1-'Operacional x Financeiro'!AC25)</f>
        <v>0</v>
      </c>
    </row>
    <row r="128" spans="1:53">
      <c r="A128" s="357"/>
      <c r="B128" s="11" t="s">
        <v>264</v>
      </c>
      <c r="C128" s="12"/>
      <c r="D128" s="12"/>
      <c r="E128" s="12"/>
      <c r="F128" s="12"/>
      <c r="G128" s="40"/>
      <c r="H128" s="12"/>
      <c r="I128" s="12"/>
      <c r="J128" s="12"/>
      <c r="K128" s="12"/>
      <c r="L128" s="40"/>
      <c r="M128" s="12"/>
      <c r="N128" s="12"/>
      <c r="O128" s="12"/>
      <c r="P128" s="12"/>
      <c r="Q128" s="40"/>
      <c r="R128" s="12"/>
      <c r="S128" s="12"/>
      <c r="T128" s="12"/>
      <c r="U128" s="12"/>
      <c r="V128" s="40"/>
      <c r="W128" s="12"/>
      <c r="X128" s="12"/>
      <c r="Y128" s="12"/>
      <c r="Z128" s="153"/>
      <c r="AA128" s="144">
        <f>AA66*(1-'Operacional x Financeiro'!C26)</f>
        <v>215</v>
      </c>
      <c r="AB128" s="153">
        <f>AB66*(1-'Operacional x Financeiro'!D26)</f>
        <v>157.91598153333737</v>
      </c>
      <c r="AC128" s="153">
        <f>AC66*(1-'Operacional x Financeiro'!E26)</f>
        <v>1575.9927819128343</v>
      </c>
      <c r="AD128" s="153">
        <f>AD66*(1-'Operacional x Financeiro'!F26)</f>
        <v>3580.7433020553526</v>
      </c>
      <c r="AE128" s="153">
        <f>AE66*(1-'Operacional x Financeiro'!G26)</f>
        <v>6958.7354362595534</v>
      </c>
      <c r="AF128" s="144">
        <f>AF66*(1-'Operacional x Financeiro'!H26)</f>
        <v>12994.415401036731</v>
      </c>
      <c r="AG128" s="153">
        <f>AG66*(1-'Operacional x Financeiro'!I26)</f>
        <v>10594.186368014181</v>
      </c>
      <c r="AH128" s="153">
        <f>AH66*(1-'Operacional x Financeiro'!J26)</f>
        <v>12529.309390754694</v>
      </c>
      <c r="AI128" s="153">
        <f>AI66*(1-'Operacional x Financeiro'!K26)</f>
        <v>17567.625116002273</v>
      </c>
      <c r="AJ128" s="153">
        <f>AJ66*(1-'Operacional x Financeiro'!L26)</f>
        <v>20318.494166607383</v>
      </c>
      <c r="AK128" s="144">
        <f>AK66*(1-'Operacional x Financeiro'!M26)</f>
        <v>61145.394837819556</v>
      </c>
      <c r="AL128" s="153">
        <f>AL66*(1-'Operacional x Financeiro'!N26)</f>
        <v>22820.338003437941</v>
      </c>
      <c r="AM128" s="153">
        <f>AM66*(1-'Operacional x Financeiro'!O26)</f>
        <v>21429.753357373629</v>
      </c>
      <c r="AN128" s="153">
        <f>AN66*(1-'Operacional x Financeiro'!P26)</f>
        <v>25073.002055498459</v>
      </c>
      <c r="AO128" s="153">
        <f>AO66*(1-'Operacional x Financeiro'!Q26)</f>
        <v>23421.40332523335</v>
      </c>
      <c r="AP128" s="487">
        <f>AP66*(1-'Operacional x Financeiro'!R26)</f>
        <v>92725.753344123645</v>
      </c>
      <c r="AQ128" s="153">
        <f>AQ66*(1-'Operacional x Financeiro'!S26)</f>
        <v>24965.831658429601</v>
      </c>
      <c r="AR128" s="153">
        <f>AR66*(1-'Operacional x Financeiro'!T26)</f>
        <v>22049.065007497029</v>
      </c>
      <c r="AS128" s="153">
        <f>AS66*(1-'Operacional x Financeiro'!U26)</f>
        <v>26103.160123708032</v>
      </c>
      <c r="AT128" s="153">
        <f>AT66*(1-'Operacional x Financeiro'!V26)</f>
        <v>31403.445133204659</v>
      </c>
      <c r="AU128" s="487">
        <f>AU66*(1-'Operacional x Financeiro'!W26)</f>
        <v>104601.9928356509</v>
      </c>
      <c r="AV128" s="153">
        <f>AV66*(1-'Operacional x Financeiro'!X26)</f>
        <v>33156.463690258592</v>
      </c>
      <c r="AW128" s="121">
        <f>AW66*(1-'Operacional x Financeiro'!Y26)</f>
        <v>34907.377392178707</v>
      </c>
      <c r="AX128" s="121">
        <f>AX66*(1-'Operacional x Financeiro'!Z26)</f>
        <v>40363.05349193298</v>
      </c>
      <c r="AY128" s="121">
        <f>AY66*(1-'Operacional x Financeiro'!AA26)</f>
        <v>49222.428522034403</v>
      </c>
      <c r="AZ128" s="487">
        <f>AZ66*(1-'Operacional x Financeiro'!AB26)</f>
        <v>157551.91276263434</v>
      </c>
      <c r="BA128" s="121">
        <f>BA66*(1-'Operacional x Financeiro'!AC26)</f>
        <v>38433.763276052894</v>
      </c>
    </row>
    <row r="129" spans="1:53">
      <c r="A129" s="357"/>
      <c r="B129" s="11" t="s">
        <v>265</v>
      </c>
      <c r="C129" s="12"/>
      <c r="D129" s="12"/>
      <c r="E129" s="12"/>
      <c r="F129" s="12"/>
      <c r="G129" s="40"/>
      <c r="H129" s="12"/>
      <c r="I129" s="12"/>
      <c r="J129" s="12"/>
      <c r="K129" s="12"/>
      <c r="L129" s="40"/>
      <c r="M129" s="12"/>
      <c r="N129" s="12"/>
      <c r="O129" s="12"/>
      <c r="P129" s="12"/>
      <c r="Q129" s="40"/>
      <c r="R129" s="12"/>
      <c r="S129" s="12"/>
      <c r="T129" s="12"/>
      <c r="U129" s="12"/>
      <c r="V129" s="40"/>
      <c r="W129" s="12"/>
      <c r="X129" s="12"/>
      <c r="Y129" s="12"/>
      <c r="Z129" s="153"/>
      <c r="AA129" s="144">
        <f>AA67*(1-'Operacional x Financeiro'!C27)</f>
        <v>237.00000000000003</v>
      </c>
      <c r="AB129" s="153">
        <f>AB67*(1-'Operacional x Financeiro'!D27)</f>
        <v>41.775660000000002</v>
      </c>
      <c r="AC129" s="153">
        <f>AC67*(1-'Operacional x Financeiro'!E27)</f>
        <v>468.54828480504051</v>
      </c>
      <c r="AD129" s="153">
        <f>AD67*(1-'Operacional x Financeiro'!F27)</f>
        <v>2252.2667046725064</v>
      </c>
      <c r="AE129" s="153">
        <f>AE67*(1-'Operacional x Financeiro'!G27)</f>
        <v>451.36984396660051</v>
      </c>
      <c r="AF129" s="144">
        <f>AF67*(1-'Operacional x Financeiro'!H27)</f>
        <v>3243.4428289843654</v>
      </c>
      <c r="AG129" s="153">
        <f>AG67*(1-'Operacional x Financeiro'!I27)</f>
        <v>3266.2273125007491</v>
      </c>
      <c r="AH129" s="153">
        <f>AH67*(1-'Operacional x Financeiro'!J27)</f>
        <v>4798.4276749492901</v>
      </c>
      <c r="AI129" s="153">
        <f>AI67*(1-'Operacional x Financeiro'!K27)</f>
        <v>8744.626688702403</v>
      </c>
      <c r="AJ129" s="153">
        <f>AJ67*(1-'Operacional x Financeiro'!L27)</f>
        <v>10639.588386987782</v>
      </c>
      <c r="AK129" s="144">
        <f>AK67*(1-'Operacional x Financeiro'!M27)</f>
        <v>27606.919687721864</v>
      </c>
      <c r="AL129" s="153">
        <f>AL67*(1-'Operacional x Financeiro'!N27)</f>
        <v>13607.720750094113</v>
      </c>
      <c r="AM129" s="153">
        <f>AM67*(1-'Operacional x Financeiro'!O27)</f>
        <v>11748.994430439116</v>
      </c>
      <c r="AN129" s="153">
        <f>AN67*(1-'Operacional x Financeiro'!P27)</f>
        <v>15235.458839948906</v>
      </c>
      <c r="AO129" s="153">
        <f>AO67*(1-'Operacional x Financeiro'!Q27)</f>
        <v>17364.632402011812</v>
      </c>
      <c r="AP129" s="487">
        <f>AP67*(1-'Operacional x Financeiro'!R27)</f>
        <v>57991.722162303959</v>
      </c>
      <c r="AQ129" s="153">
        <f>AQ67*(1-'Operacional x Financeiro'!S27)</f>
        <v>23032.413091091537</v>
      </c>
      <c r="AR129" s="153">
        <f>AR67*(1-'Operacional x Financeiro'!T27)</f>
        <v>21111.961401418503</v>
      </c>
      <c r="AS129" s="153">
        <f>AS67*(1-'Operacional x Financeiro'!U27)</f>
        <v>17209.618641813002</v>
      </c>
      <c r="AT129" s="153">
        <f>AT67*(1-'Operacional x Financeiro'!V27)</f>
        <v>26456.856539910594</v>
      </c>
      <c r="AU129" s="487">
        <f>AU67*(1-'Operacional x Financeiro'!W27)</f>
        <v>87804.388705292367</v>
      </c>
      <c r="AV129" s="153">
        <f>AV67*(1-'Operacional x Financeiro'!X27)</f>
        <v>36409.703667522874</v>
      </c>
      <c r="AW129" s="121">
        <f>AW67*(1-'Operacional x Financeiro'!Y27)</f>
        <v>32984.173742977349</v>
      </c>
      <c r="AX129" s="121">
        <f>AX67*(1-'Operacional x Financeiro'!Z27)</f>
        <v>40683.950394306958</v>
      </c>
      <c r="AY129" s="121">
        <f>AY67*(1-'Operacional x Financeiro'!AA27)</f>
        <v>41124.574540436472</v>
      </c>
      <c r="AZ129" s="487">
        <f>AZ67*(1-'Operacional x Financeiro'!AB27)</f>
        <v>151261.36248557887</v>
      </c>
      <c r="BA129" s="121">
        <f>BA67*(1-'Operacional x Financeiro'!AC27)</f>
        <v>54785.124418623898</v>
      </c>
    </row>
    <row r="130" spans="1:53">
      <c r="A130" s="357"/>
      <c r="B130" s="11" t="s">
        <v>576</v>
      </c>
      <c r="C130" s="12"/>
      <c r="D130" s="12"/>
      <c r="E130" s="12"/>
      <c r="F130" s="12"/>
      <c r="G130" s="40"/>
      <c r="H130" s="12"/>
      <c r="I130" s="12"/>
      <c r="J130" s="12"/>
      <c r="K130" s="12"/>
      <c r="L130" s="40"/>
      <c r="M130" s="12"/>
      <c r="N130" s="12"/>
      <c r="O130" s="12"/>
      <c r="P130" s="12"/>
      <c r="Q130" s="40"/>
      <c r="R130" s="12"/>
      <c r="S130" s="12"/>
      <c r="T130" s="12"/>
      <c r="U130" s="12"/>
      <c r="V130" s="40"/>
      <c r="W130" s="12"/>
      <c r="X130" s="12"/>
      <c r="Y130" s="12"/>
      <c r="Z130" s="153"/>
      <c r="AA130" s="144" t="e">
        <f>AA68*(1-'Operacional x Financeiro'!C28)</f>
        <v>#VALUE!</v>
      </c>
      <c r="AB130" s="153" t="e">
        <f>AB68*(1-'Operacional x Financeiro'!D28)</f>
        <v>#VALUE!</v>
      </c>
      <c r="AC130" s="153">
        <f>AC68*(1-'Operacional x Financeiro'!E28)</f>
        <v>0</v>
      </c>
      <c r="AD130" s="153">
        <f>AD68*(1-'Operacional x Financeiro'!F28)</f>
        <v>0</v>
      </c>
      <c r="AE130" s="153">
        <f>AE68*(1-'Operacional x Financeiro'!G28)</f>
        <v>0</v>
      </c>
      <c r="AF130" s="144">
        <f>AF68*(1-'Operacional x Financeiro'!H28)</f>
        <v>0</v>
      </c>
      <c r="AG130" s="153">
        <f>AG68*(1-'Operacional x Financeiro'!I28)</f>
        <v>3853.3716846823095</v>
      </c>
      <c r="AH130" s="153">
        <f>AH68*(1-'Operacional x Financeiro'!J28)</f>
        <v>1574.8385369745952</v>
      </c>
      <c r="AI130" s="153">
        <f>AI68*(1-'Operacional x Financeiro'!K28)</f>
        <v>1383.6913893534806</v>
      </c>
      <c r="AJ130" s="153">
        <f>AJ68*(1-'Operacional x Financeiro'!L28)</f>
        <v>1738.0350535636637</v>
      </c>
      <c r="AK130" s="144">
        <f>AK68*(1-'Operacional x Financeiro'!M28)</f>
        <v>7377.1487782448767</v>
      </c>
      <c r="AL130" s="153">
        <f>AL68*(1-'Operacional x Financeiro'!N28)</f>
        <v>2128.1741426577191</v>
      </c>
      <c r="AM130" s="153">
        <f>AM68*(1-'Operacional x Financeiro'!O28)</f>
        <v>2230.9521020141487</v>
      </c>
      <c r="AN130" s="153">
        <f>AN68*(1-'Operacional x Financeiro'!P28)</f>
        <v>3183.5813709831978</v>
      </c>
      <c r="AO130" s="153">
        <f>AO68*(1-'Operacional x Financeiro'!Q28)</f>
        <v>3330.3656042023727</v>
      </c>
      <c r="AP130" s="487">
        <f>AP68*(1-'Operacional x Financeiro'!R28)</f>
        <v>10884.813584674746</v>
      </c>
      <c r="AQ130" s="153">
        <f>AQ68*(1-'Operacional x Financeiro'!S28)</f>
        <v>3754.782891654871</v>
      </c>
      <c r="AR130" s="153">
        <f>AR68*(1-'Operacional x Financeiro'!T28)</f>
        <v>4114.2587036875884</v>
      </c>
      <c r="AS130" s="153">
        <f>AS68*(1-'Operacional x Financeiro'!U28)</f>
        <v>4948.8898058294371</v>
      </c>
      <c r="AT130" s="153">
        <f>AT68*(1-'Operacional x Financeiro'!V28)</f>
        <v>5347.1302779278712</v>
      </c>
      <c r="AU130" s="487">
        <f>AU68*(1-'Operacional x Financeiro'!W28)</f>
        <v>18155.762656816172</v>
      </c>
      <c r="AV130" s="153">
        <f>AV68*(1-'Operacional x Financeiro'!X28)</f>
        <v>5621.4782996054473</v>
      </c>
      <c r="AW130" s="121">
        <f>AW68*(1-'Operacional x Financeiro'!Y28)</f>
        <v>7631.472777915802</v>
      </c>
      <c r="AX130" s="121">
        <f>AX68*(1-'Operacional x Financeiro'!Z28)</f>
        <v>8446.790141778918</v>
      </c>
      <c r="AY130" s="121">
        <f>AY68*(1-'Operacional x Financeiro'!AA28)</f>
        <v>11060.127882950421</v>
      </c>
      <c r="AZ130" s="487">
        <f>AZ68*(1-'Operacional x Financeiro'!AB28)</f>
        <v>32585.616395276928</v>
      </c>
      <c r="BA130" s="121">
        <f>BA68*(1-'Operacional x Financeiro'!AC28)</f>
        <v>8174.5520035191839</v>
      </c>
    </row>
    <row r="131" spans="1:53">
      <c r="A131" s="357"/>
      <c r="B131" s="11" t="s">
        <v>268</v>
      </c>
      <c r="C131" s="12"/>
      <c r="D131" s="12"/>
      <c r="E131" s="12"/>
      <c r="F131" s="12"/>
      <c r="G131" s="40"/>
      <c r="H131" s="12"/>
      <c r="I131" s="12"/>
      <c r="J131" s="12"/>
      <c r="K131" s="12"/>
      <c r="L131" s="40"/>
      <c r="M131" s="12"/>
      <c r="N131" s="12"/>
      <c r="O131" s="12"/>
      <c r="P131" s="12"/>
      <c r="Q131" s="40"/>
      <c r="R131" s="12"/>
      <c r="S131" s="12"/>
      <c r="T131" s="12"/>
      <c r="U131" s="12"/>
      <c r="V131" s="40"/>
      <c r="W131" s="12"/>
      <c r="X131" s="12"/>
      <c r="Y131" s="12"/>
      <c r="Z131" s="153"/>
      <c r="AA131" s="144">
        <f>AA69*(1-'Operacional x Financeiro'!C29)</f>
        <v>38</v>
      </c>
      <c r="AB131" s="153">
        <f>AB69*(1-'Operacional x Financeiro'!D29)</f>
        <v>59.947909176962717</v>
      </c>
      <c r="AC131" s="153">
        <f>AC69*(1-'Operacional x Financeiro'!E29)</f>
        <v>186.67858211395648</v>
      </c>
      <c r="AD131" s="153">
        <f>AD69*(1-'Operacional x Financeiro'!F29)</f>
        <v>37.697536704938116</v>
      </c>
      <c r="AE131" s="153">
        <f>AE69*(1-'Operacional x Financeiro'!G29)</f>
        <v>-4.3187484722561722</v>
      </c>
      <c r="AF131" s="144">
        <f>AF69*(1-'Operacional x Financeiro'!H29)</f>
        <v>279.03962844562398</v>
      </c>
      <c r="AG131" s="153">
        <f>AG69*(1-'Operacional x Financeiro'!I29)</f>
        <v>-102.09540512101016</v>
      </c>
      <c r="AH131" s="153">
        <f>AH69*(1-'Operacional x Financeiro'!J29)</f>
        <v>-59.196246774571897</v>
      </c>
      <c r="AI131" s="153">
        <f>AI69*(1-'Operacional x Financeiro'!K29)</f>
        <v>361.31798508630129</v>
      </c>
      <c r="AJ131" s="153">
        <f>AJ69*(1-'Operacional x Financeiro'!L29)</f>
        <v>1756.9167368689816</v>
      </c>
      <c r="AK131" s="144">
        <f>AK69*(1-'Operacional x Financeiro'!M29)</f>
        <v>2001.3818344741296</v>
      </c>
      <c r="AL131" s="153">
        <f>AL69*(1-'Operacional x Financeiro'!N29)</f>
        <v>1038.7276382254904</v>
      </c>
      <c r="AM131" s="153">
        <f>AM69*(1-'Operacional x Financeiro'!O29)</f>
        <v>1243.4010323159785</v>
      </c>
      <c r="AN131" s="153">
        <f>AN69*(1-'Operacional x Financeiro'!P29)</f>
        <v>1454.4047461002324</v>
      </c>
      <c r="AO131" s="153">
        <f>AO69*(1-'Operacional x Financeiro'!Q29)</f>
        <v>1419.3549637657218</v>
      </c>
      <c r="AP131" s="487">
        <f>AP69*(1-'Operacional x Financeiro'!R29)</f>
        <v>5155.7316352655416</v>
      </c>
      <c r="AQ131" s="153">
        <f>AQ69*(1-'Operacional x Financeiro'!S29)</f>
        <v>1276.158283060631</v>
      </c>
      <c r="AR131" s="153">
        <f>AR69*(1-'Operacional x Financeiro'!T29)</f>
        <v>1553.6305858987089</v>
      </c>
      <c r="AS131" s="153">
        <f>AS69*(1-'Operacional x Financeiro'!U29)</f>
        <v>1911.3564791158046</v>
      </c>
      <c r="AT131" s="153">
        <f>AT69*(1-'Operacional x Financeiro'!V29)</f>
        <v>2242.665826730366</v>
      </c>
      <c r="AU131" s="487">
        <f>AU69*(1-'Operacional x Financeiro'!W29)</f>
        <v>6984.2323991607736</v>
      </c>
      <c r="AV131" s="153">
        <f>AV69*(1-'Operacional x Financeiro'!X29)</f>
        <v>2873.4756706001067</v>
      </c>
      <c r="AW131" s="121">
        <f>AW69*(1-'Operacional x Financeiro'!Y29)</f>
        <v>3661.0181003448884</v>
      </c>
      <c r="AX131" s="121">
        <f>AX69*(1-'Operacional x Financeiro'!Z29)</f>
        <v>4512.6621810490906</v>
      </c>
      <c r="AY131" s="121">
        <f>AY69*(1-'Operacional x Financeiro'!AA29)</f>
        <v>4623.1300073728189</v>
      </c>
      <c r="AZ131" s="487">
        <f>AZ69*(1-'Operacional x Financeiro'!AB29)</f>
        <v>15676.490887845677</v>
      </c>
      <c r="BA131" s="121">
        <f>BA69*(1-'Operacional x Financeiro'!AC29)</f>
        <v>5104.4375341355553</v>
      </c>
    </row>
    <row r="132" spans="1:53">
      <c r="B132" s="11" t="s">
        <v>581</v>
      </c>
      <c r="C132" s="1"/>
      <c r="D132" s="1"/>
      <c r="E132" s="1"/>
      <c r="F132" s="1"/>
      <c r="G132" s="40"/>
      <c r="H132" s="1"/>
      <c r="I132" s="1"/>
      <c r="J132" s="1"/>
      <c r="K132" s="1"/>
      <c r="L132" s="40"/>
      <c r="M132" s="1"/>
      <c r="N132" s="1"/>
      <c r="O132" s="1"/>
      <c r="P132" s="1"/>
      <c r="Q132" s="40"/>
      <c r="R132" s="1"/>
      <c r="S132" s="1"/>
      <c r="T132" s="1"/>
      <c r="U132" s="1"/>
      <c r="V132" s="40"/>
      <c r="W132" s="1"/>
      <c r="X132" s="1"/>
      <c r="Y132" s="1"/>
      <c r="Z132" s="121"/>
      <c r="AA132" s="144">
        <f>AA70*(1-'Operacional x Financeiro'!C30)</f>
        <v>916793.44303592737</v>
      </c>
      <c r="AB132" s="121">
        <f>AB70*(1-'Operacional x Financeiro'!D30)</f>
        <v>106095.09259766201</v>
      </c>
      <c r="AC132" s="121">
        <f>AC70*(1-'Operacional x Financeiro'!E30)</f>
        <v>86453.276182295507</v>
      </c>
      <c r="AD132" s="121">
        <f>AD70*(1-'Operacional x Financeiro'!F30)</f>
        <v>56720.400907592404</v>
      </c>
      <c r="AE132" s="121">
        <f>AE70*(1-'Operacional x Financeiro'!G30)</f>
        <v>64825.483745055797</v>
      </c>
      <c r="AF132" s="144">
        <f>AF70*(1-'Operacional x Financeiro'!H30)</f>
        <v>314787.09364090144</v>
      </c>
      <c r="AG132" s="121">
        <f>AG70*(1-'Operacional x Financeiro'!I30)</f>
        <v>67218.998967130814</v>
      </c>
      <c r="AH132" s="121">
        <f>AH70*(1-'Operacional x Financeiro'!J30)</f>
        <v>43020.730271274173</v>
      </c>
      <c r="AI132" s="121">
        <f>AI70*(1-'Operacional x Financeiro'!K30)</f>
        <v>96969.794895411236</v>
      </c>
      <c r="AJ132" s="121">
        <f>AJ70*(1-'Operacional x Financeiro'!L30)</f>
        <v>49854.413348550173</v>
      </c>
      <c r="AK132" s="144">
        <f>AK70*(1-'Operacional x Financeiro'!M30)</f>
        <v>257179.61148664344</v>
      </c>
      <c r="AL132" s="121">
        <f>AL70*(1-'Operacional x Financeiro'!N30)</f>
        <v>71470.718579218519</v>
      </c>
      <c r="AM132" s="121">
        <f>AM70*(1-'Operacional x Financeiro'!O30)</f>
        <v>66625.175244394894</v>
      </c>
      <c r="AN132" s="121">
        <f>AN70*(1-'Operacional x Financeiro'!P30)</f>
        <v>97888.3085060499</v>
      </c>
      <c r="AO132" s="121">
        <f>AO70*(1-'Operacional x Financeiro'!Q30)</f>
        <v>95754.449045691159</v>
      </c>
      <c r="AP132" s="487">
        <f>AP70*(1-'Operacional x Financeiro'!R30)</f>
        <v>323392.0319368355</v>
      </c>
      <c r="AQ132" s="121">
        <f>AQ70*(1-'Operacional x Financeiro'!S30)</f>
        <v>58665.826368591515</v>
      </c>
      <c r="AR132" s="121">
        <f>AR70*(1-'Operacional x Financeiro'!T30)</f>
        <v>59373.688824153214</v>
      </c>
      <c r="AS132" s="121">
        <f>AS70*(1-'Operacional x Financeiro'!U30)</f>
        <v>86424.841289297241</v>
      </c>
      <c r="AT132" s="121">
        <f>AT70*(1-'Operacional x Financeiro'!V30)</f>
        <v>73530.931203164291</v>
      </c>
      <c r="AU132" s="487">
        <f>AU70*(1-'Operacional x Financeiro'!W30)</f>
        <v>270533.54747984512</v>
      </c>
      <c r="AV132" s="121">
        <f>AV70*(1-'Operacional x Financeiro'!X30)</f>
        <v>78211.733738007941</v>
      </c>
      <c r="AW132" s="121">
        <f>AW70*(1-'Operacional x Financeiro'!Y30)</f>
        <v>92249.976526338578</v>
      </c>
      <c r="AX132" s="121">
        <f>AX70*(1-'Operacional x Financeiro'!Z30)</f>
        <v>116689.35968817612</v>
      </c>
      <c r="AY132" s="121">
        <f>AY70*(1-'Operacional x Financeiro'!AA30)</f>
        <v>106091.25339728038</v>
      </c>
      <c r="AZ132" s="487">
        <f>AZ70*(1-'Operacional x Financeiro'!AB30)</f>
        <v>384561.42965512729</v>
      </c>
      <c r="BA132" s="121">
        <f>BA70*(1-'Operacional x Financeiro'!AC30)</f>
        <v>105610.75339979811</v>
      </c>
    </row>
    <row r="133" spans="1:53">
      <c r="AQ133" s="123"/>
      <c r="AV133" s="123"/>
      <c r="AW133" s="123"/>
      <c r="AX133" s="123"/>
      <c r="AY133" s="123"/>
      <c r="BA133" s="123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33921-D9D5-4156-B20F-E42BFD2F7DC5}">
  <dimension ref="A1:AG94"/>
  <sheetViews>
    <sheetView showGridLines="0" showRowColHeaders="0" zoomScale="75" zoomScaleNormal="75" workbookViewId="0">
      <pane xSplit="2" ySplit="5" topLeftCell="X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10.42578125" defaultRowHeight="15" outlineLevelCol="1"/>
  <cols>
    <col min="1" max="1" width="9.140625" style="187" bestFit="1" customWidth="1"/>
    <col min="2" max="2" width="70.7109375" customWidth="1"/>
    <col min="3" max="3" width="13.42578125" bestFit="1" customWidth="1"/>
    <col min="4" max="7" width="14" hidden="1" customWidth="1" outlineLevel="1"/>
    <col min="8" max="8" width="13.42578125" bestFit="1" customWidth="1" collapsed="1"/>
    <col min="9" max="9" width="14" hidden="1" customWidth="1" outlineLevel="1"/>
    <col min="10" max="10" width="11.5703125" hidden="1" customWidth="1" outlineLevel="1"/>
    <col min="11" max="12" width="12.5703125" hidden="1" customWidth="1" outlineLevel="1"/>
    <col min="13" max="13" width="13.42578125" bestFit="1" customWidth="1" collapsed="1"/>
    <col min="14" max="15" width="14" hidden="1" customWidth="1" outlineLevel="1"/>
    <col min="16" max="17" width="12.5703125" hidden="1" customWidth="1" outlineLevel="1"/>
    <col min="18" max="18" width="12.5703125" customWidth="1" collapsed="1"/>
    <col min="19" max="20" width="14" hidden="1" customWidth="1" outlineLevel="1"/>
    <col min="21" max="22" width="12.5703125" hidden="1" customWidth="1" outlineLevel="1"/>
    <col min="23" max="23" width="12.5703125" customWidth="1" collapsed="1"/>
    <col min="24" max="27" width="12.5703125" customWidth="1" outlineLevel="1"/>
    <col min="28" max="29" width="12.5703125" customWidth="1"/>
  </cols>
  <sheetData>
    <row r="1" spans="1:33" ht="15" customHeight="1">
      <c r="A1" s="668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31"/>
      <c r="AC1" s="630"/>
    </row>
    <row r="2" spans="1:33" ht="15" customHeight="1">
      <c r="A2" s="668"/>
      <c r="B2" s="826"/>
      <c r="C2" s="826"/>
      <c r="D2" s="826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32"/>
      <c r="AC2" s="630"/>
    </row>
    <row r="3" spans="1:33" ht="50.1" customHeight="1">
      <c r="A3" s="669"/>
      <c r="B3" s="734" t="s">
        <v>629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31"/>
      <c r="AC3" s="630"/>
    </row>
    <row r="4" spans="1:33" s="108" customFormat="1" ht="10.35" customHeight="1">
      <c r="A4" s="354"/>
      <c r="D4" s="109"/>
      <c r="E4" s="109"/>
      <c r="F4" s="109"/>
      <c r="G4" s="109"/>
      <c r="I4" s="109"/>
      <c r="J4" s="109"/>
      <c r="K4" s="109"/>
      <c r="L4" s="109"/>
      <c r="N4" s="109"/>
      <c r="O4" s="109"/>
      <c r="P4" s="109"/>
      <c r="Q4" s="109"/>
      <c r="S4" s="109"/>
      <c r="T4" s="109"/>
      <c r="U4" s="109"/>
      <c r="V4" s="109"/>
      <c r="X4" s="109"/>
      <c r="Y4" s="109"/>
      <c r="Z4" s="109"/>
      <c r="AA4" s="109"/>
    </row>
    <row r="5" spans="1:33" s="103" customFormat="1" ht="23.25">
      <c r="A5" s="355"/>
      <c r="B5" s="74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</row>
    <row r="6" spans="1:33" ht="4.9000000000000004" customHeight="1"/>
    <row r="7" spans="1:33" ht="4.9000000000000004" customHeight="1" thickBot="1">
      <c r="E7" s="49"/>
      <c r="F7" s="49"/>
      <c r="G7" s="49"/>
      <c r="I7" s="49"/>
      <c r="J7" s="49"/>
      <c r="K7" s="49"/>
      <c r="L7" s="49"/>
      <c r="N7" s="49"/>
      <c r="O7" s="49"/>
      <c r="P7" s="49"/>
      <c r="Q7" s="49"/>
      <c r="S7" s="49"/>
      <c r="T7" s="49"/>
      <c r="U7" s="49"/>
      <c r="V7" s="49"/>
      <c r="X7" s="49"/>
      <c r="Y7" s="49"/>
      <c r="Z7" s="49"/>
      <c r="AA7" s="49"/>
    </row>
    <row r="8" spans="1:33" s="2" customFormat="1" ht="24.4" customHeight="1">
      <c r="A8" s="670"/>
      <c r="B8" s="625"/>
      <c r="C8" s="652">
        <v>2020</v>
      </c>
      <c r="D8" s="626" t="s">
        <v>244</v>
      </c>
      <c r="E8" s="626" t="s">
        <v>245</v>
      </c>
      <c r="F8" s="626" t="s">
        <v>246</v>
      </c>
      <c r="G8" s="626" t="s">
        <v>247</v>
      </c>
      <c r="H8" s="652">
        <v>2021</v>
      </c>
      <c r="I8" s="626" t="s">
        <v>248</v>
      </c>
      <c r="J8" s="626" t="s">
        <v>249</v>
      </c>
      <c r="K8" s="626" t="s">
        <v>250</v>
      </c>
      <c r="L8" s="626" t="s">
        <v>215</v>
      </c>
      <c r="M8" s="652">
        <v>2022</v>
      </c>
      <c r="N8" s="626" t="s">
        <v>252</v>
      </c>
      <c r="O8" s="626" t="s">
        <v>253</v>
      </c>
      <c r="P8" s="626" t="s">
        <v>254</v>
      </c>
      <c r="Q8" s="626" t="s">
        <v>219</v>
      </c>
      <c r="R8" s="652">
        <v>2023</v>
      </c>
      <c r="S8" s="626" t="s">
        <v>223</v>
      </c>
      <c r="T8" s="626" t="s">
        <v>256</v>
      </c>
      <c r="U8" s="626" t="s">
        <v>357</v>
      </c>
      <c r="V8" s="626" t="s">
        <v>358</v>
      </c>
      <c r="W8" s="652">
        <v>2024</v>
      </c>
      <c r="X8" s="626" t="s">
        <v>359</v>
      </c>
      <c r="Y8" s="626" t="s">
        <v>1115</v>
      </c>
      <c r="Z8" s="626" t="s">
        <v>1116</v>
      </c>
      <c r="AA8" s="626" t="s">
        <v>1117</v>
      </c>
      <c r="AB8" s="653" t="s">
        <v>1118</v>
      </c>
      <c r="AC8" s="645" t="s">
        <v>1124</v>
      </c>
    </row>
    <row r="9" spans="1:33" s="2" customFormat="1">
      <c r="A9" s="235" t="s">
        <v>630</v>
      </c>
      <c r="B9" s="235" t="s">
        <v>631</v>
      </c>
      <c r="C9" s="383">
        <f t="shared" ref="C9:R9" si="0">C10+C16+C18+C19</f>
        <v>468849.80546900781</v>
      </c>
      <c r="D9" s="382">
        <f t="shared" si="0"/>
        <v>118463.03614360938</v>
      </c>
      <c r="E9" s="235">
        <f t="shared" si="0"/>
        <v>115086.45915717073</v>
      </c>
      <c r="F9" s="235">
        <f t="shared" si="0"/>
        <v>86848.223481329725</v>
      </c>
      <c r="G9" s="235">
        <f t="shared" si="0"/>
        <v>131021.72166301063</v>
      </c>
      <c r="H9" s="383">
        <f t="shared" si="0"/>
        <v>452332.05692193599</v>
      </c>
      <c r="I9" s="235">
        <f t="shared" si="0"/>
        <v>159573.51085075497</v>
      </c>
      <c r="J9" s="235">
        <f t="shared" si="0"/>
        <v>130427.40158788182</v>
      </c>
      <c r="K9" s="235">
        <f t="shared" si="0"/>
        <v>200630.23700896979</v>
      </c>
      <c r="L9" s="235">
        <f t="shared" si="0"/>
        <v>210276.84624898733</v>
      </c>
      <c r="M9" s="383">
        <f t="shared" si="0"/>
        <v>701693.00009402924</v>
      </c>
      <c r="N9" s="235">
        <f t="shared" si="0"/>
        <v>240130.4519167509</v>
      </c>
      <c r="O9" s="235">
        <f t="shared" si="0"/>
        <v>238747.2607877535</v>
      </c>
      <c r="P9" s="235">
        <f t="shared" si="0"/>
        <v>298245.71708744037</v>
      </c>
      <c r="Q9" s="235">
        <f t="shared" si="0"/>
        <v>291753.01490981044</v>
      </c>
      <c r="R9" s="383">
        <f t="shared" si="0"/>
        <v>1065061.4434908147</v>
      </c>
      <c r="S9" s="235">
        <f t="shared" ref="S9:W9" si="1">S10+S16+S18+S19</f>
        <v>224583.88674509904</v>
      </c>
      <c r="T9" s="235">
        <f t="shared" si="1"/>
        <v>257899.48856496441</v>
      </c>
      <c r="U9" s="235">
        <f t="shared" si="1"/>
        <v>283010.26779290062</v>
      </c>
      <c r="V9" s="235">
        <f t="shared" si="1"/>
        <v>300368.89449544536</v>
      </c>
      <c r="W9" s="383">
        <f t="shared" si="1"/>
        <v>1062602.1810286189</v>
      </c>
      <c r="X9" s="235">
        <f t="shared" ref="X9" si="2">X10+X16+X18+X19</f>
        <v>307857.30061946693</v>
      </c>
      <c r="Y9" s="235">
        <f>Y10+Y16+Y18+Y19</f>
        <v>336842.08230463177</v>
      </c>
      <c r="Z9" s="235">
        <f>Z10+Z16+Z18+Z19</f>
        <v>413400.28637341317</v>
      </c>
      <c r="AA9" s="235">
        <f>AA10+AA16+AA18+AA19</f>
        <v>403635.60799438372</v>
      </c>
      <c r="AB9" s="383">
        <f>AB10+AB16+AB18+AB19</f>
        <v>1457767.128360152</v>
      </c>
      <c r="AC9" s="235">
        <f t="shared" ref="AC9" si="3">AC10+AC16+AC18+AC19</f>
        <v>363858.83286454604</v>
      </c>
      <c r="AD9" s="168"/>
      <c r="AE9" s="168"/>
      <c r="AG9" s="168"/>
    </row>
    <row r="10" spans="1:33" s="2" customFormat="1">
      <c r="A10" s="409"/>
      <c r="B10" s="21" t="s">
        <v>609</v>
      </c>
      <c r="C10" s="366">
        <f t="shared" ref="C10:R10" si="4">SUM(C11:C15)</f>
        <v>461.91085799999996</v>
      </c>
      <c r="D10" s="367">
        <f t="shared" si="4"/>
        <v>64610.010608724879</v>
      </c>
      <c r="E10" s="367">
        <f t="shared" si="4"/>
        <v>66227.20973021377</v>
      </c>
      <c r="F10" s="367">
        <f t="shared" si="4"/>
        <v>53342.772366989913</v>
      </c>
      <c r="G10" s="367">
        <f t="shared" si="4"/>
        <v>90982.72931001996</v>
      </c>
      <c r="H10" s="366">
        <f t="shared" si="4"/>
        <v>275643.25519037171</v>
      </c>
      <c r="I10" s="367">
        <f t="shared" si="4"/>
        <v>103908.45984559962</v>
      </c>
      <c r="J10" s="367">
        <f t="shared" si="4"/>
        <v>80129.900048791111</v>
      </c>
      <c r="K10" s="367">
        <f t="shared" si="4"/>
        <v>115004.51014053368</v>
      </c>
      <c r="L10" s="367">
        <f t="shared" si="4"/>
        <v>139347.72763935031</v>
      </c>
      <c r="M10" s="366">
        <f t="shared" si="4"/>
        <v>439131.42354573292</v>
      </c>
      <c r="N10" s="367">
        <f t="shared" si="4"/>
        <v>175769.15688784601</v>
      </c>
      <c r="O10" s="367">
        <f t="shared" si="4"/>
        <v>161049.23733238829</v>
      </c>
      <c r="P10" s="367">
        <f t="shared" si="4"/>
        <v>201249.22034527839</v>
      </c>
      <c r="Q10" s="367">
        <f t="shared" si="4"/>
        <v>194840.30592926298</v>
      </c>
      <c r="R10" s="366">
        <f t="shared" si="4"/>
        <v>732953.42585723544</v>
      </c>
      <c r="S10" s="367">
        <f t="shared" ref="S10:W10" si="5">SUM(S11:S15)</f>
        <v>183818.32350427011</v>
      </c>
      <c r="T10" s="367">
        <f t="shared" si="5"/>
        <v>194040.7992093098</v>
      </c>
      <c r="U10" s="367">
        <f t="shared" si="5"/>
        <v>195270.83960146224</v>
      </c>
      <c r="V10" s="367">
        <f t="shared" si="5"/>
        <v>212067.81914047198</v>
      </c>
      <c r="W10" s="366">
        <f t="shared" si="5"/>
        <v>785105.88569238223</v>
      </c>
      <c r="X10" s="367">
        <f t="shared" ref="X10" si="6">SUM(X11:X15)</f>
        <v>223823.24961607836</v>
      </c>
      <c r="Y10" s="367">
        <f>SUM(Y11:Y15)</f>
        <v>228541.6423738937</v>
      </c>
      <c r="Z10" s="367">
        <f>SUM(Z11:Z15)</f>
        <v>284428.64014702325</v>
      </c>
      <c r="AA10" s="367">
        <f>SUM(AA11:AA15)</f>
        <v>275505.8468417793</v>
      </c>
      <c r="AB10" s="366">
        <f>SUM(AB11:AB15)</f>
        <v>1012402.7063931522</v>
      </c>
      <c r="AC10" s="367">
        <f t="shared" ref="AC10" si="7">SUM(AC11:AC15)</f>
        <v>261923.40327571688</v>
      </c>
      <c r="AD10" s="168"/>
      <c r="AF10" s="168"/>
    </row>
    <row r="11" spans="1:33" s="2" customFormat="1">
      <c r="A11" s="556">
        <v>0.6</v>
      </c>
      <c r="B11" s="11" t="s">
        <v>553</v>
      </c>
      <c r="C11" s="170">
        <f>'FONTE OPxFIN'!AA63*(1-C23)*$A$11</f>
        <v>94.410857999999976</v>
      </c>
      <c r="D11" s="121">
        <f>'FONTE OPxFIN'!AB63*(1-D23)*$A$11</f>
        <v>64415.280945692153</v>
      </c>
      <c r="E11" s="121">
        <f>'FONTE OPxFIN'!AC63*(1-E23)*$A$11</f>
        <v>64553.794993589887</v>
      </c>
      <c r="F11" s="121">
        <f>'FONTE OPxFIN'!AD63*(1-F23)*$A$11</f>
        <v>48939.741709415313</v>
      </c>
      <c r="G11" s="121">
        <f>'FONTE OPxFIN'!AE63*(1-G23)*$A$11</f>
        <v>85428.389411204538</v>
      </c>
      <c r="H11" s="144">
        <f>'FONTE OPxFIN'!AF63*(1-H23)*$A$11</f>
        <v>263255.58179652167</v>
      </c>
      <c r="I11" s="121">
        <f>'FONTE OPxFIN'!AG63*(1-I23)*$A$11</f>
        <v>90699.69237554245</v>
      </c>
      <c r="J11" s="121">
        <f>'FONTE OPxFIN'!AH63*(1-J23)*$A$11</f>
        <v>65997.365531863121</v>
      </c>
      <c r="K11" s="121">
        <f>'FONTE OPxFIN'!AI63*(1-K23)*$A$11</f>
        <v>93961.564256175334</v>
      </c>
      <c r="L11" s="121">
        <f>'FONTE OPxFIN'!AJ63*(1-L23)*$A$11</f>
        <v>113507.95188132944</v>
      </c>
      <c r="M11" s="144">
        <f>'FONTE OPxFIN'!AK63*(1-M23)*$A$11</f>
        <v>365533.28969203756</v>
      </c>
      <c r="N11" s="121">
        <f>'FONTE OPxFIN'!AL63*(1-N23)*$A$11</f>
        <v>146072.93648703457</v>
      </c>
      <c r="O11" s="121">
        <f>'FONTE OPxFIN'!AM63*(1-O23)*$A$11</f>
        <v>133559.41164078112</v>
      </c>
      <c r="P11" s="121">
        <f>'FONTE OPxFIN'!AN63*(1-P23)*$A$11</f>
        <v>167539.38508588029</v>
      </c>
      <c r="Q11" s="121">
        <f>'FONTE OPxFIN'!AO63*(1-Q23)*$A$11</f>
        <v>160688.48870785304</v>
      </c>
      <c r="R11" s="144">
        <f>'FONTE OPxFIN'!AP63*(1-R23)*$A$11</f>
        <v>607884.91031245945</v>
      </c>
      <c r="S11" s="121">
        <f>'FONTE OPxFIN'!AQ63*(1-S23)*$A$11</f>
        <v>144046.43406109262</v>
      </c>
      <c r="T11" s="121">
        <f>'FONTE OPxFIN'!AR63*(1-T23)*$A$11</f>
        <v>157419.11243543343</v>
      </c>
      <c r="U11" s="121">
        <f>'FONTE OPxFIN'!AS63*(1-U23)*$A$11</f>
        <v>157641.07081361252</v>
      </c>
      <c r="V11" s="121">
        <f>'FONTE OPxFIN'!AT63*(1-V23)*$A$11</f>
        <v>162980.24580714188</v>
      </c>
      <c r="W11" s="144">
        <f>'FONTE OPxFIN'!AU63*(1-W23)*$A$11</f>
        <v>621946.10324469209</v>
      </c>
      <c r="X11" s="121">
        <f>'FONTE OPxFIN'!AV63*(1-X23)*$A$11</f>
        <v>165277.4086200881</v>
      </c>
      <c r="Y11" s="121">
        <f>'FONTE OPxFIN'!AW63*(1-Y23)*$A$11</f>
        <v>169153.61086383113</v>
      </c>
      <c r="Z11" s="121">
        <f>'FONTE OPxFIN'!AX63*(1-Z23)*$A$11</f>
        <v>213923.79799022226</v>
      </c>
      <c r="AA11" s="121">
        <f>'FONTE OPxFIN'!AY63*(1-AA23)*$A$11</f>
        <v>195983.15112718375</v>
      </c>
      <c r="AB11" s="144">
        <f>'FONTE OPxFIN'!AZ63*(1-AB23)*$A$11</f>
        <v>744596.16949465033</v>
      </c>
      <c r="AC11" s="121">
        <f>'FONTE OPxFIN'!BA63*(1-AC23)*$A$11</f>
        <v>182049.99535146821</v>
      </c>
      <c r="AD11" s="174"/>
      <c r="AE11" s="168"/>
      <c r="AF11" s="168"/>
    </row>
    <row r="12" spans="1:33" s="2" customFormat="1">
      <c r="A12" s="556">
        <v>0.75</v>
      </c>
      <c r="B12" s="11" t="s">
        <v>264</v>
      </c>
      <c r="C12" s="144">
        <f>'FONTE OPxFIN'!AA66*(1-C26)*$A12</f>
        <v>161.25</v>
      </c>
      <c r="D12" s="121">
        <f>'FONTE OPxFIN'!AB66*(1-D26)*$A12</f>
        <v>118.43698615000304</v>
      </c>
      <c r="E12" s="121">
        <f>'FONTE OPxFIN'!AC66*(1-E26)*$A12</f>
        <v>1181.9945864346257</v>
      </c>
      <c r="F12" s="121">
        <f>'FONTE OPxFIN'!AD66*(1-F26)*$A12</f>
        <v>2685.5574765415145</v>
      </c>
      <c r="G12" s="121">
        <f>'FONTE OPxFIN'!AE66*(1-G26)*$A12</f>
        <v>5219.0515771946648</v>
      </c>
      <c r="H12" s="144">
        <f>'FONTE OPxFIN'!AF66*(1-H26)*$A12</f>
        <v>9745.8115507775474</v>
      </c>
      <c r="I12" s="121">
        <f>'FONTE OPxFIN'!AG66*(1-I26)*$A12</f>
        <v>7945.6397760106356</v>
      </c>
      <c r="J12" s="121">
        <f>'FONTE OPxFIN'!AH66*(1-J26)*$A12</f>
        <v>9396.9820430660202</v>
      </c>
      <c r="K12" s="121">
        <f>'FONTE OPxFIN'!AI66*(1-K26)*$A12</f>
        <v>13175.718837001705</v>
      </c>
      <c r="L12" s="121">
        <f>'FONTE OPxFIN'!AJ66*(1-L26)*$A12</f>
        <v>15238.870624955536</v>
      </c>
      <c r="M12" s="144">
        <f>'FONTE OPxFIN'!AK66*(1-M26)*$A12</f>
        <v>45859.046128364665</v>
      </c>
      <c r="N12" s="121">
        <f>'FONTE OPxFIN'!AL66*(1-N26)*$A12</f>
        <v>17115.253502578456</v>
      </c>
      <c r="O12" s="121">
        <f>'FONTE OPxFIN'!AM66*(1-O26)*$A12</f>
        <v>16072.315018030222</v>
      </c>
      <c r="P12" s="121">
        <f>'FONTE OPxFIN'!AN66*(1-P26)*$A12</f>
        <v>18804.751541623846</v>
      </c>
      <c r="Q12" s="121">
        <f>'FONTE OPxFIN'!AO66*(1-Q26)*$A12</f>
        <v>17566.052493925014</v>
      </c>
      <c r="R12" s="144">
        <f>'FONTE OPxFIN'!AP66*(1-R26)*$A12</f>
        <v>69544.31500809273</v>
      </c>
      <c r="S12" s="121">
        <f>'FONTE OPxFIN'!AQ66*(1-S26)*$A12</f>
        <v>18724.373743822202</v>
      </c>
      <c r="T12" s="121">
        <f>'FONTE OPxFIN'!AR66*(1-T26)*$A12</f>
        <v>16536.798755622771</v>
      </c>
      <c r="U12" s="121">
        <f>'FONTE OPxFIN'!AS66*(1-U26)*$A12</f>
        <v>19577.370092781024</v>
      </c>
      <c r="V12" s="121">
        <f>'FONTE OPxFIN'!AT66*(1-V26)*$A12</f>
        <v>23552.583849903494</v>
      </c>
      <c r="W12" s="144">
        <f>'FONTE OPxFIN'!AU66*(1-W26)*$A12</f>
        <v>78451.494626738175</v>
      </c>
      <c r="X12" s="121">
        <f>'FONTE OPxFIN'!AV66*(1-X26)*$A12</f>
        <v>24867.347767693944</v>
      </c>
      <c r="Y12" s="121">
        <f>'FONTE OPxFIN'!AW66*(1-Y26)*$A12</f>
        <v>26180.53304413403</v>
      </c>
      <c r="Z12" s="121">
        <f>'FONTE OPxFIN'!AX66*(1-Z26)*$A12</f>
        <v>30272.290118949735</v>
      </c>
      <c r="AA12" s="121">
        <f>'FONTE OPxFIN'!AY66*(1-AA26)*$A12</f>
        <v>36916.821391525802</v>
      </c>
      <c r="AB12" s="144">
        <f>'FONTE OPxFIN'!AZ66*(1-AB26)*$A12</f>
        <v>118163.93457197575</v>
      </c>
      <c r="AC12" s="121">
        <f>'FONTE OPxFIN'!BA66*(1-AC26)*$A12</f>
        <v>28825.322457039671</v>
      </c>
      <c r="AD12" s="174"/>
      <c r="AF12" s="168"/>
    </row>
    <row r="13" spans="1:33" s="2" customFormat="1">
      <c r="A13" s="556">
        <v>0.75</v>
      </c>
      <c r="B13" s="11" t="s">
        <v>265</v>
      </c>
      <c r="C13" s="144">
        <f>'FONTE OPxFIN'!AA67*(1-C27)*$A13</f>
        <v>177.75000000000003</v>
      </c>
      <c r="D13" s="121">
        <f>'FONTE OPxFIN'!AB67*(1-D27)*$A13</f>
        <v>31.331745000000002</v>
      </c>
      <c r="E13" s="121">
        <f>'FONTE OPxFIN'!AC67*(1-E27)*$A13</f>
        <v>351.41121360378037</v>
      </c>
      <c r="F13" s="121">
        <f>'FONTE OPxFIN'!AD67*(1-F27)*$A13</f>
        <v>1689.2000285043798</v>
      </c>
      <c r="G13" s="121">
        <f>'FONTE OPxFIN'!AE67*(1-G27)*$A13</f>
        <v>338.5273829749504</v>
      </c>
      <c r="H13" s="144">
        <f>'FONTE OPxFIN'!AF67*(1-H27)*$A13</f>
        <v>2432.5821217382741</v>
      </c>
      <c r="I13" s="121">
        <f>'FONTE OPxFIN'!AG67*(1-I27)*$A13</f>
        <v>2449.670484375562</v>
      </c>
      <c r="J13" s="121">
        <f>'FONTE OPxFIN'!AH67*(1-J27)*$A13</f>
        <v>3598.8207562119678</v>
      </c>
      <c r="K13" s="121">
        <f>'FONTE OPxFIN'!AI67*(1-K27)*$A13</f>
        <v>6558.4700165268023</v>
      </c>
      <c r="L13" s="121">
        <f>'FONTE OPxFIN'!AJ67*(1-L27)*$A13</f>
        <v>7979.6912902408367</v>
      </c>
      <c r="M13" s="144">
        <f>'FONTE OPxFIN'!AK67*(1-M27)*$A13</f>
        <v>20705.189765791398</v>
      </c>
      <c r="N13" s="121">
        <f>'FONTE OPxFIN'!AL67*(1-N27)*$A13</f>
        <v>10205.790562570584</v>
      </c>
      <c r="O13" s="121">
        <f>'FONTE OPxFIN'!AM67*(1-O27)*$A13</f>
        <v>8811.7458228293362</v>
      </c>
      <c r="P13" s="121">
        <f>'FONTE OPxFIN'!AN67*(1-P27)*$A13</f>
        <v>11426.594129961679</v>
      </c>
      <c r="Q13" s="121">
        <f>'FONTE OPxFIN'!AO67*(1-Q27)*$A13</f>
        <v>13023.474301508859</v>
      </c>
      <c r="R13" s="144">
        <f>'FONTE OPxFIN'!AP67*(1-R27)*$A13</f>
        <v>43493.791621727971</v>
      </c>
      <c r="S13" s="121">
        <f>'FONTE OPxFIN'!AQ67*(1-S27)*$A13</f>
        <v>17274.309818318652</v>
      </c>
      <c r="T13" s="121">
        <f>'FONTE OPxFIN'!AR67*(1-T27)*$A13</f>
        <v>15833.971051063876</v>
      </c>
      <c r="U13" s="121">
        <f>'FONTE OPxFIN'!AS67*(1-U27)*$A13</f>
        <v>12907.213981359751</v>
      </c>
      <c r="V13" s="121">
        <f>'FONTE OPxFIN'!AT67*(1-V27)*$A13</f>
        <v>19842.642404932943</v>
      </c>
      <c r="W13" s="144">
        <f>'FONTE OPxFIN'!AU67*(1-W27)*$A13</f>
        <v>65853.291528969276</v>
      </c>
      <c r="X13" s="121">
        <f>'FONTE OPxFIN'!AV67*(1-X27)*$A13</f>
        <v>27307.277750642155</v>
      </c>
      <c r="Y13" s="121">
        <f>'FONTE OPxFIN'!AW67*(1-Y27)*$A13</f>
        <v>24738.130307233012</v>
      </c>
      <c r="Z13" s="121">
        <f>'FONTE OPxFIN'!AX67*(1-Z27)*$A13</f>
        <v>30512.962795730218</v>
      </c>
      <c r="AA13" s="121">
        <f>'FONTE OPxFIN'!AY67*(1-AA27)*$A13</f>
        <v>30843.430905327354</v>
      </c>
      <c r="AB13" s="144">
        <f>'FONTE OPxFIN'!AZ67*(1-AB27)*$A13</f>
        <v>113446.02186418415</v>
      </c>
      <c r="AC13" s="121">
        <f>'FONTE OPxFIN'!BA67*(1-AC27)*$A13</f>
        <v>41088.843313967925</v>
      </c>
      <c r="AD13" s="174"/>
      <c r="AF13" s="168"/>
    </row>
    <row r="14" spans="1:33" s="2" customFormat="1">
      <c r="A14" s="556">
        <v>0.75</v>
      </c>
      <c r="B14" s="11" t="s">
        <v>576</v>
      </c>
      <c r="C14" s="411" t="s">
        <v>0</v>
      </c>
      <c r="D14" s="412" t="s">
        <v>0</v>
      </c>
      <c r="E14" s="412" t="s">
        <v>0</v>
      </c>
      <c r="F14" s="412" t="s">
        <v>0</v>
      </c>
      <c r="G14" s="412" t="s">
        <v>0</v>
      </c>
      <c r="H14" s="411" t="s">
        <v>0</v>
      </c>
      <c r="I14" s="153">
        <f>'FONTE OPxFIN'!AG68*(1-I28)*$A14</f>
        <v>2890.028763511732</v>
      </c>
      <c r="J14" s="153">
        <f>'FONTE OPxFIN'!AH68*(1-J28)*$A14</f>
        <v>1181.1289027309463</v>
      </c>
      <c r="K14" s="153">
        <f>'FONTE OPxFIN'!AI68*(1-K28)*$A14</f>
        <v>1037.7685420151106</v>
      </c>
      <c r="L14" s="153">
        <f>'FONTE OPxFIN'!AJ68*(1-L28)*$A14</f>
        <v>1303.5262901727478</v>
      </c>
      <c r="M14" s="144">
        <f>'FONTE OPxFIN'!AK68*(1-M28)*$A14</f>
        <v>5532.861583683658</v>
      </c>
      <c r="N14" s="153">
        <f>'FONTE OPxFIN'!AL68*(1-N28)*$A14</f>
        <v>1596.1306069932893</v>
      </c>
      <c r="O14" s="153">
        <f>'FONTE OPxFIN'!AM68*(1-O28)*$A14</f>
        <v>1673.2140765106114</v>
      </c>
      <c r="P14" s="153">
        <f>'FONTE OPxFIN'!AN68*(1-P28)*$A14</f>
        <v>2387.6860282373982</v>
      </c>
      <c r="Q14" s="153">
        <f>'FONTE OPxFIN'!AO68*(1-Q28)*$A14</f>
        <v>2497.7742031517796</v>
      </c>
      <c r="R14" s="144">
        <f>'FONTE OPxFIN'!AP68*(1-R28)*$A14</f>
        <v>8163.6101885060598</v>
      </c>
      <c r="S14" s="153">
        <f>'FONTE OPxFIN'!AQ68*(1-S28)*$A14</f>
        <v>2816.0871687411532</v>
      </c>
      <c r="T14" s="153">
        <f>'FONTE OPxFIN'!AR68*(1-T28)*$A14</f>
        <v>3085.6940277656913</v>
      </c>
      <c r="U14" s="153">
        <f>'FONTE OPxFIN'!AS68*(1-U28)*$A14</f>
        <v>3711.6673543720781</v>
      </c>
      <c r="V14" s="153">
        <f>'FONTE OPxFIN'!AT68*(1-V28)*$A14</f>
        <v>4010.3477084459037</v>
      </c>
      <c r="W14" s="144">
        <f>'FONTE OPxFIN'!AU68*(1-W28)*$A14</f>
        <v>13616.821992612129</v>
      </c>
      <c r="X14" s="153">
        <f>'FONTE OPxFIN'!AV68*(1-X28)*$A14</f>
        <v>4216.108724704085</v>
      </c>
      <c r="Y14" s="153">
        <f>'FONTE OPxFIN'!AW68*(1-Y28)*$A14</f>
        <v>5723.6045834368515</v>
      </c>
      <c r="Z14" s="153">
        <f>'FONTE OPxFIN'!AX68*(1-Z28)*$A14</f>
        <v>6335.0926063341885</v>
      </c>
      <c r="AA14" s="153">
        <f>'FONTE OPxFIN'!AY68*(1-AA28)*$A14</f>
        <v>8295.0959122128152</v>
      </c>
      <c r="AB14" s="144">
        <f>'FONTE OPxFIN'!AZ68*(1-AB28)*$A14</f>
        <v>24439.212296457696</v>
      </c>
      <c r="AC14" s="153">
        <f>'FONTE OPxFIN'!BA68*(1-AC28)*$A14</f>
        <v>6130.9140026393879</v>
      </c>
      <c r="AD14" s="174"/>
      <c r="AF14" s="168"/>
    </row>
    <row r="15" spans="1:33" s="2" customFormat="1">
      <c r="A15" s="556">
        <v>0.75</v>
      </c>
      <c r="B15" s="11" t="s">
        <v>268</v>
      </c>
      <c r="C15" s="144">
        <f>'FONTE OPxFIN'!AA69*(1-C29)*$A$15</f>
        <v>28.5</v>
      </c>
      <c r="D15" s="121">
        <f>'FONTE OPxFIN'!AB69*(1-D29)*$A$15</f>
        <v>44.960931882722036</v>
      </c>
      <c r="E15" s="121">
        <f>'FONTE OPxFIN'!AC69*(1-E29)*$A$15</f>
        <v>140.00893658546735</v>
      </c>
      <c r="F15" s="121">
        <f>'FONTE OPxFIN'!AD69*(1-F29)*$A$15</f>
        <v>28.273152528703587</v>
      </c>
      <c r="G15" s="121">
        <f>'FONTE OPxFIN'!AE69*(1-G29)*$A$15</f>
        <v>-3.2390613541921294</v>
      </c>
      <c r="H15" s="144">
        <f>'FONTE OPxFIN'!AF69*(1-H29)*$A$15</f>
        <v>209.27972133421798</v>
      </c>
      <c r="I15" s="121">
        <f>'FONTE OPxFIN'!AG69*(1-I29)*$A$15</f>
        <v>-76.571553840757616</v>
      </c>
      <c r="J15" s="121">
        <f>'FONTE OPxFIN'!AH69*(1-J29)*$A$15</f>
        <v>-44.397185080928921</v>
      </c>
      <c r="K15" s="121">
        <f>'FONTE OPxFIN'!AI69*(1-K29)*$A$15</f>
        <v>270.988488814726</v>
      </c>
      <c r="L15" s="121">
        <f>'FONTE OPxFIN'!AJ69*(1-L29)*$A$15</f>
        <v>1317.6875526517363</v>
      </c>
      <c r="M15" s="144">
        <f>'FONTE OPxFIN'!AK69*(1-M29)*$A$15</f>
        <v>1501.0363758555973</v>
      </c>
      <c r="N15" s="121">
        <f>'FONTE OPxFIN'!AL69*(1-N29)*$A$15</f>
        <v>779.04572866911781</v>
      </c>
      <c r="O15" s="121">
        <f>'FONTE OPxFIN'!AM69*(1-O29)*$A$15</f>
        <v>932.5507742369839</v>
      </c>
      <c r="P15" s="121">
        <f>'FONTE OPxFIN'!AN69*(1-P29)*$A$15</f>
        <v>1090.8035595751744</v>
      </c>
      <c r="Q15" s="121">
        <f>'FONTE OPxFIN'!AO69*(1-Q29)*$A$15</f>
        <v>1064.5162228242914</v>
      </c>
      <c r="R15" s="144">
        <f>'FONTE OPxFIN'!AP69*(1-R29)*$A$15</f>
        <v>3866.7987264491562</v>
      </c>
      <c r="S15" s="121">
        <f>'FONTE OPxFIN'!AQ69*(1-S29)*$A$15</f>
        <v>957.11871229547319</v>
      </c>
      <c r="T15" s="121">
        <f>'FONTE OPxFIN'!AR69*(1-T29)*$A$15</f>
        <v>1165.2229394240317</v>
      </c>
      <c r="U15" s="121">
        <f>'FONTE OPxFIN'!AS69*(1-U29)*$A$15</f>
        <v>1433.5173593368536</v>
      </c>
      <c r="V15" s="121">
        <f>'FONTE OPxFIN'!AT69*(1-V29)*$A$15</f>
        <v>1681.9993700477744</v>
      </c>
      <c r="W15" s="144">
        <f>'FONTE OPxFIN'!AU69*(1-W29)*$A$15</f>
        <v>5238.1742993705802</v>
      </c>
      <c r="X15" s="121">
        <f>'FONTE OPxFIN'!AV69*(1-X29)*$A$15</f>
        <v>2155.1067529500801</v>
      </c>
      <c r="Y15" s="121">
        <f>'FONTE OPxFIN'!AW69*(1-Y29)*$A$15</f>
        <v>2745.7635752586662</v>
      </c>
      <c r="Z15" s="121">
        <f>'FONTE OPxFIN'!AX69*(1-Z29)*$A$15</f>
        <v>3384.4966357868179</v>
      </c>
      <c r="AA15" s="121">
        <f>'FONTE OPxFIN'!AY69*(1-AA29)*$A$15</f>
        <v>3467.347505529614</v>
      </c>
      <c r="AB15" s="144">
        <f>'FONTE OPxFIN'!AZ69*(1-AB29)*$A$15</f>
        <v>11757.368165884258</v>
      </c>
      <c r="AC15" s="121">
        <f>'FONTE OPxFIN'!BA69*(1-AC29)*$A$15</f>
        <v>3828.3281506016665</v>
      </c>
      <c r="AD15" s="174"/>
      <c r="AF15" s="168"/>
    </row>
    <row r="16" spans="1:33" s="2" customFormat="1">
      <c r="A16" s="557"/>
      <c r="B16" s="21" t="s">
        <v>610</v>
      </c>
      <c r="C16" s="366">
        <f t="shared" ref="C16:X16" si="8">C17</f>
        <v>442352.83626483491</v>
      </c>
      <c r="D16" s="365">
        <f t="shared" si="8"/>
        <v>51190.882178371918</v>
      </c>
      <c r="E16" s="365">
        <f t="shared" si="8"/>
        <v>41713.705757957578</v>
      </c>
      <c r="F16" s="365">
        <f t="shared" si="8"/>
        <v>27367.593437913332</v>
      </c>
      <c r="G16" s="365">
        <f t="shared" si="8"/>
        <v>31278.29590698942</v>
      </c>
      <c r="H16" s="366">
        <f t="shared" si="8"/>
        <v>151884.77268173493</v>
      </c>
      <c r="I16" s="365">
        <f t="shared" si="8"/>
        <v>32433.167001640617</v>
      </c>
      <c r="J16" s="365">
        <f t="shared" si="8"/>
        <v>20757.502355889788</v>
      </c>
      <c r="K16" s="365">
        <f t="shared" si="8"/>
        <v>46787.926037035919</v>
      </c>
      <c r="L16" s="365">
        <f t="shared" si="8"/>
        <v>24054.754440675457</v>
      </c>
      <c r="M16" s="366">
        <f t="shared" si="8"/>
        <v>124089.16254230545</v>
      </c>
      <c r="N16" s="365">
        <f t="shared" si="8"/>
        <v>34484.621714472931</v>
      </c>
      <c r="O16" s="365">
        <f t="shared" si="8"/>
        <v>32146.647055420533</v>
      </c>
      <c r="P16" s="365">
        <f t="shared" si="8"/>
        <v>47231.108854169077</v>
      </c>
      <c r="Q16" s="365">
        <f t="shared" si="8"/>
        <v>46201.52166454598</v>
      </c>
      <c r="R16" s="366">
        <f t="shared" si="8"/>
        <v>156036.65540952311</v>
      </c>
      <c r="S16" s="365">
        <f t="shared" si="8"/>
        <v>28306.261222845405</v>
      </c>
      <c r="T16" s="365">
        <f t="shared" si="8"/>
        <v>28647.804857653926</v>
      </c>
      <c r="U16" s="365">
        <f t="shared" si="8"/>
        <v>41699.985922085914</v>
      </c>
      <c r="V16" s="365">
        <f t="shared" si="8"/>
        <v>35478.674305526773</v>
      </c>
      <c r="W16" s="366">
        <f t="shared" si="8"/>
        <v>130532.43665902526</v>
      </c>
      <c r="X16" s="365">
        <f t="shared" si="8"/>
        <v>37737.161528588833</v>
      </c>
      <c r="Y16" s="365">
        <f>Y17</f>
        <v>44510.61367395836</v>
      </c>
      <c r="Z16" s="365">
        <f>Z17</f>
        <v>56302.616049544973</v>
      </c>
      <c r="AA16" s="365">
        <f>AA17</f>
        <v>51189.029764187784</v>
      </c>
      <c r="AB16" s="366">
        <f>AB17</f>
        <v>185550.88980859891</v>
      </c>
      <c r="AC16" s="365">
        <f t="shared" ref="AC16" si="9">AC17</f>
        <v>50957.188515402588</v>
      </c>
      <c r="AD16" s="174"/>
      <c r="AF16" s="168"/>
    </row>
    <row r="17" spans="1:32" s="2" customFormat="1">
      <c r="A17" s="556">
        <v>0.48249999999999998</v>
      </c>
      <c r="B17" s="11" t="s">
        <v>611</v>
      </c>
      <c r="C17" s="144">
        <f>'FONTE OPxFIN'!AA71*(1-C30)*$A17</f>
        <v>442352.83626483491</v>
      </c>
      <c r="D17" s="153">
        <f>'FONTE OPxFIN'!AB71*(1-D30)*$A17</f>
        <v>51190.882178371918</v>
      </c>
      <c r="E17" s="153">
        <f>'FONTE OPxFIN'!AC71*(1-E30)*$A17</f>
        <v>41713.705757957578</v>
      </c>
      <c r="F17" s="153">
        <f>'FONTE OPxFIN'!AD71*(1-F30)*$A17</f>
        <v>27367.593437913332</v>
      </c>
      <c r="G17" s="153">
        <f>'FONTE OPxFIN'!AE71*(1-G30)*$A17</f>
        <v>31278.29590698942</v>
      </c>
      <c r="H17" s="144">
        <f>'FONTE OPxFIN'!AF71*(1-H30)*$A17</f>
        <v>151884.77268173493</v>
      </c>
      <c r="I17" s="153">
        <f>'FONTE OPxFIN'!AG71*(1-I30)*$A17</f>
        <v>32433.167001640617</v>
      </c>
      <c r="J17" s="153">
        <f>'FONTE OPxFIN'!AH71*(1-J30)*$A17</f>
        <v>20757.502355889788</v>
      </c>
      <c r="K17" s="153">
        <f>'FONTE OPxFIN'!AI71*(1-K30)*$A17</f>
        <v>46787.926037035919</v>
      </c>
      <c r="L17" s="153">
        <f>'FONTE OPxFIN'!AJ71*(1-L30)*$A17</f>
        <v>24054.754440675457</v>
      </c>
      <c r="M17" s="379">
        <f>'FONTE OPxFIN'!AK71*(1-M30)*$A17</f>
        <v>124089.16254230545</v>
      </c>
      <c r="N17" s="153">
        <f>'FONTE OPxFIN'!AL71*(1-N30)*$A17</f>
        <v>34484.621714472931</v>
      </c>
      <c r="O17" s="153">
        <f>'FONTE OPxFIN'!AM71*(1-O30)*$A17</f>
        <v>32146.647055420533</v>
      </c>
      <c r="P17" s="153">
        <f>'FONTE OPxFIN'!AN71*(1-P30)*$A17</f>
        <v>47231.108854169077</v>
      </c>
      <c r="Q17" s="153">
        <f>'FONTE OPxFIN'!AO71*(1-Q30)*$A17</f>
        <v>46201.52166454598</v>
      </c>
      <c r="R17" s="379">
        <f>'FONTE OPxFIN'!AP71*(1-R30)*$A17</f>
        <v>156036.65540952311</v>
      </c>
      <c r="S17" s="153">
        <f>'FONTE OPxFIN'!AQ71*(1-S30)*$A17</f>
        <v>28306.261222845405</v>
      </c>
      <c r="T17" s="153">
        <f>'FONTE OPxFIN'!AR71*(1-T30)*$A17</f>
        <v>28647.804857653926</v>
      </c>
      <c r="U17" s="153">
        <f>'FONTE OPxFIN'!AS71*(1-U30)*$A17</f>
        <v>41699.985922085914</v>
      </c>
      <c r="V17" s="153">
        <f>'FONTE OPxFIN'!AT71*(1-V30)*$A17</f>
        <v>35478.674305526773</v>
      </c>
      <c r="W17" s="379">
        <f>'FONTE OPxFIN'!AU71*(1-W30)*$A17</f>
        <v>130532.43665902526</v>
      </c>
      <c r="X17" s="153">
        <f>'FONTE OPxFIN'!AV71*(1-X30)*$A17</f>
        <v>37737.161528588833</v>
      </c>
      <c r="Y17" s="153">
        <f>'FONTE OPxFIN'!AW71*(1-Y30)*$A17</f>
        <v>44510.61367395836</v>
      </c>
      <c r="Z17" s="153">
        <f>'FONTE OPxFIN'!AX71*(1-Z30)*$A17</f>
        <v>56302.616049544973</v>
      </c>
      <c r="AA17" s="153">
        <f>'FONTE OPxFIN'!AY71*(1-AA30)*$A17</f>
        <v>51189.029764187784</v>
      </c>
      <c r="AB17" s="379">
        <f>'FONTE OPxFIN'!AZ71*(1-AB30)*$A17</f>
        <v>185550.88980859891</v>
      </c>
      <c r="AC17" s="153">
        <f>'FONTE OPxFIN'!BA71*(1-AC30)*$A17</f>
        <v>50957.188515402588</v>
      </c>
      <c r="AD17" s="174"/>
      <c r="AF17" s="168"/>
    </row>
    <row r="18" spans="1:32" s="2" customFormat="1">
      <c r="A18" s="557">
        <v>0.49</v>
      </c>
      <c r="B18" s="21" t="s">
        <v>617</v>
      </c>
      <c r="C18" s="366">
        <f>'FONTE OPxFIN'!AA82*(1-C42)*$A18</f>
        <v>9169.5108563609065</v>
      </c>
      <c r="D18" s="365">
        <f>'FONTE OPxFIN'!AB82*(1-D42)*$A18</f>
        <v>2814.9149331626918</v>
      </c>
      <c r="E18" s="365">
        <f>'FONTE OPxFIN'!AC82*(1-E42)*$A18</f>
        <v>5065.4086928190127</v>
      </c>
      <c r="F18" s="365">
        <f>'FONTE OPxFIN'!AD82*(1-F42)*$A18</f>
        <v>2203.8014911511768</v>
      </c>
      <c r="G18" s="365">
        <f>'FONTE OPxFIN'!AE82*(1-G42)*$A18</f>
        <v>6098.9909134229702</v>
      </c>
      <c r="H18" s="366">
        <f>'FONTE OPxFIN'!AF82*(1-H42)*$A18</f>
        <v>16138.819774705242</v>
      </c>
      <c r="I18" s="365">
        <f>'FONTE OPxFIN'!AG82*(1-I42)*$A18</f>
        <v>11654.852062537726</v>
      </c>
      <c r="J18" s="365">
        <f>'FONTE OPxFIN'!AH82*(1-J42)*$A18</f>
        <v>11728.181817812956</v>
      </c>
      <c r="K18" s="365">
        <f>'FONTE OPxFIN'!AI82*(1-K42)*$A18</f>
        <v>15100.70326849652</v>
      </c>
      <c r="L18" s="365">
        <f>'FONTE OPxFIN'!AJ82*(1-L42)*$A18</f>
        <v>18419.450446721814</v>
      </c>
      <c r="M18" s="366">
        <f>'FONTE OPxFIN'!AK82*(1-M42)*$A18</f>
        <v>57027.056890889849</v>
      </c>
      <c r="N18" s="365">
        <f>'FONTE OPxFIN'!AL82*(1-N42)*$A18</f>
        <v>16975.88682052018</v>
      </c>
      <c r="O18" s="365">
        <f>'FONTE OPxFIN'!AM82*(1-O42)*$A18</f>
        <v>18642.643574820446</v>
      </c>
      <c r="P18" s="365">
        <f>'FONTE OPxFIN'!AN82*(1-P42)*$A18</f>
        <v>22754.409745531575</v>
      </c>
      <c r="Q18" s="365">
        <f>'FONTE OPxFIN'!AO82*(1-Q42)*$A18</f>
        <v>21155.863270692418</v>
      </c>
      <c r="R18" s="366">
        <f>'FONTE OPxFIN'!AP82*(1-R42)*$A18</f>
        <v>79520.676665076753</v>
      </c>
      <c r="S18" s="365">
        <f>'FONTE OPxFIN'!AQ82*(1-S42)*$A18</f>
        <v>18666.622175049255</v>
      </c>
      <c r="T18" s="365">
        <f>'FONTE OPxFIN'!AR82*(1-T42)*$A18</f>
        <v>20532.783719323819</v>
      </c>
      <c r="U18" s="365">
        <f>'FONTE OPxFIN'!AS82*(1-U42)*$A18</f>
        <v>21090.448575247876</v>
      </c>
      <c r="V18" s="365">
        <f>'FONTE OPxFIN'!AT82*(1-V42)*$A18</f>
        <v>23540.966504737022</v>
      </c>
      <c r="W18" s="366">
        <f>'FONTE OPxFIN'!AU82*(1-W42)*$A18</f>
        <v>83838.769779252762</v>
      </c>
      <c r="X18" s="365">
        <f>'FONTE OPxFIN'!AV82*(1-X42)*$A18</f>
        <v>21773.36499126779</v>
      </c>
      <c r="Y18" s="365">
        <f>'FONTE OPxFIN'!AW82*(1-Y42)*$A18</f>
        <v>24712.289291260928</v>
      </c>
      <c r="Z18" s="365">
        <f>'FONTE OPxFIN'!AX82*(1-Z42)*$A18</f>
        <v>28784.35542888931</v>
      </c>
      <c r="AA18" s="365">
        <f>'FONTE OPxFIN'!AY82*(1-AA42)*$A18</f>
        <v>28100.938247800732</v>
      </c>
      <c r="AB18" s="366">
        <f>'FONTE OPxFIN'!AZ82*(1-AB42)*$A18</f>
        <v>103542.26293098646</v>
      </c>
      <c r="AC18" s="365">
        <f>'FONTE OPxFIN'!BA82*(1-AC42)*$A18</f>
        <v>26087.285567879651</v>
      </c>
      <c r="AD18" s="174"/>
      <c r="AF18" s="168"/>
    </row>
    <row r="19" spans="1:32" s="2" customFormat="1" ht="15.75" thickBot="1">
      <c r="A19" s="557">
        <v>1</v>
      </c>
      <c r="B19" s="21" t="s">
        <v>441</v>
      </c>
      <c r="C19" s="408">
        <f>'FONTE OPxFIN'!AA85*(1-C45)*$A19</f>
        <v>16865.54748981199</v>
      </c>
      <c r="D19" s="367">
        <f>'FONTE OPxFIN'!AB85*(1-D45)*$A19</f>
        <v>-152.77157665009887</v>
      </c>
      <c r="E19" s="367">
        <f>'FONTE OPxFIN'!AC85*(1-E45)*$A19</f>
        <v>2080.1349761803726</v>
      </c>
      <c r="F19" s="367">
        <f>'FONTE OPxFIN'!AD85*(1-F45)*$A19</f>
        <v>3934.0561852753149</v>
      </c>
      <c r="G19" s="367">
        <f>'FONTE OPxFIN'!AE85*(1-G45)*$A19</f>
        <v>2661.705532578274</v>
      </c>
      <c r="H19" s="408">
        <f>'FONTE OPxFIN'!AF85*(1-H45)*$A19</f>
        <v>8665.2092751241198</v>
      </c>
      <c r="I19" s="367">
        <f>'FONTE OPxFIN'!AG85*(1-I45)*$A19</f>
        <v>11577.03194097702</v>
      </c>
      <c r="J19" s="367">
        <f>'FONTE OPxFIN'!AH85*(1-J45)*$A19</f>
        <v>17811.817365387957</v>
      </c>
      <c r="K19" s="367">
        <f>'FONTE OPxFIN'!AI85*(1-K45)*$A19</f>
        <v>23737.097562903684</v>
      </c>
      <c r="L19" s="367">
        <f>'FONTE OPxFIN'!AJ85*(1-L45)*$A19</f>
        <v>28454.913722239762</v>
      </c>
      <c r="M19" s="408">
        <f>'FONTE OPxFIN'!AK85*(1-M45)*$A19</f>
        <v>81445.357115100938</v>
      </c>
      <c r="N19" s="367">
        <f>'FONTE OPxFIN'!AL85*(1-N45)*$A19</f>
        <v>12900.786493911753</v>
      </c>
      <c r="O19" s="367">
        <f>'FONTE OPxFIN'!AM85*(1-O45)*$A19</f>
        <v>26908.732825124225</v>
      </c>
      <c r="P19" s="367">
        <f>'FONTE OPxFIN'!AN85*(1-P45)*$A19</f>
        <v>27010.978142461321</v>
      </c>
      <c r="Q19" s="367">
        <f>'FONTE OPxFIN'!AO85*(1-Q45)*$A19</f>
        <v>29555.324045309026</v>
      </c>
      <c r="R19" s="408">
        <f>'FONTE OPxFIN'!AP85*(1-R45)*$A19</f>
        <v>96550.685558979341</v>
      </c>
      <c r="S19" s="367">
        <f>'FONTE OPxFIN'!AQ85*(1-S45)*$A19</f>
        <v>-6207.3201570657448</v>
      </c>
      <c r="T19" s="367">
        <f>'FONTE OPxFIN'!AR85*(1-T45)*$A19</f>
        <v>14678.100778676879</v>
      </c>
      <c r="U19" s="367">
        <f>'FONTE OPxFIN'!AS85*(1-U45)*$A19</f>
        <v>24948.993694104618</v>
      </c>
      <c r="V19" s="367">
        <f>'FONTE OPxFIN'!AT85*(1-V45)*$A19</f>
        <v>29281.434544709547</v>
      </c>
      <c r="W19" s="408">
        <f>'FONTE OPxFIN'!AU85*(1-W45)*$A19</f>
        <v>63125.08889795858</v>
      </c>
      <c r="X19" s="367">
        <f>'FONTE OPxFIN'!AV85*(1-X45)*$A19</f>
        <v>24523.52448353195</v>
      </c>
      <c r="Y19" s="367">
        <f>'FONTE OPxFIN'!AW85*(1-Y45)*$A19</f>
        <v>39077.536965518804</v>
      </c>
      <c r="Z19" s="367">
        <f>'FONTE OPxFIN'!AX85*(1-Z45)*$A19</f>
        <v>43884.674747955585</v>
      </c>
      <c r="AA19" s="367">
        <f>'FONTE OPxFIN'!AY85*(1-AA45)*$A19</f>
        <v>48839.793140615919</v>
      </c>
      <c r="AB19" s="408">
        <f>'FONTE OPxFIN'!AZ85*(1-AB45)*$A19</f>
        <v>156271.26922741442</v>
      </c>
      <c r="AC19" s="367">
        <f>'FONTE OPxFIN'!BA85*(1-AC45)*$A19</f>
        <v>24890.955505546903</v>
      </c>
      <c r="AD19" s="174"/>
      <c r="AF19" s="168"/>
    </row>
    <row r="20" spans="1:32" s="2" customFormat="1">
      <c r="A20" s="478"/>
      <c r="B20" s="479"/>
      <c r="C20" s="480"/>
      <c r="D20" s="481"/>
      <c r="E20" s="481"/>
      <c r="F20" s="481"/>
      <c r="G20" s="481"/>
      <c r="H20" s="480"/>
      <c r="I20" s="481"/>
      <c r="J20" s="481"/>
      <c r="K20" s="481"/>
      <c r="L20" s="481"/>
      <c r="M20" s="480"/>
      <c r="N20" s="481"/>
      <c r="O20" s="481"/>
      <c r="P20" s="481"/>
      <c r="Q20" s="481"/>
      <c r="R20" s="480"/>
      <c r="S20" s="481"/>
      <c r="T20" s="481"/>
      <c r="U20" s="481"/>
      <c r="V20" s="481"/>
      <c r="W20" s="480"/>
      <c r="X20" s="481"/>
      <c r="Y20" s="481"/>
      <c r="Z20" s="481"/>
      <c r="AA20" s="481"/>
      <c r="AB20" s="480"/>
      <c r="AC20" s="481"/>
    </row>
    <row r="21" spans="1:32" s="387" customFormat="1" ht="30.6" customHeight="1">
      <c r="A21" s="381"/>
      <c r="B21" s="388" t="s">
        <v>632</v>
      </c>
      <c r="C21" s="389">
        <f>-'FONTE OPxFIN'!AA35/'FONTE OPxFIN'!AA9</f>
        <v>6.9356195586872574E-2</v>
      </c>
      <c r="D21" s="388">
        <f>-'FONTE OPxFIN'!AB35/'FONTE OPxFIN'!AB9</f>
        <v>5.0793578368839652E-2</v>
      </c>
      <c r="E21" s="388">
        <f>-'FONTE OPxFIN'!AC35/'FONTE OPxFIN'!AC9</f>
        <v>4.5647156765864512E-2</v>
      </c>
      <c r="F21" s="388">
        <f>-'FONTE OPxFIN'!AD35/'FONTE OPxFIN'!AD9</f>
        <v>4.9446424804115326E-2</v>
      </c>
      <c r="G21" s="388">
        <f>-'FONTE OPxFIN'!AE35/'FONTE OPxFIN'!AE9</f>
        <v>3.9940886049479991E-2</v>
      </c>
      <c r="H21" s="389">
        <f>-'FONTE OPxFIN'!AF35/'FONTE OPxFIN'!AF9</f>
        <v>5.543668297943876E-2</v>
      </c>
      <c r="I21" s="388">
        <f>-'FONTE OPxFIN'!AG35/'FONTE OPxFIN'!AG9</f>
        <v>6.0975257482014412E-2</v>
      </c>
      <c r="J21" s="388">
        <f>-'FONTE OPxFIN'!AH35/'FONTE OPxFIN'!AH9</f>
        <v>6.380984074791593E-2</v>
      </c>
      <c r="K21" s="388">
        <f>-'FONTE OPxFIN'!AI35/'FONTE OPxFIN'!AI9</f>
        <v>7.0149212673673023E-2</v>
      </c>
      <c r="L21" s="388">
        <f>-'FONTE OPxFIN'!AJ35/'FONTE OPxFIN'!AJ9</f>
        <v>9.9185149132291567E-2</v>
      </c>
      <c r="M21" s="389">
        <f>-'FONTE OPxFIN'!AK35/'FONTE OPxFIN'!AK9</f>
        <v>7.2083651289579609E-2</v>
      </c>
      <c r="N21" s="388">
        <f>-'FONTE OPxFIN'!AL35/'FONTE OPxFIN'!AL9</f>
        <v>9.4933339466442682E-2</v>
      </c>
      <c r="O21" s="388">
        <f>-'FONTE OPxFIN'!AM35/'FONTE OPxFIN'!AM9</f>
        <v>9.5119794164299679E-2</v>
      </c>
      <c r="P21" s="388">
        <f>-'FONTE OPxFIN'!AN35/'FONTE OPxFIN'!AN9</f>
        <v>9.8687633949432155E-2</v>
      </c>
      <c r="Q21" s="388">
        <f>-'FONTE OPxFIN'!AO35/'FONTE OPxFIN'!AO9</f>
        <v>9.7752084008117135E-2</v>
      </c>
      <c r="R21" s="389">
        <f>-'FONTE OPxFIN'!AP35/'FONTE OPxFIN'!AP9</f>
        <v>9.6632762380275225E-2</v>
      </c>
      <c r="S21" s="388">
        <f>-'FONTE OPxFIN'!AQ35/'FONTE OPxFIN'!AQ9</f>
        <v>9.9911817006857417E-2</v>
      </c>
      <c r="T21" s="388">
        <f>-'FONTE OPxFIN'!AR35/'FONTE OPxFIN'!AR9</f>
        <v>8.7132031055634648E-2</v>
      </c>
      <c r="U21" s="388">
        <f>-'FONTE OPxFIN'!AS35/'FONTE OPxFIN'!AS9</f>
        <v>0.10104682772722723</v>
      </c>
      <c r="V21" s="388">
        <f>-'FONTE OPxFIN'!AT35/'FONTE OPxFIN'!AT9</f>
        <v>9.4913313820597173E-2</v>
      </c>
      <c r="W21" s="389">
        <f>-'FONTE OPxFIN'!AU35/'FONTE OPxFIN'!AU9</f>
        <v>9.5818052471179291E-2</v>
      </c>
      <c r="X21" s="388">
        <f>-'FONTE OPxFIN'!AV35/'FONTE OPxFIN'!AV9</f>
        <v>0.10566491078661276</v>
      </c>
      <c r="Y21" s="388">
        <f>-'FONTE OPxFIN'!AW35/'FONTE OPxFIN'!AW9</f>
        <v>0.11837743010214384</v>
      </c>
      <c r="Z21" s="388">
        <f>-'FONTE OPxFIN'!AX35/'FONTE OPxFIN'!AX9</f>
        <v>0.1097027084432811</v>
      </c>
      <c r="AA21" s="388">
        <f>-'FONTE OPxFIN'!AY35/'FONTE OPxFIN'!AY9</f>
        <v>0.10593628373906887</v>
      </c>
      <c r="AB21" s="389">
        <f>-'FONTE OPxFIN'!AZ35/'FONTE OPxFIN'!AZ9</f>
        <v>0.10969033450189875</v>
      </c>
      <c r="AC21" s="388">
        <f>-'FONTE OPxFIN'!BA35/'FONTE OPxFIN'!BA9</f>
        <v>0.11403175996213864</v>
      </c>
    </row>
    <row r="22" spans="1:32" s="2" customFormat="1">
      <c r="A22" s="363"/>
      <c r="B22" s="21" t="s">
        <v>609</v>
      </c>
      <c r="C22" s="398">
        <f>-'FONTE OPxFIN'!AA36/'FONTE OPxFIN'!AA10</f>
        <v>0.37969553797545164</v>
      </c>
      <c r="D22" s="369">
        <f>-'FONTE OPxFIN'!AB36/'FONTE OPxFIN'!AB10</f>
        <v>3.2335853939802608E-2</v>
      </c>
      <c r="E22" s="369">
        <f>-'FONTE OPxFIN'!AC36/'FONTE OPxFIN'!AC10</f>
        <v>3.0584028037499454E-2</v>
      </c>
      <c r="F22" s="369">
        <f>-'FONTE OPxFIN'!AD36/'FONTE OPxFIN'!AD10</f>
        <v>3.6686928250971633E-2</v>
      </c>
      <c r="G22" s="369">
        <f>-'FONTE OPxFIN'!AE36/'FONTE OPxFIN'!AE10</f>
        <v>3.1483433645094018E-2</v>
      </c>
      <c r="H22" s="368">
        <f>-'FONTE OPxFIN'!AF36/'FONTE OPxFIN'!AF10</f>
        <v>3.2768127344380518E-2</v>
      </c>
      <c r="I22" s="369">
        <f>-'FONTE OPxFIN'!AG36/'FONTE OPxFIN'!AG10</f>
        <v>3.6291873127114398E-2</v>
      </c>
      <c r="J22" s="369">
        <f>-'FONTE OPxFIN'!AH36/'FONTE OPxFIN'!AH10</f>
        <v>4.2038908763650532E-2</v>
      </c>
      <c r="K22" s="369">
        <f>-'FONTE OPxFIN'!AI36/'FONTE OPxFIN'!AI10</f>
        <v>4.3816935367975172E-2</v>
      </c>
      <c r="L22" s="369">
        <f>-'FONTE OPxFIN'!AJ36/'FONTE OPxFIN'!AJ10</f>
        <v>7.3263928024765029E-2</v>
      </c>
      <c r="M22" s="368">
        <f>-'FONTE OPxFIN'!AK36/'FONTE OPxFIN'!AK10</f>
        <v>4.7079294562959825E-2</v>
      </c>
      <c r="N22" s="369">
        <f>-'FONTE OPxFIN'!AL36/'FONTE OPxFIN'!AL10</f>
        <v>7.1089176234300652E-2</v>
      </c>
      <c r="O22" s="369">
        <f>-'FONTE OPxFIN'!AM36/'FONTE OPxFIN'!AM10</f>
        <v>7.3125310472497998E-2</v>
      </c>
      <c r="P22" s="369">
        <f>-'FONTE OPxFIN'!AN36/'FONTE OPxFIN'!AN10</f>
        <v>7.5767218690887705E-2</v>
      </c>
      <c r="Q22" s="369">
        <f>-'FONTE OPxFIN'!AO36/'FONTE OPxFIN'!AO10</f>
        <v>7.6502635139521144E-2</v>
      </c>
      <c r="R22" s="368">
        <f>-'FONTE OPxFIN'!AP36/'FONTE OPxFIN'!AP10</f>
        <v>7.4149758318940495E-2</v>
      </c>
      <c r="S22" s="369">
        <f>-'FONTE OPxFIN'!AQ36/'FONTE OPxFIN'!AQ10</f>
        <v>7.7635407480265539E-2</v>
      </c>
      <c r="T22" s="369">
        <f>-'FONTE OPxFIN'!AR36/'FONTE OPxFIN'!AR10</f>
        <v>6.4191465654766328E-2</v>
      </c>
      <c r="U22" s="369">
        <f>-'FONTE OPxFIN'!AS36/'FONTE OPxFIN'!AS10</f>
        <v>7.8999107863545609E-2</v>
      </c>
      <c r="V22" s="369">
        <f>-'FONTE OPxFIN'!AT36/'FONTE OPxFIN'!AT10</f>
        <v>7.6213228603713212E-2</v>
      </c>
      <c r="W22" s="368">
        <f>-'FONTE OPxFIN'!AU36/'FONTE OPxFIN'!AU10</f>
        <v>7.4409888466422741E-2</v>
      </c>
      <c r="X22" s="369">
        <f>-'FONTE OPxFIN'!AV36/'FONTE OPxFIN'!AV10</f>
        <v>8.5734288877356263E-2</v>
      </c>
      <c r="Y22" s="369">
        <f>-'FONTE OPxFIN'!AW36/'FONTE OPxFIN'!AW10</f>
        <v>0.1004534542130343</v>
      </c>
      <c r="Z22" s="369">
        <f>-'FONTE OPxFIN'!AX36/'FONTE OPxFIN'!AX10</f>
        <v>8.9869728446715952E-2</v>
      </c>
      <c r="AA22" s="369">
        <f>-'FONTE OPxFIN'!AY36/'FONTE OPxFIN'!AY10</f>
        <v>8.8665605338176925E-2</v>
      </c>
      <c r="AB22" s="368">
        <f>-'FONTE OPxFIN'!AZ36/'FONTE OPxFIN'!AZ10</f>
        <v>9.0848969518851241E-2</v>
      </c>
      <c r="AC22" s="369">
        <f>-'FONTE OPxFIN'!BA36/'FONTE OPxFIN'!BA10</f>
        <v>9.5807203530901219E-2</v>
      </c>
    </row>
    <row r="23" spans="1:32">
      <c r="A23" s="357"/>
      <c r="B23" s="11" t="s">
        <v>553</v>
      </c>
      <c r="C23" s="185">
        <f>-'FONTE OPxFIN'!AA37/'FONTE OPxFIN'!AA11</f>
        <v>0.36959251206907884</v>
      </c>
      <c r="D23" s="114">
        <f>-'FONTE OPxFIN'!AB37/'FONTE OPxFIN'!AB11</f>
        <v>3.5511695392934688E-2</v>
      </c>
      <c r="E23" s="114">
        <f>-'FONTE OPxFIN'!AC37/'FONTE OPxFIN'!AC11</f>
        <v>3.2717654247223636E-2</v>
      </c>
      <c r="F23" s="114">
        <f>-'FONTE OPxFIN'!AD37/'FONTE OPxFIN'!AD11</f>
        <v>3.7288276500646582E-2</v>
      </c>
      <c r="G23" s="114">
        <f>-'FONTE OPxFIN'!AE37/'FONTE OPxFIN'!AE11</f>
        <v>3.120242044991664E-2</v>
      </c>
      <c r="H23" s="185">
        <f>-'FONTE OPxFIN'!AF37/'FONTE OPxFIN'!AF11</f>
        <v>3.4064126812835882E-2</v>
      </c>
      <c r="I23" s="114">
        <f>-'FONTE OPxFIN'!AG37/'FONTE OPxFIN'!AG11</f>
        <v>3.408825528758664E-2</v>
      </c>
      <c r="J23" s="114">
        <f>-'FONTE OPxFIN'!AH37/'FONTE OPxFIN'!AH11</f>
        <v>3.6132377432575857E-2</v>
      </c>
      <c r="K23" s="114">
        <f>-'FONTE OPxFIN'!AI37/'FONTE OPxFIN'!AI11</f>
        <v>3.7588682983391394E-2</v>
      </c>
      <c r="L23" s="114">
        <f>-'FONTE OPxFIN'!AJ37/'FONTE OPxFIN'!AJ11</f>
        <v>6.3303444645281315E-2</v>
      </c>
      <c r="M23" s="185">
        <f>-'FONTE OPxFIN'!AK37/'FONTE OPxFIN'!AK11</f>
        <v>4.1054126077076002E-2</v>
      </c>
      <c r="N23" s="114">
        <f>-'FONTE OPxFIN'!AL37/'FONTE OPxFIN'!AL11</f>
        <v>6.1306340170586164E-2</v>
      </c>
      <c r="O23" s="114">
        <f>-'FONTE OPxFIN'!AM37/'FONTE OPxFIN'!AM11</f>
        <v>6.3044741699314732E-2</v>
      </c>
      <c r="P23" s="114">
        <f>-'FONTE OPxFIN'!AN37/'FONTE OPxFIN'!AN11</f>
        <v>6.4222347228290025E-2</v>
      </c>
      <c r="Q23" s="114">
        <f>-'FONTE OPxFIN'!AO37/'FONTE OPxFIN'!AO11</f>
        <v>6.3226598179643476E-2</v>
      </c>
      <c r="R23" s="185">
        <f>-'FONTE OPxFIN'!AP37/'FONTE OPxFIN'!AP11</f>
        <v>6.2962772366504674E-2</v>
      </c>
      <c r="S23" s="114">
        <f>-'FONTE OPxFIN'!AQ37/'FONTE OPxFIN'!AQ11</f>
        <v>6.390898629918354E-2</v>
      </c>
      <c r="T23" s="114">
        <f>-'FONTE OPxFIN'!AR37/'FONTE OPxFIN'!AR11</f>
        <v>4.7053656136898693E-2</v>
      </c>
      <c r="U23" s="114">
        <f>-'FONTE OPxFIN'!AS37/'FONTE OPxFIN'!AS11</f>
        <v>6.2687988445926907E-2</v>
      </c>
      <c r="V23" s="114">
        <f>-'FONTE OPxFIN'!AT37/'FONTE OPxFIN'!AT11</f>
        <v>6.034446408269345E-2</v>
      </c>
      <c r="W23" s="185">
        <f>-'FONTE OPxFIN'!AU37/'FONTE OPxFIN'!AU11</f>
        <v>5.8661228761372287E-2</v>
      </c>
      <c r="X23" s="114">
        <f>-'FONTE OPxFIN'!AV37/'FONTE OPxFIN'!AV11</f>
        <v>6.6194509964280598E-2</v>
      </c>
      <c r="Y23" s="114">
        <f>-'FONTE OPxFIN'!AW37/'FONTE OPxFIN'!AW11</f>
        <v>8.0250016236891125E-2</v>
      </c>
      <c r="Z23" s="114">
        <f>-'FONTE OPxFIN'!AX37/'FONTE OPxFIN'!AX11</f>
        <v>7.0147994802178398E-2</v>
      </c>
      <c r="AA23" s="114">
        <f>-'FONTE OPxFIN'!AY37/'FONTE OPxFIN'!AY11</f>
        <v>7.1915006969836798E-2</v>
      </c>
      <c r="AB23" s="185">
        <f>-'FONTE OPxFIN'!AZ37/'FONTE OPxFIN'!AZ11</f>
        <v>7.1735111912656441E-2</v>
      </c>
      <c r="AC23" s="114">
        <f>-'FONTE OPxFIN'!BA37/'FONTE OPxFIN'!BA11</f>
        <v>7.4884339697254138E-2</v>
      </c>
    </row>
    <row r="24" spans="1:32">
      <c r="A24" s="357"/>
      <c r="B24" s="335" t="s">
        <v>573</v>
      </c>
      <c r="C24" s="402" t="s">
        <v>0</v>
      </c>
      <c r="D24" s="114">
        <f>-'FONTE OPxFIN'!AB38/'FONTE OPxFIN'!AB12</f>
        <v>4.1343477288764793E-2</v>
      </c>
      <c r="E24" s="114">
        <f>-'FONTE OPxFIN'!AC38/'FONTE OPxFIN'!AC12</f>
        <v>3.6669816679380671E-2</v>
      </c>
      <c r="F24" s="114">
        <f>-'FONTE OPxFIN'!AD38/'FONTE OPxFIN'!AD12</f>
        <v>3.9291845430135912E-2</v>
      </c>
      <c r="G24" s="114">
        <f>-'FONTE OPxFIN'!AE38/'FONTE OPxFIN'!AE12</f>
        <v>3.0058609508272206E-2</v>
      </c>
      <c r="H24" s="185">
        <f>-'FONTE OPxFIN'!AF38/'FONTE OPxFIN'!AF12</f>
        <v>3.650888215841723E-2</v>
      </c>
      <c r="I24" s="114">
        <f>-'FONTE OPxFIN'!AG38/'FONTE OPxFIN'!AG12</f>
        <v>3.4067843936350872E-2</v>
      </c>
      <c r="J24" s="114">
        <f>-'FONTE OPxFIN'!AH38/'FONTE OPxFIN'!AH12</f>
        <v>3.3046649117657236E-2</v>
      </c>
      <c r="K24" s="114">
        <f>-'FONTE OPxFIN'!AI38/'FONTE OPxFIN'!AI12</f>
        <v>3.3551335547817598E-2</v>
      </c>
      <c r="L24" s="114">
        <f>-'FONTE OPxFIN'!AJ38/'FONTE OPxFIN'!AJ12</f>
        <v>5.2748887258913309E-2</v>
      </c>
      <c r="M24" s="185">
        <f>-'FONTE OPxFIN'!AK38/'FONTE OPxFIN'!AK12</f>
        <v>3.7074282281210458E-2</v>
      </c>
      <c r="N24" s="114">
        <f>-'FONTE OPxFIN'!AL38/'FONTE OPxFIN'!AL12</f>
        <v>5.03254203001876E-2</v>
      </c>
      <c r="O24" s="114">
        <f>-'FONTE OPxFIN'!AM38/'FONTE OPxFIN'!AM12</f>
        <v>4.9508819970337521E-2</v>
      </c>
      <c r="P24" s="114">
        <f>-'FONTE OPxFIN'!AN38/'FONTE OPxFIN'!AN12</f>
        <v>4.8903565429610829E-2</v>
      </c>
      <c r="Q24" s="114">
        <f>-'FONTE OPxFIN'!AO38/'FONTE OPxFIN'!AO12</f>
        <v>4.849601711656689E-2</v>
      </c>
      <c r="R24" s="185">
        <f>-'FONTE OPxFIN'!AP38/'FONTE OPxFIN'!AP12</f>
        <v>4.9312343021894786E-2</v>
      </c>
      <c r="S24" s="114">
        <f>-'FONTE OPxFIN'!AQ38/'FONTE OPxFIN'!AQ12</f>
        <v>4.7155988339028398E-2</v>
      </c>
      <c r="T24" s="114">
        <f>-'FONTE OPxFIN'!AR38/'FONTE OPxFIN'!AR12</f>
        <v>3.1994525437525574E-2</v>
      </c>
      <c r="U24" s="114">
        <f>-'FONTE OPxFIN'!AS38/'FONTE OPxFIN'!AS12</f>
        <v>5.2483219183731923E-2</v>
      </c>
      <c r="V24" s="114">
        <f>-'FONTE OPxFIN'!AT38/'FONTE OPxFIN'!AT12</f>
        <v>6.034446408269345E-2</v>
      </c>
      <c r="W24" s="185">
        <f>-'FONTE OPxFIN'!AU38/'FONTE OPxFIN'!AU12</f>
        <v>4.8811622490443747E-2</v>
      </c>
      <c r="X24" s="114">
        <f>-'FONTE OPxFIN'!AV38/'FONTE OPxFIN'!AV12</f>
        <v>6.6194509964280598E-2</v>
      </c>
      <c r="Y24" s="114">
        <f>-'FONTE OPxFIN'!AW38/'FONTE OPxFIN'!AW12</f>
        <v>8.0250016236891125E-2</v>
      </c>
      <c r="Z24" s="114">
        <f>-'FONTE OPxFIN'!AX38/'FONTE OPxFIN'!AX12</f>
        <v>7.0147994802178398E-2</v>
      </c>
      <c r="AA24" s="114">
        <f>-'FONTE OPxFIN'!AY38/'FONTE OPxFIN'!AY12</f>
        <v>7.1915006969836798E-2</v>
      </c>
      <c r="AB24" s="185">
        <f>-'FONTE OPxFIN'!AZ38/'FONTE OPxFIN'!AZ12</f>
        <v>7.1735111912656441E-2</v>
      </c>
      <c r="AC24" s="114">
        <f>-'FONTE OPxFIN'!BA38/'FONTE OPxFIN'!BA12</f>
        <v>7.4884339697254138E-2</v>
      </c>
    </row>
    <row r="25" spans="1:32">
      <c r="A25" s="357"/>
      <c r="B25" s="335" t="s">
        <v>574</v>
      </c>
      <c r="C25" s="185">
        <f>-'FONTE OPxFIN'!AA39/'FONTE OPxFIN'!AA13</f>
        <v>0.36959251206907884</v>
      </c>
      <c r="D25" s="114">
        <f>-'FONTE OPxFIN'!AB39/'FONTE OPxFIN'!AB13</f>
        <v>-3.6574438618162064E-2</v>
      </c>
      <c r="E25" s="114">
        <f>-'FONTE OPxFIN'!AC39/'FONTE OPxFIN'!AC13</f>
        <v>-1.2900170459118931E-2</v>
      </c>
      <c r="F25" s="114">
        <f>-'FONTE OPxFIN'!AD39/'FONTE OPxFIN'!AD13</f>
        <v>2.0222776951963995E-2</v>
      </c>
      <c r="G25" s="114">
        <f>-'FONTE OPxFIN'!AE39/'FONTE OPxFIN'!AE13</f>
        <v>4.3737949090508571E-2</v>
      </c>
      <c r="H25" s="185">
        <f>-'FONTE OPxFIN'!AF39/'FONTE OPxFIN'!AF13</f>
        <v>8.0940756112286762E-3</v>
      </c>
      <c r="I25" s="114">
        <f>-'FONTE OPxFIN'!AG39/'FONTE OPxFIN'!AG13</f>
        <v>3.4345524088349524E-2</v>
      </c>
      <c r="J25" s="114">
        <f>-'FONTE OPxFIN'!AH39/'FONTE OPxFIN'!AH13</f>
        <v>6.6020259616257446E-2</v>
      </c>
      <c r="K25" s="114">
        <f>-'FONTE OPxFIN'!AI39/'FONTE OPxFIN'!AI13</f>
        <v>6.7753399799620265E-2</v>
      </c>
      <c r="L25" s="114">
        <f>-'FONTE OPxFIN'!AJ39/'FONTE OPxFIN'!AJ13</f>
        <v>0.14731252135762868</v>
      </c>
      <c r="M25" s="185">
        <f>-'FONTE OPxFIN'!AK39/'FONTE OPxFIN'!AK13</f>
        <v>7.7514060130493834E-2</v>
      </c>
      <c r="N25" s="114">
        <f>-'FONTE OPxFIN'!AL39/'FONTE OPxFIN'!AL13</f>
        <v>0.13410932650042706</v>
      </c>
      <c r="O25" s="114">
        <f>-'FONTE OPxFIN'!AM39/'FONTE OPxFIN'!AM13</f>
        <v>0.15449188090275098</v>
      </c>
      <c r="P25" s="114">
        <f>-'FONTE OPxFIN'!AN39/'FONTE OPxFIN'!AN13</f>
        <v>0.16842771727197994</v>
      </c>
      <c r="Q25" s="114">
        <f>-'FONTE OPxFIN'!AO39/'FONTE OPxFIN'!AO13</f>
        <v>0.15114795732480427</v>
      </c>
      <c r="R25" s="185">
        <f>-'FONTE OPxFIN'!AP39/'FONTE OPxFIN'!AP13</f>
        <v>0.15211534493405274</v>
      </c>
      <c r="S25" s="114">
        <f>-'FONTE OPxFIN'!AQ39/'FONTE OPxFIN'!AQ13</f>
        <v>0.17358421401394991</v>
      </c>
      <c r="T25" s="114">
        <f>-'FONTE OPxFIN'!AR39/'FONTE OPxFIN'!AR13</f>
        <v>0.13514973311458742</v>
      </c>
      <c r="U25" s="114">
        <f>-'FONTE OPxFIN'!AS39/'FONTE OPxFIN'!AS13</f>
        <v>0.1609527464633301</v>
      </c>
      <c r="V25" s="114">
        <v>0</v>
      </c>
      <c r="W25" s="185">
        <f>-'FONTE OPxFIN'!AU39/'FONTE OPxFIN'!AU13</f>
        <v>0.15575492633331181</v>
      </c>
      <c r="X25" s="114">
        <v>0</v>
      </c>
      <c r="Y25" s="114">
        <v>0</v>
      </c>
      <c r="Z25" s="114">
        <v>0</v>
      </c>
      <c r="AA25" s="114">
        <v>0</v>
      </c>
      <c r="AB25" s="185">
        <v>0</v>
      </c>
      <c r="AC25" s="114">
        <v>0</v>
      </c>
    </row>
    <row r="26" spans="1:32">
      <c r="A26" s="357"/>
      <c r="B26" s="11" t="s">
        <v>264</v>
      </c>
      <c r="C26" s="185">
        <f>-'FONTE OPxFIN'!AA40/'FONTE OPxFIN'!AA14</f>
        <v>0.38218390804597702</v>
      </c>
      <c r="D26" s="114">
        <f>-'FONTE OPxFIN'!AB40/'FONTE OPxFIN'!AB14</f>
        <v>-0.27856134816306882</v>
      </c>
      <c r="E26" s="114">
        <f>-'FONTE OPxFIN'!AC40/'FONTE OPxFIN'!AC14</f>
        <v>-7.5619298607442764E-2</v>
      </c>
      <c r="F26" s="114">
        <f>-'FONTE OPxFIN'!AD40/'FONTE OPxFIN'!AD14</f>
        <v>1.7385819873153338E-2</v>
      </c>
      <c r="G26" s="114">
        <f>-'FONTE OPxFIN'!AE40/'FONTE OPxFIN'!AE14</f>
        <v>6.6442790949885491E-2</v>
      </c>
      <c r="H26" s="185">
        <f>-'FONTE OPxFIN'!AF40/'FONTE OPxFIN'!AF14</f>
        <v>-2.4246455493951297E-2</v>
      </c>
      <c r="I26" s="114">
        <f>-'FONTE OPxFIN'!AG40/'FONTE OPxFIN'!AG14</f>
        <v>0.11773930979228993</v>
      </c>
      <c r="J26" s="114">
        <f>-'FONTE OPxFIN'!AH40/'FONTE OPxFIN'!AH14</f>
        <v>0.16219930519861622</v>
      </c>
      <c r="K26" s="114">
        <f>-'FONTE OPxFIN'!AI40/'FONTE OPxFIN'!AI14</f>
        <v>0.15308175692993906</v>
      </c>
      <c r="L26" s="114">
        <f>-'FONTE OPxFIN'!AJ40/'FONTE OPxFIN'!AJ14</f>
        <v>0.17101206990585949</v>
      </c>
      <c r="M26" s="185">
        <f>-'FONTE OPxFIN'!AK40/'FONTE OPxFIN'!AK14</f>
        <v>0.15329850950177859</v>
      </c>
      <c r="N26" s="114">
        <f>-'FONTE OPxFIN'!AL40/'FONTE OPxFIN'!AL14</f>
        <v>0.18979130854796777</v>
      </c>
      <c r="O26" s="114">
        <f>-'FONTE OPxFIN'!AM40/'FONTE OPxFIN'!AM14</f>
        <v>0.19897755925041574</v>
      </c>
      <c r="P26" s="114">
        <f>-'FONTE OPxFIN'!AN40/'FONTE OPxFIN'!AN14</f>
        <v>0.20486467968482358</v>
      </c>
      <c r="Q26" s="114">
        <f>-'FONTE OPxFIN'!AO40/'FONTE OPxFIN'!AO14</f>
        <v>0.19701716520730422</v>
      </c>
      <c r="R26" s="185">
        <f>-'FONTE OPxFIN'!AP40/'FONTE OPxFIN'!AP14</f>
        <v>0.19801285812036284</v>
      </c>
      <c r="S26" s="114">
        <f>-'FONTE OPxFIN'!AQ40/'FONTE OPxFIN'!AQ14</f>
        <v>0.19986437861580661</v>
      </c>
      <c r="T26" s="114">
        <f>-'FONTE OPxFIN'!AR40/'FONTE OPxFIN'!AR14</f>
        <v>0.17619783271074055</v>
      </c>
      <c r="U26" s="114">
        <f>-'FONTE OPxFIN'!AS40/'FONTE OPxFIN'!AS14</f>
        <v>0.19327625788212649</v>
      </c>
      <c r="V26" s="114">
        <f>-'FONTE OPxFIN'!AT40/'FONTE OPxFIN'!AT14</f>
        <v>0.18960942599662819</v>
      </c>
      <c r="W26" s="185">
        <f>-'FONTE OPxFIN'!AU40/'FONTE OPxFIN'!AU14</f>
        <v>0.18960299953011123</v>
      </c>
      <c r="X26" s="114">
        <f>-'FONTE OPxFIN'!AV40/'FONTE OPxFIN'!AV14</f>
        <v>0.2074088951244569</v>
      </c>
      <c r="Y26" s="114">
        <f>-'FONTE OPxFIN'!AW40/'FONTE OPxFIN'!AW14</f>
        <v>0.20444465581433269</v>
      </c>
      <c r="Z26" s="114">
        <f>-'FONTE OPxFIN'!AX40/'FONTE OPxFIN'!AX14</f>
        <v>0.20924979445315833</v>
      </c>
      <c r="AA26" s="114">
        <f>-'FONTE OPxFIN'!AY40/'FONTE OPxFIN'!AY14</f>
        <v>0.19204181540273793</v>
      </c>
      <c r="AB26" s="185">
        <f>-'FONTE OPxFIN'!AZ40/'FONTE OPxFIN'!AZ14</f>
        <v>0.20298308471580226</v>
      </c>
      <c r="AC26" s="114">
        <f>-'FONTE OPxFIN'!BA40/'FONTE OPxFIN'!BA14</f>
        <v>0.22468806430943089</v>
      </c>
    </row>
    <row r="27" spans="1:32">
      <c r="A27" s="357"/>
      <c r="B27" s="11" t="s">
        <v>265</v>
      </c>
      <c r="C27" s="185">
        <f>-'FONTE OPxFIN'!AA41/'FONTE OPxFIN'!AA15</f>
        <v>0.3923076923076923</v>
      </c>
      <c r="D27" s="114">
        <f>-'FONTE OPxFIN'!AB41/'FONTE OPxFIN'!AB15</f>
        <v>0.35746034812409838</v>
      </c>
      <c r="E27" s="114">
        <f>-'FONTE OPxFIN'!AC41/'FONTE OPxFIN'!AC15</f>
        <v>3.3289551182393018E-2</v>
      </c>
      <c r="F27" s="114">
        <f>-'FONTE OPxFIN'!AD41/'FONTE OPxFIN'!AD15</f>
        <v>3.779398239067891E-2</v>
      </c>
      <c r="G27" s="114">
        <f>-'FONTE OPxFIN'!AE41/'FONTE OPxFIN'!AE15</f>
        <v>2.934660605247327E-2</v>
      </c>
      <c r="H27" s="185">
        <f>-'FONTE OPxFIN'!AF41/'FONTE OPxFIN'!AF15</f>
        <v>3.338022115924235E-2</v>
      </c>
      <c r="I27" s="114">
        <f>-'FONTE OPxFIN'!AG41/'FONTE OPxFIN'!AG15</f>
        <v>0.14630755031344769</v>
      </c>
      <c r="J27" s="114">
        <f>-'FONTE OPxFIN'!AH41/'FONTE OPxFIN'!AH15</f>
        <v>0.10643804935767411</v>
      </c>
      <c r="K27" s="114">
        <f>-'FONTE OPxFIN'!AI41/'FONTE OPxFIN'!AI15</f>
        <v>8.8626713006523916E-2</v>
      </c>
      <c r="L27" s="114">
        <f>-'FONTE OPxFIN'!AJ41/'FONTE OPxFIN'!AJ15</f>
        <v>0.13181653308953228</v>
      </c>
      <c r="M27" s="185">
        <f>-'FONTE OPxFIN'!AK41/'FONTE OPxFIN'!AK15</f>
        <v>0.11077370071114272</v>
      </c>
      <c r="N27" s="114">
        <f>-'FONTE OPxFIN'!AL41/'FONTE OPxFIN'!AL15</f>
        <v>0.1076904426167795</v>
      </c>
      <c r="O27" s="114">
        <f>-'FONTE OPxFIN'!AM41/'FONTE OPxFIN'!AM15</f>
        <v>8.7881808055343846E-2</v>
      </c>
      <c r="P27" s="114">
        <f>-'FONTE OPxFIN'!AN41/'FONTE OPxFIN'!AN15</f>
        <v>8.6055258551355443E-2</v>
      </c>
      <c r="Q27" s="114">
        <f>-'FONTE OPxFIN'!AO41/'FONTE OPxFIN'!AO15</f>
        <v>8.7128987382409304E-2</v>
      </c>
      <c r="R27" s="185">
        <f>-'FONTE OPxFIN'!AP41/'FONTE OPxFIN'!AP15</f>
        <v>9.1366401417922058E-2</v>
      </c>
      <c r="S27" s="114">
        <f>-'FONTE OPxFIN'!AQ41/'FONTE OPxFIN'!AQ15</f>
        <v>8.9267967928369496E-2</v>
      </c>
      <c r="T27" s="114">
        <f>-'FONTE OPxFIN'!AR41/'FONTE OPxFIN'!AR15</f>
        <v>0.10863578630278643</v>
      </c>
      <c r="U27" s="114">
        <f>-'FONTE OPxFIN'!AS41/'FONTE OPxFIN'!AS15</f>
        <v>0.10964774991913691</v>
      </c>
      <c r="V27" s="114">
        <f>-'FONTE OPxFIN'!AT41/'FONTE OPxFIN'!AT15</f>
        <v>0.10503834179316027</v>
      </c>
      <c r="W27" s="185">
        <f>-'FONTE OPxFIN'!AU41/'FONTE OPxFIN'!AU15</f>
        <v>0.10281008005545984</v>
      </c>
      <c r="X27" s="114">
        <f>-'FONTE OPxFIN'!AV41/'FONTE OPxFIN'!AV15</f>
        <v>0.11446386643829964</v>
      </c>
      <c r="Y27" s="114">
        <f>-'FONTE OPxFIN'!AW41/'FONTE OPxFIN'!AW15</f>
        <v>0.10446965293827792</v>
      </c>
      <c r="Z27" s="114">
        <f>-'FONTE OPxFIN'!AX41/'FONTE OPxFIN'!AX15</f>
        <v>0.10213739419343759</v>
      </c>
      <c r="AA27" s="114">
        <f>-'FONTE OPxFIN'!AY41/'FONTE OPxFIN'!AY15</f>
        <v>8.5775191951704577E-2</v>
      </c>
      <c r="AB27" s="185">
        <f>-'FONTE OPxFIN'!AZ41/'FONTE OPxFIN'!AZ15</f>
        <v>0.10093518015264302</v>
      </c>
      <c r="AC27" s="114">
        <f>-'FONTE OPxFIN'!BA41/'FONTE OPxFIN'!BA15</f>
        <v>0.10751609646291607</v>
      </c>
    </row>
    <row r="28" spans="1:32">
      <c r="A28" s="357"/>
      <c r="B28" s="11" t="s">
        <v>576</v>
      </c>
      <c r="C28" s="402" t="s">
        <v>0</v>
      </c>
      <c r="D28" s="311" t="s">
        <v>0</v>
      </c>
      <c r="E28" s="114">
        <f>-'FONTE OPxFIN'!AC42/'FONTE OPxFIN'!AC16</f>
        <v>-0.7765197425036402</v>
      </c>
      <c r="F28" s="114">
        <f>-'FONTE OPxFIN'!AD42/'FONTE OPxFIN'!AD16</f>
        <v>-0.53885947330796635</v>
      </c>
      <c r="G28" s="114">
        <f>-'FONTE OPxFIN'!AE42/'FONTE OPxFIN'!AE16</f>
        <v>-1.6188769414575865</v>
      </c>
      <c r="H28" s="185">
        <f>-'FONTE OPxFIN'!AF42/'FONTE OPxFIN'!AF16</f>
        <v>-1.104318737733829</v>
      </c>
      <c r="I28" s="114">
        <f>-'FONTE OPxFIN'!AG42/'FONTE OPxFIN'!AG16</f>
        <v>-0.36741365673609278</v>
      </c>
      <c r="J28" s="114">
        <f>-'FONTE OPxFIN'!AH42/'FONTE OPxFIN'!AH16</f>
        <v>0.33885871663535044</v>
      </c>
      <c r="K28" s="114">
        <f>-'FONTE OPxFIN'!AI42/'FONTE OPxFIN'!AI16</f>
        <v>0.19365303650729568</v>
      </c>
      <c r="L28" s="114">
        <f>-'FONTE OPxFIN'!AJ42/'FONTE OPxFIN'!AJ16</f>
        <v>0.2755168597066846</v>
      </c>
      <c r="M28" s="185">
        <f>-'FONTE OPxFIN'!AK42/'FONTE OPxFIN'!AK16</f>
        <v>0.20803555789104922</v>
      </c>
      <c r="N28" s="114">
        <f>-'FONTE OPxFIN'!AL42/'FONTE OPxFIN'!AL16</f>
        <v>0.2278032864086651</v>
      </c>
      <c r="O28" s="114">
        <f>-'FONTE OPxFIN'!AM42/'FONTE OPxFIN'!AM16</f>
        <v>0.23597530752940116</v>
      </c>
      <c r="P28" s="114">
        <f>-'FONTE OPxFIN'!AN42/'FONTE OPxFIN'!AN16</f>
        <v>0.25039289593049258</v>
      </c>
      <c r="Q28" s="114">
        <f>-'FONTE OPxFIN'!AO42/'FONTE OPxFIN'!AO16</f>
        <v>0.2699768513366127</v>
      </c>
      <c r="R28" s="185">
        <f>-'FONTE OPxFIN'!AP42/'FONTE OPxFIN'!AP16</f>
        <v>0.24854583467899577</v>
      </c>
      <c r="S28" s="114">
        <f>-'FONTE OPxFIN'!AQ42/'FONTE OPxFIN'!AQ16</f>
        <v>0.26921313903174948</v>
      </c>
      <c r="T28" s="114">
        <f>-'FONTE OPxFIN'!AR42/'FONTE OPxFIN'!AR16</f>
        <v>0.27361251700431005</v>
      </c>
      <c r="U28" s="114">
        <f>-'FONTE OPxFIN'!AS42/'FONTE OPxFIN'!AS16</f>
        <v>0.26683113987712037</v>
      </c>
      <c r="V28" s="114">
        <f>-'FONTE OPxFIN'!AT42/'FONTE OPxFIN'!AT16</f>
        <v>0.22087566983420207</v>
      </c>
      <c r="W28" s="185">
        <f>-'FONTE OPxFIN'!AU42/'FONTE OPxFIN'!AU16</f>
        <v>0.2563685170257558</v>
      </c>
      <c r="X28" s="114">
        <f>-'FONTE OPxFIN'!AV42/'FONTE OPxFIN'!AV16</f>
        <v>0.25186607670941613</v>
      </c>
      <c r="Y28" s="114">
        <f>-'FONTE OPxFIN'!AW42/'FONTE OPxFIN'!AW16</f>
        <v>0.25276874787860548</v>
      </c>
      <c r="Z28" s="114">
        <f>-'FONTE OPxFIN'!AX42/'FONTE OPxFIN'!AX16</f>
        <v>0.23889077835836023</v>
      </c>
      <c r="AA28" s="114">
        <f>-'FONTE OPxFIN'!AY42/'FONTE OPxFIN'!AY16</f>
        <v>0.18842618998015703</v>
      </c>
      <c r="AB28" s="185">
        <f>-'FONTE OPxFIN'!AZ42/'FONTE OPxFIN'!AZ16</f>
        <v>0.23243077296594045</v>
      </c>
      <c r="AC28" s="114">
        <f>-'FONTE OPxFIN'!BA42/'FONTE OPxFIN'!BA16</f>
        <v>0.19628827022719653</v>
      </c>
    </row>
    <row r="29" spans="1:32">
      <c r="A29" s="357"/>
      <c r="B29" s="11" t="s">
        <v>268</v>
      </c>
      <c r="C29" s="185">
        <f>-'FONTE OPxFIN'!AA43/'FONTE OPxFIN'!AA17</f>
        <v>0.32142857142857145</v>
      </c>
      <c r="D29" s="114">
        <f>-'FONTE OPxFIN'!AB43/'FONTE OPxFIN'!AB17</f>
        <v>-0.16206764878789345</v>
      </c>
      <c r="E29" s="114">
        <f>-'FONTE OPxFIN'!AC43/'FONTE OPxFIN'!AC17</f>
        <v>-6.2184236276202814E-2</v>
      </c>
      <c r="F29" s="114">
        <f>-'FONTE OPxFIN'!AD43/'FONTE OPxFIN'!AD17</f>
        <v>-8.7543972101033027E-2</v>
      </c>
      <c r="G29" s="114">
        <f>-'FONTE OPxFIN'!AE43/'FONTE OPxFIN'!AE17</f>
        <v>-7.9687118064043022E-2</v>
      </c>
      <c r="H29" s="185">
        <f>-'FONTE OPxFIN'!AF43/'FONTE OPxFIN'!AF17</f>
        <v>-8.1548947463658844E-2</v>
      </c>
      <c r="I29" s="114">
        <f>-'FONTE OPxFIN'!AG43/'FONTE OPxFIN'!AG17</f>
        <v>-9.3534432362913592E-4</v>
      </c>
      <c r="J29" s="114">
        <f>-'FONTE OPxFIN'!AH43/'FONTE OPxFIN'!AH17</f>
        <v>1.3395887090468371E-2</v>
      </c>
      <c r="K29" s="114">
        <f>-'FONTE OPxFIN'!AI43/'FONTE OPxFIN'!AI17</f>
        <v>3.6485373103196543E-2</v>
      </c>
      <c r="L29" s="114">
        <f>-'FONTE OPxFIN'!AJ43/'FONTE OPxFIN'!AJ17</f>
        <v>5.6435694484972286E-2</v>
      </c>
      <c r="M29" s="185">
        <f>-'FONTE OPxFIN'!AK43/'FONTE OPxFIN'!AK17</f>
        <v>3.5478633988371235E-2</v>
      </c>
      <c r="N29" s="114">
        <f>-'FONTE OPxFIN'!AL43/'FONTE OPxFIN'!AL17</f>
        <v>6.3365520085220436E-2</v>
      </c>
      <c r="O29" s="114">
        <f>-'FONTE OPxFIN'!AM43/'FONTE OPxFIN'!AM17</f>
        <v>8.7746858168761224E-2</v>
      </c>
      <c r="P29" s="114">
        <f>-'FONTE OPxFIN'!AN43/'FONTE OPxFIN'!AN17</f>
        <v>8.4704376274240184E-2</v>
      </c>
      <c r="Q29" s="114">
        <f>-'FONTE OPxFIN'!AO43/'FONTE OPxFIN'!AO17</f>
        <v>8.072865041080203E-2</v>
      </c>
      <c r="R29" s="185">
        <f>-'FONTE OPxFIN'!AP43/'FONTE OPxFIN'!AP17</f>
        <v>8.0154926803649967E-2</v>
      </c>
      <c r="S29" s="114">
        <f>-'FONTE OPxFIN'!AQ43/'FONTE OPxFIN'!AQ17</f>
        <v>7.7253591423983331E-2</v>
      </c>
      <c r="T29" s="114">
        <f>-'FONTE OPxFIN'!AR43/'FONTE OPxFIN'!AR17</f>
        <v>6.1817279046673286E-2</v>
      </c>
      <c r="U29" s="114">
        <f>-'FONTE OPxFIN'!AS43/'FONTE OPxFIN'!AS17</f>
        <v>7.350631162588242E-2</v>
      </c>
      <c r="V29" s="114">
        <f>-'FONTE OPxFIN'!AT43/'FONTE OPxFIN'!AT17</f>
        <v>8.8717664879981367E-2</v>
      </c>
      <c r="W29" s="185">
        <f>-'FONTE OPxFIN'!AU43/'FONTE OPxFIN'!AU17</f>
        <v>7.6526193420498073E-2</v>
      </c>
      <c r="X29" s="114">
        <f>-'FONTE OPxFIN'!AV43/'FONTE OPxFIN'!AV17</f>
        <v>8.1663256439723067E-2</v>
      </c>
      <c r="Y29" s="114">
        <f>-'FONTE OPxFIN'!AW43/'FONTE OPxFIN'!AW17</f>
        <v>8.0608211867180216E-2</v>
      </c>
      <c r="Z29" s="114">
        <f>-'FONTE OPxFIN'!AX43/'FONTE OPxFIN'!AX17</f>
        <v>9.9269025738704567E-2</v>
      </c>
      <c r="AA29" s="114">
        <f>-'FONTE OPxFIN'!AY43/'FONTE OPxFIN'!AY17</f>
        <v>8.2165970344884071E-2</v>
      </c>
      <c r="AB29" s="185">
        <f>-'FONTE OPxFIN'!AZ43/'FONTE OPxFIN'!AZ17</f>
        <v>8.6345093376519549E-2</v>
      </c>
      <c r="AC29" s="114">
        <f>-'FONTE OPxFIN'!BA43/'FONTE OPxFIN'!BA17</f>
        <v>9.0928310928663297E-2</v>
      </c>
    </row>
    <row r="30" spans="1:32" s="2" customFormat="1">
      <c r="A30" s="363"/>
      <c r="B30" s="21" t="s">
        <v>610</v>
      </c>
      <c r="C30" s="398">
        <f>-'FONTE OPxFIN'!AA44/'FONTE OPxFIN'!AA18</f>
        <v>6.2909938241158911E-2</v>
      </c>
      <c r="D30" s="369">
        <f>-'FONTE OPxFIN'!AB44/'FONTE OPxFIN'!AB18</f>
        <v>0.15387843564092962</v>
      </c>
      <c r="E30" s="369">
        <f>-'FONTE OPxFIN'!AC44/'FONTE OPxFIN'!AC18</f>
        <v>0.15001049895564986</v>
      </c>
      <c r="F30" s="369">
        <f>-'FONTE OPxFIN'!AD44/'FONTE OPxFIN'!AD18</f>
        <v>0.15452395332698016</v>
      </c>
      <c r="G30" s="369">
        <f>-'FONTE OPxFIN'!AE44/'FONTE OPxFIN'!AE18</f>
        <v>0.12571299806634811</v>
      </c>
      <c r="H30" s="368">
        <f>-'FONTE OPxFIN'!AF44/'FONTE OPxFIN'!AF18</f>
        <v>0.14537714175479713</v>
      </c>
      <c r="I30" s="369">
        <f>-'FONTE OPxFIN'!AG44/'FONTE OPxFIN'!AG18</f>
        <v>0.16935644596002652</v>
      </c>
      <c r="J30" s="369">
        <f>-'FONTE OPxFIN'!AH44/'FONTE OPxFIN'!AH18</f>
        <v>0.16201141644434741</v>
      </c>
      <c r="K30" s="369">
        <f>-'FONTE OPxFIN'!AI44/'FONTE OPxFIN'!AI18</f>
        <v>0.16769839929093935</v>
      </c>
      <c r="L30" s="369">
        <f>-'FONTE OPxFIN'!AJ44/'FONTE OPxFIN'!AJ18</f>
        <v>0.23532684151107938</v>
      </c>
      <c r="M30" s="368">
        <f>-'FONTE OPxFIN'!AK44/'FONTE OPxFIN'!AK18</f>
        <v>0.18087084925961852</v>
      </c>
      <c r="N30" s="369">
        <f>-'FONTE OPxFIN'!AL44/'FONTE OPxFIN'!AL18</f>
        <v>0.2306372870821293</v>
      </c>
      <c r="O30" s="369">
        <f>-'FONTE OPxFIN'!AM44/'FONTE OPxFIN'!AM18</f>
        <v>0.21730701168432864</v>
      </c>
      <c r="P30" s="369">
        <f>-'FONTE OPxFIN'!AN44/'FONTE OPxFIN'!AN18</f>
        <v>0.2388393167704744</v>
      </c>
      <c r="Q30" s="369">
        <f>-'FONTE OPxFIN'!AO44/'FONTE OPxFIN'!AO18</f>
        <v>0.20196645459803356</v>
      </c>
      <c r="R30" s="368">
        <f>-'FONTE OPxFIN'!AP44/'FONTE OPxFIN'!AP18</f>
        <v>0.22354295004085145</v>
      </c>
      <c r="S30" s="369">
        <f>-'FONTE OPxFIN'!AQ44/'FONTE OPxFIN'!AQ18</f>
        <v>0.22079153171656529</v>
      </c>
      <c r="T30" s="369">
        <f>-'FONTE OPxFIN'!AR44/'FONTE OPxFIN'!AR18</f>
        <v>0.16691891645638821</v>
      </c>
      <c r="U30" s="369">
        <f>-'FONTE OPxFIN'!AS44/'FONTE OPxFIN'!AS18</f>
        <v>0.21902676333284615</v>
      </c>
      <c r="V30" s="369">
        <f>-'FONTE OPxFIN'!AT44/'FONTE OPxFIN'!AT18</f>
        <v>0.15342538651848101</v>
      </c>
      <c r="W30" s="368">
        <f>-'FONTE OPxFIN'!AU44/'FONTE OPxFIN'!AU18</f>
        <v>0.19193786166423693</v>
      </c>
      <c r="X30" s="369">
        <f>-'FONTE OPxFIN'!AV44/'FONTE OPxFIN'!AV18</f>
        <v>0.20995056630562919</v>
      </c>
      <c r="Y30" s="369">
        <f>-'FONTE OPxFIN'!AW44/'FONTE OPxFIN'!AW18</f>
        <v>0.21644092917525759</v>
      </c>
      <c r="Z30" s="369">
        <f>-'FONTE OPxFIN'!AX44/'FONTE OPxFIN'!AX18</f>
        <v>0.2143717788448386</v>
      </c>
      <c r="AA30" s="369">
        <f>-'FONTE OPxFIN'!AY44/'FONTE OPxFIN'!AY18</f>
        <v>0.20807920310762817</v>
      </c>
      <c r="AB30" s="368">
        <f>-'FONTE OPxFIN'!AZ44/'FONTE OPxFIN'!AZ18</f>
        <v>0.21213541801344932</v>
      </c>
      <c r="AC30" s="369">
        <f>-'FONTE OPxFIN'!BA44/'FONTE OPxFIN'!BA18</f>
        <v>0.21019202195832909</v>
      </c>
    </row>
    <row r="31" spans="1:32">
      <c r="A31" s="357"/>
      <c r="B31" s="11" t="s">
        <v>611</v>
      </c>
      <c r="C31" s="185">
        <f>-'FONTE OPxFIN'!AA45/'FONTE OPxFIN'!AA19</f>
        <v>6.2909938241158911E-2</v>
      </c>
      <c r="D31" s="114">
        <f>-'FONTE OPxFIN'!AB45/'FONTE OPxFIN'!AB19</f>
        <v>0.15387843564092962</v>
      </c>
      <c r="E31" s="114">
        <f>-'FONTE OPxFIN'!AC45/'FONTE OPxFIN'!AC19</f>
        <v>0.15001049895564986</v>
      </c>
      <c r="F31" s="114">
        <f>-'FONTE OPxFIN'!AD45/'FONTE OPxFIN'!AD19</f>
        <v>0.15452395332698016</v>
      </c>
      <c r="G31" s="114">
        <f>-'FONTE OPxFIN'!AE45/'FONTE OPxFIN'!AE19</f>
        <v>0.12571299806634811</v>
      </c>
      <c r="H31" s="185">
        <f>-'FONTE OPxFIN'!AF45/'FONTE OPxFIN'!AF19</f>
        <v>0.14537714175479713</v>
      </c>
      <c r="I31" s="114">
        <f>-'FONTE OPxFIN'!AG45/'FONTE OPxFIN'!AG19</f>
        <v>0.16935644596002652</v>
      </c>
      <c r="J31" s="114">
        <f>-'FONTE OPxFIN'!AH45/'FONTE OPxFIN'!AH19</f>
        <v>0.16201141644434741</v>
      </c>
      <c r="K31" s="114">
        <f>-'FONTE OPxFIN'!AI45/'FONTE OPxFIN'!AI19</f>
        <v>0.16769839929093935</v>
      </c>
      <c r="L31" s="114">
        <f>-'FONTE OPxFIN'!AJ45/'FONTE OPxFIN'!AJ19</f>
        <v>0.23532684151107938</v>
      </c>
      <c r="M31" s="185">
        <f>-'FONTE OPxFIN'!AK45/'FONTE OPxFIN'!AK19</f>
        <v>0.18087084925961852</v>
      </c>
      <c r="N31" s="114">
        <f>-'FONTE OPxFIN'!AL45/'FONTE OPxFIN'!AL19</f>
        <v>0.2306372870821293</v>
      </c>
      <c r="O31" s="114">
        <f>-'FONTE OPxFIN'!AM45/'FONTE OPxFIN'!AM19</f>
        <v>0.21730701168432864</v>
      </c>
      <c r="P31" s="114">
        <f>-'FONTE OPxFIN'!AN45/'FONTE OPxFIN'!AN19</f>
        <v>0.2388393167704744</v>
      </c>
      <c r="Q31" s="114">
        <f>-'FONTE OPxFIN'!AO45/'FONTE OPxFIN'!AO19</f>
        <v>0.20196645459803356</v>
      </c>
      <c r="R31" s="185">
        <f>-'FONTE OPxFIN'!AP45/'FONTE OPxFIN'!AP19</f>
        <v>0.22354295004085145</v>
      </c>
      <c r="S31" s="114">
        <f>-'FONTE OPxFIN'!AQ45/'FONTE OPxFIN'!AQ19</f>
        <v>0.22079153171656529</v>
      </c>
      <c r="T31" s="114">
        <f>-'FONTE OPxFIN'!AR45/'FONTE OPxFIN'!AR19</f>
        <v>0.16691891645638821</v>
      </c>
      <c r="U31" s="114">
        <f>-'FONTE OPxFIN'!AS45/'FONTE OPxFIN'!AS19</f>
        <v>0.21902676333284615</v>
      </c>
      <c r="V31" s="114">
        <f>-'FONTE OPxFIN'!AT45/'FONTE OPxFIN'!AT19</f>
        <v>0.15342538651848101</v>
      </c>
      <c r="W31" s="185">
        <f>-'FONTE OPxFIN'!AU45/'FONTE OPxFIN'!AU19</f>
        <v>0.19193786166423693</v>
      </c>
      <c r="X31" s="114">
        <f>-'FONTE OPxFIN'!AV45/'FONTE OPxFIN'!AV19</f>
        <v>0.20995056630562919</v>
      </c>
      <c r="Y31" s="114">
        <f>-'FONTE OPxFIN'!AW45/'FONTE OPxFIN'!AW19</f>
        <v>0.21644092917525759</v>
      </c>
      <c r="Z31" s="114">
        <f>-'FONTE OPxFIN'!AX45/'FONTE OPxFIN'!AX19</f>
        <v>0.2143717788448386</v>
      </c>
      <c r="AA31" s="114">
        <f>-'FONTE OPxFIN'!AY45/'FONTE OPxFIN'!AY19</f>
        <v>0.20807920310762817</v>
      </c>
      <c r="AB31" s="185">
        <f>-'FONTE OPxFIN'!AZ45/'FONTE OPxFIN'!AZ19</f>
        <v>0.21213541801344932</v>
      </c>
      <c r="AC31" s="114">
        <f>-'FONTE OPxFIN'!BA45/'FONTE OPxFIN'!BA19</f>
        <v>0.21019202195832909</v>
      </c>
    </row>
    <row r="32" spans="1:32">
      <c r="A32" s="357"/>
      <c r="B32" s="318" t="s">
        <v>612</v>
      </c>
      <c r="C32" s="185">
        <f>-'FONTE OPxFIN'!AA46/'FONTE OPxFIN'!AA20</f>
        <v>0.18003838801679162</v>
      </c>
      <c r="D32" s="114">
        <f>-'FONTE OPxFIN'!AB46/'FONTE OPxFIN'!AB20</f>
        <v>0.18772534394298798</v>
      </c>
      <c r="E32" s="114">
        <f>-'FONTE OPxFIN'!AC46/'FONTE OPxFIN'!AC20</f>
        <v>0.19118569698129992</v>
      </c>
      <c r="F32" s="114">
        <f>-'FONTE OPxFIN'!AD46/'FONTE OPxFIN'!AD20</f>
        <v>0.19605178688894648</v>
      </c>
      <c r="G32" s="114">
        <f>-'FONTE OPxFIN'!AE46/'FONTE OPxFIN'!AE20</f>
        <v>0.15132668645004282</v>
      </c>
      <c r="H32" s="185">
        <f>-'FONTE OPxFIN'!AF46/'FONTE OPxFIN'!AF20</f>
        <v>0.18205757678212264</v>
      </c>
      <c r="I32" s="114">
        <f>-'FONTE OPxFIN'!AG46/'FONTE OPxFIN'!AG20</f>
        <v>0.20921280868126671</v>
      </c>
      <c r="J32" s="114">
        <f>-'FONTE OPxFIN'!AH46/'FONTE OPxFIN'!AH20</f>
        <v>0.19970746486966515</v>
      </c>
      <c r="K32" s="114">
        <f>-'FONTE OPxFIN'!AI46/'FONTE OPxFIN'!AI20</f>
        <v>0.21449742195975796</v>
      </c>
      <c r="L32" s="114">
        <f>-'FONTE OPxFIN'!AJ46/'FONTE OPxFIN'!AJ20</f>
        <v>0.22794078789703631</v>
      </c>
      <c r="M32" s="185">
        <f>-'FONTE OPxFIN'!AK46/'FONTE OPxFIN'!AK20</f>
        <v>0.21321413902121567</v>
      </c>
      <c r="N32" s="114">
        <f>-'FONTE OPxFIN'!AL46/'FONTE OPxFIN'!AL20</f>
        <v>0.22702286678428929</v>
      </c>
      <c r="O32" s="114">
        <f>-'FONTE OPxFIN'!AM46/'FONTE OPxFIN'!AM20</f>
        <v>0.21223198435723159</v>
      </c>
      <c r="P32" s="114">
        <f>-'FONTE OPxFIN'!AN46/'FONTE OPxFIN'!AN20</f>
        <v>0.230193041595501</v>
      </c>
      <c r="Q32" s="114">
        <f>-'FONTE OPxFIN'!AO46/'FONTE OPxFIN'!AO20</f>
        <v>0.19030952537059001</v>
      </c>
      <c r="R32" s="185">
        <f>-'FONTE OPxFIN'!AP46/'FONTE OPxFIN'!AP20</f>
        <v>0.21486981224326865</v>
      </c>
      <c r="S32" s="114">
        <f>-'FONTE OPxFIN'!AQ46/'FONTE OPxFIN'!AQ20</f>
        <v>0.2172461404250482</v>
      </c>
      <c r="T32" s="114">
        <f>-'FONTE OPxFIN'!AR46/'FONTE OPxFIN'!AR20</f>
        <v>0.15943426932164237</v>
      </c>
      <c r="U32" s="114">
        <f>-'FONTE OPxFIN'!AS46/'FONTE OPxFIN'!AS20</f>
        <v>0.2103240392809981</v>
      </c>
      <c r="V32" s="114">
        <f>-'FONTE OPxFIN'!AT46/'FONTE OPxFIN'!AT20</f>
        <v>0.17838677474638401</v>
      </c>
      <c r="W32" s="185">
        <f>-'FONTE OPxFIN'!AU46/'FONTE OPxFIN'!AU20</f>
        <v>0.19176052048744349</v>
      </c>
      <c r="X32" s="114">
        <f>-'FONTE OPxFIN'!AV46/'FONTE OPxFIN'!AV20</f>
        <v>0.19410876435993704</v>
      </c>
      <c r="Y32" s="114">
        <f>-'FONTE OPxFIN'!AW46/'FONTE OPxFIN'!AW20</f>
        <v>0.21395549241321488</v>
      </c>
      <c r="Z32" s="114">
        <f>-'FONTE OPxFIN'!AX46/'FONTE OPxFIN'!AX20</f>
        <v>0.19687378702399466</v>
      </c>
      <c r="AA32" s="114">
        <f>-'FONTE OPxFIN'!AY46/'FONTE OPxFIN'!AY20</f>
        <v>0.2007876603719187</v>
      </c>
      <c r="AB32" s="185">
        <f>-'FONTE OPxFIN'!AZ46/'FONTE OPxFIN'!AZ20</f>
        <v>0.20140409697711278</v>
      </c>
      <c r="AC32" s="114">
        <f>-'FONTE OPxFIN'!BA46/'FONTE OPxFIN'!BA20</f>
        <v>0.19941445776105912</v>
      </c>
    </row>
    <row r="33" spans="1:29">
      <c r="A33" s="357"/>
      <c r="B33" s="318" t="s">
        <v>613</v>
      </c>
      <c r="C33" s="185">
        <f>-'FONTE OPxFIN'!AA47/'FONTE OPxFIN'!AA21</f>
        <v>3.3470275882877321E-2</v>
      </c>
      <c r="D33" s="403" t="s">
        <v>0</v>
      </c>
      <c r="E33" s="410" t="s">
        <v>0</v>
      </c>
      <c r="F33" s="410" t="s">
        <v>0</v>
      </c>
      <c r="G33" s="410" t="s">
        <v>0</v>
      </c>
      <c r="H33" s="402" t="s">
        <v>0</v>
      </c>
      <c r="I33" s="410" t="s">
        <v>0</v>
      </c>
      <c r="J33" s="410" t="s">
        <v>0</v>
      </c>
      <c r="K33" s="410" t="s">
        <v>0</v>
      </c>
      <c r="L33" s="410" t="s">
        <v>0</v>
      </c>
      <c r="M33" s="402" t="s">
        <v>0</v>
      </c>
      <c r="N33" s="410" t="s">
        <v>0</v>
      </c>
      <c r="O33" s="410" t="s">
        <v>0</v>
      </c>
      <c r="P33" s="114" t="s">
        <v>0</v>
      </c>
      <c r="Q33" s="114" t="s">
        <v>0</v>
      </c>
      <c r="R33" s="402" t="s">
        <v>0</v>
      </c>
      <c r="S33" s="410" t="s">
        <v>0</v>
      </c>
      <c r="T33" s="410" t="s">
        <v>0</v>
      </c>
      <c r="U33" s="114" t="s">
        <v>0</v>
      </c>
      <c r="V33" s="114" t="s">
        <v>0</v>
      </c>
      <c r="W33" s="402" t="s">
        <v>0</v>
      </c>
      <c r="X33" s="114" t="s">
        <v>0</v>
      </c>
      <c r="Y33" s="114" t="s">
        <v>0</v>
      </c>
      <c r="Z33" s="114" t="s">
        <v>0</v>
      </c>
      <c r="AA33" s="114" t="s">
        <v>0</v>
      </c>
      <c r="AB33" s="402" t="s">
        <v>0</v>
      </c>
      <c r="AC33" s="114" t="s">
        <v>0</v>
      </c>
    </row>
    <row r="34" spans="1:29">
      <c r="A34" s="357"/>
      <c r="B34" s="318" t="s">
        <v>566</v>
      </c>
      <c r="C34" s="185">
        <f>-'FONTE OPxFIN'!AA48/'FONTE OPxFIN'!AA22</f>
        <v>5.7108710430808264E-2</v>
      </c>
      <c r="D34" s="114">
        <f>-'FONTE OPxFIN'!AB48/'FONTE OPxFIN'!AB22</f>
        <v>7.8869755404431433E-2</v>
      </c>
      <c r="E34" s="114">
        <f>-'FONTE OPxFIN'!AC48/'FONTE OPxFIN'!AC22</f>
        <v>6.5271260536739067E-2</v>
      </c>
      <c r="F34" s="114">
        <f>-'FONTE OPxFIN'!AD48/'FONTE OPxFIN'!AD22</f>
        <v>6.8889698790945877E-2</v>
      </c>
      <c r="G34" s="114">
        <f>-'FONTE OPxFIN'!AE48/'FONTE OPxFIN'!AE22</f>
        <v>5.4778843759840413E-2</v>
      </c>
      <c r="H34" s="185">
        <f>-'FONTE OPxFIN'!AF48/'FONTE OPxFIN'!AF22</f>
        <v>6.7493108789790507E-2</v>
      </c>
      <c r="I34" s="114">
        <f>-'FONTE OPxFIN'!AG48/'FONTE OPxFIN'!AG22</f>
        <v>6.2733128604598912E-2</v>
      </c>
      <c r="J34" s="114">
        <f>-'FONTE OPxFIN'!AH48/'FONTE OPxFIN'!AH22</f>
        <v>5.0039280545792847E-2</v>
      </c>
      <c r="K34" s="114">
        <f>-'FONTE OPxFIN'!AI48/'FONTE OPxFIN'!AI22</f>
        <v>4.2477242736686724E-2</v>
      </c>
      <c r="L34" s="114">
        <f>-'FONTE OPxFIN'!AJ48/'FONTE OPxFIN'!AJ22</f>
        <v>4.9077277970011532E-2</v>
      </c>
      <c r="M34" s="185">
        <f>-'FONTE OPxFIN'!AK48/'FONTE OPxFIN'!AK22</f>
        <v>5.2075057527890892E-2</v>
      </c>
      <c r="N34" s="410" t="s">
        <v>0</v>
      </c>
      <c r="O34" s="410" t="s">
        <v>0</v>
      </c>
      <c r="P34" s="114" t="s">
        <v>0</v>
      </c>
      <c r="Q34" s="114" t="s">
        <v>0</v>
      </c>
      <c r="R34" s="402" t="s">
        <v>0</v>
      </c>
      <c r="S34" s="410" t="s">
        <v>0</v>
      </c>
      <c r="T34" s="410" t="s">
        <v>0</v>
      </c>
      <c r="U34" s="114" t="s">
        <v>0</v>
      </c>
      <c r="V34" s="114" t="s">
        <v>0</v>
      </c>
      <c r="W34" s="402" t="s">
        <v>0</v>
      </c>
      <c r="X34" s="114" t="s">
        <v>0</v>
      </c>
      <c r="Y34" s="114" t="s">
        <v>0</v>
      </c>
      <c r="Z34" s="114" t="s">
        <v>0</v>
      </c>
      <c r="AA34" s="114" t="s">
        <v>0</v>
      </c>
      <c r="AB34" s="402" t="s">
        <v>0</v>
      </c>
      <c r="AC34" s="114" t="s">
        <v>0</v>
      </c>
    </row>
    <row r="35" spans="1:29">
      <c r="A35" s="357"/>
      <c r="B35" s="318" t="s">
        <v>271</v>
      </c>
      <c r="C35" s="185">
        <f>-'FONTE OPxFIN'!AA49/'FONTE OPxFIN'!AA23</f>
        <v>0.18735795601340047</v>
      </c>
      <c r="D35" s="114">
        <f>-'FONTE OPxFIN'!AB49/'FONTE OPxFIN'!AB23</f>
        <v>0.19220206275489096</v>
      </c>
      <c r="E35" s="114">
        <f>-'FONTE OPxFIN'!AC49/'FONTE OPxFIN'!AC23</f>
        <v>0.20639016165110272</v>
      </c>
      <c r="F35" s="114">
        <f>-'FONTE OPxFIN'!AD49/'FONTE OPxFIN'!AD23</f>
        <v>0.23806536021751395</v>
      </c>
      <c r="G35" s="114">
        <f>-'FONTE OPxFIN'!AE49/'FONTE OPxFIN'!AE23</f>
        <v>0.2127628269353381</v>
      </c>
      <c r="H35" s="185">
        <f>-'FONTE OPxFIN'!AF49/'FONTE OPxFIN'!AF23</f>
        <v>0.21255876120962752</v>
      </c>
      <c r="I35" s="114">
        <f>-'FONTE OPxFIN'!AG49/'FONTE OPxFIN'!AG23</f>
        <v>0.23358879217671741</v>
      </c>
      <c r="J35" s="114">
        <f>-'FONTE OPxFIN'!AH49/'FONTE OPxFIN'!AH23</f>
        <v>0.34199839399655302</v>
      </c>
      <c r="K35" s="114">
        <f>-'FONTE OPxFIN'!AI49/'FONTE OPxFIN'!AI23</f>
        <v>0.13139577104626818</v>
      </c>
      <c r="L35" s="114">
        <f>-'FONTE OPxFIN'!AJ49/'FONTE OPxFIN'!AJ23</f>
        <v>0.16289751040191544</v>
      </c>
      <c r="M35" s="185">
        <f>-'FONTE OPxFIN'!AK49/'FONTE OPxFIN'!AK23</f>
        <v>0.21845981889401997</v>
      </c>
      <c r="N35" s="410" t="s">
        <v>0</v>
      </c>
      <c r="O35" s="410" t="s">
        <v>0</v>
      </c>
      <c r="P35" s="114" t="s">
        <v>0</v>
      </c>
      <c r="Q35" s="114" t="s">
        <v>0</v>
      </c>
      <c r="R35" s="402" t="s">
        <v>0</v>
      </c>
      <c r="S35" s="410" t="s">
        <v>0</v>
      </c>
      <c r="T35" s="410" t="s">
        <v>0</v>
      </c>
      <c r="U35" s="114" t="s">
        <v>0</v>
      </c>
      <c r="V35" s="114" t="s">
        <v>0</v>
      </c>
      <c r="W35" s="402" t="s">
        <v>0</v>
      </c>
      <c r="X35" s="114" t="s">
        <v>0</v>
      </c>
      <c r="Y35" s="114" t="s">
        <v>0</v>
      </c>
      <c r="Z35" s="114" t="s">
        <v>0</v>
      </c>
      <c r="AA35" s="114" t="s">
        <v>0</v>
      </c>
      <c r="AB35" s="402" t="s">
        <v>0</v>
      </c>
      <c r="AC35" s="114" t="s">
        <v>0</v>
      </c>
    </row>
    <row r="36" spans="1:29">
      <c r="A36" s="357"/>
      <c r="B36" s="318" t="s">
        <v>614</v>
      </c>
      <c r="C36" s="185">
        <f>-'FONTE OPxFIN'!AA50/'FONTE OPxFIN'!AA24</f>
        <v>0.27538284837218963</v>
      </c>
      <c r="D36" s="114">
        <f>-'FONTE OPxFIN'!AB50/'FONTE OPxFIN'!AB24</f>
        <v>3.8250824073029294E-2</v>
      </c>
      <c r="E36" s="114">
        <f>-'FONTE OPxFIN'!AC50/'FONTE OPxFIN'!AC24</f>
        <v>8.9407493182986283E-2</v>
      </c>
      <c r="F36" s="114">
        <f>-'FONTE OPxFIN'!AD50/'FONTE OPxFIN'!AD24</f>
        <v>-9.8831953172387368E-2</v>
      </c>
      <c r="G36" s="114">
        <f>-'FONTE OPxFIN'!AE50/'FONTE OPxFIN'!AE24</f>
        <v>3.2235384873211126E-9</v>
      </c>
      <c r="H36" s="185">
        <f>-'FONTE OPxFIN'!AF50/'FONTE OPxFIN'!AF24</f>
        <v>6.0851423140801525E-3</v>
      </c>
      <c r="I36" s="114">
        <f>-'FONTE OPxFIN'!AG50/'FONTE OPxFIN'!AG24</f>
        <v>3.4762456546929316E-3</v>
      </c>
      <c r="J36" s="114">
        <f>-'FONTE OPxFIN'!AH50/'FONTE OPxFIN'!AH24</f>
        <v>1.9261213720316622E-2</v>
      </c>
      <c r="K36" s="114">
        <f>-'FONTE OPxFIN'!AI50/'FONTE OPxFIN'!AI24</f>
        <v>0.43531827515400412</v>
      </c>
      <c r="L36" s="114">
        <f>-'FONTE OPxFIN'!AJ50/'FONTE OPxFIN'!AJ24</f>
        <v>0.10732113144758736</v>
      </c>
      <c r="M36" s="185">
        <f>-'FONTE OPxFIN'!AK50/'FONTE OPxFIN'!AK24</f>
        <v>0.16107213164403614</v>
      </c>
      <c r="N36" s="114">
        <f>-'FONTE OPxFIN'!AL50/'FONTE OPxFIN'!AL24</f>
        <v>0.34276238782676549</v>
      </c>
      <c r="O36" s="114">
        <f>-'FONTE OPxFIN'!AM50/'FONTE OPxFIN'!AM24</f>
        <v>0.53432539682539681</v>
      </c>
      <c r="P36" s="114">
        <f>-'FONTE OPxFIN'!AN50/'FONTE OPxFIN'!AN24</f>
        <v>0.21278053794757582</v>
      </c>
      <c r="Q36" s="114">
        <f>-'FONTE OPxFIN'!AO50/'FONTE OPxFIN'!AO24</f>
        <v>0.20532947738070648</v>
      </c>
      <c r="R36" s="406">
        <f>-'FONTE OPxFIN'!AP50/'FONTE OPxFIN'!AP24</f>
        <v>0.32076376895029746</v>
      </c>
      <c r="S36" s="114">
        <f>-'FONTE OPxFIN'!AQ50/'FONTE OPxFIN'!AQ24</f>
        <v>0.18529546495648191</v>
      </c>
      <c r="T36" s="114">
        <f>-'FONTE OPxFIN'!AR50/'FONTE OPxFIN'!AR24</f>
        <v>0.23353049153579442</v>
      </c>
      <c r="U36" s="114">
        <f>-'FONTE OPxFIN'!AS50/'FONTE OPxFIN'!AS24</f>
        <v>0.10588959573158219</v>
      </c>
      <c r="V36" s="114">
        <f>-'FONTE OPxFIN'!AT50/'FONTE OPxFIN'!AT24</f>
        <v>0.10822692066150304</v>
      </c>
      <c r="W36" s="406">
        <f>-'FONTE OPxFIN'!AU50/'FONTE OPxFIN'!AU24</f>
        <v>0.15788360907024684</v>
      </c>
      <c r="X36" s="114">
        <f>-'FONTE OPxFIN'!AV50/'FONTE OPxFIN'!AV24</f>
        <v>6.4399275508150531E-3</v>
      </c>
      <c r="Y36" s="114">
        <f>-'FONTE OPxFIN'!AW50/'FONTE OPxFIN'!AW24</f>
        <v>4.968103614923642E-2</v>
      </c>
      <c r="Z36" s="114">
        <f>-'FONTE OPxFIN'!AX50/'FONTE OPxFIN'!AX24</f>
        <v>0.21534482758620691</v>
      </c>
      <c r="AA36" s="114">
        <f>-'FONTE OPxFIN'!AY50/'FONTE OPxFIN'!AY24</f>
        <v>0.15976018338917297</v>
      </c>
      <c r="AB36" s="406">
        <f>-'FONTE OPxFIN'!AZ50/'FONTE OPxFIN'!AZ24</f>
        <v>0.11308009068616111</v>
      </c>
      <c r="AC36" s="114">
        <f>-'FONTE OPxFIN'!BA50/'FONTE OPxFIN'!BA24</f>
        <v>0.35309184046834979</v>
      </c>
    </row>
    <row r="37" spans="1:29">
      <c r="A37" s="357"/>
      <c r="B37" s="318" t="s">
        <v>568</v>
      </c>
      <c r="C37" s="185">
        <f>-'FONTE OPxFIN'!AA51/'FONTE OPxFIN'!AA25</f>
        <v>1.4887792482540026E-2</v>
      </c>
      <c r="D37" s="114">
        <f>-'FONTE OPxFIN'!AB51/'FONTE OPxFIN'!AB25</f>
        <v>-5.6291471245647519E-2</v>
      </c>
      <c r="E37" s="114">
        <f>-'FONTE OPxFIN'!AC51/'FONTE OPxFIN'!AC25</f>
        <v>-5.6644239841294769E-2</v>
      </c>
      <c r="F37" s="114">
        <f>-'FONTE OPxFIN'!AD51/'FONTE OPxFIN'!AD25</f>
        <v>-2.5153326535325423E-2</v>
      </c>
      <c r="G37" s="114">
        <f>-'FONTE OPxFIN'!AE51/'FONTE OPxFIN'!AE25</f>
        <v>-4.6269155509161899E-2</v>
      </c>
      <c r="H37" s="185">
        <f>-'FONTE OPxFIN'!AF51/'FONTE OPxFIN'!AF25</f>
        <v>-4.5164020736042747E-2</v>
      </c>
      <c r="I37" s="114">
        <f>-'FONTE OPxFIN'!AG51/'FONTE OPxFIN'!AG25</f>
        <v>-1.0571963040643954E-2</v>
      </c>
      <c r="J37" s="114">
        <f>-'FONTE OPxFIN'!AH51/'FONTE OPxFIN'!AH25</f>
        <v>-0.18071940363320546</v>
      </c>
      <c r="K37" s="114">
        <f>-'FONTE OPxFIN'!AI51/'FONTE OPxFIN'!AI25</f>
        <v>-4.6434190227435885E-3</v>
      </c>
      <c r="L37" s="114">
        <f>-'FONTE OPxFIN'!AJ51/'FONTE OPxFIN'!AJ25</f>
        <v>0.54057181756296802</v>
      </c>
      <c r="M37" s="185">
        <f>-'FONTE OPxFIN'!AK51/'FONTE OPxFIN'!AK25</f>
        <v>0.10827909998451375</v>
      </c>
      <c r="N37" s="410" t="s">
        <v>0</v>
      </c>
      <c r="O37" s="410" t="s">
        <v>0</v>
      </c>
      <c r="P37" s="114" t="s">
        <v>0</v>
      </c>
      <c r="Q37" s="114" t="s">
        <v>0</v>
      </c>
      <c r="R37" s="402" t="s">
        <v>0</v>
      </c>
      <c r="S37" s="410" t="s">
        <v>0</v>
      </c>
      <c r="T37" s="410" t="s">
        <v>0</v>
      </c>
      <c r="U37" s="114" t="s">
        <v>0</v>
      </c>
      <c r="V37" s="114" t="s">
        <v>0</v>
      </c>
      <c r="W37" s="402" t="s">
        <v>0</v>
      </c>
      <c r="X37" s="114" t="s">
        <v>0</v>
      </c>
      <c r="Y37" s="114" t="s">
        <v>0</v>
      </c>
      <c r="Z37" s="114" t="s">
        <v>0</v>
      </c>
      <c r="AA37" s="114" t="s">
        <v>0</v>
      </c>
      <c r="AB37" s="402" t="s">
        <v>0</v>
      </c>
      <c r="AC37" s="114" t="s">
        <v>0</v>
      </c>
    </row>
    <row r="38" spans="1:29">
      <c r="A38" s="357"/>
      <c r="B38" s="318" t="s">
        <v>569</v>
      </c>
      <c r="C38" s="185">
        <f>-'FONTE OPxFIN'!AA52/'FONTE OPxFIN'!AA26</f>
        <v>0.10458421453532694</v>
      </c>
      <c r="D38" s="114">
        <f>-'FONTE OPxFIN'!AB52/'FONTE OPxFIN'!AB26</f>
        <v>7.1991266119800279E-2</v>
      </c>
      <c r="E38" s="114">
        <f>-'FONTE OPxFIN'!AC52/'FONTE OPxFIN'!AC26</f>
        <v>8.3146951496292851E-2</v>
      </c>
      <c r="F38" s="114">
        <f>-'FONTE OPxFIN'!AD52/'FONTE OPxFIN'!AD26</f>
        <v>6.6372883029432159E-2</v>
      </c>
      <c r="G38" s="114">
        <f>-'FONTE OPxFIN'!AE52/'FONTE OPxFIN'!AE26</f>
        <v>3.2556968484761896E-2</v>
      </c>
      <c r="H38" s="185">
        <f>-'FONTE OPxFIN'!AF52/'FONTE OPxFIN'!AF26</f>
        <v>6.3233249900610231E-2</v>
      </c>
      <c r="I38" s="114">
        <f>-'FONTE OPxFIN'!AG52/'FONTE OPxFIN'!AG26</f>
        <v>6.7064768029398258E-2</v>
      </c>
      <c r="J38" s="114">
        <f>-'FONTE OPxFIN'!AH52/'FONTE OPxFIN'!AH26</f>
        <v>7.7236306318140019E-2</v>
      </c>
      <c r="K38" s="114">
        <f>-'FONTE OPxFIN'!AI52/'FONTE OPxFIN'!AI26</f>
        <v>7.2747279618535277E-2</v>
      </c>
      <c r="L38" s="114">
        <f>-'FONTE OPxFIN'!AJ52/'FONTE OPxFIN'!AJ26</f>
        <v>5.3158705701078585E-2</v>
      </c>
      <c r="M38" s="185">
        <f>-'FONTE OPxFIN'!AK52/'FONTE OPxFIN'!AK26</f>
        <v>6.8872690405020365E-2</v>
      </c>
      <c r="N38" s="410" t="s">
        <v>0</v>
      </c>
      <c r="O38" s="410" t="s">
        <v>0</v>
      </c>
      <c r="P38" s="114" t="s">
        <v>0</v>
      </c>
      <c r="Q38" s="114" t="s">
        <v>0</v>
      </c>
      <c r="R38" s="402" t="s">
        <v>0</v>
      </c>
      <c r="S38" s="410" t="s">
        <v>0</v>
      </c>
      <c r="T38" s="410" t="s">
        <v>0</v>
      </c>
      <c r="U38" s="114" t="s">
        <v>0</v>
      </c>
      <c r="V38" s="114" t="s">
        <v>0</v>
      </c>
      <c r="W38" s="402" t="s">
        <v>0</v>
      </c>
      <c r="X38" s="114" t="s">
        <v>0</v>
      </c>
      <c r="Y38" s="114" t="s">
        <v>0</v>
      </c>
      <c r="Z38" s="114" t="s">
        <v>0</v>
      </c>
      <c r="AA38" s="114" t="s">
        <v>0</v>
      </c>
      <c r="AB38" s="402" t="s">
        <v>0</v>
      </c>
      <c r="AC38" s="114" t="s">
        <v>0</v>
      </c>
    </row>
    <row r="39" spans="1:29">
      <c r="A39" s="357"/>
      <c r="B39" s="318" t="s">
        <v>570</v>
      </c>
      <c r="C39" s="185">
        <f>-'FONTE OPxFIN'!AA53/'FONTE OPxFIN'!AA27</f>
        <v>0.35773736483818896</v>
      </c>
      <c r="D39" s="114">
        <f>-'FONTE OPxFIN'!AB53/'FONTE OPxFIN'!AB27</f>
        <v>0.31438504712535098</v>
      </c>
      <c r="E39" s="114">
        <f>-'FONTE OPxFIN'!AC53/'FONTE OPxFIN'!AC27</f>
        <v>0.16521328405165278</v>
      </c>
      <c r="F39" s="114">
        <f>-'FONTE OPxFIN'!AD53/'FONTE OPxFIN'!AD27</f>
        <v>0.26573819352438927</v>
      </c>
      <c r="G39" s="114">
        <f>-'FONTE OPxFIN'!AE53/'FONTE OPxFIN'!AE27</f>
        <v>0.2894667237649774</v>
      </c>
      <c r="H39" s="185">
        <f>-'FONTE OPxFIN'!AF53/'FONTE OPxFIN'!AF27</f>
        <v>0.26631335926872107</v>
      </c>
      <c r="I39" s="114">
        <f>-'FONTE OPxFIN'!AG53/'FONTE OPxFIN'!AG27</f>
        <v>0.36064113980409618</v>
      </c>
      <c r="J39" s="114">
        <f>-'FONTE OPxFIN'!AH53/'FONTE OPxFIN'!AH27</f>
        <v>0.34745098039215688</v>
      </c>
      <c r="K39" s="114">
        <f>-'FONTE OPxFIN'!AI53/'FONTE OPxFIN'!AI27</f>
        <v>0.38164451827242524</v>
      </c>
      <c r="L39" s="114">
        <f>-'FONTE OPxFIN'!AJ53/'FONTE OPxFIN'!AJ27</f>
        <v>0.40350877192982454</v>
      </c>
      <c r="M39" s="185">
        <f>-'FONTE OPxFIN'!AK53/'FONTE OPxFIN'!AK27</f>
        <v>0.37077156974534398</v>
      </c>
      <c r="N39" s="114">
        <f>-'FONTE OPxFIN'!AL53/'FONTE OPxFIN'!AL27</f>
        <v>0.40228013029315962</v>
      </c>
      <c r="O39" s="114">
        <f>-'FONTE OPxFIN'!AM53/'FONTE OPxFIN'!AM27</f>
        <v>0.38939566704675027</v>
      </c>
      <c r="P39" s="114">
        <f>-'FONTE OPxFIN'!AN53/'FONTE OPxFIN'!AN27</f>
        <v>0.38103070175438597</v>
      </c>
      <c r="Q39" s="114">
        <f>-'FONTE OPxFIN'!AO53/'FONTE OPxFIN'!AO27</f>
        <v>0.39037758830694275</v>
      </c>
      <c r="R39" s="185">
        <f>-'FONTE OPxFIN'!AP53/'FONTE OPxFIN'!AP27</f>
        <v>0.39082412914188613</v>
      </c>
      <c r="S39" s="114">
        <f>-'FONTE OPxFIN'!AQ53/'FONTE OPxFIN'!AQ27</f>
        <v>0.39784172661870504</v>
      </c>
      <c r="T39" s="114">
        <f>-'FONTE OPxFIN'!AR53/'FONTE OPxFIN'!AR27</f>
        <v>0.39303135888501745</v>
      </c>
      <c r="U39" s="114">
        <f>-'FONTE OPxFIN'!AS53/'FONTE OPxFIN'!AS27</f>
        <v>0.39171374764595102</v>
      </c>
      <c r="V39" s="114">
        <f>-'FONTE OPxFIN'!AT53/'FONTE OPxFIN'!AT27</f>
        <v>0.33891992551210426</v>
      </c>
      <c r="W39" s="185">
        <f>-'FONTE OPxFIN'!AU53/'FONTE OPxFIN'!AU27</f>
        <v>0.37933322275667608</v>
      </c>
      <c r="X39" s="114">
        <f>-'FONTE OPxFIN'!AV53/'FONTE OPxFIN'!AV27</f>
        <v>0.44709302325581396</v>
      </c>
      <c r="Y39" s="114">
        <f>-'FONTE OPxFIN'!AW53/'FONTE OPxFIN'!AW27</f>
        <v>0.37585812356979403</v>
      </c>
      <c r="Z39" s="114">
        <f>-'FONTE OPxFIN'!AX53/'FONTE OPxFIN'!AX27</f>
        <v>0.42441266598569971</v>
      </c>
      <c r="AA39" s="114">
        <f>-'FONTE OPxFIN'!AY53/'FONTE OPxFIN'!AY27</f>
        <v>0.41713990707279297</v>
      </c>
      <c r="AB39" s="185">
        <f>-'FONTE OPxFIN'!AZ53/'FONTE OPxFIN'!AZ27</f>
        <v>0.41627054189868262</v>
      </c>
      <c r="AC39" s="114">
        <f>-'FONTE OPxFIN'!BA53/'FONTE OPxFIN'!BA27</f>
        <v>0.45177956371986222</v>
      </c>
    </row>
    <row r="40" spans="1:29">
      <c r="A40" s="357"/>
      <c r="B40" s="318" t="s">
        <v>615</v>
      </c>
      <c r="C40" s="185">
        <f>-'FONTE OPxFIN'!AA54/'FONTE OPxFIN'!AA28</f>
        <v>0.38571047935087971</v>
      </c>
      <c r="D40" s="114">
        <f>-'FONTE OPxFIN'!AB54/'FONTE OPxFIN'!AB28</f>
        <v>0.3729970703290949</v>
      </c>
      <c r="E40" s="114">
        <f>-'FONTE OPxFIN'!AC54/'FONTE OPxFIN'!AC28</f>
        <v>0.39197841385415177</v>
      </c>
      <c r="F40" s="114">
        <f>-'FONTE OPxFIN'!AD54/'FONTE OPxFIN'!AD28</f>
        <v>0.39459117098092694</v>
      </c>
      <c r="G40" s="114">
        <f>-'FONTE OPxFIN'!AE54/'FONTE OPxFIN'!AE28</f>
        <v>0.39395874389626606</v>
      </c>
      <c r="H40" s="185">
        <f>-'FONTE OPxFIN'!AF54/'FONTE OPxFIN'!AF28</f>
        <v>0.39027340307795061</v>
      </c>
      <c r="I40" s="114">
        <f>-'FONTE OPxFIN'!AG54/'FONTE OPxFIN'!AG28</f>
        <v>0.41225183140460769</v>
      </c>
      <c r="J40" s="114">
        <f>-'FONTE OPxFIN'!AH54/'FONTE OPxFIN'!AH28</f>
        <v>0.39782639782639784</v>
      </c>
      <c r="K40" s="114">
        <f>-'FONTE OPxFIN'!AI54/'FONTE OPxFIN'!AI28</f>
        <v>0.39487009606738915</v>
      </c>
      <c r="L40" s="114">
        <f>-'FONTE OPxFIN'!AJ54/'FONTE OPxFIN'!AJ28</f>
        <v>0.36207308335323618</v>
      </c>
      <c r="M40" s="185">
        <f>-'FONTE OPxFIN'!AK54/'FONTE OPxFIN'!AK28</f>
        <v>0.39626049299098987</v>
      </c>
      <c r="N40" s="114">
        <f>-'FONTE OPxFIN'!AL54/'FONTE OPxFIN'!AL28</f>
        <v>0.38202247191011235</v>
      </c>
      <c r="O40" s="114">
        <f>-'FONTE OPxFIN'!AM54/'FONTE OPxFIN'!AM28</f>
        <v>0.37963671128107074</v>
      </c>
      <c r="P40" s="114">
        <f>-'FONTE OPxFIN'!AN54/'FONTE OPxFIN'!AN28</f>
        <v>0.37974803447949229</v>
      </c>
      <c r="Q40" s="114">
        <f>-'FONTE OPxFIN'!AO54/'FONTE OPxFIN'!AO28</f>
        <v>0.38745598172646806</v>
      </c>
      <c r="R40" s="185">
        <f>-'FONTE OPxFIN'!AP54/'FONTE OPxFIN'!AP28</f>
        <v>0.38221867980581115</v>
      </c>
      <c r="S40" s="114">
        <f>-'FONTE OPxFIN'!AQ54/'FONTE OPxFIN'!AQ28</f>
        <v>0.37892233098527123</v>
      </c>
      <c r="T40" s="114">
        <f>-'FONTE OPxFIN'!AR54/'FONTE OPxFIN'!AR28</f>
        <v>0.38164251207729466</v>
      </c>
      <c r="U40" s="114">
        <f>-'FONTE OPxFIN'!AS54/'FONTE OPxFIN'!AS28</f>
        <v>0.38837348496184348</v>
      </c>
      <c r="V40" s="114">
        <f>-'FONTE OPxFIN'!AT54/'FONTE OPxFIN'!AT28</f>
        <v>0.38819772470228198</v>
      </c>
      <c r="W40" s="185">
        <f>-'FONTE OPxFIN'!AU54/'FONTE OPxFIN'!AU28</f>
        <v>0.38471052021334157</v>
      </c>
      <c r="X40" s="114">
        <f>-'FONTE OPxFIN'!AV54/'FONTE OPxFIN'!AV28</f>
        <v>0.38006440500262112</v>
      </c>
      <c r="Y40" s="114">
        <f>-'FONTE OPxFIN'!AW54/'FONTE OPxFIN'!AW28</f>
        <v>0.37537625012137099</v>
      </c>
      <c r="Z40" s="114">
        <f>-'FONTE OPxFIN'!AX54/'FONTE OPxFIN'!AX28</f>
        <v>0.38834172320712046</v>
      </c>
      <c r="AA40" s="114">
        <f>-'FONTE OPxFIN'!AY54/'FONTE OPxFIN'!AY28</f>
        <v>0.38652202026007615</v>
      </c>
      <c r="AB40" s="185">
        <f>-'FONTE OPxFIN'!AZ54/'FONTE OPxFIN'!AZ28</f>
        <v>0.38308826397285384</v>
      </c>
      <c r="AC40" s="114">
        <f>-'FONTE OPxFIN'!BA54/'FONTE OPxFIN'!BA28</f>
        <v>0.40934819396627181</v>
      </c>
    </row>
    <row r="41" spans="1:29">
      <c r="A41" s="357"/>
      <c r="B41" s="318" t="s">
        <v>616</v>
      </c>
      <c r="C41" s="185">
        <f>-'FONTE OPxFIN'!AA55/'FONTE OPxFIN'!AA29</f>
        <v>7.5250068827298122E-2</v>
      </c>
      <c r="D41" s="114">
        <f>-'FONTE OPxFIN'!AB55/'FONTE OPxFIN'!AB29</f>
        <v>-0.58007055815720832</v>
      </c>
      <c r="E41" s="114">
        <f>-'FONTE OPxFIN'!AC55/'FONTE OPxFIN'!AC29</f>
        <v>-0.16022979454146211</v>
      </c>
      <c r="F41" s="114">
        <f>-'FONTE OPxFIN'!AD55/'FONTE OPxFIN'!AD29</f>
        <v>13.479460671485587</v>
      </c>
      <c r="G41" s="114">
        <f>-'FONTE OPxFIN'!AE55/'FONTE OPxFIN'!AE29</f>
        <v>-5.6823129027519965E-2</v>
      </c>
      <c r="H41" s="185">
        <f>-'FONTE OPxFIN'!AF55/'FONTE OPxFIN'!AF29</f>
        <v>-0.54271480630730129</v>
      </c>
      <c r="I41" s="114">
        <f>-'FONTE OPxFIN'!AG55/'FONTE OPxFIN'!AG29</f>
        <v>0.14787985865724382</v>
      </c>
      <c r="J41" s="114">
        <f>-'FONTE OPxFIN'!AH55/'FONTE OPxFIN'!AH29</f>
        <v>0.23114875780465441</v>
      </c>
      <c r="K41" s="114">
        <f>-'FONTE OPxFIN'!AI55/'FONTE OPxFIN'!AI29</f>
        <v>0.20781032078103207</v>
      </c>
      <c r="L41" s="114">
        <f>-'FONTE OPxFIN'!AJ55/'FONTE OPxFIN'!AJ29</f>
        <v>0.16067459798666492</v>
      </c>
      <c r="M41" s="185">
        <f>-'FONTE OPxFIN'!AK55/'FONTE OPxFIN'!AK29</f>
        <v>0.2117828263380824</v>
      </c>
      <c r="N41" s="285">
        <f>-'FONTE OPxFIN'!AL55/'FONTE OPxFIN'!AL29</f>
        <v>0.28798061033381073</v>
      </c>
      <c r="O41" s="285">
        <f>-'FONTE OPxFIN'!AM55/'FONTE OPxFIN'!AM29</f>
        <v>0.25808170515097689</v>
      </c>
      <c r="P41" s="285">
        <f>-'FONTE OPxFIN'!AN55/'FONTE OPxFIN'!AN29</f>
        <v>0.30766326915817288</v>
      </c>
      <c r="Q41" s="114">
        <f>-'FONTE OPxFIN'!AO55/'FONTE OPxFIN'!AO29</f>
        <v>0.36170828111443171</v>
      </c>
      <c r="R41" s="185">
        <f>-'FONTE OPxFIN'!AP55/'FONTE OPxFIN'!AP29</f>
        <v>0.31410793948948446</v>
      </c>
      <c r="S41" s="285">
        <f>-'FONTE OPxFIN'!AQ55/'FONTE OPxFIN'!AQ29</f>
        <v>0.31128146886238878</v>
      </c>
      <c r="T41" s="285">
        <f>-'FONTE OPxFIN'!AR55/'FONTE OPxFIN'!AR29</f>
        <v>0.35457217764360055</v>
      </c>
      <c r="U41" s="285">
        <f>-'FONTE OPxFIN'!AS55/'FONTE OPxFIN'!AS29</f>
        <v>0.34565995368746055</v>
      </c>
      <c r="V41" s="114">
        <f>-'FONTE OPxFIN'!AT55/'FONTE OPxFIN'!AT29</f>
        <v>-1.7422489588153633</v>
      </c>
      <c r="W41" s="185">
        <f>-'FONTE OPxFIN'!AU55/'FONTE OPxFIN'!AU29</f>
        <v>-0.19678379988088149</v>
      </c>
      <c r="X41" s="114">
        <f>-'FONTE OPxFIN'!AV55/'FONTE OPxFIN'!AV29</f>
        <v>0.74217781343446865</v>
      </c>
      <c r="Y41" s="114">
        <f>-'FONTE OPxFIN'!AW55/'FONTE OPxFIN'!AW29</f>
        <v>5.1623646960865945E-2</v>
      </c>
      <c r="Z41" s="114">
        <f>-'FONTE OPxFIN'!AX55/'FONTE OPxFIN'!AX29</f>
        <v>0.32943931907114909</v>
      </c>
      <c r="AA41" s="114">
        <f>-'FONTE OPxFIN'!AY55/'FONTE OPxFIN'!AY29</f>
        <v>0.27373394359958658</v>
      </c>
      <c r="AB41" s="185">
        <f>-'FONTE OPxFIN'!AZ55/'FONTE OPxFIN'!AZ29</f>
        <v>0.33238916567613364</v>
      </c>
      <c r="AC41" s="114">
        <f>-'FONTE OPxFIN'!BA55/'FONTE OPxFIN'!BA29</f>
        <v>0.33815895298676613</v>
      </c>
    </row>
    <row r="42" spans="1:29" s="2" customFormat="1">
      <c r="A42" s="363"/>
      <c r="B42" s="21" t="s">
        <v>617</v>
      </c>
      <c r="C42" s="398">
        <f>-'FONTE OPxFIN'!AA56/'FONTE OPxFIN'!AA30</f>
        <v>7.0217923889271255E-2</v>
      </c>
      <c r="D42" s="369">
        <f>-'FONTE OPxFIN'!AB56/'FONTE OPxFIN'!AB30</f>
        <v>8.4651951339507883E-2</v>
      </c>
      <c r="E42" s="369">
        <f>-'FONTE OPxFIN'!AC56/'FONTE OPxFIN'!AC30</f>
        <v>6.7090627122540561E-2</v>
      </c>
      <c r="F42" s="369">
        <f>-'FONTE OPxFIN'!AD56/'FONTE OPxFIN'!AD30</f>
        <v>5.9138637106885834E-2</v>
      </c>
      <c r="G42" s="369">
        <f>-'FONTE OPxFIN'!AE56/'FONTE OPxFIN'!AE30</f>
        <v>4.6432220066233792E-2</v>
      </c>
      <c r="H42" s="368">
        <f>-'FONTE OPxFIN'!AF56/'FONTE OPxFIN'!AF30</f>
        <v>6.404855431397341E-2</v>
      </c>
      <c r="I42" s="369">
        <f>-'FONTE OPxFIN'!AG56/'FONTE OPxFIN'!AG30</f>
        <v>9.115385837278013E-2</v>
      </c>
      <c r="J42" s="369">
        <f>-'FONTE OPxFIN'!AH56/'FONTE OPxFIN'!AH30</f>
        <v>0.10516431380618535</v>
      </c>
      <c r="K42" s="369">
        <f>-'FONTE OPxFIN'!AI56/'FONTE OPxFIN'!AI30</f>
        <v>0.14795095876463601</v>
      </c>
      <c r="L42" s="369">
        <f>-'FONTE OPxFIN'!AJ56/'FONTE OPxFIN'!AJ30</f>
        <v>9.6984837191518791E-2</v>
      </c>
      <c r="M42" s="368">
        <f>-'FONTE OPxFIN'!AK56/'FONTE OPxFIN'!AK30</f>
        <v>0.10965950031428381</v>
      </c>
      <c r="N42" s="369">
        <f>-'FONTE OPxFIN'!AL56/'FONTE OPxFIN'!AL30</f>
        <v>0.13535322500116229</v>
      </c>
      <c r="O42" s="369">
        <f>-'FONTE OPxFIN'!AM56/'FONTE OPxFIN'!AM30</f>
        <v>0.13037231137863803</v>
      </c>
      <c r="P42" s="369">
        <f>-'FONTE OPxFIN'!AN56/'FONTE OPxFIN'!AN30</f>
        <v>0.13641472654960465</v>
      </c>
      <c r="Q42" s="369">
        <f>-'FONTE OPxFIN'!AO56/'FONTE OPxFIN'!AO30</f>
        <v>0.11613119861899777</v>
      </c>
      <c r="R42" s="368">
        <f>-'FONTE OPxFIN'!AP56/'FONTE OPxFIN'!AP30</f>
        <v>0.12954324255794283</v>
      </c>
      <c r="S42" s="369">
        <f>-'FONTE OPxFIN'!AQ56/'FONTE OPxFIN'!AQ30</f>
        <v>0.16956001137871918</v>
      </c>
      <c r="T42" s="369">
        <f>-'FONTE OPxFIN'!AR56/'FONTE OPxFIN'!AR30</f>
        <v>0.14783234206743537</v>
      </c>
      <c r="U42" s="369">
        <f>-'FONTE OPxFIN'!AS56/'FONTE OPxFIN'!AS30</f>
        <v>0.16294692929070301</v>
      </c>
      <c r="V42" s="369">
        <f>-'FONTE OPxFIN'!AT56/'FONTE OPxFIN'!AT30</f>
        <v>0.12319859782011436</v>
      </c>
      <c r="W42" s="368">
        <f>-'FONTE OPxFIN'!AU56/'FONTE OPxFIN'!AU30</f>
        <v>0.1498592644952681</v>
      </c>
      <c r="X42" s="369">
        <f>-'FONTE OPxFIN'!AV56/'FONTE OPxFIN'!AV30</f>
        <v>0.17824760961479882</v>
      </c>
      <c r="Y42" s="369">
        <f>-'FONTE OPxFIN'!AW56/'FONTE OPxFIN'!AW30</f>
        <v>0.16559274260360476</v>
      </c>
      <c r="Z42" s="369">
        <f>-'FONTE OPxFIN'!AX56/'FONTE OPxFIN'!AX30</f>
        <v>0.18927402760306156</v>
      </c>
      <c r="AA42" s="369">
        <f>-'FONTE OPxFIN'!AY56/'FONTE OPxFIN'!AY30</f>
        <v>0.10784129732051043</v>
      </c>
      <c r="AB42" s="368">
        <f>-'FONTE OPxFIN'!AZ56/'FONTE OPxFIN'!AZ30</f>
        <v>0.1589789629042902</v>
      </c>
      <c r="AC42" s="369">
        <f>-'FONTE OPxFIN'!BA56/'FONTE OPxFIN'!BA30</f>
        <v>0.18657392140151033</v>
      </c>
    </row>
    <row r="43" spans="1:29">
      <c r="A43" s="357"/>
      <c r="B43" s="11" t="s">
        <v>269</v>
      </c>
      <c r="C43" s="185">
        <f>-'FONTE OPxFIN'!AA57/'FONTE OPxFIN'!AA31</f>
        <v>6.4243784025984421E-2</v>
      </c>
      <c r="D43" s="114">
        <f>-'FONTE OPxFIN'!AB57/'FONTE OPxFIN'!AB31</f>
        <v>8.222356629871129E-2</v>
      </c>
      <c r="E43" s="114">
        <f>-'FONTE OPxFIN'!AC57/'FONTE OPxFIN'!AC31</f>
        <v>6.3891248486817834E-2</v>
      </c>
      <c r="F43" s="114">
        <f>-'FONTE OPxFIN'!AD57/'FONTE OPxFIN'!AD31</f>
        <v>5.5471923864140731E-2</v>
      </c>
      <c r="G43" s="114">
        <f>-'FONTE OPxFIN'!AE57/'FONTE OPxFIN'!AE31</f>
        <v>4.180865526430614E-2</v>
      </c>
      <c r="H43" s="185">
        <f>-'FONTE OPxFIN'!AF57/'FONTE OPxFIN'!AF31</f>
        <v>6.0457757698892903E-2</v>
      </c>
      <c r="I43" s="114">
        <f>-'FONTE OPxFIN'!AG57/'FONTE OPxFIN'!AG31</f>
        <v>8.9214698770711143E-2</v>
      </c>
      <c r="J43" s="114">
        <f>-'FONTE OPxFIN'!AH57/'FONTE OPxFIN'!AH31</f>
        <v>0.10371880947266186</v>
      </c>
      <c r="K43" s="114">
        <f>-'FONTE OPxFIN'!AI57/'FONTE OPxFIN'!AI31</f>
        <v>0.14821609189031909</v>
      </c>
      <c r="L43" s="114">
        <f>-'FONTE OPxFIN'!AJ57/'FONTE OPxFIN'!AJ31</f>
        <v>9.5145583371853359E-2</v>
      </c>
      <c r="M43" s="185">
        <f>-'FONTE OPxFIN'!AK57/'FONTE OPxFIN'!AK31</f>
        <v>0.10833028499218517</v>
      </c>
      <c r="N43" s="114">
        <f>-'FONTE OPxFIN'!AL57/'FONTE OPxFIN'!AL31</f>
        <v>0.13507623900187055</v>
      </c>
      <c r="O43" s="114">
        <f>-'FONTE OPxFIN'!AM57/'FONTE OPxFIN'!AM31</f>
        <v>0.13057261100027762</v>
      </c>
      <c r="P43" s="114">
        <f>-'FONTE OPxFIN'!AN57/'FONTE OPxFIN'!AN31</f>
        <v>0.13605558542267404</v>
      </c>
      <c r="Q43" s="114">
        <f>-'FONTE OPxFIN'!AO57/'FONTE OPxFIN'!AO31</f>
        <v>0.11503377606902193</v>
      </c>
      <c r="R43" s="185">
        <f>-'FONTE OPxFIN'!AP57/'FONTE OPxFIN'!AP31</f>
        <v>0.12918927053472801</v>
      </c>
      <c r="S43" s="114">
        <f>-'FONTE OPxFIN'!AQ57/'FONTE OPxFIN'!AQ31</f>
        <v>0.17084397292998546</v>
      </c>
      <c r="T43" s="114">
        <f>-'FONTE OPxFIN'!AR57/'FONTE OPxFIN'!AR31</f>
        <v>0.14799464729497228</v>
      </c>
      <c r="U43" s="114">
        <f>-'FONTE OPxFIN'!AS57/'FONTE OPxFIN'!AS31</f>
        <v>0.16302694413477897</v>
      </c>
      <c r="V43" s="114">
        <f>-'FONTE OPxFIN'!AT57/'FONTE OPxFIN'!AT31</f>
        <v>0.12241744396216209</v>
      </c>
      <c r="W43" s="185">
        <f>-'FONTE OPxFIN'!AU57/'FONTE OPxFIN'!AU31</f>
        <v>0.14987591095659955</v>
      </c>
      <c r="X43" s="114">
        <f>-'FONTE OPxFIN'!AV57/'FONTE OPxFIN'!AV31</f>
        <v>0.17782529956480739</v>
      </c>
      <c r="Y43" s="114">
        <f>-'FONTE OPxFIN'!AW57/'FONTE OPxFIN'!AW31</f>
        <v>0.16670203534088454</v>
      </c>
      <c r="Z43" s="114">
        <f>-'FONTE OPxFIN'!AX57/'FONTE OPxFIN'!AX31</f>
        <v>0.19098253853810068</v>
      </c>
      <c r="AA43" s="114">
        <f>-'FONTE OPxFIN'!AY57/'FONTE OPxFIN'!AY31</f>
        <v>0.10991208418311697</v>
      </c>
      <c r="AB43" s="185">
        <f>-'FONTE OPxFIN'!AZ57/'FONTE OPxFIN'!AZ31</f>
        <v>0.16016646489807393</v>
      </c>
      <c r="AC43" s="114">
        <f>-'FONTE OPxFIN'!BA57/'FONTE OPxFIN'!BA31</f>
        <v>0.18805160941561797</v>
      </c>
    </row>
    <row r="44" spans="1:29">
      <c r="A44" s="357"/>
      <c r="B44" s="11" t="s">
        <v>618</v>
      </c>
      <c r="C44" s="185">
        <f>-'FONTE OPxFIN'!AA58/'FONTE OPxFIN'!AA32</f>
        <v>0.17005257659492606</v>
      </c>
      <c r="D44" s="114">
        <f>-'FONTE OPxFIN'!AB58/'FONTE OPxFIN'!AB32</f>
        <v>0.11871789144516418</v>
      </c>
      <c r="E44" s="114">
        <f>-'FONTE OPxFIN'!AC58/'FONTE OPxFIN'!AC32</f>
        <v>0.12191220899235827</v>
      </c>
      <c r="F44" s="114">
        <f>-'FONTE OPxFIN'!AD58/'FONTE OPxFIN'!AD32</f>
        <v>0.1278789499397682</v>
      </c>
      <c r="G44" s="114">
        <f>-'FONTE OPxFIN'!AE58/'FONTE OPxFIN'!AE32</f>
        <v>0.13557672251964123</v>
      </c>
      <c r="H44" s="185">
        <f>-'FONTE OPxFIN'!AF58/'FONTE OPxFIN'!AF32</f>
        <v>0.12543225135392111</v>
      </c>
      <c r="I44" s="114">
        <f>-'FONTE OPxFIN'!AG58/'FONTE OPxFIN'!AG32</f>
        <v>0.14401137128749905</v>
      </c>
      <c r="J44" s="114">
        <f>-'FONTE OPxFIN'!AH58/'FONTE OPxFIN'!AH32</f>
        <v>0.13804018717313515</v>
      </c>
      <c r="K44" s="114">
        <f>-'FONTE OPxFIN'!AI58/'FONTE OPxFIN'!AI32</f>
        <v>0.14207650273224043</v>
      </c>
      <c r="L44" s="114">
        <f>-'FONTE OPxFIN'!AJ58/'FONTE OPxFIN'!AJ32</f>
        <v>0.14344539711191337</v>
      </c>
      <c r="M44" s="185">
        <f>-'FONTE OPxFIN'!AK58/'FONTE OPxFIN'!AK32</f>
        <v>0.14193881836095229</v>
      </c>
      <c r="N44" s="114">
        <f>-'FONTE OPxFIN'!AL58/'FONTE OPxFIN'!AL32</f>
        <v>0.14253073659014254</v>
      </c>
      <c r="O44" s="114">
        <f>-'FONTE OPxFIN'!AM58/'FONTE OPxFIN'!AM32</f>
        <v>0.12488201982067013</v>
      </c>
      <c r="P44" s="114">
        <f>-'FONTE OPxFIN'!AN58/'FONTE OPxFIN'!AN32</f>
        <v>0.14630044843049328</v>
      </c>
      <c r="Q44" s="114">
        <f>-'FONTE OPxFIN'!AO58/'FONTE OPxFIN'!AO32</f>
        <v>0.13901097074727087</v>
      </c>
      <c r="R44" s="185">
        <f>-'FONTE OPxFIN'!AP58/'FONTE OPxFIN'!AP32</f>
        <v>0.13842405265447835</v>
      </c>
      <c r="S44" s="114">
        <f>-'FONTE OPxFIN'!AQ58/'FONTE OPxFIN'!AQ32</f>
        <v>0.14137879331874603</v>
      </c>
      <c r="T44" s="114">
        <f>-'FONTE OPxFIN'!AR58/'FONTE OPxFIN'!AR32</f>
        <v>0.14037295752215406</v>
      </c>
      <c r="U44" s="114">
        <f>-'FONTE OPxFIN'!AS58/'FONTE OPxFIN'!AS32</f>
        <v>0.15899754789111664</v>
      </c>
      <c r="V44" s="114">
        <f>-'FONTE OPxFIN'!AT58/'FONTE OPxFIN'!AT32</f>
        <v>0.16278235645200287</v>
      </c>
      <c r="W44" s="185">
        <f>-'FONTE OPxFIN'!AU58/'FONTE OPxFIN'!AU32</f>
        <v>0.14922170826873801</v>
      </c>
      <c r="X44" s="114">
        <f>-'FONTE OPxFIN'!AV58/'FONTE OPxFIN'!AV32</f>
        <v>0.19243851508120649</v>
      </c>
      <c r="Y44" s="114">
        <f>-'FONTE OPxFIN'!AW58/'FONTE OPxFIN'!AW32</f>
        <v>0.12756625097427904</v>
      </c>
      <c r="Z44" s="114">
        <f>-'FONTE OPxFIN'!AX58/'FONTE OPxFIN'!AX32</f>
        <v>0.13213327547731218</v>
      </c>
      <c r="AA44" s="114">
        <f>-'FONTE OPxFIN'!AY58/'FONTE OPxFIN'!AY32</f>
        <v>4.3268477028559064E-2</v>
      </c>
      <c r="AB44" s="185">
        <f>-'FONTE OPxFIN'!AZ58/'FONTE OPxFIN'!AZ32</f>
        <v>0.11974915561287153</v>
      </c>
      <c r="AC44" s="114">
        <f>-'FONTE OPxFIN'!BA58/'FONTE OPxFIN'!BA32</f>
        <v>0.1335551028485458</v>
      </c>
    </row>
    <row r="45" spans="1:29" s="2" customFormat="1">
      <c r="A45" s="500"/>
      <c r="B45" s="2" t="s">
        <v>441</v>
      </c>
      <c r="C45" s="752">
        <f>-'FONTE OPxFIN'!AA59/'FONTE OPxFIN'!AA33</f>
        <v>0.17086273287747655</v>
      </c>
      <c r="D45" s="336">
        <f>-'FONTE OPxFIN'!AB59/'FONTE OPxFIN'!AB33</f>
        <v>0.15077019045632267</v>
      </c>
      <c r="E45" s="336">
        <f>-'FONTE OPxFIN'!AC59/'FONTE OPxFIN'!AC33</f>
        <v>0.14903791102642322</v>
      </c>
      <c r="F45" s="336">
        <f>-'FONTE OPxFIN'!AD59/'FONTE OPxFIN'!AD33</f>
        <v>0.21504338308355203</v>
      </c>
      <c r="G45" s="336">
        <f>-'FONTE OPxFIN'!AE59/'FONTE OPxFIN'!AE33</f>
        <v>0.1922779135449437</v>
      </c>
      <c r="H45" s="752">
        <f>-'FONTE OPxFIN'!AF59/'FONTE OPxFIN'!AF33</f>
        <v>0.18033858447268727</v>
      </c>
      <c r="I45" s="336">
        <f>-'FONTE OPxFIN'!AG59/'FONTE OPxFIN'!AG33</f>
        <v>0.17507254232741773</v>
      </c>
      <c r="J45" s="336">
        <f>-'FONTE OPxFIN'!AH59/'FONTE OPxFIN'!AH33</f>
        <v>0.1627030806473955</v>
      </c>
      <c r="K45" s="336">
        <f>-'FONTE OPxFIN'!AI59/'FONTE OPxFIN'!AI33</f>
        <v>0.17966900874676239</v>
      </c>
      <c r="L45" s="336">
        <f>-'FONTE OPxFIN'!AJ59/'FONTE OPxFIN'!AJ33</f>
        <v>0.14920275908985614</v>
      </c>
      <c r="M45" s="752">
        <f>-'FONTE OPxFIN'!AK59/'FONTE OPxFIN'!AK33</f>
        <v>0.16627060524219006</v>
      </c>
      <c r="N45" s="336">
        <f>-'FONTE OPxFIN'!AL59/'FONTE OPxFIN'!AL33</f>
        <v>0.15064938482377016</v>
      </c>
      <c r="O45" s="336">
        <f>-'FONTE OPxFIN'!AM59/'FONTE OPxFIN'!AM33</f>
        <v>0.15506224055250961</v>
      </c>
      <c r="P45" s="336">
        <f>-'FONTE OPxFIN'!AN59/'FONTE OPxFIN'!AN33</f>
        <v>0.14665345646664385</v>
      </c>
      <c r="Q45" s="336">
        <f>-'FONTE OPxFIN'!AO59/'FONTE OPxFIN'!AO33</f>
        <v>0.15983500922994404</v>
      </c>
      <c r="R45" s="752">
        <f>-'FONTE OPxFIN'!AP59/'FONTE OPxFIN'!AP33</f>
        <v>0.15207491583180954</v>
      </c>
      <c r="S45" s="336">
        <f>-'FONTE OPxFIN'!AQ59/'FONTE OPxFIN'!AQ33</f>
        <v>0.14758031350374273</v>
      </c>
      <c r="T45" s="336">
        <f>-'FONTE OPxFIN'!AR59/'FONTE OPxFIN'!AR33</f>
        <v>0.17343728017361873</v>
      </c>
      <c r="U45" s="336">
        <f>-'FONTE OPxFIN'!AS59/'FONTE OPxFIN'!AS33</f>
        <v>0.1472178802944826</v>
      </c>
      <c r="V45" s="336">
        <f>-'FONTE OPxFIN'!AT59/'FONTE OPxFIN'!AT33</f>
        <v>0.16629364658306617</v>
      </c>
      <c r="W45" s="752">
        <f>-'FONTE OPxFIN'!AU59/'FONTE OPxFIN'!AU33</f>
        <v>0.15669050554467917</v>
      </c>
      <c r="X45" s="336">
        <f>-'FONTE OPxFIN'!AV59/'FONTE OPxFIN'!AV33</f>
        <v>0.14540910215177888</v>
      </c>
      <c r="Y45" s="336">
        <f>-'FONTE OPxFIN'!AW59/'FONTE OPxFIN'!AW33</f>
        <v>0.14069579153434325</v>
      </c>
      <c r="Z45" s="336">
        <f>-'FONTE OPxFIN'!AX59/'FONTE OPxFIN'!AX33</f>
        <v>0.14112134764116629</v>
      </c>
      <c r="AA45" s="336">
        <f>-'FONTE OPxFIN'!AY59/'FONTE OPxFIN'!AY33</f>
        <v>0.14208869884323572</v>
      </c>
      <c r="AB45" s="752">
        <f>-'FONTE OPxFIN'!AZ59/'FONTE OPxFIN'!AZ33</f>
        <v>0.14229052785102256</v>
      </c>
      <c r="AC45" s="336">
        <f>-'FONTE OPxFIN'!BA59/'FONTE OPxFIN'!BA33</f>
        <v>0.13172742786278835</v>
      </c>
    </row>
    <row r="46" spans="1:29">
      <c r="A46" s="357"/>
      <c r="B46" s="11"/>
      <c r="C46" s="144"/>
      <c r="D46" s="121"/>
      <c r="E46" s="121"/>
      <c r="F46" s="121"/>
      <c r="G46" s="121"/>
      <c r="H46" s="144"/>
      <c r="I46" s="121"/>
      <c r="J46" s="121"/>
      <c r="K46" s="121"/>
      <c r="L46" s="121"/>
      <c r="M46" s="144"/>
      <c r="N46" s="121"/>
      <c r="O46" s="121"/>
      <c r="P46" s="121"/>
      <c r="Q46" s="121"/>
      <c r="R46" s="144"/>
      <c r="S46" s="121"/>
      <c r="T46" s="121"/>
      <c r="U46" s="121"/>
      <c r="V46" s="121"/>
      <c r="W46" s="144"/>
      <c r="X46" s="121"/>
      <c r="Y46" s="121"/>
      <c r="Z46" s="121"/>
      <c r="AA46" s="121"/>
      <c r="AB46" s="144"/>
      <c r="AC46" s="121"/>
    </row>
    <row r="47" spans="1:29" s="387" customFormat="1" ht="32.1" customHeight="1">
      <c r="A47" s="381"/>
      <c r="B47" s="235" t="s">
        <v>633</v>
      </c>
      <c r="C47" s="385"/>
      <c r="D47" s="399"/>
      <c r="E47" s="386"/>
      <c r="F47" s="386"/>
      <c r="G47" s="386"/>
      <c r="H47" s="385"/>
      <c r="I47" s="386"/>
      <c r="J47" s="386"/>
      <c r="K47" s="386"/>
      <c r="L47" s="386"/>
      <c r="M47" s="385"/>
      <c r="N47" s="386"/>
      <c r="O47" s="386"/>
      <c r="P47" s="386"/>
      <c r="Q47" s="386"/>
      <c r="R47" s="385"/>
      <c r="S47" s="386"/>
      <c r="T47" s="386"/>
      <c r="U47" s="386"/>
      <c r="V47" s="386"/>
      <c r="W47" s="385"/>
      <c r="X47" s="386"/>
      <c r="Y47" s="386"/>
      <c r="Z47" s="386"/>
      <c r="AA47" s="386"/>
      <c r="AB47" s="385"/>
      <c r="AC47" s="386"/>
    </row>
    <row r="48" spans="1:29" s="2" customFormat="1">
      <c r="A48" s="363"/>
      <c r="B48" s="21" t="s">
        <v>609</v>
      </c>
      <c r="C48" s="368">
        <f>'FONTE OPxFIN'!AA62/'FONTE OPxFIN'!AA88</f>
        <v>2.0069283269230769</v>
      </c>
      <c r="D48" s="400">
        <f>'FONTE OPxFIN'!AB62/'FONTE OPxFIN'!AB88</f>
        <v>0.3593082067247706</v>
      </c>
      <c r="E48" s="400">
        <f>'FONTE OPxFIN'!AC62/'FONTE OPxFIN'!AC88</f>
        <v>0.35853872735932796</v>
      </c>
      <c r="F48" s="400">
        <f>'FONTE OPxFIN'!AD62/'FONTE OPxFIN'!AD88</f>
        <v>0.27171236880872007</v>
      </c>
      <c r="G48" s="400">
        <f>'FONTE OPxFIN'!AE62/'FONTE OPxFIN'!AE88</f>
        <v>0.40863345938643669</v>
      </c>
      <c r="H48" s="368">
        <f>'FONTE OPxFIN'!AF62/'FONTE OPxFIN'!AF88</f>
        <v>0.35124421390207594</v>
      </c>
      <c r="I48" s="400">
        <f>'FONTE OPxFIN'!AG62/'FONTE OPxFIN'!AG88</f>
        <v>0.44291927807479864</v>
      </c>
      <c r="J48" s="400">
        <f>'FONTE OPxFIN'!AH62/'FONTE OPxFIN'!AH88</f>
        <v>0.27560250238350642</v>
      </c>
      <c r="K48" s="400">
        <f>'FONTE OPxFIN'!AI62/'FONTE OPxFIN'!AI88</f>
        <v>0.37209368307154883</v>
      </c>
      <c r="L48" s="400">
        <f>'FONTE OPxFIN'!AJ62/'FONTE OPxFIN'!AJ88</f>
        <v>0.39935754697581388</v>
      </c>
      <c r="M48" s="368">
        <f>'FONTE OPxFIN'!AK62/'FONTE OPxFIN'!AK88</f>
        <v>0.37046229450187584</v>
      </c>
      <c r="N48" s="400">
        <f>'FONTE OPxFIN'!AL62/'FONTE OPxFIN'!AL88</f>
        <v>0.44013528202401148</v>
      </c>
      <c r="O48" s="400">
        <f>'FONTE OPxFIN'!AM62/'FONTE OPxFIN'!AM88</f>
        <v>0.37987522553463687</v>
      </c>
      <c r="P48" s="400">
        <f>'FONTE OPxFIN'!AN62/'FONTE OPxFIN'!AN88</f>
        <v>0.43777185788729045</v>
      </c>
      <c r="Q48" s="400">
        <f>'FONTE OPxFIN'!AO62/'FONTE OPxFIN'!AO88</f>
        <v>0.44386156968998952</v>
      </c>
      <c r="R48" s="368">
        <f>'FONTE OPxFIN'!AP62/'FONTE OPxFIN'!AP88</f>
        <v>0.42561293715352616</v>
      </c>
      <c r="S48" s="400">
        <f>'FONTE OPxFIN'!AQ62/'FONTE OPxFIN'!AQ88</f>
        <v>0.391145934153661</v>
      </c>
      <c r="T48" s="400">
        <f>'FONTE OPxFIN'!AR62/'FONTE OPxFIN'!AR88</f>
        <v>0.56174575405246996</v>
      </c>
      <c r="U48" s="400">
        <f>'FONTE OPxFIN'!AS62/'FONTE OPxFIN'!AS88</f>
        <v>0.3915373827215165</v>
      </c>
      <c r="V48" s="400">
        <f>'FONTE OPxFIN'!AT62/'FONTE OPxFIN'!AT88</f>
        <v>0.40999902528144416</v>
      </c>
      <c r="W48" s="368">
        <f>'FONTE OPxFIN'!AU62/'FONTE OPxFIN'!AU88</f>
        <v>0.42842988876320176</v>
      </c>
      <c r="X48" s="400">
        <f>'FONTE OPxFIN'!AV62/'FONTE OPxFIN'!AV88</f>
        <v>0.42258071215409437</v>
      </c>
      <c r="Y48" s="400">
        <f>'FONTE OPxFIN'!AW62/'FONTE OPxFIN'!AW88</f>
        <v>0.42351983908417423</v>
      </c>
      <c r="Z48" s="400">
        <f>'FONTE OPxFIN'!AX62/'FONTE OPxFIN'!AX88</f>
        <v>0.47494063047244445</v>
      </c>
      <c r="AA48" s="400">
        <f>'FONTE OPxFIN'!AY62/'FONTE OPxFIN'!AY88</f>
        <v>0.45736939698108892</v>
      </c>
      <c r="AB48" s="368">
        <f>'FONTE OPxFIN'!AZ62/'FONTE OPxFIN'!AZ88</f>
        <v>0.44580290510878701</v>
      </c>
      <c r="AC48" s="400">
        <f>'FONTE OPxFIN'!BA62/'FONTE OPxFIN'!BA88</f>
        <v>0.42735450487573673</v>
      </c>
    </row>
    <row r="49" spans="1:29">
      <c r="A49" s="357"/>
      <c r="B49" s="11" t="s">
        <v>553</v>
      </c>
      <c r="C49" s="185">
        <f>'FONTE OPxFIN'!AA63/'FONTE OPxFIN'!AA89</f>
        <v>4.4571916071428568</v>
      </c>
      <c r="D49" s="362">
        <f>'FONTE OPxFIN'!AB63/'FONTE OPxFIN'!AB89</f>
        <v>0.32222629421071358</v>
      </c>
      <c r="E49" s="362">
        <f>'FONTE OPxFIN'!AC63/'FONTE OPxFIN'!AC89</f>
        <v>0.32702887369834621</v>
      </c>
      <c r="F49" s="362">
        <f>'FONTE OPxFIN'!AD63/'FONTE OPxFIN'!AD89</f>
        <v>0.25298936612409401</v>
      </c>
      <c r="G49" s="362">
        <f>'FONTE OPxFIN'!AE63/'FONTE OPxFIN'!AE89</f>
        <v>0.39226538817040063</v>
      </c>
      <c r="H49" s="185">
        <f>'FONTE OPxFIN'!AF63/'FONTE OPxFIN'!AF89</f>
        <v>0.32558589758412382</v>
      </c>
      <c r="I49" s="362">
        <f>'FONTE OPxFIN'!AG63/'FONTE OPxFIN'!AG89</f>
        <v>0.42346437645607227</v>
      </c>
      <c r="J49" s="362">
        <f>'FONTE OPxFIN'!AH63/'FONTE OPxFIN'!AH89</f>
        <v>0.27754025001216015</v>
      </c>
      <c r="K49" s="362">
        <f>'FONTE OPxFIN'!AI63/'FONTE OPxFIN'!AI89</f>
        <v>0.38656837683996464</v>
      </c>
      <c r="L49" s="362">
        <f>'FONTE OPxFIN'!AJ63/'FONTE OPxFIN'!AJ89</f>
        <v>0.41692384866757359</v>
      </c>
      <c r="M49" s="185">
        <f>'FONTE OPxFIN'!AK63/'FONTE OPxFIN'!AK89</f>
        <v>0.37678859286093014</v>
      </c>
      <c r="N49" s="362">
        <f>'FONTE OPxFIN'!AL63/'FONTE OPxFIN'!AL89</f>
        <v>0.46983256844639459</v>
      </c>
      <c r="O49" s="362">
        <f>'FONTE OPxFIN'!AM63/'FONTE OPxFIN'!AM89</f>
        <v>0.40465362656528908</v>
      </c>
      <c r="P49" s="362">
        <f>'FONTE OPxFIN'!AN63/'FONTE OPxFIN'!AN89</f>
        <v>0.48643105284344867</v>
      </c>
      <c r="Q49" s="362">
        <f>'FONTE OPxFIN'!AO63/'FONTE OPxFIN'!AO89</f>
        <v>0.50955912144657955</v>
      </c>
      <c r="R49" s="185">
        <f>'FONTE OPxFIN'!AP63/'FONTE OPxFIN'!AP89</f>
        <v>0.46732721134795874</v>
      </c>
      <c r="S49" s="362">
        <f>'FONTE OPxFIN'!AQ63/'FONTE OPxFIN'!AQ89</f>
        <v>0.43036847671568562</v>
      </c>
      <c r="T49" s="362">
        <f>'FONTE OPxFIN'!AR63/'FONTE OPxFIN'!AR89</f>
        <v>0.73967489141551912</v>
      </c>
      <c r="U49" s="362">
        <f>'FONTE OPxFIN'!AS63/'FONTE OPxFIN'!AS89</f>
        <v>0.4695044963654062</v>
      </c>
      <c r="V49" s="362">
        <f>'FONTE OPxFIN'!AT63/'FONTE OPxFIN'!AT89</f>
        <v>0.46298856219756551</v>
      </c>
      <c r="W49" s="185">
        <f>'FONTE OPxFIN'!AU63/'FONTE OPxFIN'!AU89</f>
        <v>0.50292312260623795</v>
      </c>
      <c r="X49" s="362">
        <f>'FONTE OPxFIN'!AV63/'FONTE OPxFIN'!AV89</f>
        <v>0.49525677991902312</v>
      </c>
      <c r="Y49" s="362">
        <f>'FONTE OPxFIN'!AW63/'FONTE OPxFIN'!AW89</f>
        <v>0.51470060535153817</v>
      </c>
      <c r="Z49" s="362">
        <f>'FONTE OPxFIN'!AX63/'FONTE OPxFIN'!AX89</f>
        <v>0.57881832416442769</v>
      </c>
      <c r="AA49" s="362">
        <f>'FONTE OPxFIN'!AY63/'FONTE OPxFIN'!AY89</f>
        <v>0.52383135959675153</v>
      </c>
      <c r="AB49" s="185">
        <f>'FONTE OPxFIN'!AZ63/'FONTE OPxFIN'!AZ89</f>
        <v>0.52936238263703594</v>
      </c>
      <c r="AC49" s="362">
        <f>'FONTE OPxFIN'!BA63/'FONTE OPxFIN'!BA89</f>
        <v>0.49831151134116525</v>
      </c>
    </row>
    <row r="50" spans="1:29">
      <c r="A50" s="357"/>
      <c r="B50" s="335" t="s">
        <v>573</v>
      </c>
      <c r="C50" s="405" t="s">
        <v>0</v>
      </c>
      <c r="D50" s="362">
        <f>'FONTE OPxFIN'!AB64/'FONTE OPxFIN'!AB90</f>
        <v>0.27374470566421011</v>
      </c>
      <c r="E50" s="362">
        <f>'FONTE OPxFIN'!AC64/'FONTE OPxFIN'!AC90</f>
        <v>0.26721918051011245</v>
      </c>
      <c r="F50" s="362">
        <f>'FONTE OPxFIN'!AD64/'FONTE OPxFIN'!AD90</f>
        <v>0.16455617518062524</v>
      </c>
      <c r="G50" s="362">
        <f>'FONTE OPxFIN'!AE64/'FONTE OPxFIN'!AE90</f>
        <v>0.2776052529515306</v>
      </c>
      <c r="H50" s="185">
        <f>'FONTE OPxFIN'!AF64/'FONTE OPxFIN'!AF90</f>
        <v>0.24843339823924795</v>
      </c>
      <c r="I50" s="362">
        <f>'FONTE OPxFIN'!AG64/'FONTE OPxFIN'!AG90</f>
        <v>0.27700294284826271</v>
      </c>
      <c r="J50" s="362">
        <f>'FONTE OPxFIN'!AH64/'FONTE OPxFIN'!AH90</f>
        <v>0.14303345465166559</v>
      </c>
      <c r="K50" s="362">
        <f>'FONTE OPxFIN'!AI64/'FONTE OPxFIN'!AI90</f>
        <v>0.20747102038891052</v>
      </c>
      <c r="L50" s="362">
        <f>'FONTE OPxFIN'!AJ64/'FONTE OPxFIN'!AJ90</f>
        <v>0.24924841728749958</v>
      </c>
      <c r="M50" s="185">
        <f>'FONTE OPxFIN'!AK64/'FONTE OPxFIN'!AK90</f>
        <v>0.2199239215842011</v>
      </c>
      <c r="N50" s="362">
        <f>'FONTE OPxFIN'!AL64/'FONTE OPxFIN'!AL90</f>
        <v>0.29777618978124232</v>
      </c>
      <c r="O50" s="362">
        <f>'FONTE OPxFIN'!AM64/'FONTE OPxFIN'!AM90</f>
        <v>0.20746572239076475</v>
      </c>
      <c r="P50" s="362">
        <f>'FONTE OPxFIN'!AN64/'FONTE OPxFIN'!AN90</f>
        <v>0.32312663073959375</v>
      </c>
      <c r="Q50" s="362">
        <f>'FONTE OPxFIN'!AO64/'FONTE OPxFIN'!AO90</f>
        <v>0.36170207084395906</v>
      </c>
      <c r="R50" s="185">
        <f>'FONTE OPxFIN'!AP64/'FONTE OPxFIN'!AP90</f>
        <v>0.29630305957381697</v>
      </c>
      <c r="S50" s="362">
        <f>'FONTE OPxFIN'!AQ64/'FONTE OPxFIN'!AQ90</f>
        <v>0.25711598794809287</v>
      </c>
      <c r="T50" s="362">
        <f>'FONTE OPxFIN'!AR64/'FONTE OPxFIN'!AR90</f>
        <v>0.52143391555748497</v>
      </c>
      <c r="U50" s="362">
        <f>'FONTE OPxFIN'!AS64/'FONTE OPxFIN'!AS90</f>
        <v>0.35613536155202824</v>
      </c>
      <c r="V50" s="362">
        <f>'FONTE OPxFIN'!AT64/'FONTE OPxFIN'!AT90</f>
        <v>0.46202138150271466</v>
      </c>
      <c r="W50" s="185">
        <f>'FONTE OPxFIN'!AU64/'FONTE OPxFIN'!AU90</f>
        <v>0.39408337713550451</v>
      </c>
      <c r="X50" s="362">
        <f>'FONTE OPxFIN'!AV64/'FONTE OPxFIN'!AV90</f>
        <v>0.49505181455842251</v>
      </c>
      <c r="Y50" s="362">
        <f>'FONTE OPxFIN'!AW64/'FONTE OPxFIN'!AW90</f>
        <v>0.51393481103920058</v>
      </c>
      <c r="Z50" s="362">
        <f>'FONTE OPxFIN'!AX64/'FONTE OPxFIN'!AX90</f>
        <v>0.57812794482833485</v>
      </c>
      <c r="AA50" s="362">
        <f>'FONTE OPxFIN'!AY64/'FONTE OPxFIN'!AY90</f>
        <v>0.52410877428635672</v>
      </c>
      <c r="AB50" s="185">
        <f>'FONTE OPxFIN'!AZ64/'FONTE OPxFIN'!AZ90</f>
        <v>0.52903362137636212</v>
      </c>
      <c r="AC50" s="362">
        <f>'FONTE OPxFIN'!BA64/'FONTE OPxFIN'!BA90</f>
        <v>0.49827263501400731</v>
      </c>
    </row>
    <row r="51" spans="1:29">
      <c r="A51" s="357"/>
      <c r="B51" s="335" t="s">
        <v>574</v>
      </c>
      <c r="C51" s="185">
        <f>'FONTE OPxFIN'!AA65/'FONTE OPxFIN'!AA91</f>
        <v>1.989368234249373</v>
      </c>
      <c r="D51" s="362">
        <f>'FONTE OPxFIN'!AB65/'FONTE OPxFIN'!AB91</f>
        <v>-0.19498058442825619</v>
      </c>
      <c r="E51" s="362">
        <f>'FONTE OPxFIN'!AC65/'FONTE OPxFIN'!AC91</f>
        <v>-0.91199459249102499</v>
      </c>
      <c r="F51" s="362">
        <f>'FONTE OPxFIN'!AD65/'FONTE OPxFIN'!AD91</f>
        <v>2.6746143257393942</v>
      </c>
      <c r="G51" s="362">
        <f>'FONTE OPxFIN'!AE65/'FONTE OPxFIN'!AE91</f>
        <v>1.2542197842576985</v>
      </c>
      <c r="H51" s="185">
        <f>'FONTE OPxFIN'!AF65/'FONTE OPxFIN'!AF91</f>
        <v>-18.218878681324941</v>
      </c>
      <c r="I51" s="362">
        <f>'FONTE OPxFIN'!AG65/'FONTE OPxFIN'!AG91</f>
        <v>4.7412501029399658</v>
      </c>
      <c r="J51" s="362">
        <f>'FONTE OPxFIN'!AH65/'FONTE OPxFIN'!AH91</f>
        <v>1.0318550202611436</v>
      </c>
      <c r="K51" s="362">
        <f>'FONTE OPxFIN'!AI65/'FONTE OPxFIN'!AI91</f>
        <v>0.97786814071203165</v>
      </c>
      <c r="L51" s="362">
        <f>'FONTE OPxFIN'!AJ65/'FONTE OPxFIN'!AJ91</f>
        <v>1.0279142494980615</v>
      </c>
      <c r="M51" s="185">
        <f>'FONTE OPxFIN'!AK65/'FONTE OPxFIN'!AK91</f>
        <v>1.1746024865809872</v>
      </c>
      <c r="N51" s="362">
        <f>'FONTE OPxFIN'!AL65/'FONTE OPxFIN'!AL91</f>
        <v>0.90907391290332984</v>
      </c>
      <c r="O51" s="362">
        <f>'FONTE OPxFIN'!AM65/'FONTE OPxFIN'!AM91</f>
        <v>0.84368826795353624</v>
      </c>
      <c r="P51" s="362">
        <f>'FONTE OPxFIN'!AN65/'FONTE OPxFIN'!AN91</f>
        <v>0.81296649334228543</v>
      </c>
      <c r="Q51" s="362">
        <f>'FONTE OPxFIN'!AO65/'FONTE OPxFIN'!AO91</f>
        <v>0.80243871215515583</v>
      </c>
      <c r="R51" s="401">
        <f>'FONTE OPxFIN'!AP65/'FONTE OPxFIN'!AP91</f>
        <v>0.83838912205696803</v>
      </c>
      <c r="S51" s="362">
        <f>'FONTE OPxFIN'!AQ65/'FONTE OPxFIN'!AQ91</f>
        <v>0.74413695505038313</v>
      </c>
      <c r="T51" s="362">
        <f>'FONTE OPxFIN'!AR65/'FONTE OPxFIN'!AR91</f>
        <v>1.0314222572205147</v>
      </c>
      <c r="U51" s="362">
        <f>'FONTE OPxFIN'!AS65/'FONTE OPxFIN'!AS91</f>
        <v>0.81840170345307583</v>
      </c>
      <c r="V51" s="657">
        <v>0</v>
      </c>
      <c r="W51" s="401">
        <f>'FONTE OPxFIN'!AU65/'FONTE OPxFIN'!AU91</f>
        <v>0.85314459411597576</v>
      </c>
      <c r="X51" s="657">
        <v>0</v>
      </c>
      <c r="Y51" s="657">
        <v>0</v>
      </c>
      <c r="Z51" s="657">
        <v>0</v>
      </c>
      <c r="AA51" s="657">
        <v>0</v>
      </c>
      <c r="AB51" s="401">
        <v>0</v>
      </c>
      <c r="AC51" s="65">
        <v>0</v>
      </c>
    </row>
    <row r="52" spans="1:29">
      <c r="A52" s="357"/>
      <c r="B52" s="11" t="s">
        <v>264</v>
      </c>
      <c r="C52" s="185">
        <f>'FONTE OPxFIN'!AA66/'FONTE OPxFIN'!AA92</f>
        <v>1.74</v>
      </c>
      <c r="D52" s="362">
        <f>'FONTE OPxFIN'!AB66/'FONTE OPxFIN'!AB92</f>
        <v>-3.5432583238989967E-3</v>
      </c>
      <c r="E52" s="362">
        <f>'FONTE OPxFIN'!AC66/'FONTE OPxFIN'!AC92</f>
        <v>-6.9151888610649873E-2</v>
      </c>
      <c r="F52" s="362">
        <f>'FONTE OPxFIN'!AD66/'FONTE OPxFIN'!AD92</f>
        <v>-2.2873683494099435</v>
      </c>
      <c r="G52" s="362">
        <f>'FONTE OPxFIN'!AE66/'FONTE OPxFIN'!AE92</f>
        <v>0.56926836719107987</v>
      </c>
      <c r="H52" s="185">
        <f>'FONTE OPxFIN'!AF66/'FONTE OPxFIN'!AF92</f>
        <v>-0.28480772920995906</v>
      </c>
      <c r="I52" s="362">
        <f>'FONTE OPxFIN'!AG66/'FONTE OPxFIN'!AG92</f>
        <v>0.42009515813042264</v>
      </c>
      <c r="J52" s="362">
        <f>'FONTE OPxFIN'!AH66/'FONTE OPxFIN'!AH92</f>
        <v>0.29069315398670453</v>
      </c>
      <c r="K52" s="362">
        <f>'FONTE OPxFIN'!AI66/'FONTE OPxFIN'!AI92</f>
        <v>0.35689951823812799</v>
      </c>
      <c r="L52" s="362">
        <f>'FONTE OPxFIN'!AJ66/'FONTE OPxFIN'!AJ92</f>
        <v>0.38822802654713068</v>
      </c>
      <c r="M52" s="185">
        <f>'FONTE OPxFIN'!AK66/'FONTE OPxFIN'!AK92</f>
        <v>0.35877843633093703</v>
      </c>
      <c r="N52" s="362">
        <f>'FONTE OPxFIN'!AL66/'FONTE OPxFIN'!AL92</f>
        <v>0.34912489464028956</v>
      </c>
      <c r="O52" s="362">
        <f>'FONTE OPxFIN'!AM66/'FONTE OPxFIN'!AM92</f>
        <v>0.30553905893101874</v>
      </c>
      <c r="P52" s="362">
        <f>'FONTE OPxFIN'!AN66/'FONTE OPxFIN'!AN92</f>
        <v>0.29614012021036812</v>
      </c>
      <c r="Q52" s="362">
        <f>'FONTE OPxFIN'!AO66/'FONTE OPxFIN'!AO92</f>
        <v>0.27122931002417705</v>
      </c>
      <c r="R52" s="185">
        <f>'FONTE OPxFIN'!AP66/'FONTE OPxFIN'!AP92</f>
        <v>0.30246745636432132</v>
      </c>
      <c r="S52" s="362">
        <f>'FONTE OPxFIN'!AQ66/'FONTE OPxFIN'!AQ92</f>
        <v>0.26734513140884597</v>
      </c>
      <c r="T52" s="362">
        <f>'FONTE OPxFIN'!AR66/'FONTE OPxFIN'!AR92</f>
        <v>0.24377803584033517</v>
      </c>
      <c r="U52" s="362">
        <f>'FONTE OPxFIN'!AS66/'FONTE OPxFIN'!AS92</f>
        <v>0.22279371768124323</v>
      </c>
      <c r="V52" s="362">
        <f>'FONTE OPxFIN'!AT66/'FONTE OPxFIN'!AT92</f>
        <v>0.26015588809893053</v>
      </c>
      <c r="W52" s="185">
        <f>'FONTE OPxFIN'!AU66/'FONTE OPxFIN'!AU92</f>
        <v>0.24789266745877089</v>
      </c>
      <c r="X52" s="362">
        <f>'FONTE OPxFIN'!AV66/'FONTE OPxFIN'!AV92</f>
        <v>0.24291222309651317</v>
      </c>
      <c r="Y52" s="362">
        <f>'FONTE OPxFIN'!AW66/'FONTE OPxFIN'!AW92</f>
        <v>0.24507372654155496</v>
      </c>
      <c r="Z52" s="362">
        <f>'FONTE OPxFIN'!AX66/'FONTE OPxFIN'!AX92</f>
        <v>0.25524485829674953</v>
      </c>
      <c r="AA52" s="362">
        <f>'FONTE OPxFIN'!AY66/'FONTE OPxFIN'!AY92</f>
        <v>0.29068675970860114</v>
      </c>
      <c r="AB52" s="185">
        <f>'FONTE OPxFIN'!AZ66/'FONTE OPxFIN'!AZ92</f>
        <v>0.2598228465512164</v>
      </c>
      <c r="AC52" s="362">
        <f>'FONTE OPxFIN'!BA66/'FONTE OPxFIN'!BA92</f>
        <v>0.21239529552903874</v>
      </c>
    </row>
    <row r="53" spans="1:29">
      <c r="A53" s="357"/>
      <c r="B53" s="11" t="s">
        <v>265</v>
      </c>
      <c r="C53" s="185">
        <f>'FONTE OPxFIN'!AA67/'FONTE OPxFIN'!AA93</f>
        <v>1.7256637168141593</v>
      </c>
      <c r="D53" s="362">
        <f>'FONTE OPxFIN'!AB67/'FONTE OPxFIN'!AB93</f>
        <v>1.6122597411614754</v>
      </c>
      <c r="E53" s="362">
        <f>'FONTE OPxFIN'!AC67/'FONTE OPxFIN'!AC93</f>
        <v>-0.51686333446694588</v>
      </c>
      <c r="F53" s="362">
        <f>'FONTE OPxFIN'!AD67/'FONTE OPxFIN'!AD93</f>
        <v>0.6661046843439421</v>
      </c>
      <c r="G53" s="362">
        <f>'FONTE OPxFIN'!AE67/'FONTE OPxFIN'!AE93</f>
        <v>0.29747471924037372</v>
      </c>
      <c r="H53" s="185">
        <f>'FONTE OPxFIN'!AF67/'FONTE OPxFIN'!AF93</f>
        <v>0.80276555415894635</v>
      </c>
      <c r="I53" s="362">
        <f>'FONTE OPxFIN'!AG67/'FONTE OPxFIN'!AG93</f>
        <v>0.24704590947246077</v>
      </c>
      <c r="J53" s="362">
        <f>'FONTE OPxFIN'!AH67/'FONTE OPxFIN'!AH93</f>
        <v>0.28721185216879713</v>
      </c>
      <c r="K53" s="362">
        <f>'FONTE OPxFIN'!AI67/'FONTE OPxFIN'!AI93</f>
        <v>0.25829811290279159</v>
      </c>
      <c r="L53" s="362">
        <f>'FONTE OPxFIN'!AJ67/'FONTE OPxFIN'!AJ93</f>
        <v>0.38730168763036471</v>
      </c>
      <c r="M53" s="185">
        <f>'FONTE OPxFIN'!AK67/'FONTE OPxFIN'!AK93</f>
        <v>0.30149650879356726</v>
      </c>
      <c r="N53" s="362">
        <f>'FONTE OPxFIN'!AL67/'FONTE OPxFIN'!AL93</f>
        <v>0.36482380804286979</v>
      </c>
      <c r="O53" s="362">
        <f>'FONTE OPxFIN'!AM67/'FONTE OPxFIN'!AM93</f>
        <v>0.36377757067412242</v>
      </c>
      <c r="P53" s="362">
        <f>'FONTE OPxFIN'!AN67/'FONTE OPxFIN'!AN93</f>
        <v>0.37107114237378686</v>
      </c>
      <c r="Q53" s="362">
        <f>'FONTE OPxFIN'!AO67/'FONTE OPxFIN'!AO93</f>
        <v>0.41412492108070448</v>
      </c>
      <c r="R53" s="185">
        <f>'FONTE OPxFIN'!AP67/'FONTE OPxFIN'!AP93</f>
        <v>0.3797473626589396</v>
      </c>
      <c r="S53" s="362">
        <f>'FONTE OPxFIN'!AQ67/'FONTE OPxFIN'!AQ93</f>
        <v>0.51761190364108967</v>
      </c>
      <c r="T53" s="362">
        <f>'FONTE OPxFIN'!AR67/'FONTE OPxFIN'!AR93</f>
        <v>0.47792485572460552</v>
      </c>
      <c r="U53" s="362">
        <f>'FONTE OPxFIN'!AS67/'FONTE OPxFIN'!AS93</f>
        <v>0.37757852789498358</v>
      </c>
      <c r="V53" s="362">
        <f>'FONTE OPxFIN'!AT67/'FONTE OPxFIN'!AT93</f>
        <v>0.52352701577912764</v>
      </c>
      <c r="W53" s="185">
        <f>'FONTE OPxFIN'!AU67/'FONTE OPxFIN'!AU93</f>
        <v>0.47490246316892798</v>
      </c>
      <c r="X53" s="362">
        <f>'FONTE OPxFIN'!AV67/'FONTE OPxFIN'!AV93</f>
        <v>0.59685326983079279</v>
      </c>
      <c r="Y53" s="362">
        <f>'FONTE OPxFIN'!AW67/'FONTE OPxFIN'!AW93</f>
        <v>0.58042278328357166</v>
      </c>
      <c r="Z53" s="362">
        <f>'FONTE OPxFIN'!AX67/'FONTE OPxFIN'!AX93</f>
        <v>0.6518384261830743</v>
      </c>
      <c r="AA53" s="362">
        <f>'FONTE OPxFIN'!AY67/'FONTE OPxFIN'!AY93</f>
        <v>0.65913986372628031</v>
      </c>
      <c r="AB53" s="185">
        <f>'FONTE OPxFIN'!AZ67/'FONTE OPxFIN'!AZ93</f>
        <v>0.62288159614072625</v>
      </c>
      <c r="AC53" s="362">
        <f>'FONTE OPxFIN'!BA67/'FONTE OPxFIN'!BA93</f>
        <v>0.75508020074788429</v>
      </c>
    </row>
    <row r="54" spans="1:29">
      <c r="A54" s="357"/>
      <c r="B54" s="11" t="s">
        <v>576</v>
      </c>
      <c r="C54" s="405" t="s">
        <v>0</v>
      </c>
      <c r="D54" s="407" t="s">
        <v>0</v>
      </c>
      <c r="E54" s="362" t="s">
        <v>0</v>
      </c>
      <c r="F54" s="362" t="s">
        <v>0</v>
      </c>
      <c r="G54" s="362" t="s">
        <v>0</v>
      </c>
      <c r="H54" s="185" t="s">
        <v>0</v>
      </c>
      <c r="I54" s="362">
        <f>'FONTE OPxFIN'!AG68/'FONTE OPxFIN'!AG94</f>
        <v>-0.15377899045020463</v>
      </c>
      <c r="J54" s="362">
        <f>'FONTE OPxFIN'!AH68/'FONTE OPxFIN'!AH94</f>
        <v>0.16328489169180149</v>
      </c>
      <c r="K54" s="362">
        <f>'FONTE OPxFIN'!AI68/'FONTE OPxFIN'!AI94</f>
        <v>0.24855156431054462</v>
      </c>
      <c r="L54" s="362">
        <f>'FONTE OPxFIN'!AJ68/'FONTE OPxFIN'!AJ94</f>
        <v>9.1223667199026512E-2</v>
      </c>
      <c r="M54" s="185">
        <f>'FONTE OPxFIN'!AK68/'FONTE OPxFIN'!AK94</f>
        <v>0.3161377905990157</v>
      </c>
      <c r="N54" s="362">
        <f>'FONTE OPxFIN'!AL68/'FONTE OPxFIN'!AL94</f>
        <v>0.14786994312694496</v>
      </c>
      <c r="O54" s="362">
        <f>'FONTE OPxFIN'!AM68/'FONTE OPxFIN'!AM94</f>
        <v>0.11729262904197633</v>
      </c>
      <c r="P54" s="362">
        <f>'FONTE OPxFIN'!AN68/'FONTE OPxFIN'!AN94</f>
        <v>0.12756052141527002</v>
      </c>
      <c r="Q54" s="362">
        <f>'FONTE OPxFIN'!AO68/'FONTE OPxFIN'!AO94</f>
        <v>0.10156737020215513</v>
      </c>
      <c r="R54" s="185">
        <f>'FONTE OPxFIN'!AP68/'FONTE OPxFIN'!AP94</f>
        <v>0.11898014670247982</v>
      </c>
      <c r="S54" s="362">
        <f>'FONTE OPxFIN'!AQ68/'FONTE OPxFIN'!AQ94</f>
        <v>0.10614605929139552</v>
      </c>
      <c r="T54" s="362">
        <f>'FONTE OPxFIN'!AR68/'FONTE OPxFIN'!AR94</f>
        <v>0.10133648220707422</v>
      </c>
      <c r="U54" s="362">
        <f>'FONTE OPxFIN'!AS68/'FONTE OPxFIN'!AS94</f>
        <v>9.716983848213516E-2</v>
      </c>
      <c r="V54" s="362">
        <f>'FONTE OPxFIN'!AT68/'FONTE OPxFIN'!AT94</f>
        <v>0.12818453492715726</v>
      </c>
      <c r="W54" s="185">
        <f>'FONTE OPxFIN'!AU68/'FONTE OPxFIN'!AU94</f>
        <v>0.10741122021609827</v>
      </c>
      <c r="X54" s="362">
        <f>'FONTE OPxFIN'!AV68/'FONTE OPxFIN'!AV94</f>
        <v>0.10495753003058496</v>
      </c>
      <c r="Y54" s="362">
        <f>'FONTE OPxFIN'!AW68/'FONTE OPxFIN'!AW94</f>
        <v>0.10558691561731075</v>
      </c>
      <c r="Z54" s="362">
        <f>'FONTE OPxFIN'!AX68/'FONTE OPxFIN'!AX94</f>
        <v>0.11422631178081064</v>
      </c>
      <c r="AA54" s="362">
        <f>'FONTE OPxFIN'!AY68/'FONTE OPxFIN'!AY94</f>
        <v>0.16624986275968917</v>
      </c>
      <c r="AB54" s="185">
        <f>'FONTE OPxFIN'!AZ68/'FONTE OPxFIN'!AZ94</f>
        <v>0.12218523899336933</v>
      </c>
      <c r="AC54" s="362">
        <f>'FONTE OPxFIN'!BA68/'FONTE OPxFIN'!BA94</f>
        <v>0.12451947797556377</v>
      </c>
    </row>
    <row r="55" spans="1:29">
      <c r="A55" s="357"/>
      <c r="B55" s="11" t="s">
        <v>268</v>
      </c>
      <c r="C55" s="185">
        <f>'FONTE OPxFIN'!AA69/'FONTE OPxFIN'!AA95</f>
        <v>1.4736842105263157</v>
      </c>
      <c r="D55" s="362">
        <f>'FONTE OPxFIN'!AB69/'FONTE OPxFIN'!AB95</f>
        <v>-0.31242504643623475</v>
      </c>
      <c r="E55" s="362">
        <f>'FONTE OPxFIN'!AC69/'FONTE OPxFIN'!AC95</f>
        <v>-0.49497084877567399</v>
      </c>
      <c r="F55" s="362">
        <f>'FONTE OPxFIN'!AD69/'FONTE OPxFIN'!AD95</f>
        <v>-4.1030515432311586E-2</v>
      </c>
      <c r="G55" s="362">
        <f>'FONTE OPxFIN'!AE69/'FONTE OPxFIN'!AE95</f>
        <v>3.1471282454760031E-3</v>
      </c>
      <c r="H55" s="185">
        <f>'FONTE OPxFIN'!AF69/'FONTE OPxFIN'!AF95</f>
        <v>-9.7875569044006072E-2</v>
      </c>
      <c r="I55" s="362">
        <f>'FONTE OPxFIN'!AG69/'FONTE OPxFIN'!AG95</f>
        <v>1.0408163265306123</v>
      </c>
      <c r="J55" s="362">
        <f>'FONTE OPxFIN'!AH69/'FONTE OPxFIN'!AH95</f>
        <v>-0.18035349284597813</v>
      </c>
      <c r="K55" s="362">
        <f>'FONTE OPxFIN'!AI69/'FONTE OPxFIN'!AI95</f>
        <v>0.27648342574023832</v>
      </c>
      <c r="L55" s="362">
        <f>'FONTE OPxFIN'!AJ69/'FONTE OPxFIN'!AJ95</f>
        <v>0.62804430309512504</v>
      </c>
      <c r="M55" s="185">
        <f>'FONTE OPxFIN'!AK69/'FONTE OPxFIN'!AK95</f>
        <v>0.45546746436762786</v>
      </c>
      <c r="N55" s="362">
        <f>'FONTE OPxFIN'!AL69/'FONTE OPxFIN'!AL95</f>
        <v>0.31195499296765117</v>
      </c>
      <c r="O55" s="362">
        <f>'FONTE OPxFIN'!AM69/'FONTE OPxFIN'!AM95</f>
        <v>0.2256248965403079</v>
      </c>
      <c r="P55" s="362">
        <f>'FONTE OPxFIN'!AN69/'FONTE OPxFIN'!AN95</f>
        <v>0.22935912240184758</v>
      </c>
      <c r="Q55" s="362">
        <f>'FONTE OPxFIN'!AO69/'FONTE OPxFIN'!AO95</f>
        <v>0.22117175189800894</v>
      </c>
      <c r="R55" s="185">
        <f>'FONTE OPxFIN'!AP69/'FONTE OPxFIN'!AP95</f>
        <v>0.23845990214847904</v>
      </c>
      <c r="S55" s="362">
        <f>'FONTE OPxFIN'!AQ69/'FONTE OPxFIN'!AQ95</f>
        <v>0.2009882284551664</v>
      </c>
      <c r="T55" s="362">
        <f>'FONTE OPxFIN'!AR69/'FONTE OPxFIN'!AR95</f>
        <v>0.3014197306152166</v>
      </c>
      <c r="U55" s="362">
        <f>'FONTE OPxFIN'!AS69/'FONTE OPxFIN'!AS95</f>
        <v>0.27462726304579338</v>
      </c>
      <c r="V55" s="362">
        <f>'FONTE OPxFIN'!AT69/'FONTE OPxFIN'!AT95</f>
        <v>0.22181162685894551</v>
      </c>
      <c r="W55" s="185">
        <f>'FONTE OPxFIN'!AU69/'FONTE OPxFIN'!AU95</f>
        <v>0.24410948292556969</v>
      </c>
      <c r="X55" s="362">
        <f>'FONTE OPxFIN'!AV69/'FONTE OPxFIN'!AV95</f>
        <v>0.27885215221459764</v>
      </c>
      <c r="Y55" s="362">
        <f>'FONTE OPxFIN'!AW69/'FONTE OPxFIN'!AW95</f>
        <v>0.30450409115240501</v>
      </c>
      <c r="Z55" s="362">
        <f>'FONTE OPxFIN'!AX69/'FONTE OPxFIN'!AX95</f>
        <v>0.33328898350186276</v>
      </c>
      <c r="AA55" s="362">
        <f>'FONTE OPxFIN'!AY69/'FONTE OPxFIN'!AY95</f>
        <v>0.49397700564596242</v>
      </c>
      <c r="AB55" s="185">
        <f>'FONTE OPxFIN'!AZ69/'FONTE OPxFIN'!AZ95</f>
        <v>0.3464384796026917</v>
      </c>
      <c r="AC55" s="362">
        <f>'FONTE OPxFIN'!BA69/'FONTE OPxFIN'!BA95</f>
        <v>0.59198734844491308</v>
      </c>
    </row>
    <row r="56" spans="1:29" s="2" customFormat="1">
      <c r="A56" s="363"/>
      <c r="B56" s="21" t="s">
        <v>610</v>
      </c>
      <c r="C56" s="368">
        <f>'FONTE OPxFIN'!AA70/'FONTE OPxFIN'!AA96</f>
        <v>0.38539848941039717</v>
      </c>
      <c r="D56" s="400">
        <f>'FONTE OPxFIN'!AB70/'FONTE OPxFIN'!AB96</f>
        <v>0.42243761995176382</v>
      </c>
      <c r="E56" s="400">
        <f>'FONTE OPxFIN'!AC70/'FONTE OPxFIN'!AC96</f>
        <v>0.38842561172561751</v>
      </c>
      <c r="F56" s="400">
        <f>'FONTE OPxFIN'!AD70/'FONTE OPxFIN'!AD96</f>
        <v>0.24660697294036535</v>
      </c>
      <c r="G56" s="400">
        <f>'FONTE OPxFIN'!AE70/'FONTE OPxFIN'!AE96</f>
        <v>0.26423347554633542</v>
      </c>
      <c r="H56" s="368">
        <f>'FONTE OPxFIN'!AF70/'FONTE OPxFIN'!AF96</f>
        <v>0.33143590461152583</v>
      </c>
      <c r="I56" s="400">
        <f>'FONTE OPxFIN'!AG70/'FONTE OPxFIN'!AG96</f>
        <v>0.30162321325406732</v>
      </c>
      <c r="J56" s="400">
        <f>'FONTE OPxFIN'!AH70/'FONTE OPxFIN'!AH96</f>
        <v>0.24112802881995979</v>
      </c>
      <c r="K56" s="400">
        <f>'FONTE OPxFIN'!AI70/'FONTE OPxFIN'!AI96</f>
        <v>0.46701647072027835</v>
      </c>
      <c r="L56" s="400">
        <f>'FONTE OPxFIN'!AJ70/'FONTE OPxFIN'!AJ96</f>
        <v>0.2993962464161587</v>
      </c>
      <c r="M56" s="368">
        <f>'FONTE OPxFIN'!AK70/'FONTE OPxFIN'!AK96</f>
        <v>0.33103610633062436</v>
      </c>
      <c r="N56" s="400">
        <f>'FONTE OPxFIN'!AL70/'FONTE OPxFIN'!AL96</f>
        <v>0.38572146306423016</v>
      </c>
      <c r="O56" s="400">
        <f>'FONTE OPxFIN'!AM70/'FONTE OPxFIN'!AM96</f>
        <v>0.37717782385991033</v>
      </c>
      <c r="P56" s="400">
        <f>'FONTE OPxFIN'!AN70/'FONTE OPxFIN'!AN96</f>
        <v>0.48752047067386428</v>
      </c>
      <c r="Q56" s="400">
        <f>'FONTE OPxFIN'!AO70/'FONTE OPxFIN'!AO96</f>
        <v>0.45863992018867278</v>
      </c>
      <c r="R56" s="368">
        <f>'FONTE OPxFIN'!AP70/'FONTE OPxFIN'!AP96</f>
        <v>0.41988547578962226</v>
      </c>
      <c r="S56" s="400">
        <f>'FONTE OPxFIN'!AQ70/'FONTE OPxFIN'!AQ96</f>
        <v>0.33749019432055044</v>
      </c>
      <c r="T56" s="400">
        <f>'FONTE OPxFIN'!AR70/'FONTE OPxFIN'!AR96</f>
        <v>0.43815050934151395</v>
      </c>
      <c r="U56" s="400">
        <f>'FONTE OPxFIN'!AS70/'FONTE OPxFIN'!AS96</f>
        <v>0.48191034428699581</v>
      </c>
      <c r="V56" s="400">
        <f>'FONTE OPxFIN'!AT70/'FONTE OPxFIN'!AT96</f>
        <v>0.40754782494451508</v>
      </c>
      <c r="W56" s="368">
        <f>'FONTE OPxFIN'!AU70/'FONTE OPxFIN'!AU96</f>
        <v>0.40409486530493022</v>
      </c>
      <c r="X56" s="400">
        <f>'FONTE OPxFIN'!AV70/'FONTE OPxFIN'!AV96</f>
        <v>0.52119991829150425</v>
      </c>
      <c r="Y56" s="400">
        <f>'FONTE OPxFIN'!AW70/'FONTE OPxFIN'!AW96</f>
        <v>0.53611657122879153</v>
      </c>
      <c r="Z56" s="400">
        <f>'FONTE OPxFIN'!AX70/'FONTE OPxFIN'!AX96</f>
        <v>0.67422921886915788</v>
      </c>
      <c r="AA56" s="400">
        <f>'FONTE OPxFIN'!AY70/'FONTE OPxFIN'!AY96</f>
        <v>0.5206625702970451</v>
      </c>
      <c r="AB56" s="368">
        <f>'FONTE OPxFIN'!AZ70/'FONTE OPxFIN'!AZ96</f>
        <v>0.55020355381879993</v>
      </c>
      <c r="AC56" s="400">
        <f>'FONTE OPxFIN'!BA70/'FONTE OPxFIN'!BA96</f>
        <v>0.57357514509134433</v>
      </c>
    </row>
    <row r="57" spans="1:29">
      <c r="A57" s="357"/>
      <c r="B57" s="11" t="s">
        <v>611</v>
      </c>
      <c r="C57" s="185">
        <f>'FONTE OPxFIN'!AA71/'FONTE OPxFIN'!AA97</f>
        <v>0.38539848941039717</v>
      </c>
      <c r="D57" s="362">
        <f>'FONTE OPxFIN'!AB71/'FONTE OPxFIN'!AB97</f>
        <v>0.42243761995176382</v>
      </c>
      <c r="E57" s="362">
        <f>'FONTE OPxFIN'!AC71/'FONTE OPxFIN'!AC97</f>
        <v>0.38842561172561751</v>
      </c>
      <c r="F57" s="362">
        <f>'FONTE OPxFIN'!AD71/'FONTE OPxFIN'!AD97</f>
        <v>0.24660697294036535</v>
      </c>
      <c r="G57" s="362">
        <f>'FONTE OPxFIN'!AE71/'FONTE OPxFIN'!AE97</f>
        <v>0.26423347554633542</v>
      </c>
      <c r="H57" s="185">
        <f>'FONTE OPxFIN'!AF71/'FONTE OPxFIN'!AF97</f>
        <v>0.33143590461152583</v>
      </c>
      <c r="I57" s="362">
        <f>'FONTE OPxFIN'!AG71/'FONTE OPxFIN'!AG97</f>
        <v>0.30162321325406732</v>
      </c>
      <c r="J57" s="362">
        <f>'FONTE OPxFIN'!AH71/'FONTE OPxFIN'!AH97</f>
        <v>0.24112802881995979</v>
      </c>
      <c r="K57" s="362">
        <f>'FONTE OPxFIN'!AI71/'FONTE OPxFIN'!AI97</f>
        <v>0.46701647072027835</v>
      </c>
      <c r="L57" s="362">
        <f>'FONTE OPxFIN'!AJ71/'FONTE OPxFIN'!AJ97</f>
        <v>0.2993962464161587</v>
      </c>
      <c r="M57" s="185">
        <f>'FONTE OPxFIN'!AK71/'FONTE OPxFIN'!AK97</f>
        <v>0.33103610633062436</v>
      </c>
      <c r="N57" s="362">
        <f>'FONTE OPxFIN'!AL71/'FONTE OPxFIN'!AL97</f>
        <v>0.38572146306423016</v>
      </c>
      <c r="O57" s="362">
        <f>'FONTE OPxFIN'!AM71/'FONTE OPxFIN'!AM97</f>
        <v>0.37717782385991033</v>
      </c>
      <c r="P57" s="362">
        <f>'FONTE OPxFIN'!AN71/'FONTE OPxFIN'!AN97</f>
        <v>0.48752047067386428</v>
      </c>
      <c r="Q57" s="362">
        <f>'FONTE OPxFIN'!AO71/'FONTE OPxFIN'!AO97</f>
        <v>0.45863992018867278</v>
      </c>
      <c r="R57" s="185">
        <f>'FONTE OPxFIN'!AP71/'FONTE OPxFIN'!AP97</f>
        <v>0.41988547578962226</v>
      </c>
      <c r="S57" s="362">
        <f>'FONTE OPxFIN'!AQ71/'FONTE OPxFIN'!AQ97</f>
        <v>0.33749019432055044</v>
      </c>
      <c r="T57" s="362">
        <f>'FONTE OPxFIN'!AR71/'FONTE OPxFIN'!AR97</f>
        <v>0.43815050934151395</v>
      </c>
      <c r="U57" s="362">
        <f>'FONTE OPxFIN'!AS71/'FONTE OPxFIN'!AS97</f>
        <v>0.48191034428699581</v>
      </c>
      <c r="V57" s="362">
        <f>'FONTE OPxFIN'!AT71/'FONTE OPxFIN'!AT97</f>
        <v>0.40754782494451508</v>
      </c>
      <c r="W57" s="185">
        <f>'FONTE OPxFIN'!AU71/'FONTE OPxFIN'!AU97</f>
        <v>0.40409486530493022</v>
      </c>
      <c r="X57" s="362">
        <f>'FONTE OPxFIN'!AV71/'FONTE OPxFIN'!AV97</f>
        <v>0.52119991829150425</v>
      </c>
      <c r="Y57" s="362">
        <f>'FONTE OPxFIN'!AW71/'FONTE OPxFIN'!AW97</f>
        <v>0.53611657122879153</v>
      </c>
      <c r="Z57" s="362">
        <f>'FONTE OPxFIN'!AX71/'FONTE OPxFIN'!AX97</f>
        <v>0.67422921886915788</v>
      </c>
      <c r="AA57" s="362">
        <f>'FONTE OPxFIN'!AY71/'FONTE OPxFIN'!AY97</f>
        <v>0.5206625702970451</v>
      </c>
      <c r="AB57" s="185">
        <f>'FONTE OPxFIN'!AZ71/'FONTE OPxFIN'!AZ97</f>
        <v>0.55020355381879993</v>
      </c>
      <c r="AC57" s="362">
        <f>'FONTE OPxFIN'!BA71/'FONTE OPxFIN'!BA97</f>
        <v>0.57357514509134433</v>
      </c>
    </row>
    <row r="58" spans="1:29">
      <c r="A58" s="357"/>
      <c r="B58" s="318" t="s">
        <v>612</v>
      </c>
      <c r="C58" s="185">
        <f>'FONTE OPxFIN'!AA72/'FONTE OPxFIN'!AA98</f>
        <v>0.35315535106548673</v>
      </c>
      <c r="D58" s="362">
        <f>'FONTE OPxFIN'!AB72/'FONTE OPxFIN'!AB98</f>
        <v>0.25342424828448962</v>
      </c>
      <c r="E58" s="362">
        <f>'FONTE OPxFIN'!AC72/'FONTE OPxFIN'!AC98</f>
        <v>0.17070664772830255</v>
      </c>
      <c r="F58" s="362">
        <f>'FONTE OPxFIN'!AD72/'FONTE OPxFIN'!AD98</f>
        <v>8.8461609393879134E-2</v>
      </c>
      <c r="G58" s="362">
        <f>'FONTE OPxFIN'!AE72/'FONTE OPxFIN'!AE98</f>
        <v>8.8596131501606182E-2</v>
      </c>
      <c r="H58" s="185">
        <f>'FONTE OPxFIN'!AF72/'FONTE OPxFIN'!AF98</f>
        <v>0.15220512922485077</v>
      </c>
      <c r="I58" s="362">
        <f>'FONTE OPxFIN'!AG72/'FONTE OPxFIN'!AG98</f>
        <v>0.10743058760190739</v>
      </c>
      <c r="J58" s="362">
        <f>'FONTE OPxFIN'!AH72/'FONTE OPxFIN'!AH98</f>
        <v>-6.1824067348771237E-2</v>
      </c>
      <c r="K58" s="362">
        <f>'FONTE OPxFIN'!AI72/'FONTE OPxFIN'!AI98</f>
        <v>0.20786037381582317</v>
      </c>
      <c r="L58" s="362">
        <f>'FONTE OPxFIN'!AJ72/'FONTE OPxFIN'!AJ98</f>
        <v>0.20550493351843041</v>
      </c>
      <c r="M58" s="185">
        <f>'FONTE OPxFIN'!AK72/'FONTE OPxFIN'!AK98</f>
        <v>0.12691641020198804</v>
      </c>
      <c r="N58" s="362">
        <f>'FONTE OPxFIN'!AL72/'FONTE OPxFIN'!AL98</f>
        <v>0.32950279996168014</v>
      </c>
      <c r="O58" s="362">
        <f>'FONTE OPxFIN'!AM72/'FONTE OPxFIN'!AM98</f>
        <v>0.31300985523647851</v>
      </c>
      <c r="P58" s="362">
        <f>'FONTE OPxFIN'!AN72/'FONTE OPxFIN'!AN98</f>
        <v>0.40132672596490954</v>
      </c>
      <c r="Q58" s="362">
        <f>'FONTE OPxFIN'!AO72/'FONTE OPxFIN'!AO98</f>
        <v>0.36150960313340569</v>
      </c>
      <c r="R58" s="185">
        <f>'FONTE OPxFIN'!AP72/'FONTE OPxFIN'!AP98</f>
        <v>0.35358461088195597</v>
      </c>
      <c r="S58" s="362">
        <f>'FONTE OPxFIN'!AQ72/'FONTE OPxFIN'!AQ98</f>
        <v>0.27107560510652579</v>
      </c>
      <c r="T58" s="362">
        <f>'FONTE OPxFIN'!AR72/'FONTE OPxFIN'!AR98</f>
        <v>0.33637895451814309</v>
      </c>
      <c r="U58" s="362">
        <f>'FONTE OPxFIN'!AS72/'FONTE OPxFIN'!AS98</f>
        <v>0.40516066919765309</v>
      </c>
      <c r="V58" s="362">
        <f>'FONTE OPxFIN'!AT72/'FONTE OPxFIN'!AT98</f>
        <v>0.33431211850004527</v>
      </c>
      <c r="W58" s="185">
        <f>'FONTE OPxFIN'!AU72/'FONTE OPxFIN'!AU98</f>
        <v>0.33729941341332437</v>
      </c>
      <c r="X58" s="362">
        <f>'FONTE OPxFIN'!AV72/'FONTE OPxFIN'!AV98</f>
        <v>0.42707885136272217</v>
      </c>
      <c r="Y58" s="362">
        <f>'FONTE OPxFIN'!AW72/'FONTE OPxFIN'!AW98</f>
        <v>0.43851721061577481</v>
      </c>
      <c r="Z58" s="362">
        <f>'FONTE OPxFIN'!AX72/'FONTE OPxFIN'!AX98</f>
        <v>0.50268574393665677</v>
      </c>
      <c r="AA58" s="362">
        <f>'FONTE OPxFIN'!AY72/'FONTE OPxFIN'!AY98</f>
        <v>0.45351503476139471</v>
      </c>
      <c r="AB58" s="185">
        <f>'FONTE OPxFIN'!AZ72/'FONTE OPxFIN'!AZ98</f>
        <v>0.45618836225303255</v>
      </c>
      <c r="AC58" s="362">
        <f>'FONTE OPxFIN'!BA72/'FONTE OPxFIN'!BA98</f>
        <v>0.51547400385811726</v>
      </c>
    </row>
    <row r="59" spans="1:29">
      <c r="A59" s="357"/>
      <c r="B59" s="318" t="s">
        <v>613</v>
      </c>
      <c r="C59" s="185">
        <f>'FONTE OPxFIN'!AA73/'FONTE OPxFIN'!AA99</f>
        <v>0.21292713459727661</v>
      </c>
      <c r="D59" s="403" t="s">
        <v>0</v>
      </c>
      <c r="E59" s="404" t="s">
        <v>0</v>
      </c>
      <c r="F59" s="404" t="s">
        <v>0</v>
      </c>
      <c r="G59" s="404" t="s">
        <v>0</v>
      </c>
      <c r="H59" s="405" t="s">
        <v>0</v>
      </c>
      <c r="I59" s="404" t="s">
        <v>0</v>
      </c>
      <c r="J59" s="404" t="s">
        <v>0</v>
      </c>
      <c r="K59" s="404" t="s">
        <v>0</v>
      </c>
      <c r="L59" s="404" t="s">
        <v>0</v>
      </c>
      <c r="M59" s="405" t="s">
        <v>0</v>
      </c>
      <c r="N59" s="404" t="s">
        <v>0</v>
      </c>
      <c r="O59" s="404" t="s">
        <v>0</v>
      </c>
      <c r="P59" s="362" t="s">
        <v>0</v>
      </c>
      <c r="Q59" s="362" t="s">
        <v>0</v>
      </c>
      <c r="R59" s="405" t="s">
        <v>0</v>
      </c>
      <c r="S59" s="404" t="s">
        <v>0</v>
      </c>
      <c r="T59" s="404" t="s">
        <v>0</v>
      </c>
      <c r="U59" s="362" t="s">
        <v>0</v>
      </c>
      <c r="V59" s="362" t="s">
        <v>0</v>
      </c>
      <c r="W59" s="405" t="s">
        <v>0</v>
      </c>
      <c r="X59" s="362" t="s">
        <v>0</v>
      </c>
      <c r="Y59" s="362" t="s">
        <v>0</v>
      </c>
      <c r="Z59" s="362" t="s">
        <v>0</v>
      </c>
      <c r="AA59" s="362" t="s">
        <v>0</v>
      </c>
      <c r="AB59" s="405" t="s">
        <v>0</v>
      </c>
      <c r="AC59" s="362" t="s">
        <v>0</v>
      </c>
    </row>
    <row r="60" spans="1:29">
      <c r="A60" s="357"/>
      <c r="B60" s="318" t="s">
        <v>566</v>
      </c>
      <c r="C60" s="185">
        <f>'FONTE OPxFIN'!AA74/'FONTE OPxFIN'!AA100</f>
        <v>1.2091194886606145</v>
      </c>
      <c r="D60" s="362">
        <f>'FONTE OPxFIN'!AB74/'FONTE OPxFIN'!AB100</f>
        <v>1.2839019205885434</v>
      </c>
      <c r="E60" s="362">
        <f>'FONTE OPxFIN'!AC74/'FONTE OPxFIN'!AC100</f>
        <v>1.2683230149121481</v>
      </c>
      <c r="F60" s="362">
        <f>'FONTE OPxFIN'!AD74/'FONTE OPxFIN'!AD100</f>
        <v>1.4995009709298996</v>
      </c>
      <c r="G60" s="362">
        <f>'FONTE OPxFIN'!AE74/'FONTE OPxFIN'!AE100</f>
        <v>2.2293128035380576</v>
      </c>
      <c r="H60" s="185">
        <f>'FONTE OPxFIN'!AF74/'FONTE OPxFIN'!AF100</f>
        <v>1.458738276472924</v>
      </c>
      <c r="I60" s="362">
        <f>'FONTE OPxFIN'!AG74/'FONTE OPxFIN'!AG100</f>
        <v>1.386327220936443</v>
      </c>
      <c r="J60" s="362">
        <f>'FONTE OPxFIN'!AH74/'FONTE OPxFIN'!AH100</f>
        <v>1.6197616816173517</v>
      </c>
      <c r="K60" s="362">
        <f>'FONTE OPxFIN'!AI74/'FONTE OPxFIN'!AI100</f>
        <v>1.8674880563238623</v>
      </c>
      <c r="L60" s="362">
        <f>'FONTE OPxFIN'!AJ74/'FONTE OPxFIN'!AJ100</f>
        <v>1.7512814254332438</v>
      </c>
      <c r="M60" s="185">
        <f>'FONTE OPxFIN'!AK74/'FONTE OPxFIN'!AK100</f>
        <v>1.5870045289516039</v>
      </c>
      <c r="N60" s="404" t="s">
        <v>0</v>
      </c>
      <c r="O60" s="404" t="s">
        <v>0</v>
      </c>
      <c r="P60" s="410" t="s">
        <v>0</v>
      </c>
      <c r="Q60" s="410" t="s">
        <v>0</v>
      </c>
      <c r="R60" s="405" t="s">
        <v>0</v>
      </c>
      <c r="S60" s="404" t="s">
        <v>0</v>
      </c>
      <c r="T60" s="404" t="s">
        <v>0</v>
      </c>
      <c r="U60" s="410" t="s">
        <v>0</v>
      </c>
      <c r="V60" s="410" t="s">
        <v>0</v>
      </c>
      <c r="W60" s="405" t="s">
        <v>0</v>
      </c>
      <c r="X60" s="410" t="s">
        <v>0</v>
      </c>
      <c r="Y60" s="410" t="s">
        <v>0</v>
      </c>
      <c r="Z60" s="410" t="s">
        <v>0</v>
      </c>
      <c r="AA60" s="410" t="s">
        <v>0</v>
      </c>
      <c r="AB60" s="405" t="s">
        <v>0</v>
      </c>
      <c r="AC60" s="410" t="s">
        <v>0</v>
      </c>
    </row>
    <row r="61" spans="1:29">
      <c r="A61" s="357"/>
      <c r="B61" s="318" t="s">
        <v>271</v>
      </c>
      <c r="C61" s="185">
        <f>'FONTE OPxFIN'!AA75/'FONTE OPxFIN'!AA101</f>
        <v>0.15602310926559768</v>
      </c>
      <c r="D61" s="362">
        <f>'FONTE OPxFIN'!AB75/'FONTE OPxFIN'!AB101</f>
        <v>0.16882928499949595</v>
      </c>
      <c r="E61" s="362">
        <f>'FONTE OPxFIN'!AC75/'FONTE OPxFIN'!AC101</f>
        <v>0.16639861157105282</v>
      </c>
      <c r="F61" s="362">
        <f>'FONTE OPxFIN'!AD75/'FONTE OPxFIN'!AD101</f>
        <v>0.17412639754275319</v>
      </c>
      <c r="G61" s="362">
        <f>'FONTE OPxFIN'!AE75/'FONTE OPxFIN'!AE101</f>
        <v>0.23154157851328577</v>
      </c>
      <c r="H61" s="185">
        <f>'FONTE OPxFIN'!AF75/'FONTE OPxFIN'!AF101</f>
        <v>0.1846876774209765</v>
      </c>
      <c r="I61" s="362">
        <f>'FONTE OPxFIN'!AG75/'FONTE OPxFIN'!AG101</f>
        <v>0.2537869751908397</v>
      </c>
      <c r="J61" s="362">
        <f>'FONTE OPxFIN'!AH75/'FONTE OPxFIN'!AH101</f>
        <v>0.20227557511292441</v>
      </c>
      <c r="K61" s="362">
        <f>'FONTE OPxFIN'!AI75/'FONTE OPxFIN'!AI101</f>
        <v>1.091072575465639</v>
      </c>
      <c r="L61" s="362">
        <f>'FONTE OPxFIN'!AJ75/'FONTE OPxFIN'!AJ101</f>
        <v>-0.7851158577955164</v>
      </c>
      <c r="M61" s="185">
        <f>'FONTE OPxFIN'!AK75/'FONTE OPxFIN'!AK101</f>
        <v>0.37606061685346526</v>
      </c>
      <c r="N61" s="404" t="s">
        <v>0</v>
      </c>
      <c r="O61" s="404" t="s">
        <v>0</v>
      </c>
      <c r="P61" s="410" t="s">
        <v>0</v>
      </c>
      <c r="Q61" s="410" t="s">
        <v>0</v>
      </c>
      <c r="R61" s="405" t="s">
        <v>0</v>
      </c>
      <c r="S61" s="404" t="s">
        <v>0</v>
      </c>
      <c r="T61" s="404" t="s">
        <v>0</v>
      </c>
      <c r="U61" s="410" t="s">
        <v>0</v>
      </c>
      <c r="V61" s="410" t="s">
        <v>0</v>
      </c>
      <c r="W61" s="405" t="s">
        <v>0</v>
      </c>
      <c r="X61" s="410" t="s">
        <v>0</v>
      </c>
      <c r="Y61" s="410" t="s">
        <v>0</v>
      </c>
      <c r="Z61" s="410" t="s">
        <v>0</v>
      </c>
      <c r="AA61" s="410" t="s">
        <v>0</v>
      </c>
      <c r="AB61" s="405" t="s">
        <v>0</v>
      </c>
      <c r="AC61" s="410" t="s">
        <v>0</v>
      </c>
    </row>
    <row r="62" spans="1:29">
      <c r="A62" s="357"/>
      <c r="B62" s="318" t="s">
        <v>614</v>
      </c>
      <c r="C62" s="185">
        <f>'FONTE OPxFIN'!AA76/'FONTE OPxFIN'!AA102</f>
        <v>1.7071517707870532</v>
      </c>
      <c r="D62" s="362">
        <f>'FONTE OPxFIN'!AB76/'FONTE OPxFIN'!AB102</f>
        <v>3.5719658717545713</v>
      </c>
      <c r="E62" s="362">
        <f>'FONTE OPxFIN'!AC76/'FONTE OPxFIN'!AC102</f>
        <v>5.0248322597937154</v>
      </c>
      <c r="F62" s="362">
        <f>'FONTE OPxFIN'!AD76/'FONTE OPxFIN'!AD102</f>
        <v>0.5010734404639392</v>
      </c>
      <c r="G62" s="362">
        <f>'FONTE OPxFIN'!AE76/'FONTE OPxFIN'!AE102</f>
        <v>1.0569430978164753</v>
      </c>
      <c r="H62" s="185">
        <f>'FONTE OPxFIN'!AF76/'FONTE OPxFIN'!AF102</f>
        <v>1.138603277529227</v>
      </c>
      <c r="I62" s="362">
        <f>'FONTE OPxFIN'!AG76/'FONTE OPxFIN'!AG102</f>
        <v>-13.039840637450199</v>
      </c>
      <c r="J62" s="362">
        <f>'FONTE OPxFIN'!AH76/'FONTE OPxFIN'!AH102</f>
        <v>-1.7300303336703742</v>
      </c>
      <c r="K62" s="362">
        <f>'FONTE OPxFIN'!AI76/'FONTE OPxFIN'!AI102</f>
        <v>0.70275103163686381</v>
      </c>
      <c r="L62" s="362">
        <f>'FONTE OPxFIN'!AJ76/'FONTE OPxFIN'!AJ102</f>
        <v>2.6750133191262653</v>
      </c>
      <c r="M62" s="185">
        <f>'FONTE OPxFIN'!AK76/'FONTE OPxFIN'!AK102</f>
        <v>2.4320612893899973</v>
      </c>
      <c r="N62" s="362">
        <f>'FONTE OPxFIN'!AL76/'FONTE OPxFIN'!AL102</f>
        <v>1.0579741379310346</v>
      </c>
      <c r="O62" s="362">
        <f>'FONTE OPxFIN'!AM76/'FONTE OPxFIN'!AM102</f>
        <v>0.71584938704028023</v>
      </c>
      <c r="P62" s="362">
        <f>'FONTE OPxFIN'!AN76/'FONTE OPxFIN'!AN102</f>
        <v>1.7878587924777301</v>
      </c>
      <c r="Q62" s="362">
        <f>'FONTE OPxFIN'!AO76/'FONTE OPxFIN'!AO102</f>
        <v>11.708229426433915</v>
      </c>
      <c r="R62" s="406">
        <f>'FONTE OPxFIN'!AP76/'FONTE OPxFIN'!AP102</f>
        <v>0.6575984990619137</v>
      </c>
      <c r="S62" s="362">
        <f>'FONTE OPxFIN'!AQ76/'FONTE OPxFIN'!AQ102</f>
        <v>2.3517474633596391</v>
      </c>
      <c r="T62" s="362">
        <f>'FONTE OPxFIN'!AR76/'FONTE OPxFIN'!AR102</f>
        <v>2.4514831573655105</v>
      </c>
      <c r="U62" s="362">
        <f>'FONTE OPxFIN'!AS76/'FONTE OPxFIN'!AS102</f>
        <v>5.6151079136690649</v>
      </c>
      <c r="V62" s="362">
        <f>'FONTE OPxFIN'!AT76/'FONTE OPxFIN'!AT102</f>
        <v>1.0797560403471733</v>
      </c>
      <c r="W62" s="406">
        <f>'FONTE OPxFIN'!AU76/'FONTE OPxFIN'!AU102</f>
        <v>1.0212189616252823</v>
      </c>
      <c r="X62" s="362">
        <f>'FONTE OPxFIN'!AV76/'FONTE OPxFIN'!AV102</f>
        <v>8.9718574108818014</v>
      </c>
      <c r="Y62" s="362">
        <f>'FONTE OPxFIN'!AW76/'FONTE OPxFIN'!AW102</f>
        <v>5.7015945330296125</v>
      </c>
      <c r="Z62" s="362">
        <f>'FONTE OPxFIN'!AX76/'FONTE OPxFIN'!AX102</f>
        <v>1.7302712700369913</v>
      </c>
      <c r="AA62" s="362">
        <f>'FONTE OPxFIN'!AY76/'FONTE OPxFIN'!AY102</f>
        <v>1.670509708737864</v>
      </c>
      <c r="AB62" s="406">
        <f>'FONTE OPxFIN'!AZ76/'FONTE OPxFIN'!AZ102</f>
        <v>1.2310401207395296</v>
      </c>
      <c r="AC62" s="362">
        <f>'FONTE OPxFIN'!BA76/'FONTE OPxFIN'!BA102</f>
        <v>1.0859071384741257</v>
      </c>
    </row>
    <row r="63" spans="1:29">
      <c r="A63" s="357"/>
      <c r="B63" s="318" t="s">
        <v>568</v>
      </c>
      <c r="C63" s="185">
        <f>'FONTE OPxFIN'!AA77/'FONTE OPxFIN'!AA103</f>
        <v>9.5186240556928929</v>
      </c>
      <c r="D63" s="362">
        <f>'FONTE OPxFIN'!AB77/'FONTE OPxFIN'!AB103</f>
        <v>-0.28594479177192106</v>
      </c>
      <c r="E63" s="362">
        <f>'FONTE OPxFIN'!AC77/'FONTE OPxFIN'!AC103</f>
        <v>-1.1718502835156286</v>
      </c>
      <c r="F63" s="362">
        <f>'FONTE OPxFIN'!AD77/'FONTE OPxFIN'!AD103</f>
        <v>-0.69046267795136451</v>
      </c>
      <c r="G63" s="362">
        <f>'FONTE OPxFIN'!AE77/'FONTE OPxFIN'!AE103</f>
        <v>-0.35131638085364786</v>
      </c>
      <c r="H63" s="185">
        <f>'FONTE OPxFIN'!AF77/'FONTE OPxFIN'!AF103</f>
        <v>-0.57350376402635161</v>
      </c>
      <c r="I63" s="362">
        <f>'FONTE OPxFIN'!AG77/'FONTE OPxFIN'!AG103</f>
        <v>-0.64220532319391632</v>
      </c>
      <c r="J63" s="362">
        <f>'FONTE OPxFIN'!AH77/'FONTE OPxFIN'!AH103</f>
        <v>-0.10819435245950991</v>
      </c>
      <c r="K63" s="362">
        <f>'FONTE OPxFIN'!AI77/'FONTE OPxFIN'!AI103</f>
        <v>-2.1852358168147643</v>
      </c>
      <c r="L63" s="362">
        <f>'FONTE OPxFIN'!AJ77/'FONTE OPxFIN'!AJ103</f>
        <v>-9.6630145677265078E-2</v>
      </c>
      <c r="M63" s="185">
        <f>'FONTE OPxFIN'!AK77/'FONTE OPxFIN'!AK103</f>
        <v>-0.17254348848142925</v>
      </c>
      <c r="N63" s="404" t="s">
        <v>0</v>
      </c>
      <c r="O63" s="404" t="s">
        <v>0</v>
      </c>
      <c r="P63" s="410" t="s">
        <v>0</v>
      </c>
      <c r="Q63" s="410" t="s">
        <v>0</v>
      </c>
      <c r="R63" s="405" t="s">
        <v>0</v>
      </c>
      <c r="S63" s="404" t="s">
        <v>0</v>
      </c>
      <c r="T63" s="404" t="s">
        <v>0</v>
      </c>
      <c r="U63" s="410" t="s">
        <v>0</v>
      </c>
      <c r="V63" s="410" t="s">
        <v>0</v>
      </c>
      <c r="W63" s="405" t="s">
        <v>0</v>
      </c>
      <c r="X63" s="410" t="s">
        <v>0</v>
      </c>
      <c r="Y63" s="410" t="s">
        <v>0</v>
      </c>
      <c r="Z63" s="410" t="s">
        <v>0</v>
      </c>
      <c r="AA63" s="410" t="s">
        <v>0</v>
      </c>
      <c r="AB63" s="405" t="s">
        <v>0</v>
      </c>
      <c r="AC63" s="410" t="s">
        <v>0</v>
      </c>
    </row>
    <row r="64" spans="1:29">
      <c r="A64" s="357"/>
      <c r="B64" s="318" t="s">
        <v>569</v>
      </c>
      <c r="C64" s="185">
        <f>'FONTE OPxFIN'!AA78/'FONTE OPxFIN'!AA104</f>
        <v>-0.16386046191979473</v>
      </c>
      <c r="D64" s="362">
        <f>'FONTE OPxFIN'!AB78/'FONTE OPxFIN'!AB104</f>
        <v>0.13383656918594514</v>
      </c>
      <c r="E64" s="362">
        <f>'FONTE OPxFIN'!AC78/'FONTE OPxFIN'!AC104</f>
        <v>6.8032013840724437E-2</v>
      </c>
      <c r="F64" s="362">
        <f>'FONTE OPxFIN'!AD78/'FONTE OPxFIN'!AD104</f>
        <v>0.30053117428057663</v>
      </c>
      <c r="G64" s="362">
        <f>'FONTE OPxFIN'!AE78/'FONTE OPxFIN'!AE104</f>
        <v>0.33774279901837867</v>
      </c>
      <c r="H64" s="185">
        <f>'FONTE OPxFIN'!AF78/'FONTE OPxFIN'!AF104</f>
        <v>0.20055851647782036</v>
      </c>
      <c r="I64" s="362">
        <f>'FONTE OPxFIN'!AG78/'FONTE OPxFIN'!AG104</f>
        <v>0.59080717488789236</v>
      </c>
      <c r="J64" s="362">
        <f>'FONTE OPxFIN'!AH78/'FONTE OPxFIN'!AH104</f>
        <v>-0.52271186440677964</v>
      </c>
      <c r="K64" s="362">
        <f>'FONTE OPxFIN'!AI78/'FONTE OPxFIN'!AI104</f>
        <v>-2.5065616797900261</v>
      </c>
      <c r="L64" s="362">
        <f>'FONTE OPxFIN'!AJ78/'FONTE OPxFIN'!AJ104</f>
        <v>-2.1320132013201318</v>
      </c>
      <c r="M64" s="185">
        <f>'FONTE OPxFIN'!AK78/'FONTE OPxFIN'!AK104</f>
        <v>-2.2880820836621942</v>
      </c>
      <c r="N64" s="404" t="s">
        <v>0</v>
      </c>
      <c r="O64" s="404" t="s">
        <v>0</v>
      </c>
      <c r="P64" s="410" t="s">
        <v>0</v>
      </c>
      <c r="Q64" s="410" t="s">
        <v>0</v>
      </c>
      <c r="R64" s="405" t="s">
        <v>0</v>
      </c>
      <c r="S64" s="404" t="s">
        <v>0</v>
      </c>
      <c r="T64" s="404" t="s">
        <v>0</v>
      </c>
      <c r="U64" s="410" t="s">
        <v>0</v>
      </c>
      <c r="V64" s="410" t="s">
        <v>0</v>
      </c>
      <c r="W64" s="405" t="s">
        <v>0</v>
      </c>
      <c r="X64" s="410" t="s">
        <v>0</v>
      </c>
      <c r="Y64" s="410" t="s">
        <v>0</v>
      </c>
      <c r="Z64" s="410" t="s">
        <v>0</v>
      </c>
      <c r="AA64" s="410" t="s">
        <v>0</v>
      </c>
      <c r="AB64" s="405" t="s">
        <v>0</v>
      </c>
      <c r="AC64" s="410" t="s">
        <v>0</v>
      </c>
    </row>
    <row r="65" spans="1:29">
      <c r="A65" s="357"/>
      <c r="B65" s="318" t="s">
        <v>570</v>
      </c>
      <c r="C65" s="185">
        <f>'FONTE OPxFIN'!AA79/'FONTE OPxFIN'!AA105</f>
        <v>2.4409684676714103</v>
      </c>
      <c r="D65" s="362">
        <f>'FONTE OPxFIN'!AB79/'FONTE OPxFIN'!AB105</f>
        <v>2.6229517074605964</v>
      </c>
      <c r="E65" s="362">
        <f>'FONTE OPxFIN'!AC79/'FONTE OPxFIN'!AC105</f>
        <v>7.5481359381056592</v>
      </c>
      <c r="F65" s="362">
        <f>'FONTE OPxFIN'!AD79/'FONTE OPxFIN'!AD105</f>
        <v>5.5089047333819678</v>
      </c>
      <c r="G65" s="362">
        <f>'FONTE OPxFIN'!AE79/'FONTE OPxFIN'!AE105</f>
        <v>2.999211716688766</v>
      </c>
      <c r="H65" s="185">
        <f>'FONTE OPxFIN'!AF79/'FONTE OPxFIN'!AF105</f>
        <v>3.7202327141081168</v>
      </c>
      <c r="I65" s="362">
        <f>'FONTE OPxFIN'!AG79/'FONTE OPxFIN'!AG105</f>
        <v>2.1029962546816479</v>
      </c>
      <c r="J65" s="362">
        <f>'FONTE OPxFIN'!AH79/'FONTE OPxFIN'!AH105</f>
        <v>2.1464646464646466</v>
      </c>
      <c r="K65" s="362">
        <f>'FONTE OPxFIN'!AI79/'FONTE OPxFIN'!AI105</f>
        <v>2.1234567901234569</v>
      </c>
      <c r="L65" s="362">
        <f>'FONTE OPxFIN'!AJ79/'FONTE OPxFIN'!AJ105</f>
        <v>1.4476190476190476</v>
      </c>
      <c r="M65" s="185">
        <f>'FONTE OPxFIN'!AK79/'FONTE OPxFIN'!AK105</f>
        <v>2.0419091967403959</v>
      </c>
      <c r="N65" s="362">
        <f>'FONTE OPxFIN'!AL79/'FONTE OPxFIN'!AL105</f>
        <v>1.9267782426778242</v>
      </c>
      <c r="O65" s="362">
        <f>'FONTE OPxFIN'!AM79/'FONTE OPxFIN'!AM105</f>
        <v>1.8366492146596858</v>
      </c>
      <c r="P65" s="362">
        <f>'FONTE OPxFIN'!AN79/'FONTE OPxFIN'!AN105</f>
        <v>1.782991202346041</v>
      </c>
      <c r="Q65" s="362">
        <f>'FONTE OPxFIN'!AO79/'FONTE OPxFIN'!AO105</f>
        <v>1.7886710239651415</v>
      </c>
      <c r="R65" s="185">
        <f>'FONTE OPxFIN'!AP79/'FONTE OPxFIN'!AP105</f>
        <v>1.8333333333333333</v>
      </c>
      <c r="S65" s="362">
        <f>'FONTE OPxFIN'!AQ79/'FONTE OPxFIN'!AQ105</f>
        <v>1.9914040114613181</v>
      </c>
      <c r="T65" s="362">
        <f>'FONTE OPxFIN'!AR79/'FONTE OPxFIN'!AR105</f>
        <v>1.8807339449541285</v>
      </c>
      <c r="U65" s="362">
        <f>'FONTE OPxFIN'!AS79/'FONTE OPxFIN'!AS105</f>
        <v>1.8807556080283352</v>
      </c>
      <c r="V65" s="362">
        <f>'FONTE OPxFIN'!AT79/'FONTE OPxFIN'!AT105</f>
        <v>1.5386819484240688</v>
      </c>
      <c r="W65" s="185">
        <f>'FONTE OPxFIN'!AU79/'FONTE OPxFIN'!AU105</f>
        <v>1.7970193740685545</v>
      </c>
      <c r="X65" s="362">
        <f>'FONTE OPxFIN'!AV79/'FONTE OPxFIN'!AV105</f>
        <v>2.144638403990025</v>
      </c>
      <c r="Y65" s="362">
        <f>'FONTE OPxFIN'!AW79/'FONTE OPxFIN'!AW105</f>
        <v>1.7550200803212852</v>
      </c>
      <c r="Z65" s="362">
        <f>'FONTE OPxFIN'!AX79/'FONTE OPxFIN'!AX105</f>
        <v>1.8594491927825261</v>
      </c>
      <c r="AA65" s="362">
        <f>'FONTE OPxFIN'!AY79/'FONTE OPxFIN'!AY105</f>
        <v>3.668560606060606</v>
      </c>
      <c r="AB65" s="185">
        <f>'FONTE OPxFIN'!AZ79/'FONTE OPxFIN'!AZ105</f>
        <v>2.1790470553418171</v>
      </c>
      <c r="AC65" s="362">
        <f>'FONTE OPxFIN'!BA79/'FONTE OPxFIN'!BA105</f>
        <v>1.6356807511737088</v>
      </c>
    </row>
    <row r="66" spans="1:29">
      <c r="A66" s="357"/>
      <c r="B66" s="318" t="s">
        <v>615</v>
      </c>
      <c r="C66" s="185">
        <f>'FONTE OPxFIN'!AA80/'FONTE OPxFIN'!AA106</f>
        <v>7.9550705784421819E-2</v>
      </c>
      <c r="D66" s="362">
        <f>'FONTE OPxFIN'!AB80/'FONTE OPxFIN'!AB106</f>
        <v>5.9571414291576884E-2</v>
      </c>
      <c r="E66" s="362">
        <f>'FONTE OPxFIN'!AC80/'FONTE OPxFIN'!AC106</f>
        <v>6.3389872746551043E-2</v>
      </c>
      <c r="F66" s="362">
        <f>'FONTE OPxFIN'!AD80/'FONTE OPxFIN'!AD106</f>
        <v>9.111661081525696E-2</v>
      </c>
      <c r="G66" s="362">
        <f>'FONTE OPxFIN'!AE80/'FONTE OPxFIN'!AE106</f>
        <v>0.14120422621750395</v>
      </c>
      <c r="H66" s="185">
        <f>'FONTE OPxFIN'!AF80/'FONTE OPxFIN'!AF106</f>
        <v>9.6515336720507147E-2</v>
      </c>
      <c r="I66" s="362">
        <f>'FONTE OPxFIN'!AG80/'FONTE OPxFIN'!AG106</f>
        <v>0.17220861043052152</v>
      </c>
      <c r="J66" s="362">
        <f>'FONTE OPxFIN'!AH80/'FONTE OPxFIN'!AH106</f>
        <v>0.10191005802707931</v>
      </c>
      <c r="K66" s="362">
        <f>'FONTE OPxFIN'!AI80/'FONTE OPxFIN'!AI106</f>
        <v>0.18403710031730536</v>
      </c>
      <c r="L66" s="362">
        <f>'FONTE OPxFIN'!AJ80/'FONTE OPxFIN'!AJ106</f>
        <v>0.12388250319284802</v>
      </c>
      <c r="M66" s="185">
        <f>'FONTE OPxFIN'!AK80/'FONTE OPxFIN'!AK106</f>
        <v>0.15300775518759169</v>
      </c>
      <c r="N66" s="362">
        <f>'FONTE OPxFIN'!AL80/'FONTE OPxFIN'!AL106</f>
        <v>0.25004468275245756</v>
      </c>
      <c r="O66" s="362">
        <f>'FONTE OPxFIN'!AM80/'FONTE OPxFIN'!AM106</f>
        <v>0.14189770966075427</v>
      </c>
      <c r="P66" s="362">
        <f>'FONTE OPxFIN'!AN80/'FONTE OPxFIN'!AN106</f>
        <v>0.15952380952380951</v>
      </c>
      <c r="Q66" s="362">
        <f>'FONTE OPxFIN'!AO80/'FONTE OPxFIN'!AO106</f>
        <v>0.1625041625041625</v>
      </c>
      <c r="R66" s="185">
        <f>'FONTE OPxFIN'!AP80/'FONTE OPxFIN'!AP106</f>
        <v>0.17764513912744762</v>
      </c>
      <c r="S66" s="362">
        <f>'FONTE OPxFIN'!AQ80/'FONTE OPxFIN'!AQ106</f>
        <v>0.16523746701846967</v>
      </c>
      <c r="T66" s="362">
        <f>'FONTE OPxFIN'!AR80/'FONTE OPxFIN'!AR106</f>
        <v>0.12763138524952156</v>
      </c>
      <c r="U66" s="362">
        <f>'FONTE OPxFIN'!AS80/'FONTE OPxFIN'!AS106</f>
        <v>0.11846689895470383</v>
      </c>
      <c r="V66" s="362">
        <f>'FONTE OPxFIN'!AT80/'FONTE OPxFIN'!AT106</f>
        <v>0.13299719887955183</v>
      </c>
      <c r="W66" s="185">
        <f>'FONTE OPxFIN'!AU80/'FONTE OPxFIN'!AU106</f>
        <v>0.13457045139006468</v>
      </c>
      <c r="X66" s="362">
        <f>'FONTE OPxFIN'!AV80/'FONTE OPxFIN'!AV106</f>
        <v>0.18947651729242362</v>
      </c>
      <c r="Y66" s="362">
        <f>'FONTE OPxFIN'!AW80/'FONTE OPxFIN'!AW106</f>
        <v>0.20632956152758133</v>
      </c>
      <c r="Z66" s="362">
        <f>'FONTE OPxFIN'!AX80/'FONTE OPxFIN'!AX106</f>
        <v>0.16800203484675061</v>
      </c>
      <c r="AA66" s="362">
        <f>'FONTE OPxFIN'!AY80/'FONTE OPxFIN'!AY106</f>
        <v>0.20463126101182985</v>
      </c>
      <c r="AB66" s="185">
        <f>'FONTE OPxFIN'!AZ80/'FONTE OPxFIN'!AZ106</f>
        <v>0.19109911406423033</v>
      </c>
      <c r="AC66" s="362">
        <f>'FONTE OPxFIN'!BA80/'FONTE OPxFIN'!BA106</f>
        <v>0.12327199923729622</v>
      </c>
    </row>
    <row r="67" spans="1:29">
      <c r="A67" s="357"/>
      <c r="B67" s="318" t="s">
        <v>616</v>
      </c>
      <c r="C67" s="405" t="s">
        <v>0</v>
      </c>
      <c r="D67" s="403" t="s">
        <v>0</v>
      </c>
      <c r="E67" s="404" t="s">
        <v>0</v>
      </c>
      <c r="F67" s="404" t="s">
        <v>0</v>
      </c>
      <c r="G67" s="404" t="s">
        <v>0</v>
      </c>
      <c r="H67" s="405" t="s">
        <v>0</v>
      </c>
      <c r="I67" s="404" t="s">
        <v>0</v>
      </c>
      <c r="J67" s="404" t="s">
        <v>0</v>
      </c>
      <c r="K67" s="404" t="s">
        <v>0</v>
      </c>
      <c r="L67" s="404" t="s">
        <v>0</v>
      </c>
      <c r="M67" s="405" t="s">
        <v>0</v>
      </c>
      <c r="N67" s="404" t="s">
        <v>0</v>
      </c>
      <c r="O67" s="404" t="s">
        <v>0</v>
      </c>
      <c r="P67" s="404" t="s">
        <v>0</v>
      </c>
      <c r="Q67" s="404" t="s">
        <v>0</v>
      </c>
      <c r="R67" s="405" t="s">
        <v>0</v>
      </c>
      <c r="S67" s="404" t="s">
        <v>0</v>
      </c>
      <c r="T67" s="404" t="s">
        <v>0</v>
      </c>
      <c r="U67" s="404" t="s">
        <v>0</v>
      </c>
      <c r="V67" s="404" t="s">
        <v>0</v>
      </c>
      <c r="W67" s="405" t="s">
        <v>0</v>
      </c>
      <c r="X67" s="404" t="s">
        <v>0</v>
      </c>
      <c r="Y67" s="404" t="s">
        <v>0</v>
      </c>
      <c r="Z67" s="404" t="s">
        <v>0</v>
      </c>
      <c r="AA67" s="404" t="s">
        <v>0</v>
      </c>
      <c r="AB67" s="405" t="s">
        <v>0</v>
      </c>
      <c r="AC67" s="404" t="s">
        <v>0</v>
      </c>
    </row>
    <row r="68" spans="1:29" s="2" customFormat="1">
      <c r="A68" s="363"/>
      <c r="B68" s="21" t="s">
        <v>617</v>
      </c>
      <c r="C68" s="368">
        <f>'FONTE OPxFIN'!AA82/'FONTE OPxFIN'!AA108</f>
        <v>0.15757423188209316</v>
      </c>
      <c r="D68" s="400">
        <f>'FONTE OPxFIN'!AB82/'FONTE OPxFIN'!AB108</f>
        <v>0.16931502414546631</v>
      </c>
      <c r="E68" s="400">
        <f>'FONTE OPxFIN'!AC82/'FONTE OPxFIN'!AC108</f>
        <v>0.37006979928530875</v>
      </c>
      <c r="F68" s="400">
        <f>'FONTE OPxFIN'!AD82/'FONTE OPxFIN'!AD108</f>
        <v>0.29870296732798168</v>
      </c>
      <c r="G68" s="400">
        <f>'FONTE OPxFIN'!AE82/'FONTE OPxFIN'!AE108</f>
        <v>0.27939382264175178</v>
      </c>
      <c r="H68" s="368">
        <f>'FONTE OPxFIN'!AF82/'FONTE OPxFIN'!AF108</f>
        <v>0.27125268642424993</v>
      </c>
      <c r="I68" s="400">
        <f>'FONTE OPxFIN'!AG82/'FONTE OPxFIN'!AG108</f>
        <v>0.62395098226206369</v>
      </c>
      <c r="J68" s="400">
        <f>'FONTE OPxFIN'!AH82/'FONTE OPxFIN'!AH108</f>
        <v>0.59543208227594502</v>
      </c>
      <c r="K68" s="400">
        <f>'FONTE OPxFIN'!AI82/'FONTE OPxFIN'!AI108</f>
        <v>0.51404167021972091</v>
      </c>
      <c r="L68" s="400">
        <f>'FONTE OPxFIN'!AJ82/'FONTE OPxFIN'!AJ108</f>
        <v>0.38353741120539542</v>
      </c>
      <c r="M68" s="368">
        <f>'FONTE OPxFIN'!AK82/'FONTE OPxFIN'!AK108</f>
        <v>0.49184806125712566</v>
      </c>
      <c r="N68" s="400">
        <f>'FONTE OPxFIN'!AL82/'FONTE OPxFIN'!AL108</f>
        <v>0.40004792427963815</v>
      </c>
      <c r="O68" s="400">
        <f>'FONTE OPxFIN'!AM82/'FONTE OPxFIN'!AM108</f>
        <v>0.46707021533271414</v>
      </c>
      <c r="P68" s="400">
        <f>'FONTE OPxFIN'!AN82/'FONTE OPxFIN'!AN108</f>
        <v>0.52220992114361187</v>
      </c>
      <c r="Q68" s="400">
        <f>'FONTE OPxFIN'!AO82/'FONTE OPxFIN'!AO108</f>
        <v>0.44576566498993542</v>
      </c>
      <c r="R68" s="368">
        <f>'FONTE OPxFIN'!AP82/'FONTE OPxFIN'!AP108</f>
        <v>0.45877855932628386</v>
      </c>
      <c r="S68" s="400">
        <f>'FONTE OPxFIN'!AQ82/'FONTE OPxFIN'!AQ108</f>
        <v>0.35442938707140842</v>
      </c>
      <c r="T68" s="400">
        <f>'FONTE OPxFIN'!AR82/'FONTE OPxFIN'!AR108</f>
        <v>0.43995896794124134</v>
      </c>
      <c r="U68" s="400">
        <f>'FONTE OPxFIN'!AS82/'FONTE OPxFIN'!AS108</f>
        <v>0.38491357282360344</v>
      </c>
      <c r="V68" s="400">
        <f>'FONTE OPxFIN'!AT82/'FONTE OPxFIN'!AT108</f>
        <v>0.43786012895565041</v>
      </c>
      <c r="W68" s="368">
        <f>'FONTE OPxFIN'!AU82/'FONTE OPxFIN'!AU108</f>
        <v>0.40258102091327674</v>
      </c>
      <c r="X68" s="400">
        <f>'FONTE OPxFIN'!AV82/'FONTE OPxFIN'!AV108</f>
        <v>0.41395573911807171</v>
      </c>
      <c r="Y68" s="400">
        <f>'FONTE OPxFIN'!AW82/'FONTE OPxFIN'!AW108</f>
        <v>0.47437050903168737</v>
      </c>
      <c r="Z68" s="400">
        <f>'FONTE OPxFIN'!AX82/'FONTE OPxFIN'!AX108</f>
        <v>0.47845944958436432</v>
      </c>
      <c r="AA68" s="400">
        <f>'FONTE OPxFIN'!AY82/'FONTE OPxFIN'!AY108</f>
        <v>0.55598800316261254</v>
      </c>
      <c r="AB68" s="368">
        <f>'FONTE OPxFIN'!AZ82/'FONTE OPxFIN'!AZ108</f>
        <v>0.47849101520973358</v>
      </c>
      <c r="AC68" s="400">
        <f>'FONTE OPxFIN'!BA82/'FONTE OPxFIN'!BA108</f>
        <v>0.37004601939217524</v>
      </c>
    </row>
    <row r="69" spans="1:29">
      <c r="A69" s="357"/>
      <c r="B69" s="11" t="s">
        <v>269</v>
      </c>
      <c r="C69" s="185">
        <f>'FONTE OPxFIN'!AA83/'FONTE OPxFIN'!AA109</f>
        <v>0.15523028478494066</v>
      </c>
      <c r="D69" s="362">
        <f>'FONTE OPxFIN'!AB83/'FONTE OPxFIN'!AB109</f>
        <v>0.26428885953324527</v>
      </c>
      <c r="E69" s="362">
        <f>'FONTE OPxFIN'!AC83/'FONTE OPxFIN'!AC109</f>
        <v>0.63531738895882039</v>
      </c>
      <c r="F69" s="362">
        <f>'FONTE OPxFIN'!AD83/'FONTE OPxFIN'!AD109</f>
        <v>0.60284789003238604</v>
      </c>
      <c r="G69" s="362">
        <f>'FONTE OPxFIN'!AE83/'FONTE OPxFIN'!AE109</f>
        <v>0.32914151576123407</v>
      </c>
      <c r="H69" s="185">
        <f>'FONTE OPxFIN'!AF83/'FONTE OPxFIN'!AF109</f>
        <v>0.395852142052735</v>
      </c>
      <c r="I69" s="362">
        <f>'FONTE OPxFIN'!AG83/'FONTE OPxFIN'!AG109</f>
        <v>0.77652879105739425</v>
      </c>
      <c r="J69" s="362">
        <f>'FONTE OPxFIN'!AH83/'FONTE OPxFIN'!AH109</f>
        <v>0.75656544627189726</v>
      </c>
      <c r="K69" s="362">
        <f>'FONTE OPxFIN'!AI83/'FONTE OPxFIN'!AI109</f>
        <v>0.59208910565730988</v>
      </c>
      <c r="L69" s="362">
        <f>'FONTE OPxFIN'!AJ83/'FONTE OPxFIN'!AJ109</f>
        <v>0.41638131473261469</v>
      </c>
      <c r="M69" s="185">
        <f>'FONTE OPxFIN'!AK83/'FONTE OPxFIN'!AK109</f>
        <v>0.56821361565878747</v>
      </c>
      <c r="N69" s="362">
        <f>'FONTE OPxFIN'!AL83/'FONTE OPxFIN'!AL109</f>
        <v>0.44403408094809549</v>
      </c>
      <c r="O69" s="362">
        <f>'FONTE OPxFIN'!AM83/'FONTE OPxFIN'!AM109</f>
        <v>0.5260166047520507</v>
      </c>
      <c r="P69" s="362">
        <f>'FONTE OPxFIN'!AN83/'FONTE OPxFIN'!AN109</f>
        <v>0.58120904766178982</v>
      </c>
      <c r="Q69" s="362">
        <f>'FONTE OPxFIN'!AO83/'FONTE OPxFIN'!AO109</f>
        <v>0.50878892276534626</v>
      </c>
      <c r="R69" s="185">
        <f>'FONTE OPxFIN'!AP83/'FONTE OPxFIN'!AP109</f>
        <v>0.51542977788061084</v>
      </c>
      <c r="S69" s="362">
        <f>'FONTE OPxFIN'!AQ83/'FONTE OPxFIN'!AQ109</f>
        <v>0.39322444584043792</v>
      </c>
      <c r="T69" s="362">
        <f>'FONTE OPxFIN'!AR83/'FONTE OPxFIN'!AR109</f>
        <v>0.45938713350135751</v>
      </c>
      <c r="U69" s="362">
        <f>'FONTE OPxFIN'!AS83/'FONTE OPxFIN'!AS109</f>
        <v>0.39470223106163888</v>
      </c>
      <c r="V69" s="362">
        <f>'FONTE OPxFIN'!AT83/'FONTE OPxFIN'!AT109</f>
        <v>0.45215515381628341</v>
      </c>
      <c r="W69" s="185">
        <f>'FONTE OPxFIN'!AU83/'FONTE OPxFIN'!AU109</f>
        <v>0.42359687931534923</v>
      </c>
      <c r="X69" s="362">
        <f>'FONTE OPxFIN'!AV83/'FONTE OPxFIN'!AV109</f>
        <v>0.44066033620776429</v>
      </c>
      <c r="Y69" s="362">
        <f>'FONTE OPxFIN'!AW83/'FONTE OPxFIN'!AW109</f>
        <v>0.51992332157016508</v>
      </c>
      <c r="Z69" s="362">
        <f>'FONTE OPxFIN'!AX83/'FONTE OPxFIN'!AX109</f>
        <v>0.51551977315307107</v>
      </c>
      <c r="AA69" s="362">
        <f>'FONTE OPxFIN'!AY83/'FONTE OPxFIN'!AY109</f>
        <v>0.63498195238674615</v>
      </c>
      <c r="AB69" s="185">
        <f>'FONTE OPxFIN'!AZ83/'FONTE OPxFIN'!AZ109</f>
        <v>0.52266336482261788</v>
      </c>
      <c r="AC69" s="362">
        <f>'FONTE OPxFIN'!BA83/'FONTE OPxFIN'!BA109</f>
        <v>0.38996196033533997</v>
      </c>
    </row>
    <row r="70" spans="1:29">
      <c r="A70" s="357"/>
      <c r="B70" s="11" t="s">
        <v>618</v>
      </c>
      <c r="C70" s="185">
        <f>'FONTE OPxFIN'!AA84/'FONTE OPxFIN'!AA110</f>
        <v>0.16252699113741356</v>
      </c>
      <c r="D70" s="362">
        <f>'FONTE OPxFIN'!AB84/'FONTE OPxFIN'!AB110</f>
        <v>1.9084767012607091E-2</v>
      </c>
      <c r="E70" s="362">
        <f>'FONTE OPxFIN'!AC84/'FONTE OPxFIN'!AC110</f>
        <v>3.6349924585218706E-2</v>
      </c>
      <c r="F70" s="362">
        <f>'FONTE OPxFIN'!AD84/'FONTE OPxFIN'!AD110</f>
        <v>8.1533511474400966E-2</v>
      </c>
      <c r="G70" s="362">
        <f>'FONTE OPxFIN'!AE84/'FONTE OPxFIN'!AE110</f>
        <v>0.11659807956104253</v>
      </c>
      <c r="H70" s="185">
        <f>'FONTE OPxFIN'!AF84/'FONTE OPxFIN'!AF110</f>
        <v>5.8307143010962417E-2</v>
      </c>
      <c r="I70" s="362">
        <f>'FONTE OPxFIN'!AG84/'FONTE OPxFIN'!AG110</f>
        <v>0.13700409713200759</v>
      </c>
      <c r="J70" s="362">
        <f>'FONTE OPxFIN'!AH84/'FONTE OPxFIN'!AH110</f>
        <v>0.11593946366935128</v>
      </c>
      <c r="K70" s="362">
        <f>'FONTE OPxFIN'!AI84/'FONTE OPxFIN'!AI110</f>
        <v>0.15426931356134896</v>
      </c>
      <c r="L70" s="362">
        <f>'FONTE OPxFIN'!AJ84/'FONTE OPxFIN'!AJ110</f>
        <v>0.16023568297765323</v>
      </c>
      <c r="M70" s="185">
        <f>'FONTE OPxFIN'!AK84/'FONTE OPxFIN'!AK110</f>
        <v>0.14332370305238035</v>
      </c>
      <c r="N70" s="362">
        <f>'FONTE OPxFIN'!AL84/'FONTE OPxFIN'!AL110</f>
        <v>0.14222100431595533</v>
      </c>
      <c r="O70" s="362">
        <f>'FONTE OPxFIN'!AM84/'FONTE OPxFIN'!AM110</f>
        <v>0.11553044383317225</v>
      </c>
      <c r="P70" s="362">
        <f>'FONTE OPxFIN'!AN84/'FONTE OPxFIN'!AN110</f>
        <v>0.14237214677838775</v>
      </c>
      <c r="Q70" s="362">
        <f>'FONTE OPxFIN'!AO84/'FONTE OPxFIN'!AO110</f>
        <v>0.1400487258973393</v>
      </c>
      <c r="R70" s="185">
        <f>'FONTE OPxFIN'!AP84/'FONTE OPxFIN'!AP110</f>
        <v>0.13566212579547177</v>
      </c>
      <c r="S70" s="362">
        <f>'FONTE OPxFIN'!AQ84/'FONTE OPxFIN'!AQ110</f>
        <v>0.11425341094864859</v>
      </c>
      <c r="T70" s="362">
        <f>'FONTE OPxFIN'!AR84/'FONTE OPxFIN'!AR110</f>
        <v>0.21823049827298044</v>
      </c>
      <c r="U70" s="362">
        <f>'FONTE OPxFIN'!AS84/'FONTE OPxFIN'!AS110</f>
        <v>0.24770525458620288</v>
      </c>
      <c r="V70" s="362">
        <f>'FONTE OPxFIN'!AT84/'FONTE OPxFIN'!AT110</f>
        <v>0.25884175173101376</v>
      </c>
      <c r="W70" s="185">
        <f>'FONTE OPxFIN'!AU84/'FONTE OPxFIN'!AU110</f>
        <v>0.19091261953241717</v>
      </c>
      <c r="X70" s="362">
        <f>'FONTE OPxFIN'!AV84/'FONTE OPxFIN'!AV110</f>
        <v>0.13507959183887999</v>
      </c>
      <c r="Y70" s="362">
        <f>'FONTE OPxFIN'!AW84/'FONTE OPxFIN'!AW110</f>
        <v>6.1105888520725252E-2</v>
      </c>
      <c r="Z70" s="362">
        <f>'FONTE OPxFIN'!AX84/'FONTE OPxFIN'!AX110</f>
        <v>9.0246340685164461E-2</v>
      </c>
      <c r="AA70" s="362">
        <f>'FONTE OPxFIN'!AY84/'FONTE OPxFIN'!AY110</f>
        <v>9.7363967702947363E-2</v>
      </c>
      <c r="AB70" s="185">
        <f>'FONTE OPxFIN'!AZ84/'FONTE OPxFIN'!AZ110</f>
        <v>9.5114016913963415E-2</v>
      </c>
      <c r="AC70" s="362">
        <f>'FONTE OPxFIN'!BA84/'FONTE OPxFIN'!BA110</f>
        <v>0.14550798829531636</v>
      </c>
    </row>
    <row r="71" spans="1:29" s="2" customFormat="1">
      <c r="A71" s="363"/>
      <c r="B71" s="21" t="s">
        <v>441</v>
      </c>
      <c r="C71" s="368">
        <f>'FONTE OPxFIN'!AA85/'FONTE OPxFIN'!AA111</f>
        <v>1.1495945207028305E-2</v>
      </c>
      <c r="D71" s="400">
        <f>'FONTE OPxFIN'!AB85/'FONTE OPxFIN'!AB111</f>
        <v>-4.1675243051578296E-4</v>
      </c>
      <c r="E71" s="400">
        <f>'FONTE OPxFIN'!AC85/'FONTE OPxFIN'!AC111</f>
        <v>5.7296259696839992E-3</v>
      </c>
      <c r="F71" s="400">
        <f>'FONTE OPxFIN'!AD85/'FONTE OPxFIN'!AD111</f>
        <v>1.0183762097889215E-2</v>
      </c>
      <c r="G71" s="400">
        <f>'FONTE OPxFIN'!AE85/'FONTE OPxFIN'!AE111</f>
        <v>6.0384468154389137E-3</v>
      </c>
      <c r="H71" s="368">
        <f>'FONTE OPxFIN'!AF85/'FONTE OPxFIN'!AF111</f>
        <v>5.5753396170539196E-3</v>
      </c>
      <c r="I71" s="400">
        <f>'FONTE OPxFIN'!AG85/'FONTE OPxFIN'!AG111</f>
        <v>2.5193994452931932E-2</v>
      </c>
      <c r="J71" s="400">
        <f>'FONTE OPxFIN'!AH85/'FONTE OPxFIN'!AH111</f>
        <v>3.1247632796820895E-2</v>
      </c>
      <c r="K71" s="400">
        <f>'FONTE OPxFIN'!AI85/'FONTE OPxFIN'!AI111</f>
        <v>3.7763147661196102E-2</v>
      </c>
      <c r="L71" s="400">
        <f>'FONTE OPxFIN'!AJ85/'FONTE OPxFIN'!AJ111</f>
        <v>4.4419837001378235E-2</v>
      </c>
      <c r="M71" s="368">
        <f>'FONTE OPxFIN'!AK85/'FONTE OPxFIN'!AK111</f>
        <v>3.5432663514244851E-2</v>
      </c>
      <c r="N71" s="400">
        <f>'FONTE OPxFIN'!AL85/'FONTE OPxFIN'!AL111</f>
        <v>1.852046042042628E-2</v>
      </c>
      <c r="O71" s="400">
        <f>'FONTE OPxFIN'!AM85/'FONTE OPxFIN'!AM111</f>
        <v>3.8716085283097772E-2</v>
      </c>
      <c r="P71" s="400">
        <f>'FONTE OPxFIN'!AN85/'FONTE OPxFIN'!AN111</f>
        <v>3.453403653169302E-2</v>
      </c>
      <c r="Q71" s="400">
        <f>'FONTE OPxFIN'!AO85/'FONTE OPxFIN'!AO111</f>
        <v>3.8136929986893074E-2</v>
      </c>
      <c r="R71" s="368">
        <f>'FONTE OPxFIN'!AP85/'FONTE OPxFIN'!AP111</f>
        <v>3.2704566897924427E-2</v>
      </c>
      <c r="S71" s="400">
        <f>'FONTE OPxFIN'!AQ85/'FONTE OPxFIN'!AQ111</f>
        <v>-7.8780364843315572E-3</v>
      </c>
      <c r="T71" s="400">
        <f>'FONTE OPxFIN'!AR85/'FONTE OPxFIN'!AR111</f>
        <v>2.3053351283975513E-2</v>
      </c>
      <c r="U71" s="400">
        <f>'FONTE OPxFIN'!AS85/'FONTE OPxFIN'!AS111</f>
        <v>2.910128127010822E-2</v>
      </c>
      <c r="V71" s="400">
        <f>'FONTE OPxFIN'!AT85/'FONTE OPxFIN'!AT111</f>
        <v>3.3233496641773205E-2</v>
      </c>
      <c r="W71" s="368">
        <f>'FONTE OPxFIN'!AU85/'FONTE OPxFIN'!AU111</f>
        <v>1.9925020916653796E-2</v>
      </c>
      <c r="X71" s="400">
        <f>'FONTE OPxFIN'!AV85/'FONTE OPxFIN'!AV111</f>
        <v>2.8431189804674857E-2</v>
      </c>
      <c r="Y71" s="400">
        <f>'FONTE OPxFIN'!AW85/'FONTE OPxFIN'!AW111</f>
        <v>4.3660165141572838E-2</v>
      </c>
      <c r="Z71" s="400">
        <f>'FONTE OPxFIN'!AX85/'FONTE OPxFIN'!AX111</f>
        <v>4.4814152207071634E-2</v>
      </c>
      <c r="AA71" s="400">
        <f>'FONTE OPxFIN'!AY85/'FONTE OPxFIN'!AY111</f>
        <v>5.0611183391704673E-2</v>
      </c>
      <c r="AB71" s="368">
        <f>'FONTE OPxFIN'!AZ85/'FONTE OPxFIN'!AZ111</f>
        <v>4.2215150894432743E-2</v>
      </c>
      <c r="AC71" s="400">
        <f>'FONTE OPxFIN'!BA85/'FONTE OPxFIN'!BA111</f>
        <v>2.5081234010868043E-2</v>
      </c>
    </row>
    <row r="72" spans="1:29" s="387" customFormat="1" ht="32.1" customHeight="1"/>
    <row r="73" spans="1:29" s="387" customFormat="1" ht="32.1" customHeight="1"/>
    <row r="74" spans="1:29" s="2" customFormat="1"/>
    <row r="80" spans="1:29" s="2" customFormat="1"/>
    <row r="82" spans="3:29" s="2" customFormat="1"/>
    <row r="83" spans="3:29" s="2" customFormat="1"/>
    <row r="85" spans="3:29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</row>
    <row r="86" spans="3:29">
      <c r="P86" s="417"/>
      <c r="U86" s="417"/>
    </row>
    <row r="87" spans="3:29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3:29"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3:2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3:29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3:29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3:29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</row>
    <row r="94" spans="3:29">
      <c r="O94" s="187"/>
      <c r="T94" s="187"/>
    </row>
  </sheetData>
  <mergeCells count="1">
    <mergeCell ref="B2:D2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48EBA-EC3E-48B8-854D-AF1A5A8202E7}">
  <dimension ref="A1:BD282"/>
  <sheetViews>
    <sheetView showGridLines="0" showRowColHeaders="0" zoomScale="75" zoomScaleNormal="75" workbookViewId="0">
      <pane xSplit="1" ySplit="4" topLeftCell="AU5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4.85" customHeight="1" outlineLevelCol="2"/>
  <cols>
    <col min="1" max="1" width="70.7109375" style="348" customWidth="1"/>
    <col min="2" max="2" width="7.5703125" style="20" hidden="1" customWidth="1" outlineLevel="1"/>
    <col min="3" max="3" width="7.42578125" style="20" hidden="1" customWidth="1" outlineLevel="1"/>
    <col min="4" max="4" width="6.5703125" style="20" hidden="1" customWidth="1" outlineLevel="1"/>
    <col min="5" max="5" width="7.42578125" style="20" hidden="1" customWidth="1" outlineLevel="1"/>
    <col min="6" max="6" width="10.42578125" style="20" hidden="1" customWidth="1" collapsed="1"/>
    <col min="7" max="10" width="11.42578125" style="20" hidden="1" customWidth="1" outlineLevel="1"/>
    <col min="11" max="11" width="11.42578125" style="20" hidden="1" customWidth="1" collapsed="1"/>
    <col min="12" max="15" width="11.42578125" style="20" hidden="1" customWidth="1" outlineLevel="1"/>
    <col min="16" max="16" width="11.42578125" style="20" hidden="1" customWidth="1" collapsed="1"/>
    <col min="17" max="17" width="12.42578125" style="20" hidden="1" customWidth="1" outlineLevel="1"/>
    <col min="18" max="20" width="11.42578125" style="20" hidden="1" customWidth="1" outlineLevel="1"/>
    <col min="21" max="21" width="11.42578125" style="20" bestFit="1" customWidth="1" collapsed="1"/>
    <col min="22" max="22" width="12.42578125" style="20" hidden="1" customWidth="1" outlineLevel="1"/>
    <col min="23" max="23" width="11.42578125" style="20" hidden="1" customWidth="1" outlineLevel="1"/>
    <col min="24" max="24" width="13.5703125" style="20" hidden="1" customWidth="1" outlineLevel="1"/>
    <col min="25" max="25" width="11.42578125" style="20" hidden="1" customWidth="1" outlineLevel="1"/>
    <col min="26" max="26" width="11.42578125" style="20" customWidth="1" collapsed="1"/>
    <col min="27" max="27" width="14.42578125" style="20" hidden="1" customWidth="1" outlineLevel="1"/>
    <col min="28" max="28" width="11.42578125" style="20" hidden="1" customWidth="1" outlineLevel="1"/>
    <col min="29" max="30" width="11.42578125" hidden="1" customWidth="1" outlineLevel="1"/>
    <col min="31" max="31" width="11.42578125" style="20" customWidth="1" collapsed="1"/>
    <col min="32" max="32" width="14.42578125" hidden="1" customWidth="1" outlineLevel="1"/>
    <col min="33" max="35" width="11.42578125" hidden="1" customWidth="1" outlineLevel="1"/>
    <col min="36" max="36" width="11.42578125" style="20" customWidth="1" collapsed="1"/>
    <col min="37" max="37" width="14.42578125" hidden="1" customWidth="1" outlineLevel="1"/>
    <col min="38" max="40" width="11.42578125" hidden="1" customWidth="1" outlineLevel="1"/>
    <col min="41" max="41" width="11.42578125" style="20" customWidth="1" collapsed="1"/>
    <col min="42" max="42" width="14.42578125" hidden="1" customWidth="1" outlineLevel="1"/>
    <col min="43" max="45" width="11.42578125" hidden="1" customWidth="1" outlineLevel="1"/>
    <col min="46" max="46" width="11.42578125" style="20" customWidth="1" collapsed="1"/>
    <col min="47" max="50" width="14.42578125" customWidth="1" outlineLevel="1"/>
    <col min="51" max="51" width="11.42578125" style="20" customWidth="1"/>
    <col min="52" max="52" width="12.42578125" style="20" customWidth="1" outlineLevel="2"/>
    <col min="54" max="54" width="9.5703125" bestFit="1" customWidth="1"/>
  </cols>
  <sheetData>
    <row r="1" spans="1:54" ht="15" customHeight="1">
      <c r="A1" s="682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31"/>
      <c r="AZ1" s="630"/>
    </row>
    <row r="2" spans="1:54" ht="15" customHeight="1">
      <c r="A2" s="683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32"/>
      <c r="AZ2" s="630"/>
    </row>
    <row r="3" spans="1:54" ht="50.1" customHeight="1">
      <c r="A3" s="635" t="s">
        <v>705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31"/>
      <c r="AZ3" s="630"/>
    </row>
    <row r="4" spans="1:54" s="20" customFormat="1" ht="15" customHeight="1" thickBot="1">
      <c r="A4" s="347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J4" s="189"/>
      <c r="AO4" s="189"/>
      <c r="AP4" s="242"/>
      <c r="AQ4" s="242"/>
      <c r="AR4" s="242"/>
      <c r="AS4" s="242"/>
      <c r="AT4" s="189"/>
      <c r="AU4" s="242"/>
      <c r="AV4" s="242"/>
      <c r="AW4" s="242"/>
      <c r="AX4" s="242"/>
      <c r="AY4" s="242"/>
      <c r="AZ4" s="242"/>
    </row>
    <row r="5" spans="1:54" s="30" customFormat="1" ht="24.4" customHeight="1">
      <c r="A5" s="625" t="s">
        <v>706</v>
      </c>
      <c r="B5" s="626" t="s">
        <v>224</v>
      </c>
      <c r="C5" s="626" t="s">
        <v>225</v>
      </c>
      <c r="D5" s="626" t="s">
        <v>226</v>
      </c>
      <c r="E5" s="626" t="s">
        <v>227</v>
      </c>
      <c r="F5" s="652">
        <v>2016</v>
      </c>
      <c r="G5" s="626" t="s">
        <v>228</v>
      </c>
      <c r="H5" s="626" t="s">
        <v>229</v>
      </c>
      <c r="I5" s="626" t="s">
        <v>230</v>
      </c>
      <c r="J5" s="626" t="s">
        <v>231</v>
      </c>
      <c r="K5" s="652">
        <v>2017</v>
      </c>
      <c r="L5" s="626" t="s">
        <v>232</v>
      </c>
      <c r="M5" s="626" t="s">
        <v>233</v>
      </c>
      <c r="N5" s="626" t="s">
        <v>234</v>
      </c>
      <c r="O5" s="626" t="s">
        <v>235</v>
      </c>
      <c r="P5" s="652">
        <v>2018</v>
      </c>
      <c r="Q5" s="626" t="s">
        <v>236</v>
      </c>
      <c r="R5" s="626" t="s">
        <v>237</v>
      </c>
      <c r="S5" s="626" t="s">
        <v>238</v>
      </c>
      <c r="T5" s="626" t="s">
        <v>239</v>
      </c>
      <c r="U5" s="652">
        <v>2019</v>
      </c>
      <c r="V5" s="626" t="s">
        <v>240</v>
      </c>
      <c r="W5" s="626" t="s">
        <v>241</v>
      </c>
      <c r="X5" s="626" t="s">
        <v>242</v>
      </c>
      <c r="Y5" s="626" t="s">
        <v>243</v>
      </c>
      <c r="Z5" s="652">
        <v>2020</v>
      </c>
      <c r="AA5" s="626" t="s">
        <v>244</v>
      </c>
      <c r="AB5" s="626" t="s">
        <v>245</v>
      </c>
      <c r="AC5" s="626" t="s">
        <v>246</v>
      </c>
      <c r="AD5" s="626" t="s">
        <v>247</v>
      </c>
      <c r="AE5" s="652">
        <v>2021</v>
      </c>
      <c r="AF5" s="626" t="s">
        <v>248</v>
      </c>
      <c r="AG5" s="626" t="s">
        <v>249</v>
      </c>
      <c r="AH5" s="626" t="s">
        <v>250</v>
      </c>
      <c r="AI5" s="626" t="s">
        <v>215</v>
      </c>
      <c r="AJ5" s="652">
        <v>2022</v>
      </c>
      <c r="AK5" s="626" t="s">
        <v>252</v>
      </c>
      <c r="AL5" s="626" t="s">
        <v>253</v>
      </c>
      <c r="AM5" s="626" t="s">
        <v>254</v>
      </c>
      <c r="AN5" s="626" t="s">
        <v>219</v>
      </c>
      <c r="AO5" s="652">
        <v>2023</v>
      </c>
      <c r="AP5" s="626" t="s">
        <v>223</v>
      </c>
      <c r="AQ5" s="626" t="s">
        <v>256</v>
      </c>
      <c r="AR5" s="626" t="s">
        <v>357</v>
      </c>
      <c r="AS5" s="626" t="s">
        <v>358</v>
      </c>
      <c r="AT5" s="652">
        <v>2024</v>
      </c>
      <c r="AU5" s="626" t="s">
        <v>359</v>
      </c>
      <c r="AV5" s="626" t="s">
        <v>1115</v>
      </c>
      <c r="AW5" s="626" t="s">
        <v>1116</v>
      </c>
      <c r="AX5" s="626" t="s">
        <v>1117</v>
      </c>
      <c r="AY5" s="653" t="s">
        <v>1118</v>
      </c>
      <c r="AZ5" s="645" t="s">
        <v>1124</v>
      </c>
    </row>
    <row r="6" spans="1:54" ht="14.85" customHeight="1">
      <c r="A6" s="54" t="s">
        <v>707</v>
      </c>
      <c r="B6" s="76"/>
      <c r="C6" s="76"/>
      <c r="D6" s="76"/>
      <c r="E6" s="76"/>
      <c r="F6" s="39"/>
      <c r="G6" s="76">
        <v>1484585.6835</v>
      </c>
      <c r="H6" s="76">
        <v>1528933.32277</v>
      </c>
      <c r="I6" s="76">
        <v>1538228.8901600007</v>
      </c>
      <c r="J6" s="76">
        <v>1522123.9279799999</v>
      </c>
      <c r="K6" s="39">
        <f>SUM(G6:J6)</f>
        <v>6073871.8244100008</v>
      </c>
      <c r="L6" s="76">
        <v>1533542.2979599996</v>
      </c>
      <c r="M6" s="76">
        <v>1620888.7734000001</v>
      </c>
      <c r="N6" s="76">
        <v>1607364.6723400003</v>
      </c>
      <c r="O6" s="76">
        <v>1305699.42215</v>
      </c>
      <c r="P6" s="39">
        <f>SUM(L6:O6)</f>
        <v>6067495.1658499995</v>
      </c>
      <c r="Q6" s="76">
        <v>1645864.2148199996</v>
      </c>
      <c r="R6" s="76">
        <v>1729309.2331000001</v>
      </c>
      <c r="S6" s="76">
        <v>1728742.3438200001</v>
      </c>
      <c r="T6" s="76">
        <v>1824958.9813099999</v>
      </c>
      <c r="U6" s="39">
        <v>6928874.77305</v>
      </c>
      <c r="V6" s="76">
        <v>1772975.5614199999</v>
      </c>
      <c r="W6" s="76">
        <v>1609564.2512100001</v>
      </c>
      <c r="X6" s="76">
        <v>2629523.1165800001</v>
      </c>
      <c r="Y6" s="76">
        <v>2229185.7787200003</v>
      </c>
      <c r="Z6" s="39">
        <v>8241248.7079300005</v>
      </c>
      <c r="AA6" s="76">
        <v>2138654.1363399993</v>
      </c>
      <c r="AB6" s="76">
        <v>1996309.6295199997</v>
      </c>
      <c r="AC6" s="76">
        <v>2217148.8777399999</v>
      </c>
      <c r="AD6" s="76">
        <v>2031665.6011400002</v>
      </c>
      <c r="AE6" s="39">
        <f t="shared" ref="AE6:AE13" si="0">SUM(AA6:AD6)</f>
        <v>8383778.2447399981</v>
      </c>
      <c r="AF6" s="76">
        <f>AF18+AF54+AF90+AF138+AF205+AF217+AF229+AF187</f>
        <v>1920830.46227</v>
      </c>
      <c r="AG6" s="76">
        <f>AG18+AG54+AG90+AG138+AG205+AG217+AG229+AG187</f>
        <v>2128142.3541000006</v>
      </c>
      <c r="AH6" s="76">
        <f>AH18+AH54+AH90+AH138+AH205+AH217+AH229+AH187</f>
        <v>2445674.8636599993</v>
      </c>
      <c r="AI6" s="76">
        <f>AI18+AI54+AI90+AI138+AI205+AI217+AI229+AI187</f>
        <v>2008077.6310699997</v>
      </c>
      <c r="AJ6" s="39">
        <f>SUM(AF6:AI6)</f>
        <v>8502725.3110999987</v>
      </c>
      <c r="AK6" s="76">
        <f>AK18+AK54+AK90+AK138+AK205+AK217+AK229+AK187</f>
        <v>2217019.3292700001</v>
      </c>
      <c r="AL6" s="76">
        <f>AL18+AL54+AL90+AL138+AL205+AL217+AL229+AL187</f>
        <v>2247842.0364399999</v>
      </c>
      <c r="AM6" s="76">
        <f>AM18+AM54+AM90+AM138+AM205+AM217+AM229+AM187</f>
        <v>2326180.4822999993</v>
      </c>
      <c r="AN6" s="76">
        <f>AN18+AN54+AN90+AN138+AN205+AN217+AN229+AN187</f>
        <v>2430727.1597599997</v>
      </c>
      <c r="AO6" s="39">
        <f>SUM(AK6:AN6)</f>
        <v>9221769.0077699982</v>
      </c>
      <c r="AP6" s="76">
        <f>AP18+AP54+AP90+AP138+AP205+AP217+AP229+AP187</f>
        <v>2357039.8136</v>
      </c>
      <c r="AQ6" s="76">
        <f>AQ18+AQ54+AQ90+AQ138+AQ205+AQ217+AQ229+AQ187</f>
        <v>2441202.4827500004</v>
      </c>
      <c r="AR6" s="76">
        <f>AR18+AR54+AR90+AR138+AR205+AR217+AR229+AR187</f>
        <v>2506771.6449199999</v>
      </c>
      <c r="AS6" s="76">
        <f>AS18+AS54+AS90+AS138+AS205+AS217+AS229+AS187</f>
        <v>2520422.7390000001</v>
      </c>
      <c r="AT6" s="39">
        <f>SUM(AP6:AS6)</f>
        <v>9825436.6802700013</v>
      </c>
      <c r="AU6" s="76">
        <f>AU18+AU54+AU90+AU138+AU205+AU217+AU229+AU187</f>
        <v>2328561.2578799999</v>
      </c>
      <c r="AV6" s="76">
        <f>AV18+AV54+AV90+AV138+AV205+AV217+AV229+AV187</f>
        <v>2381570.5725499997</v>
      </c>
      <c r="AW6" s="76">
        <f>AW18+AW54+AW90+AW138+AW205+AW217+AW229+AW187</f>
        <v>2527902.45291</v>
      </c>
      <c r="AX6" s="76">
        <f>AX18+AX54+AX90+AX138+AX205+AX217+AX229+AX187</f>
        <v>2436089.84754</v>
      </c>
      <c r="AY6" s="39">
        <f t="shared" ref="AY6:AY13" si="1">SUM(AU6:AX6)</f>
        <v>9674124.1308800001</v>
      </c>
      <c r="AZ6" s="76">
        <f>AZ18+AZ54+AZ90+AZ138+AZ205+AZ217+AZ229+AZ187</f>
        <v>2460747.6855699997</v>
      </c>
    </row>
    <row r="7" spans="1:54" ht="14.85" customHeight="1">
      <c r="A7" s="56" t="s">
        <v>443</v>
      </c>
      <c r="B7" s="8"/>
      <c r="C7" s="8"/>
      <c r="D7" s="8"/>
      <c r="E7" s="8"/>
      <c r="F7" s="40"/>
      <c r="G7" s="8">
        <v>-249823.20132000075</v>
      </c>
      <c r="H7" s="8">
        <v>-211905.00848999963</v>
      </c>
      <c r="I7" s="8">
        <v>-230606.96984000003</v>
      </c>
      <c r="J7" s="8">
        <v>-273514.47020000021</v>
      </c>
      <c r="K7" s="40">
        <f t="shared" ref="K7:K12" si="2">SUM(G7:J7)</f>
        <v>-965849.64985000063</v>
      </c>
      <c r="L7" s="8">
        <v>-140393.76417999956</v>
      </c>
      <c r="M7" s="8">
        <v>-226410.15126999945</v>
      </c>
      <c r="N7" s="8">
        <v>689667.14672000031</v>
      </c>
      <c r="O7" s="8">
        <v>-147725.06969999999</v>
      </c>
      <c r="P7" s="40">
        <f t="shared" ref="P7:P12" si="3">SUM(L7:O7)</f>
        <v>175138.16157000128</v>
      </c>
      <c r="Q7" s="1">
        <v>-196328.59279</v>
      </c>
      <c r="R7" s="1">
        <v>-254683.16462999998</v>
      </c>
      <c r="S7" s="1">
        <v>-190051.58448999998</v>
      </c>
      <c r="T7" s="1">
        <v>-281685.9645</v>
      </c>
      <c r="U7" s="40">
        <v>-922749.30640999996</v>
      </c>
      <c r="V7" s="1">
        <v>-182239.53973999998</v>
      </c>
      <c r="W7" s="1">
        <v>-16868.180450000036</v>
      </c>
      <c r="X7" s="1">
        <v>-961962.78801000002</v>
      </c>
      <c r="Y7" s="1">
        <v>-465367.46752999997</v>
      </c>
      <c r="Z7" s="40">
        <v>-1626437.9757300001</v>
      </c>
      <c r="AA7" s="1">
        <v>-336962.00482999999</v>
      </c>
      <c r="AB7" s="1">
        <v>-198743.40767999989</v>
      </c>
      <c r="AC7" s="1">
        <v>-339517.03921000008</v>
      </c>
      <c r="AD7" s="1">
        <v>-136690.98606999987</v>
      </c>
      <c r="AE7" s="40">
        <f t="shared" si="0"/>
        <v>-1011913.4377899999</v>
      </c>
      <c r="AF7" s="1">
        <f>AF19+AF55+AF91+AF139+AF206+AF218+AF230</f>
        <v>15236.002560000032</v>
      </c>
      <c r="AG7" s="1">
        <f>AG19+AG55+AG91+AG139+AG206+AG218+AG230</f>
        <v>-134930.90994999991</v>
      </c>
      <c r="AH7" s="1">
        <f>AH19+AH55+AH91+AH139+AH206+AH218+AH230</f>
        <v>-384908.48751000001</v>
      </c>
      <c r="AI7" s="1">
        <f>AI19+AI55+AI91+AI139+AI206+AI218+AI230</f>
        <v>127883.50489999997</v>
      </c>
      <c r="AJ7" s="40">
        <f t="shared" ref="AJ7:AJ13" si="4">SUM(AF7:AI7)</f>
        <v>-376719.8899999999</v>
      </c>
      <c r="AK7" s="1">
        <f>AK19+AK55+AK91+AK139+AK206+AK218+AK230</f>
        <v>-54280.134010000016</v>
      </c>
      <c r="AL7" s="1">
        <f>AL19+AL55+AL91+AL139+AL206+AL218+AL230</f>
        <v>-7795.4161100000028</v>
      </c>
      <c r="AM7" s="1">
        <f>AM19+AM55+AM91+AM139+AM206+AM218+AM230</f>
        <v>-102283.68059</v>
      </c>
      <c r="AN7" s="1">
        <f>AN19+AN55+AN91+AN139+AN206+AN218+AN230</f>
        <v>-177348.81209999998</v>
      </c>
      <c r="AO7" s="40">
        <f t="shared" ref="AO7:AO13" si="5">SUM(AK7:AN7)</f>
        <v>-341708.04281000001</v>
      </c>
      <c r="AP7" s="1">
        <f>AP19+AP55+AP91+AP139+AP206+AP218+AP230</f>
        <v>-94265.453849999991</v>
      </c>
      <c r="AQ7" s="1">
        <f>AQ19+AQ55+AQ91+AQ139+AQ206+AQ218+AQ230</f>
        <v>-138026.69730999999</v>
      </c>
      <c r="AR7" s="1">
        <f>AR19+AR55+AR91+AR139+AR206+AR218+AR230</f>
        <v>-146045.47664000004</v>
      </c>
      <c r="AS7" s="1">
        <f>AS19+AS55+AS91+AS139+AS206+AS218+AS230</f>
        <v>-115223.63500000001</v>
      </c>
      <c r="AT7" s="40">
        <f t="shared" ref="AT7:AT13" si="6">SUM(AP7:AS7)</f>
        <v>-493561.26280000003</v>
      </c>
      <c r="AU7" s="1">
        <f>AU19+AU55+AU91+AU139+AU206+AU218+AU230</f>
        <v>86728.809560000009</v>
      </c>
      <c r="AV7" s="1">
        <f>AV19+AV55+AV91+AV139+AV206+AV218+AV230</f>
        <v>68921.157549999974</v>
      </c>
      <c r="AW7" s="1">
        <f>AW19+AW55+AW91+AW139+AW206+AW218+AW230</f>
        <v>-22738.124840000008</v>
      </c>
      <c r="AX7" s="1">
        <f>AX19+AX55+AX91+AX139+AX206+AX218+AX230</f>
        <v>84649.711740000028</v>
      </c>
      <c r="AY7" s="40">
        <f t="shared" si="1"/>
        <v>217561.55400999999</v>
      </c>
      <c r="AZ7" s="1">
        <f>AZ19+AZ55+AZ91+AZ139+AZ206+AZ218+AZ230</f>
        <v>89205.362589999975</v>
      </c>
    </row>
    <row r="8" spans="1:54" ht="14.85" customHeight="1">
      <c r="A8" s="54" t="s">
        <v>708</v>
      </c>
      <c r="B8" s="76"/>
      <c r="C8" s="76"/>
      <c r="D8" s="76"/>
      <c r="E8" s="76"/>
      <c r="F8" s="39"/>
      <c r="G8" s="76">
        <f t="shared" ref="G8:O8" si="7">SUM(G6:G7)</f>
        <v>1234762.4821799994</v>
      </c>
      <c r="H8" s="76">
        <f t="shared" si="7"/>
        <v>1317028.3142800003</v>
      </c>
      <c r="I8" s="76">
        <f t="shared" si="7"/>
        <v>1307621.9203200005</v>
      </c>
      <c r="J8" s="76">
        <f t="shared" si="7"/>
        <v>1248609.4577799998</v>
      </c>
      <c r="K8" s="39">
        <f t="shared" si="2"/>
        <v>5108022.1745600002</v>
      </c>
      <c r="L8" s="76">
        <f t="shared" si="7"/>
        <v>1393148.5337800002</v>
      </c>
      <c r="M8" s="76">
        <f t="shared" si="7"/>
        <v>1394478.6221300005</v>
      </c>
      <c r="N8" s="76">
        <f t="shared" si="7"/>
        <v>2297031.8190600006</v>
      </c>
      <c r="O8" s="76">
        <f t="shared" si="7"/>
        <v>1157974.3524500001</v>
      </c>
      <c r="P8" s="39">
        <f t="shared" si="3"/>
        <v>6242633.3274200018</v>
      </c>
      <c r="Q8" s="76">
        <v>1449535.6220299997</v>
      </c>
      <c r="R8" s="76">
        <v>1474626.0684700001</v>
      </c>
      <c r="S8" s="76">
        <v>1538690.75933</v>
      </c>
      <c r="T8" s="76">
        <v>1543273.0168099999</v>
      </c>
      <c r="U8" s="39">
        <v>6006125.4666399993</v>
      </c>
      <c r="V8" s="76">
        <v>1590736.02168</v>
      </c>
      <c r="W8" s="76">
        <v>1592696.07076</v>
      </c>
      <c r="X8" s="76">
        <v>1667560.3285700001</v>
      </c>
      <c r="Y8" s="76">
        <v>1763818.3111900003</v>
      </c>
      <c r="Z8" s="39">
        <v>6614810.7322000004</v>
      </c>
      <c r="AA8" s="76">
        <v>1801692.1315099993</v>
      </c>
      <c r="AB8" s="76">
        <v>1797566.2218399998</v>
      </c>
      <c r="AC8" s="76">
        <v>1877631.8385299998</v>
      </c>
      <c r="AD8" s="76">
        <v>1894974.6150700003</v>
      </c>
      <c r="AE8" s="39">
        <f t="shared" si="0"/>
        <v>7371864.8069499992</v>
      </c>
      <c r="AF8" s="76">
        <f>SUM(AF6:AF7)</f>
        <v>1936066.46483</v>
      </c>
      <c r="AG8" s="76">
        <f>SUM(AG6:AG7)</f>
        <v>1993211.4441500006</v>
      </c>
      <c r="AH8" s="76">
        <f>SUM(AH6:AH7)</f>
        <v>2060766.3761499994</v>
      </c>
      <c r="AI8" s="76">
        <f>SUM(AI6:AI7)</f>
        <v>2135961.1359699997</v>
      </c>
      <c r="AJ8" s="39">
        <f t="shared" si="4"/>
        <v>8126005.4210999999</v>
      </c>
      <c r="AK8" s="76">
        <f>SUM(AK6:AK7)</f>
        <v>2162739.1952599999</v>
      </c>
      <c r="AL8" s="76">
        <f t="shared" ref="AL8:AN8" si="8">SUM(AL6:AL7)</f>
        <v>2240046.6203299998</v>
      </c>
      <c r="AM8" s="76">
        <f t="shared" si="8"/>
        <v>2223896.8017099993</v>
      </c>
      <c r="AN8" s="76">
        <f t="shared" si="8"/>
        <v>2253378.3476599995</v>
      </c>
      <c r="AO8" s="39">
        <f t="shared" si="5"/>
        <v>8880060.9649599977</v>
      </c>
      <c r="AP8" s="76">
        <f>SUM(AP6:AP7)</f>
        <v>2262774.3597499998</v>
      </c>
      <c r="AQ8" s="76">
        <f t="shared" ref="AQ8:AS8" si="9">SUM(AQ6:AQ7)</f>
        <v>2303175.7854400002</v>
      </c>
      <c r="AR8" s="76">
        <f t="shared" si="9"/>
        <v>2360726.1682799999</v>
      </c>
      <c r="AS8" s="76">
        <f t="shared" si="9"/>
        <v>2405199.1040000003</v>
      </c>
      <c r="AT8" s="39">
        <f t="shared" si="6"/>
        <v>9331875.4174700007</v>
      </c>
      <c r="AU8" s="76">
        <f>SUM(AU6:AU7)</f>
        <v>2415290.0674399999</v>
      </c>
      <c r="AV8" s="76">
        <f>SUM(AV6:AV7)</f>
        <v>2450491.7300999998</v>
      </c>
      <c r="AW8" s="76">
        <f>SUM(AW6:AW7)</f>
        <v>2505164.3280699998</v>
      </c>
      <c r="AX8" s="76">
        <f>SUM(AX6:AX7)</f>
        <v>2520739.5592800002</v>
      </c>
      <c r="AY8" s="39">
        <f t="shared" si="1"/>
        <v>9891685.6848900001</v>
      </c>
      <c r="AZ8" s="76">
        <f>SUM(AZ6:AZ7)</f>
        <v>2549953.0481599998</v>
      </c>
      <c r="BA8" s="8"/>
    </row>
    <row r="9" spans="1:54" ht="14.85" customHeight="1">
      <c r="A9" s="56" t="s">
        <v>477</v>
      </c>
      <c r="B9" s="8"/>
      <c r="C9" s="8"/>
      <c r="D9" s="8"/>
      <c r="E9" s="8"/>
      <c r="F9" s="40"/>
      <c r="G9" s="8">
        <v>-361950.69666000013</v>
      </c>
      <c r="H9" s="8">
        <v>-347994.17376000003</v>
      </c>
      <c r="I9" s="8">
        <v>-463554.60196</v>
      </c>
      <c r="J9" s="8">
        <v>-296149.57268999994</v>
      </c>
      <c r="K9" s="40">
        <f t="shared" si="2"/>
        <v>-1469649.04507</v>
      </c>
      <c r="L9" s="8">
        <v>-397050.70386000013</v>
      </c>
      <c r="M9" s="8">
        <v>-374535.26788</v>
      </c>
      <c r="N9" s="8">
        <v>-478410.11442999984</v>
      </c>
      <c r="O9" s="8">
        <v>-246422.26887</v>
      </c>
      <c r="P9" s="40">
        <f t="shared" si="3"/>
        <v>-1496418.3550400001</v>
      </c>
      <c r="Q9" s="1">
        <v>-389442.31756999996</v>
      </c>
      <c r="R9" s="1">
        <v>-315199.85710000002</v>
      </c>
      <c r="S9" s="1">
        <v>-368674.89127000002</v>
      </c>
      <c r="T9" s="1">
        <v>-193346.05693000002</v>
      </c>
      <c r="U9" s="40">
        <v>-1266663.1228700001</v>
      </c>
      <c r="V9" s="1">
        <v>-366545.06833000004</v>
      </c>
      <c r="W9" s="1">
        <v>-380589.15207999997</v>
      </c>
      <c r="X9" s="1">
        <v>-481858.68341</v>
      </c>
      <c r="Y9" s="1">
        <v>-442703.74831999996</v>
      </c>
      <c r="Z9" s="40">
        <v>-1671696.6521400001</v>
      </c>
      <c r="AA9" s="1">
        <f t="shared" ref="AA9:AD10" si="10">AA21+AA57+AA93+AA141+AA208+AA220+AA232</f>
        <v>-535061.57291999995</v>
      </c>
      <c r="AB9" s="1">
        <f t="shared" si="10"/>
        <v>-630498.82731000008</v>
      </c>
      <c r="AC9" s="1">
        <f t="shared" si="10"/>
        <v>-629892.09837000014</v>
      </c>
      <c r="AD9" s="1">
        <f t="shared" si="10"/>
        <v>-455701.2657600001</v>
      </c>
      <c r="AE9" s="40">
        <f t="shared" si="0"/>
        <v>-2251153.7643600004</v>
      </c>
      <c r="AF9" s="1">
        <f t="shared" ref="AF9:AI10" si="11">AF21+AF57+AF93+AF141+AF208+AF220+AF232</f>
        <v>-510181.25334000005</v>
      </c>
      <c r="AG9" s="1">
        <f t="shared" si="11"/>
        <v>-445737.06043999997</v>
      </c>
      <c r="AH9" s="1">
        <f t="shared" si="11"/>
        <v>-498953.93435</v>
      </c>
      <c r="AI9" s="1">
        <f t="shared" si="11"/>
        <v>-599508.14374000009</v>
      </c>
      <c r="AJ9" s="40">
        <f t="shared" si="4"/>
        <v>-2054380.3918699999</v>
      </c>
      <c r="AK9" s="1">
        <f t="shared" ref="AK9:AN10" si="12">AK21+AK57+AK93+AK141+AK208+AK220+AK232</f>
        <v>-527861.03662999999</v>
      </c>
      <c r="AL9" s="1">
        <f t="shared" si="12"/>
        <v>-455119.16972000001</v>
      </c>
      <c r="AM9" s="1">
        <f t="shared" si="12"/>
        <v>-472672.82013999997</v>
      </c>
      <c r="AN9" s="1">
        <f t="shared" si="12"/>
        <v>-463123.48663</v>
      </c>
      <c r="AO9" s="40">
        <f t="shared" si="5"/>
        <v>-1918776.51312</v>
      </c>
      <c r="AP9" s="1">
        <f t="shared" ref="AP9:AS10" si="13">AP21+AP57+AP93+AP141+AP208+AP220+AP232</f>
        <v>-478257.27077</v>
      </c>
      <c r="AQ9" s="1">
        <f t="shared" si="13"/>
        <v>-1340623.0158500001</v>
      </c>
      <c r="AR9" s="1">
        <f t="shared" si="13"/>
        <v>-464429.36297000002</v>
      </c>
      <c r="AS9" s="1">
        <f t="shared" si="13"/>
        <v>-425207.55365999998</v>
      </c>
      <c r="AT9" s="40">
        <f t="shared" si="6"/>
        <v>-2708517.2032500003</v>
      </c>
      <c r="AU9" s="1">
        <f t="shared" ref="AU9:AX10" si="14">AU21+AU57+AU93+AU141+AU208+AU220+AU232</f>
        <v>-577101.13757000002</v>
      </c>
      <c r="AV9" s="1">
        <f t="shared" si="14"/>
        <v>-595438.36199</v>
      </c>
      <c r="AW9" s="1">
        <f t="shared" si="14"/>
        <v>-579056.28883000009</v>
      </c>
      <c r="AX9" s="1">
        <f t="shared" si="14"/>
        <v>-542961.29781000013</v>
      </c>
      <c r="AY9" s="40">
        <f t="shared" si="1"/>
        <v>-2294557.0861999998</v>
      </c>
      <c r="AZ9" s="1">
        <f>AZ21+AZ57+AZ93+AZ141+AZ208+AZ220+AZ232</f>
        <v>-562008.79602999997</v>
      </c>
      <c r="BA9" s="8"/>
    </row>
    <row r="10" spans="1:54" ht="14.85" customHeight="1">
      <c r="A10" s="56" t="s">
        <v>478</v>
      </c>
      <c r="B10" s="8"/>
      <c r="C10" s="8"/>
      <c r="D10" s="8"/>
      <c r="E10" s="8"/>
      <c r="F10" s="40"/>
      <c r="G10" s="8">
        <v>-220921.74557</v>
      </c>
      <c r="H10" s="8">
        <v>-228557.75227000006</v>
      </c>
      <c r="I10" s="8">
        <v>-242840.97697000002</v>
      </c>
      <c r="J10" s="8">
        <v>-248471.6029599999</v>
      </c>
      <c r="K10" s="40">
        <f t="shared" si="2"/>
        <v>-940792.07776999997</v>
      </c>
      <c r="L10" s="8">
        <v>-262940.45438000001</v>
      </c>
      <c r="M10" s="8">
        <v>-257563.73217000003</v>
      </c>
      <c r="N10" s="8">
        <v>-282274.16249999998</v>
      </c>
      <c r="O10" s="8">
        <v>-261000.96971</v>
      </c>
      <c r="P10" s="40">
        <f t="shared" si="3"/>
        <v>-1063779.3187600002</v>
      </c>
      <c r="Q10" s="1">
        <v>-273462.95766000001</v>
      </c>
      <c r="R10" s="1">
        <v>-276694.52647999994</v>
      </c>
      <c r="S10" s="1">
        <v>-307934.72065999999</v>
      </c>
      <c r="T10" s="1">
        <v>-324090.80402000004</v>
      </c>
      <c r="U10" s="40">
        <v>-1182183.0088200001</v>
      </c>
      <c r="V10" s="1">
        <v>-319417.17991000006</v>
      </c>
      <c r="W10" s="1">
        <v>-302987.22652999999</v>
      </c>
      <c r="X10" s="1">
        <v>-345876.59908000001</v>
      </c>
      <c r="Y10" s="1">
        <v>-390805.45718999999</v>
      </c>
      <c r="Z10" s="40">
        <v>-1359086.4627100001</v>
      </c>
      <c r="AA10" s="1">
        <f t="shared" si="10"/>
        <v>-357943.89247000002</v>
      </c>
      <c r="AB10" s="1">
        <f t="shared" si="10"/>
        <v>-339529.15990000003</v>
      </c>
      <c r="AC10" s="1">
        <f t="shared" si="10"/>
        <v>-372648.18335000001</v>
      </c>
      <c r="AD10" s="1">
        <f t="shared" si="10"/>
        <v>-388423.15928000002</v>
      </c>
      <c r="AE10" s="40">
        <f t="shared" si="0"/>
        <v>-1458544.395</v>
      </c>
      <c r="AF10" s="1">
        <f t="shared" si="11"/>
        <v>-405241.50578000001</v>
      </c>
      <c r="AG10" s="1">
        <f t="shared" si="11"/>
        <v>-403726.13478999998</v>
      </c>
      <c r="AH10" s="1">
        <f t="shared" si="11"/>
        <v>-426567.36301999999</v>
      </c>
      <c r="AI10" s="1">
        <f t="shared" si="11"/>
        <v>-429372.57760999992</v>
      </c>
      <c r="AJ10" s="40">
        <f t="shared" si="4"/>
        <v>-1664907.5811999999</v>
      </c>
      <c r="AK10" s="1">
        <f t="shared" si="12"/>
        <v>-439442.05408999993</v>
      </c>
      <c r="AL10" s="1">
        <f t="shared" si="12"/>
        <v>-476241.02262999996</v>
      </c>
      <c r="AM10" s="1">
        <f t="shared" si="12"/>
        <v>-460278.64887999999</v>
      </c>
      <c r="AN10" s="1">
        <f t="shared" si="12"/>
        <v>-501083.53104000003</v>
      </c>
      <c r="AO10" s="40">
        <f t="shared" si="5"/>
        <v>-1877045.25664</v>
      </c>
      <c r="AP10" s="1">
        <f t="shared" si="13"/>
        <v>-465109.81952999998</v>
      </c>
      <c r="AQ10" s="1">
        <f t="shared" si="13"/>
        <v>-478460.36033</v>
      </c>
      <c r="AR10" s="1">
        <f t="shared" si="13"/>
        <v>-493774.99640000012</v>
      </c>
      <c r="AS10" s="1">
        <f t="shared" si="13"/>
        <v>-516404.81149000005</v>
      </c>
      <c r="AT10" s="40">
        <f t="shared" si="6"/>
        <v>-1953749.9877500001</v>
      </c>
      <c r="AU10" s="1">
        <f t="shared" si="14"/>
        <v>-493804.69353000005</v>
      </c>
      <c r="AV10" s="1">
        <f t="shared" si="14"/>
        <v>-509253.14746000007</v>
      </c>
      <c r="AW10" s="1">
        <f t="shared" si="14"/>
        <v>-546677.93043999991</v>
      </c>
      <c r="AX10" s="1">
        <f t="shared" si="14"/>
        <v>-538848.90584000002</v>
      </c>
      <c r="AY10" s="40">
        <f t="shared" si="1"/>
        <v>-2088584.6772700003</v>
      </c>
      <c r="AZ10" s="1">
        <f>AZ22+AZ58+AZ94+AZ142+AZ209+AZ221+AZ233</f>
        <v>-541822.77705999999</v>
      </c>
      <c r="BA10" s="8"/>
    </row>
    <row r="11" spans="1:54" ht="14.85" customHeight="1">
      <c r="A11" s="56" t="s">
        <v>479</v>
      </c>
      <c r="B11" s="8"/>
      <c r="C11" s="8"/>
      <c r="D11" s="8"/>
      <c r="E11" s="8"/>
      <c r="F11" s="40"/>
      <c r="G11" s="8">
        <v>-60130.27833000003</v>
      </c>
      <c r="H11" s="8">
        <v>-68481.110139999975</v>
      </c>
      <c r="I11" s="8">
        <v>-42364.332989999988</v>
      </c>
      <c r="J11" s="8">
        <v>-52727.056590000044</v>
      </c>
      <c r="K11" s="40">
        <f t="shared" si="2"/>
        <v>-223702.77805000005</v>
      </c>
      <c r="L11" s="8">
        <v>-54209.991400000006</v>
      </c>
      <c r="M11" s="8">
        <v>-71486.767829999982</v>
      </c>
      <c r="N11" s="8">
        <v>-205511.28396</v>
      </c>
      <c r="O11" s="8">
        <v>-49098.822990000008</v>
      </c>
      <c r="P11" s="40">
        <f t="shared" si="3"/>
        <v>-380306.86618000001</v>
      </c>
      <c r="Q11" s="1">
        <v>-46737.848069999993</v>
      </c>
      <c r="R11" s="1">
        <v>-45989.794379999999</v>
      </c>
      <c r="S11" s="1">
        <v>-48005.682440000004</v>
      </c>
      <c r="T11" s="1">
        <v>-65380.938349999997</v>
      </c>
      <c r="U11" s="40">
        <v>-206114.26324</v>
      </c>
      <c r="V11" s="1">
        <v>-114018.85187</v>
      </c>
      <c r="W11" s="1">
        <v>-59929.859719999993</v>
      </c>
      <c r="X11" s="1">
        <v>-97525.027830000006</v>
      </c>
      <c r="Y11" s="1">
        <v>-81460.229550000004</v>
      </c>
      <c r="Z11" s="40">
        <v>-352933.96896999999</v>
      </c>
      <c r="AA11" s="1">
        <v>-73999.291159999993</v>
      </c>
      <c r="AB11" s="1">
        <v>-15516.423869999999</v>
      </c>
      <c r="AC11" s="1">
        <v>-88678.470820000017</v>
      </c>
      <c r="AD11" s="1">
        <v>-78451.420409999992</v>
      </c>
      <c r="AE11" s="40">
        <f t="shared" si="0"/>
        <v>-256645.60626</v>
      </c>
      <c r="AF11" s="1">
        <f>AF23+AF59+AF95+AF143+AF210+AF222+AF234+AF188</f>
        <v>-52675.164910000014</v>
      </c>
      <c r="AG11" s="1">
        <f>AG23+AG59+AG95+AG143+AG210+AG222+AG234+AG188</f>
        <v>-87668.821250000008</v>
      </c>
      <c r="AH11" s="1">
        <f>AH23+AH59+AH95+AH143+AH210+AH222+AH234+AH188</f>
        <v>-53905.512040000001</v>
      </c>
      <c r="AI11" s="1">
        <f>AI23+AI59+AI95+AI143+AI210+AI222+AI234+AI188</f>
        <v>-96790.620240000004</v>
      </c>
      <c r="AJ11" s="40">
        <f t="shared" si="4"/>
        <v>-291040.11844000005</v>
      </c>
      <c r="AK11" s="1">
        <f>AK23+AK59+AK95+AK143+AK210+AK222+AK234+AK188</f>
        <v>-60424.280989999999</v>
      </c>
      <c r="AL11" s="1">
        <f>AL23+AL59+AL95+AL143+AL210+AL222+AL234+AL188</f>
        <v>-90169.208329999994</v>
      </c>
      <c r="AM11" s="1">
        <f>AM23+AM59+AM95+AM143+AM210+AM222+AM234+AM188</f>
        <v>-89316.953259999995</v>
      </c>
      <c r="AN11" s="1">
        <f>AN23+AN59+AN95+AN143+AN210+AN222+AN234+AN188</f>
        <v>-91600.351570000013</v>
      </c>
      <c r="AO11" s="40">
        <f t="shared" si="5"/>
        <v>-331510.79414999997</v>
      </c>
      <c r="AP11" s="1">
        <f>AP23+AP59+AP95+AP143+AP210+AP222+AP234+AP188</f>
        <v>-78760.073539999983</v>
      </c>
      <c r="AQ11" s="1">
        <f>AQ23+AQ59+AQ95+AQ143+AQ210+AQ222+AQ234+AQ188</f>
        <v>-96740.433569999994</v>
      </c>
      <c r="AR11" s="1">
        <f>AR23+AR59+AR95+AR143+AR210+AR222+AR234+AR188</f>
        <v>-106025.68830000001</v>
      </c>
      <c r="AS11" s="1">
        <f>AS23+AS59+AS95+AS143+AS210+AS222+AS234+AS188</f>
        <v>-120316.89499999999</v>
      </c>
      <c r="AT11" s="40">
        <f t="shared" si="6"/>
        <v>-401843.09040999995</v>
      </c>
      <c r="AU11" s="1">
        <f>AU23+AU59+AU95+AU143+AU210+AU222+AU234+AU188</f>
        <v>-98813.954189999975</v>
      </c>
      <c r="AV11" s="1">
        <f>AV23+AV59+AV95+AV143+AV210+AV222+AV234+AV188</f>
        <v>-96951.028430000006</v>
      </c>
      <c r="AW11" s="1">
        <f>AW23+AW59+AW95+AW143+AW210+AW222+AW234+AW188</f>
        <v>-91830.241269999999</v>
      </c>
      <c r="AX11" s="1">
        <f>AX23+AX59+AX95+AX143+AX210+AX222+AX234+AX188</f>
        <v>-91111.123460000003</v>
      </c>
      <c r="AY11" s="40">
        <f t="shared" si="1"/>
        <v>-378706.34734999994</v>
      </c>
      <c r="AZ11" s="1">
        <f>AZ23+AZ59+AZ95+AZ143+AZ210+AZ222+AZ234+AZ188</f>
        <v>-72565.133720000013</v>
      </c>
      <c r="BA11" s="8"/>
    </row>
    <row r="12" spans="1:54" ht="14.85" customHeight="1">
      <c r="A12" s="56" t="s">
        <v>709</v>
      </c>
      <c r="B12" s="8"/>
      <c r="C12" s="8"/>
      <c r="D12" s="8"/>
      <c r="E12" s="8"/>
      <c r="F12" s="40"/>
      <c r="G12" s="8">
        <v>-46554.351370000011</v>
      </c>
      <c r="H12" s="8">
        <v>-36383.493410000025</v>
      </c>
      <c r="I12" s="8">
        <v>-60744.914300000004</v>
      </c>
      <c r="J12" s="8">
        <v>-88959.757339999982</v>
      </c>
      <c r="K12" s="40">
        <f t="shared" si="2"/>
        <v>-232642.51642000003</v>
      </c>
      <c r="L12" s="8">
        <v>-45248.975309999994</v>
      </c>
      <c r="M12" s="8">
        <v>-10570.173770000005</v>
      </c>
      <c r="N12" s="8">
        <v>-34501.058940000024</v>
      </c>
      <c r="O12" s="8">
        <v>-11182.635719999997</v>
      </c>
      <c r="P12" s="40">
        <f t="shared" si="3"/>
        <v>-101502.84374000001</v>
      </c>
      <c r="Q12" s="1">
        <v>-68257.745539999989</v>
      </c>
      <c r="R12" s="1">
        <v>3416.2713599999988</v>
      </c>
      <c r="S12" s="1">
        <v>-27605.014729999999</v>
      </c>
      <c r="T12" s="1">
        <v>46055.968299999986</v>
      </c>
      <c r="U12" s="40">
        <v>-46390.52061</v>
      </c>
      <c r="V12" s="1">
        <v>970.51174999999512</v>
      </c>
      <c r="W12" s="1">
        <v>-10706.795349999999</v>
      </c>
      <c r="X12" s="1">
        <v>1692.9017800000004</v>
      </c>
      <c r="Y12" s="1">
        <v>-11608.264150000001</v>
      </c>
      <c r="Z12" s="40">
        <v>-19651.645970000005</v>
      </c>
      <c r="AA12" s="1">
        <f>AA24+AA60+AA96+AA144+AA211+AA223+AA235</f>
        <v>2004.4016300000008</v>
      </c>
      <c r="AB12" s="1">
        <f>AB24+AB60+AB96+AB144+AB211+AB223+AB235</f>
        <v>-24000.556780000006</v>
      </c>
      <c r="AC12" s="1">
        <f>AC24+AC60+AC96+AC144+AC211+AC223+AC235</f>
        <v>10124.031130000001</v>
      </c>
      <c r="AD12" s="1">
        <f>AD24+AD60+AD96+AD144+AD211+AD223+AD235</f>
        <v>-51268.310499999992</v>
      </c>
      <c r="AE12" s="40">
        <f t="shared" si="0"/>
        <v>-63140.434519999995</v>
      </c>
      <c r="AF12" s="1">
        <f>AF24+AF60+AF96+AF144+AF211+AF223+AF235</f>
        <v>-28019.793959999999</v>
      </c>
      <c r="AG12" s="1">
        <f>AG24+AG60+AG96+AG144+AG211+AG223+AG235</f>
        <v>-38315.912290000007</v>
      </c>
      <c r="AH12" s="1">
        <f>AH24+AH60+AH96+AH144+AH211+AH223+AH235</f>
        <v>-16277.489550000004</v>
      </c>
      <c r="AI12" s="1">
        <f>AI24+AI60+AI96+AI144+AI211+AI223+AI235</f>
        <v>-4787.384610000001</v>
      </c>
      <c r="AJ12" s="40">
        <f t="shared" si="4"/>
        <v>-87400.580409999995</v>
      </c>
      <c r="AK12" s="1">
        <f>AK24+AK60+AK96+AK144+AK211+AK223+AK235</f>
        <v>-12359.304110000001</v>
      </c>
      <c r="AL12" s="1">
        <f>AL24+AL60+AL96+AL144+AL211+AL223+AL235</f>
        <v>-9933.3146400000005</v>
      </c>
      <c r="AM12" s="1">
        <f>AM24+AM60+AM96+AM144+AM211+AM223+AM235</f>
        <v>-6372.876299999999</v>
      </c>
      <c r="AN12" s="1">
        <f>AN24+AN60+AN96+AN144+AN211+AN223+AN235</f>
        <v>4317.3368100000007</v>
      </c>
      <c r="AO12" s="40">
        <f t="shared" si="5"/>
        <v>-24348.158240000001</v>
      </c>
      <c r="AP12" s="1">
        <f>AP24+AP60+AP96+AP144+AP211+AP223+AP235</f>
        <v>-1357.9133299999992</v>
      </c>
      <c r="AQ12" s="1">
        <f>AQ24+AQ60+AQ96+AQ144+AQ211+AQ223+AQ235</f>
        <v>359271.03619999997</v>
      </c>
      <c r="AR12" s="1">
        <f>AR24+AR60+AR96+AR144+AR211+AR223+AR235</f>
        <v>-78719.569520000019</v>
      </c>
      <c r="AS12" s="1">
        <f>AS24+AS60+AS96+AS144+AS211+AS223+AS235</f>
        <v>-12457.344999999999</v>
      </c>
      <c r="AT12" s="40">
        <f t="shared" si="6"/>
        <v>266736.20834999997</v>
      </c>
      <c r="AU12" s="1">
        <f>AU24+AU60+AU96+AU144+AU211+AU223+AU235</f>
        <v>-16823.904760000001</v>
      </c>
      <c r="AV12" s="1">
        <f>AV24+AV60+AV96+AV144+AV211+AV223+AV235</f>
        <v>-4471.7363299999997</v>
      </c>
      <c r="AW12" s="1">
        <f>AW24+AW60+AW96+AW144+AW211+AW223+AW235</f>
        <v>-8964.3656900000005</v>
      </c>
      <c r="AX12" s="1">
        <f>AX24+AX60+AX96+AX144+AX211+AX223+AX235</f>
        <v>-15164.807799999999</v>
      </c>
      <c r="AY12" s="40">
        <f t="shared" si="1"/>
        <v>-45424.814580000006</v>
      </c>
      <c r="AZ12" s="1">
        <f>AZ24+AZ60+AZ96+AZ144+AZ211+AZ223+AZ235</f>
        <v>10237.05106</v>
      </c>
      <c r="BA12" s="8"/>
    </row>
    <row r="13" spans="1:54" ht="14.85" customHeight="1">
      <c r="A13" s="54" t="s">
        <v>710</v>
      </c>
      <c r="B13" s="76"/>
      <c r="C13" s="76"/>
      <c r="D13" s="76"/>
      <c r="E13" s="76"/>
      <c r="F13" s="39"/>
      <c r="G13" s="76">
        <f t="shared" ref="G13:P13" si="15">SUM(G8:G12)</f>
        <v>545205.41024999914</v>
      </c>
      <c r="H13" s="76">
        <f t="shared" si="15"/>
        <v>635611.78470000019</v>
      </c>
      <c r="I13" s="76">
        <f t="shared" si="15"/>
        <v>498117.09410000039</v>
      </c>
      <c r="J13" s="76">
        <f t="shared" si="15"/>
        <v>562301.46819999989</v>
      </c>
      <c r="K13" s="39">
        <f t="shared" si="15"/>
        <v>2241235.7572500003</v>
      </c>
      <c r="L13" s="76">
        <f t="shared" si="15"/>
        <v>633698.40882999997</v>
      </c>
      <c r="M13" s="76">
        <f t="shared" si="15"/>
        <v>680322.68048000056</v>
      </c>
      <c r="N13" s="76">
        <f t="shared" si="15"/>
        <v>1296335.1992300008</v>
      </c>
      <c r="O13" s="76">
        <f t="shared" si="15"/>
        <v>590269.65516000008</v>
      </c>
      <c r="P13" s="39">
        <f t="shared" si="15"/>
        <v>3200625.943700002</v>
      </c>
      <c r="Q13" s="76">
        <v>671634.75318999973</v>
      </c>
      <c r="R13" s="76">
        <v>840158.16187000019</v>
      </c>
      <c r="S13" s="76">
        <v>786470.45022999996</v>
      </c>
      <c r="T13" s="76">
        <v>1006511.1858099999</v>
      </c>
      <c r="U13" s="39">
        <v>3304774.5510999989</v>
      </c>
      <c r="V13" s="76">
        <v>791725.43331999995</v>
      </c>
      <c r="W13" s="76">
        <v>838483.03708000015</v>
      </c>
      <c r="X13" s="76">
        <v>743992.92002999992</v>
      </c>
      <c r="Y13" s="76">
        <v>837240.61198000028</v>
      </c>
      <c r="Z13" s="39">
        <v>3211442.0024100007</v>
      </c>
      <c r="AA13" s="76">
        <f>SUM(AA8:AA12)</f>
        <v>836691.77658999921</v>
      </c>
      <c r="AB13" s="76">
        <f>SUM(AB8:AB12)</f>
        <v>788021.25397999957</v>
      </c>
      <c r="AC13" s="76">
        <f>SUM(AC8:AC12)</f>
        <v>796537.11711999949</v>
      </c>
      <c r="AD13" s="76">
        <f>SUM(AD8:AD12)</f>
        <v>921130.45912000013</v>
      </c>
      <c r="AE13" s="39">
        <f t="shared" si="0"/>
        <v>3342380.6068099984</v>
      </c>
      <c r="AF13" s="76">
        <f>SUM(AF8:AF12)</f>
        <v>939948.7468399998</v>
      </c>
      <c r="AG13" s="76">
        <f>SUM(AG8:AG12)</f>
        <v>1017763.5153800006</v>
      </c>
      <c r="AH13" s="76">
        <f>SUM(AH8:AH12)</f>
        <v>1065062.0771899994</v>
      </c>
      <c r="AI13" s="76">
        <f>SUM(AI8:AI12)</f>
        <v>1005502.4097699996</v>
      </c>
      <c r="AJ13" s="39">
        <f t="shared" si="4"/>
        <v>4028276.7491799993</v>
      </c>
      <c r="AK13" s="76">
        <f>SUM(AK8:AK12)</f>
        <v>1122652.5194399999</v>
      </c>
      <c r="AL13" s="76">
        <f t="shared" ref="AL13:AN13" si="16">SUM(AL8:AL12)</f>
        <v>1208583.9050099996</v>
      </c>
      <c r="AM13" s="76">
        <f t="shared" si="16"/>
        <v>1195255.5031299994</v>
      </c>
      <c r="AN13" s="76">
        <f t="shared" si="16"/>
        <v>1201888.3152299996</v>
      </c>
      <c r="AO13" s="39">
        <f t="shared" si="5"/>
        <v>4728380.2428099988</v>
      </c>
      <c r="AP13" s="76">
        <f>SUM(AP8:AP12)</f>
        <v>1239289.2825799999</v>
      </c>
      <c r="AQ13" s="76">
        <f t="shared" ref="AQ13:AR13" si="17">SUM(AQ8:AQ12)</f>
        <v>746623.0118900002</v>
      </c>
      <c r="AR13" s="76">
        <f t="shared" si="17"/>
        <v>1217776.5510899997</v>
      </c>
      <c r="AS13" s="76">
        <f>SUM(AS8:AS12)</f>
        <v>1330812.4988500003</v>
      </c>
      <c r="AT13" s="39">
        <f t="shared" si="6"/>
        <v>4534501.3444100004</v>
      </c>
      <c r="AU13" s="76">
        <f>SUM(AU8:AU12)</f>
        <v>1228746.3773899998</v>
      </c>
      <c r="AV13" s="76">
        <f>SUM(AV8:AV12)</f>
        <v>1244377.4558899996</v>
      </c>
      <c r="AW13" s="76">
        <f>SUM(AW8:AW12)</f>
        <v>1278635.50184</v>
      </c>
      <c r="AX13" s="76">
        <f>SUM(AX8:AX12)</f>
        <v>1332653.4243700001</v>
      </c>
      <c r="AY13" s="39">
        <f t="shared" si="1"/>
        <v>5084412.7594900001</v>
      </c>
      <c r="AZ13" s="76">
        <f>SUM(AZ8:AZ12)</f>
        <v>1383793.3924099999</v>
      </c>
      <c r="BA13" s="8"/>
    </row>
    <row r="14" spans="1:54" ht="14.85" customHeight="1">
      <c r="A14" s="17" t="s">
        <v>711</v>
      </c>
      <c r="B14" s="18"/>
      <c r="C14" s="18"/>
      <c r="D14" s="18"/>
      <c r="E14" s="18"/>
      <c r="F14" s="46"/>
      <c r="G14" s="18">
        <f t="shared" ref="G14:J14" si="18">-G9/G8</f>
        <v>0.2931338633005503</v>
      </c>
      <c r="H14" s="18">
        <f t="shared" si="18"/>
        <v>0.26422679754629519</v>
      </c>
      <c r="I14" s="18">
        <f t="shared" si="18"/>
        <v>0.35450201220744232</v>
      </c>
      <c r="J14" s="18">
        <f t="shared" si="18"/>
        <v>0.23718350909863151</v>
      </c>
      <c r="K14" s="46">
        <f t="shared" ref="K14:P14" si="19">-K9/K8</f>
        <v>0.28771391251773376</v>
      </c>
      <c r="L14" s="18">
        <f t="shared" si="19"/>
        <v>0.28500242022484917</v>
      </c>
      <c r="M14" s="18">
        <f t="shared" si="19"/>
        <v>0.26858444578226304</v>
      </c>
      <c r="N14" s="18">
        <f t="shared" si="19"/>
        <v>0.2082731769147963</v>
      </c>
      <c r="O14" s="18">
        <f t="shared" si="19"/>
        <v>0.21280459998844423</v>
      </c>
      <c r="P14" s="46">
        <f t="shared" si="19"/>
        <v>0.23970947460059297</v>
      </c>
      <c r="Q14" s="18">
        <v>0.2686669521267826</v>
      </c>
      <c r="R14" s="18">
        <v>0.21374900650375453</v>
      </c>
      <c r="S14" s="18">
        <v>0.23960298002344149</v>
      </c>
      <c r="T14" s="18">
        <v>0.12528311894524871</v>
      </c>
      <c r="U14" s="46">
        <f>-U9/(U8-U187)</f>
        <v>0.21089521521078183</v>
      </c>
      <c r="V14" s="18">
        <v>0.23042482431678785</v>
      </c>
      <c r="W14" s="18">
        <v>0.23895905757988783</v>
      </c>
      <c r="X14" s="18">
        <v>0.28896027037487343</v>
      </c>
      <c r="Y14" s="18">
        <v>0.25099169540955713</v>
      </c>
      <c r="Z14" s="46">
        <f t="shared" ref="Z14:AZ14" si="20">-Z9/(Z8-Z187)</f>
        <v>0.25272025456486724</v>
      </c>
      <c r="AA14" s="169">
        <f t="shared" si="20"/>
        <v>0.29705573004803482</v>
      </c>
      <c r="AB14" s="169">
        <f t="shared" si="20"/>
        <v>0.35129055624348643</v>
      </c>
      <c r="AC14" s="169">
        <f t="shared" si="20"/>
        <v>0.33634932957856567</v>
      </c>
      <c r="AD14" s="169">
        <f t="shared" si="20"/>
        <v>0.2415221621119934</v>
      </c>
      <c r="AE14" s="46">
        <f t="shared" si="20"/>
        <v>0.30604858368635679</v>
      </c>
      <c r="AF14" s="169">
        <f t="shared" si="20"/>
        <v>0.26469763340595187</v>
      </c>
      <c r="AG14" s="169">
        <f t="shared" si="20"/>
        <v>0.22507852628528138</v>
      </c>
      <c r="AH14" s="169">
        <f t="shared" si="20"/>
        <v>0.24434997014529095</v>
      </c>
      <c r="AI14" s="169">
        <f t="shared" si="20"/>
        <v>0.28407226905269634</v>
      </c>
      <c r="AJ14" s="46">
        <f t="shared" si="20"/>
        <v>0.25488130604840009</v>
      </c>
      <c r="AK14" s="169">
        <f t="shared" si="20"/>
        <v>0.24727098262598235</v>
      </c>
      <c r="AL14" s="169">
        <f t="shared" si="20"/>
        <v>0.20633198325932903</v>
      </c>
      <c r="AM14" s="169">
        <f t="shared" si="20"/>
        <v>0.21649432600469276</v>
      </c>
      <c r="AN14" s="169">
        <f t="shared" si="20"/>
        <v>0.20960334595263361</v>
      </c>
      <c r="AO14" s="46">
        <f t="shared" si="20"/>
        <v>0.2197071756607088</v>
      </c>
      <c r="AP14" s="169">
        <f t="shared" si="20"/>
        <v>0.21561813428372631</v>
      </c>
      <c r="AQ14" s="169">
        <f t="shared" si="20"/>
        <v>0.59411722570028569</v>
      </c>
      <c r="AR14" s="169">
        <f t="shared" si="20"/>
        <v>0.20105600949643704</v>
      </c>
      <c r="AS14" s="169">
        <f t="shared" si="20"/>
        <v>0.18178999897128864</v>
      </c>
      <c r="AT14" s="46">
        <f t="shared" si="20"/>
        <v>0.2968717770066876</v>
      </c>
      <c r="AU14" s="169">
        <f t="shared" si="20"/>
        <v>0.24588203606960843</v>
      </c>
      <c r="AV14" s="169">
        <f t="shared" si="20"/>
        <v>0.25070796203500717</v>
      </c>
      <c r="AW14" s="169">
        <f t="shared" si="20"/>
        <v>0.23836114449616599</v>
      </c>
      <c r="AX14" s="169">
        <f t="shared" si="20"/>
        <v>0.22029137122539122</v>
      </c>
      <c r="AY14" s="46">
        <f t="shared" si="20"/>
        <v>0.23861475252277412</v>
      </c>
      <c r="AZ14" s="169">
        <f t="shared" si="20"/>
        <v>0.22491066151846842</v>
      </c>
      <c r="BA14" s="8"/>
      <c r="BB14" s="8"/>
    </row>
    <row r="15" spans="1:54" ht="14.85" customHeight="1" thickBot="1">
      <c r="A15" s="17" t="s">
        <v>712</v>
      </c>
      <c r="B15" s="18"/>
      <c r="C15" s="18"/>
      <c r="D15" s="18"/>
      <c r="E15" s="18"/>
      <c r="F15" s="48"/>
      <c r="G15" s="18">
        <f t="shared" ref="G15:J15" si="21">-G10/G8</f>
        <v>0.17891841447916199</v>
      </c>
      <c r="H15" s="18">
        <f t="shared" si="21"/>
        <v>0.17354050007265726</v>
      </c>
      <c r="I15" s="18">
        <f t="shared" si="21"/>
        <v>0.18571191962778669</v>
      </c>
      <c r="J15" s="18">
        <f t="shared" si="21"/>
        <v>0.1989986551934157</v>
      </c>
      <c r="K15" s="48">
        <f t="shared" ref="K15:P15" si="22">-K10/K8</f>
        <v>0.18417932530824199</v>
      </c>
      <c r="L15" s="18">
        <f t="shared" si="22"/>
        <v>0.18873827736556509</v>
      </c>
      <c r="M15" s="18">
        <f t="shared" si="22"/>
        <v>0.18470253188721067</v>
      </c>
      <c r="N15" s="18">
        <f t="shared" si="22"/>
        <v>0.12288648339904722</v>
      </c>
      <c r="O15" s="18">
        <f t="shared" si="22"/>
        <v>0.22539443050511751</v>
      </c>
      <c r="P15" s="48">
        <f t="shared" si="22"/>
        <v>0.17040554249558112</v>
      </c>
      <c r="Q15" s="18">
        <v>0.18865556217033788</v>
      </c>
      <c r="R15" s="18">
        <v>0.18763707789804954</v>
      </c>
      <c r="S15" s="18">
        <v>0.2001277506820705</v>
      </c>
      <c r="T15" s="18">
        <v>0.2100022487854464</v>
      </c>
      <c r="U15" s="48">
        <f>-U10/(U8-U187)</f>
        <v>0.19682955599016941</v>
      </c>
      <c r="V15" s="18">
        <v>0.20079835721118505</v>
      </c>
      <c r="W15" s="18">
        <v>0.19023543291936487</v>
      </c>
      <c r="X15" s="18">
        <v>0.20741474425492185</v>
      </c>
      <c r="Y15" s="18">
        <v>0.22156786484790159</v>
      </c>
      <c r="Z15" s="48">
        <f t="shared" ref="Z15:AZ15" si="23">-Z10/(Z8-Z187)</f>
        <v>0.20546112621093629</v>
      </c>
      <c r="AA15" s="18">
        <f t="shared" si="23"/>
        <v>0.19872345478603268</v>
      </c>
      <c r="AB15" s="18">
        <f t="shared" si="23"/>
        <v>0.18917305199603646</v>
      </c>
      <c r="AC15" s="18">
        <f t="shared" si="23"/>
        <v>0.19898640888303051</v>
      </c>
      <c r="AD15" s="18">
        <f t="shared" si="23"/>
        <v>0.20586469314984149</v>
      </c>
      <c r="AE15" s="48">
        <f t="shared" si="23"/>
        <v>0.19829185078360512</v>
      </c>
      <c r="AF15" s="18">
        <f t="shared" si="23"/>
        <v>0.21025168376060419</v>
      </c>
      <c r="AG15" s="18">
        <f t="shared" si="23"/>
        <v>0.20386477030131972</v>
      </c>
      <c r="AH15" s="18">
        <f t="shared" si="23"/>
        <v>0.20890049209588415</v>
      </c>
      <c r="AI15" s="18">
        <f t="shared" si="23"/>
        <v>0.20345485489113871</v>
      </c>
      <c r="AJ15" s="48">
        <f t="shared" si="23"/>
        <v>0.20656048919931067</v>
      </c>
      <c r="AK15" s="18">
        <f t="shared" si="23"/>
        <v>0.20585203487595094</v>
      </c>
      <c r="AL15" s="18">
        <f t="shared" si="23"/>
        <v>0.21590774734703674</v>
      </c>
      <c r="AM15" s="18">
        <f t="shared" si="23"/>
        <v>0.21081752878050358</v>
      </c>
      <c r="AN15" s="18">
        <f t="shared" si="23"/>
        <v>0.22678354205701137</v>
      </c>
      <c r="AO15" s="48">
        <f t="shared" si="23"/>
        <v>0.21492878879006441</v>
      </c>
      <c r="AP15" s="18">
        <f t="shared" si="23"/>
        <v>0.20969072014867102</v>
      </c>
      <c r="AQ15" s="18">
        <f t="shared" si="23"/>
        <v>0.21203689517935603</v>
      </c>
      <c r="AR15" s="18">
        <f t="shared" si="23"/>
        <v>0.21376002096515676</v>
      </c>
      <c r="AS15" s="18">
        <f t="shared" si="23"/>
        <v>0.22077977999563184</v>
      </c>
      <c r="AT15" s="48">
        <f t="shared" si="23"/>
        <v>0.21414419299023391</v>
      </c>
      <c r="AU15" s="18">
        <f t="shared" si="23"/>
        <v>0.21039241748359566</v>
      </c>
      <c r="AV15" s="18">
        <f t="shared" si="23"/>
        <v>0.21441987434755472</v>
      </c>
      <c r="AW15" s="18">
        <f t="shared" si="23"/>
        <v>0.22503300574416071</v>
      </c>
      <c r="AX15" s="18">
        <f t="shared" si="23"/>
        <v>0.21862288312183467</v>
      </c>
      <c r="AY15" s="48">
        <f t="shared" si="23"/>
        <v>0.21719534409796773</v>
      </c>
      <c r="AZ15" s="169">
        <f t="shared" si="23"/>
        <v>0.21683240560497077</v>
      </c>
    </row>
    <row r="16" spans="1:54" ht="14.85" customHeight="1" thickBot="1">
      <c r="AA16"/>
      <c r="AB16"/>
      <c r="AE16"/>
      <c r="AJ16"/>
      <c r="AO16"/>
      <c r="AT16"/>
      <c r="AY16"/>
      <c r="AZ16"/>
    </row>
    <row r="17" spans="1:56" s="30" customFormat="1" ht="24.4" customHeight="1">
      <c r="A17" s="625" t="s">
        <v>713</v>
      </c>
      <c r="B17" s="626" t="s">
        <v>224</v>
      </c>
      <c r="C17" s="626" t="s">
        <v>225</v>
      </c>
      <c r="D17" s="626" t="s">
        <v>226</v>
      </c>
      <c r="E17" s="626" t="s">
        <v>227</v>
      </c>
      <c r="F17" s="652">
        <v>2016</v>
      </c>
      <c r="G17" s="626" t="s">
        <v>228</v>
      </c>
      <c r="H17" s="626" t="s">
        <v>229</v>
      </c>
      <c r="I17" s="626" t="s">
        <v>230</v>
      </c>
      <c r="J17" s="626" t="s">
        <v>231</v>
      </c>
      <c r="K17" s="652">
        <v>2017</v>
      </c>
      <c r="L17" s="626" t="s">
        <v>232</v>
      </c>
      <c r="M17" s="626" t="s">
        <v>233</v>
      </c>
      <c r="N17" s="626" t="s">
        <v>234</v>
      </c>
      <c r="O17" s="626" t="s">
        <v>235</v>
      </c>
      <c r="P17" s="652">
        <v>2018</v>
      </c>
      <c r="Q17" s="626" t="s">
        <v>236</v>
      </c>
      <c r="R17" s="626" t="s">
        <v>237</v>
      </c>
      <c r="S17" s="626" t="s">
        <v>238</v>
      </c>
      <c r="T17" s="626" t="s">
        <v>239</v>
      </c>
      <c r="U17" s="652">
        <v>2019</v>
      </c>
      <c r="V17" s="626" t="s">
        <v>240</v>
      </c>
      <c r="W17" s="626" t="s">
        <v>241</v>
      </c>
      <c r="X17" s="626" t="s">
        <v>242</v>
      </c>
      <c r="Y17" s="626" t="s">
        <v>243</v>
      </c>
      <c r="Z17" s="652">
        <v>2020</v>
      </c>
      <c r="AA17" s="626" t="s">
        <v>244</v>
      </c>
      <c r="AB17" s="626" t="s">
        <v>245</v>
      </c>
      <c r="AC17" s="626" t="s">
        <v>246</v>
      </c>
      <c r="AD17" s="626" t="s">
        <v>247</v>
      </c>
      <c r="AE17" s="652">
        <v>2021</v>
      </c>
      <c r="AF17" s="626" t="s">
        <v>248</v>
      </c>
      <c r="AG17" s="626" t="s">
        <v>249</v>
      </c>
      <c r="AH17" s="626" t="s">
        <v>250</v>
      </c>
      <c r="AI17" s="626" t="s">
        <v>215</v>
      </c>
      <c r="AJ17" s="652">
        <v>2022</v>
      </c>
      <c r="AK17" s="626" t="s">
        <v>252</v>
      </c>
      <c r="AL17" s="626" t="s">
        <v>253</v>
      </c>
      <c r="AM17" s="626" t="s">
        <v>254</v>
      </c>
      <c r="AN17" s="626" t="s">
        <v>219</v>
      </c>
      <c r="AO17" s="652">
        <v>2023</v>
      </c>
      <c r="AP17" s="626" t="s">
        <v>223</v>
      </c>
      <c r="AQ17" s="626" t="s">
        <v>256</v>
      </c>
      <c r="AR17" s="626" t="s">
        <v>357</v>
      </c>
      <c r="AS17" s="626" t="s">
        <v>358</v>
      </c>
      <c r="AT17" s="652">
        <v>2024</v>
      </c>
      <c r="AU17" s="626" t="s">
        <v>359</v>
      </c>
      <c r="AV17" s="626" t="s">
        <v>1115</v>
      </c>
      <c r="AW17" s="626" t="s">
        <v>1116</v>
      </c>
      <c r="AX17" s="626" t="s">
        <v>1117</v>
      </c>
      <c r="AY17" s="653" t="s">
        <v>1118</v>
      </c>
      <c r="AZ17" s="645" t="s">
        <v>1124</v>
      </c>
    </row>
    <row r="18" spans="1:56" ht="14.85" customHeight="1">
      <c r="A18" s="54" t="s">
        <v>714</v>
      </c>
      <c r="B18" s="76"/>
      <c r="C18" s="76"/>
      <c r="D18" s="76"/>
      <c r="E18" s="76"/>
      <c r="F18" s="39"/>
      <c r="G18" s="76">
        <v>560677.74777000002</v>
      </c>
      <c r="H18" s="76">
        <v>576020.97540999996</v>
      </c>
      <c r="I18" s="76">
        <v>587947.6573900003</v>
      </c>
      <c r="J18" s="76">
        <v>593805.63769</v>
      </c>
      <c r="K18" s="39">
        <f>SUM(G18:J18)</f>
        <v>2318452.0182600003</v>
      </c>
      <c r="L18" s="76">
        <v>600503.55825999996</v>
      </c>
      <c r="M18" s="76">
        <v>606263.19518999988</v>
      </c>
      <c r="N18" s="76">
        <v>600001.52379000001</v>
      </c>
      <c r="O18" s="76">
        <v>303384.08412000001</v>
      </c>
      <c r="P18" s="39">
        <f>SUM(L18:O18)</f>
        <v>2110152.3613599995</v>
      </c>
      <c r="Q18" s="76">
        <v>595305.89520999999</v>
      </c>
      <c r="R18" s="76">
        <v>614585.36812</v>
      </c>
      <c r="S18" s="76">
        <v>607280.21377000003</v>
      </c>
      <c r="T18" s="76">
        <v>614942.46693999995</v>
      </c>
      <c r="U18" s="39">
        <v>2432113.94404</v>
      </c>
      <c r="V18" s="76">
        <v>629069.37100000004</v>
      </c>
      <c r="W18" s="76">
        <v>636235.57649000001</v>
      </c>
      <c r="X18" s="76">
        <v>659175.39900999994</v>
      </c>
      <c r="Y18" s="76">
        <v>666391.77009000001</v>
      </c>
      <c r="Z18" s="39">
        <v>2590872.1165899998</v>
      </c>
      <c r="AA18" s="76">
        <v>681505.57319999987</v>
      </c>
      <c r="AB18" s="76">
        <v>685444.15838999988</v>
      </c>
      <c r="AC18" s="76">
        <v>690113.68786000006</v>
      </c>
      <c r="AD18" s="76">
        <v>702518.54083000007</v>
      </c>
      <c r="AE18" s="39">
        <v>2759581.9602800002</v>
      </c>
      <c r="AF18" s="76">
        <f t="shared" ref="AF18:AI19" si="24">AF30+AF42</f>
        <v>714887.98425999994</v>
      </c>
      <c r="AG18" s="76">
        <f t="shared" si="24"/>
        <v>727313.96155000001</v>
      </c>
      <c r="AH18" s="76">
        <f t="shared" si="24"/>
        <v>738286.03072999988</v>
      </c>
      <c r="AI18" s="76">
        <f t="shared" si="24"/>
        <v>760585.22917000006</v>
      </c>
      <c r="AJ18" s="39">
        <f>SUM(AF18:AI18)</f>
        <v>2941073.2057099999</v>
      </c>
      <c r="AK18" s="76">
        <f t="shared" ref="AK18:AN19" si="25">AK30+AK42</f>
        <v>775900.68898000009</v>
      </c>
      <c r="AL18" s="76">
        <f t="shared" si="25"/>
        <v>797259.66492999997</v>
      </c>
      <c r="AM18" s="76">
        <f t="shared" si="25"/>
        <v>813449.83400000003</v>
      </c>
      <c r="AN18" s="76">
        <f t="shared" si="25"/>
        <v>836270.14387000003</v>
      </c>
      <c r="AO18" s="39">
        <f>SUM(AK18:AN18)</f>
        <v>3222880.3317799997</v>
      </c>
      <c r="AP18" s="76">
        <f t="shared" ref="AP18:AS19" si="26">AP30+AP42</f>
        <v>855543.79370999988</v>
      </c>
      <c r="AQ18" s="76">
        <f t="shared" si="26"/>
        <v>880557.92540000007</v>
      </c>
      <c r="AR18" s="76">
        <f t="shared" si="26"/>
        <v>922421.41914000013</v>
      </c>
      <c r="AS18" s="76">
        <f t="shared" si="26"/>
        <v>943812.34199999995</v>
      </c>
      <c r="AT18" s="39">
        <f>SUM(AP18:AS18)</f>
        <v>3602335.48025</v>
      </c>
      <c r="AU18" s="76">
        <f t="shared" ref="AU18:AX19" si="27">AU30+AU42</f>
        <v>961990.96851000004</v>
      </c>
      <c r="AV18" s="76">
        <f t="shared" si="27"/>
        <v>984581.09996999986</v>
      </c>
      <c r="AW18" s="76">
        <f t="shared" si="27"/>
        <v>1016780.7087600001</v>
      </c>
      <c r="AX18" s="76">
        <f t="shared" si="27"/>
        <v>1043870.6222000001</v>
      </c>
      <c r="AY18" s="39">
        <f t="shared" ref="AY18:AY25" si="28">SUM(AU18:AX18)</f>
        <v>4007223.3994399998</v>
      </c>
      <c r="AZ18" s="76">
        <f>AZ30+AZ42</f>
        <v>1087435.2329899999</v>
      </c>
      <c r="BA18" s="114"/>
      <c r="BB18" s="114"/>
      <c r="BC18" s="114"/>
      <c r="BD18" s="114"/>
    </row>
    <row r="19" spans="1:56" ht="14.85" customHeight="1">
      <c r="A19" s="56" t="s">
        <v>443</v>
      </c>
      <c r="B19" s="8"/>
      <c r="C19" s="8"/>
      <c r="D19" s="8"/>
      <c r="E19" s="8"/>
      <c r="F19" s="40"/>
      <c r="G19" s="8">
        <v>0</v>
      </c>
      <c r="H19" s="8">
        <v>51073.170970000021</v>
      </c>
      <c r="I19" s="8">
        <v>0</v>
      </c>
      <c r="J19" s="8">
        <v>-81136.577010000037</v>
      </c>
      <c r="K19" s="40">
        <f t="shared" ref="K19:K24" si="29">SUM(G19:J19)</f>
        <v>-30063.406040000016</v>
      </c>
      <c r="L19" s="8">
        <v>0</v>
      </c>
      <c r="M19" s="8">
        <v>-5809.7740099999846</v>
      </c>
      <c r="N19" s="8">
        <v>908820.00397000019</v>
      </c>
      <c r="O19" s="8">
        <v>0</v>
      </c>
      <c r="P19" s="40">
        <f t="shared" ref="P19:P24" si="30">SUM(L19:O19)</f>
        <v>903010.22996000026</v>
      </c>
      <c r="Q19" s="1">
        <v>0</v>
      </c>
      <c r="R19" s="1">
        <v>0</v>
      </c>
      <c r="S19" s="1">
        <v>0</v>
      </c>
      <c r="T19" s="1">
        <v>0</v>
      </c>
      <c r="U19" s="40">
        <v>0</v>
      </c>
      <c r="V19" s="1">
        <v>0</v>
      </c>
      <c r="W19" s="1">
        <v>0</v>
      </c>
      <c r="X19" s="1">
        <v>0</v>
      </c>
      <c r="Y19" s="1">
        <v>0</v>
      </c>
      <c r="Z19" s="40">
        <v>0</v>
      </c>
      <c r="AA19" s="1">
        <v>10.019110000000001</v>
      </c>
      <c r="AB19" s="1">
        <v>-10.845890000000015</v>
      </c>
      <c r="AC19" s="1">
        <v>5.0950000000000002E-2</v>
      </c>
      <c r="AD19" s="1">
        <v>5.0939999999999999E-2</v>
      </c>
      <c r="AE19" s="40">
        <v>-0.72489000000001358</v>
      </c>
      <c r="AF19" s="1">
        <f t="shared" si="24"/>
        <v>4.9839999999999995E-2</v>
      </c>
      <c r="AG19" s="1">
        <f t="shared" si="24"/>
        <v>5.0400000000000007E-2</v>
      </c>
      <c r="AH19" s="1">
        <f t="shared" si="24"/>
        <v>5.0939999999999999E-2</v>
      </c>
      <c r="AI19" s="1">
        <f t="shared" si="24"/>
        <v>0.57371000000000005</v>
      </c>
      <c r="AJ19" s="40">
        <f t="shared" ref="AJ19:AJ25" si="31">SUM(AF19:AI19)</f>
        <v>0.72489000000000003</v>
      </c>
      <c r="AK19" s="1">
        <f t="shared" si="25"/>
        <v>3.552713678800501E-18</v>
      </c>
      <c r="AL19" s="1">
        <f t="shared" si="25"/>
        <v>0</v>
      </c>
      <c r="AM19" s="1">
        <f t="shared" si="25"/>
        <v>0</v>
      </c>
      <c r="AN19" s="1">
        <f t="shared" si="25"/>
        <v>-0.13691000000000003</v>
      </c>
      <c r="AO19" s="40">
        <f t="shared" ref="AO19:AO25" si="32">SUM(AK19:AN19)</f>
        <v>-0.13691000000000003</v>
      </c>
      <c r="AP19" s="1">
        <f t="shared" si="26"/>
        <v>-6.5724099999999996</v>
      </c>
      <c r="AQ19" s="1">
        <f t="shared" si="26"/>
        <v>-6.0030799999999989</v>
      </c>
      <c r="AR19" s="1">
        <f t="shared" si="26"/>
        <v>10.416210000000001</v>
      </c>
      <c r="AS19" s="1">
        <f t="shared" si="26"/>
        <v>0.53</v>
      </c>
      <c r="AT19" s="40">
        <f t="shared" ref="AT19:AT25" si="33">SUM(AP19:AS19)</f>
        <v>-1.6292799999999972</v>
      </c>
      <c r="AU19" s="1">
        <f t="shared" si="27"/>
        <v>0.52988999999999997</v>
      </c>
      <c r="AV19" s="1">
        <f t="shared" si="27"/>
        <v>0.52988999999999997</v>
      </c>
      <c r="AW19" s="1">
        <f t="shared" si="27"/>
        <v>0.52988999999999997</v>
      </c>
      <c r="AX19" s="1">
        <f t="shared" si="27"/>
        <v>0.17663000000000001</v>
      </c>
      <c r="AY19" s="40">
        <f t="shared" si="28"/>
        <v>1.7663</v>
      </c>
      <c r="AZ19" s="1">
        <f>AZ31+AZ43</f>
        <v>3.8999999999999937E-3</v>
      </c>
    </row>
    <row r="20" spans="1:56" ht="14.85" customHeight="1">
      <c r="A20" s="54" t="s">
        <v>708</v>
      </c>
      <c r="B20" s="76"/>
      <c r="C20" s="76"/>
      <c r="D20" s="76"/>
      <c r="E20" s="76"/>
      <c r="F20" s="39"/>
      <c r="G20" s="76">
        <f t="shared" ref="G20" si="34">SUM(G18:G19)</f>
        <v>560677.74777000002</v>
      </c>
      <c r="H20" s="76">
        <f t="shared" ref="H20" si="35">SUM(H18:H19)</f>
        <v>627094.14637999993</v>
      </c>
      <c r="I20" s="76">
        <f t="shared" ref="I20" si="36">SUM(I18:I19)</f>
        <v>587947.6573900003</v>
      </c>
      <c r="J20" s="76">
        <f t="shared" ref="J20" si="37">SUM(J18:J19)</f>
        <v>512669.06068</v>
      </c>
      <c r="K20" s="39">
        <f t="shared" si="29"/>
        <v>2288388.6122200005</v>
      </c>
      <c r="L20" s="76">
        <f t="shared" ref="L20" si="38">SUM(L18:L19)</f>
        <v>600503.55825999996</v>
      </c>
      <c r="M20" s="76">
        <f t="shared" ref="M20" si="39">SUM(M18:M19)</f>
        <v>600453.42117999995</v>
      </c>
      <c r="N20" s="76">
        <f t="shared" ref="N20" si="40">SUM(N18:N19)</f>
        <v>1508821.5277600002</v>
      </c>
      <c r="O20" s="76">
        <f t="shared" ref="O20" si="41">SUM(O18:O19)</f>
        <v>303384.08412000001</v>
      </c>
      <c r="P20" s="39">
        <f t="shared" si="30"/>
        <v>3013162.5913199997</v>
      </c>
      <c r="Q20" s="76">
        <v>595305.89520999999</v>
      </c>
      <c r="R20" s="76">
        <v>614585.36812</v>
      </c>
      <c r="S20" s="76">
        <v>607280.21377000003</v>
      </c>
      <c r="T20" s="76">
        <v>614942.46693999995</v>
      </c>
      <c r="U20" s="39">
        <v>2432113.94404</v>
      </c>
      <c r="V20" s="76">
        <v>629069.37100000004</v>
      </c>
      <c r="W20" s="76">
        <v>636235.57649000001</v>
      </c>
      <c r="X20" s="76">
        <v>659175.39900999994</v>
      </c>
      <c r="Y20" s="76">
        <v>666391.77009000001</v>
      </c>
      <c r="Z20" s="39">
        <v>2590872.1165899998</v>
      </c>
      <c r="AA20" s="76">
        <v>681515.59230999986</v>
      </c>
      <c r="AB20" s="76">
        <v>685433.31249999988</v>
      </c>
      <c r="AC20" s="76">
        <v>690113.73881000001</v>
      </c>
      <c r="AD20" s="76">
        <v>702518.59177000006</v>
      </c>
      <c r="AE20" s="39">
        <v>2759581.23539</v>
      </c>
      <c r="AF20" s="76">
        <f>SUM(AF18:AF19)</f>
        <v>714888.03409999993</v>
      </c>
      <c r="AG20" s="76">
        <f>SUM(AG18:AG19)</f>
        <v>727314.01194999996</v>
      </c>
      <c r="AH20" s="76">
        <f>SUM(AH18:AH19)</f>
        <v>738286.08166999987</v>
      </c>
      <c r="AI20" s="76">
        <f>SUM(AI18:AI19)</f>
        <v>760585.80288000009</v>
      </c>
      <c r="AJ20" s="39">
        <f t="shared" si="31"/>
        <v>2941073.9305999996</v>
      </c>
      <c r="AK20" s="76">
        <f>SUM(AK18:AK19)</f>
        <v>775900.68898000009</v>
      </c>
      <c r="AL20" s="76">
        <f t="shared" ref="AL20:AN20" si="42">SUM(AL18:AL19)</f>
        <v>797259.66492999997</v>
      </c>
      <c r="AM20" s="76">
        <f t="shared" si="42"/>
        <v>813449.83400000003</v>
      </c>
      <c r="AN20" s="76">
        <f t="shared" si="42"/>
        <v>836270.00696000003</v>
      </c>
      <c r="AO20" s="39">
        <f t="shared" si="32"/>
        <v>3222880.1948699998</v>
      </c>
      <c r="AP20" s="76">
        <f>SUM(AP18:AP19)</f>
        <v>855537.22129999986</v>
      </c>
      <c r="AQ20" s="76">
        <f>SUM(AQ18:AQ19)</f>
        <v>880551.92232000001</v>
      </c>
      <c r="AR20" s="76">
        <f>SUM(AR18:AR19)</f>
        <v>922431.83535000018</v>
      </c>
      <c r="AS20" s="76">
        <f>SUM(AS18:AS19)</f>
        <v>943812.87199999997</v>
      </c>
      <c r="AT20" s="39">
        <f t="shared" si="33"/>
        <v>3602333.85097</v>
      </c>
      <c r="AU20" s="76">
        <f>SUM(AU18:AU19)</f>
        <v>961991.49840000004</v>
      </c>
      <c r="AV20" s="76">
        <f>SUM(AV18:AV19)</f>
        <v>984581.62985999987</v>
      </c>
      <c r="AW20" s="76">
        <f>SUM(AW18:AW19)</f>
        <v>1016781.2386500001</v>
      </c>
      <c r="AX20" s="76">
        <f>SUM(AX18:AX19)</f>
        <v>1043870.7988300001</v>
      </c>
      <c r="AY20" s="39">
        <f t="shared" si="28"/>
        <v>4007225.1657400001</v>
      </c>
      <c r="AZ20" s="76">
        <f>SUM(AZ18:AZ19)</f>
        <v>1087435.2368899998</v>
      </c>
    </row>
    <row r="21" spans="1:56" ht="14.85" customHeight="1">
      <c r="A21" s="56" t="s">
        <v>477</v>
      </c>
      <c r="B21" s="8"/>
      <c r="C21" s="8"/>
      <c r="D21" s="8"/>
      <c r="E21" s="8"/>
      <c r="F21" s="40"/>
      <c r="G21" s="8">
        <v>-113970.07094000001</v>
      </c>
      <c r="H21" s="8">
        <v>-106592.92770000006</v>
      </c>
      <c r="I21" s="8">
        <v>-215256.17722999994</v>
      </c>
      <c r="J21" s="8">
        <v>-77450.877120000005</v>
      </c>
      <c r="K21" s="40">
        <f t="shared" si="29"/>
        <v>-513270.05299000005</v>
      </c>
      <c r="L21" s="8">
        <v>-148155.50269000002</v>
      </c>
      <c r="M21" s="8">
        <v>-136202.22310999999</v>
      </c>
      <c r="N21" s="8">
        <v>-237158.07703999995</v>
      </c>
      <c r="O21" s="8">
        <v>-42681.867850000002</v>
      </c>
      <c r="P21" s="40">
        <f t="shared" si="30"/>
        <v>-564197.67068999994</v>
      </c>
      <c r="Q21" s="1">
        <v>-157140.41107999999</v>
      </c>
      <c r="R21" s="1">
        <v>-114065.30188</v>
      </c>
      <c r="S21" s="1">
        <v>-156644.37211000003</v>
      </c>
      <c r="T21" s="1">
        <v>-62011.903230000011</v>
      </c>
      <c r="U21" s="40">
        <v>-489861.98830000003</v>
      </c>
      <c r="V21" s="1">
        <v>-133931.1637</v>
      </c>
      <c r="W21" s="1">
        <v>-172960.48825999998</v>
      </c>
      <c r="X21" s="1">
        <v>-226326.90495000003</v>
      </c>
      <c r="Y21" s="1">
        <v>-199769.90021999998</v>
      </c>
      <c r="Z21" s="40">
        <v>-732988.45713</v>
      </c>
      <c r="AA21" s="1">
        <v>-272928.38083000004</v>
      </c>
      <c r="AB21" s="1">
        <v>-322269.76231999998</v>
      </c>
      <c r="AC21" s="1">
        <v>-306137.47528000007</v>
      </c>
      <c r="AD21" s="1">
        <v>-170481.91832000003</v>
      </c>
      <c r="AE21" s="40">
        <v>-1071817.53675</v>
      </c>
      <c r="AF21" s="1">
        <f t="shared" ref="AF21:AI24" si="43">AF33+AF45</f>
        <v>-205357.06245</v>
      </c>
      <c r="AG21" s="1">
        <f t="shared" si="43"/>
        <v>-171984.34445999999</v>
      </c>
      <c r="AH21" s="1">
        <f t="shared" si="43"/>
        <v>-190208.87759999998</v>
      </c>
      <c r="AI21" s="1">
        <f t="shared" si="43"/>
        <v>-270665.50329999998</v>
      </c>
      <c r="AJ21" s="40">
        <f t="shared" si="31"/>
        <v>-838215.78781000001</v>
      </c>
      <c r="AK21" s="1">
        <f t="shared" ref="AK21:AN24" si="44">AK33+AK45</f>
        <v>-213307.15825000001</v>
      </c>
      <c r="AL21" s="1">
        <f t="shared" si="44"/>
        <v>-187259.32535</v>
      </c>
      <c r="AM21" s="1">
        <f t="shared" si="44"/>
        <v>-186025.807</v>
      </c>
      <c r="AN21" s="1">
        <f t="shared" si="44"/>
        <v>-143199.76876000001</v>
      </c>
      <c r="AO21" s="40">
        <f t="shared" si="32"/>
        <v>-729792.05936000007</v>
      </c>
      <c r="AP21" s="1">
        <f t="shared" ref="AP21:AS24" si="45">AP33+AP45</f>
        <v>-202708.62267000001</v>
      </c>
      <c r="AQ21" s="1">
        <f t="shared" si="45"/>
        <v>-672404.94429000001</v>
      </c>
      <c r="AR21" s="1">
        <f t="shared" si="45"/>
        <v>-144119.12762000004</v>
      </c>
      <c r="AS21" s="1">
        <f t="shared" si="45"/>
        <v>-174116.09</v>
      </c>
      <c r="AT21" s="40">
        <f t="shared" si="33"/>
        <v>-1193348.78458</v>
      </c>
      <c r="AU21" s="1">
        <f t="shared" ref="AU21:AX24" si="46">AU33+AU45</f>
        <v>-249330.60993000001</v>
      </c>
      <c r="AV21" s="1">
        <f t="shared" si="46"/>
        <v>-270071.45023999998</v>
      </c>
      <c r="AW21" s="1">
        <f t="shared" si="46"/>
        <v>-267179.78698999999</v>
      </c>
      <c r="AX21" s="1">
        <f t="shared" si="46"/>
        <v>-248602.3371</v>
      </c>
      <c r="AY21" s="40">
        <f t="shared" si="28"/>
        <v>-1035184.1842599999</v>
      </c>
      <c r="AZ21" s="1">
        <f>AZ33+AZ45</f>
        <v>-270274.20556999999</v>
      </c>
    </row>
    <row r="22" spans="1:56" ht="14.85" customHeight="1">
      <c r="A22" s="56" t="s">
        <v>478</v>
      </c>
      <c r="B22" s="8"/>
      <c r="C22" s="8"/>
      <c r="D22" s="8"/>
      <c r="E22" s="8"/>
      <c r="F22" s="40"/>
      <c r="G22" s="8">
        <v>-64174.347780000004</v>
      </c>
      <c r="H22" s="8">
        <v>-55679.420989999999</v>
      </c>
      <c r="I22" s="8">
        <v>-59809.454070000014</v>
      </c>
      <c r="J22" s="8">
        <v>-55724.690110000003</v>
      </c>
      <c r="K22" s="40">
        <f t="shared" si="29"/>
        <v>-235387.91295</v>
      </c>
      <c r="L22" s="8">
        <v>-55489.454870000009</v>
      </c>
      <c r="M22" s="8">
        <v>-57817.515240000008</v>
      </c>
      <c r="N22" s="8">
        <v>-60414.718579999993</v>
      </c>
      <c r="O22" s="8">
        <v>-30251.667170000001</v>
      </c>
      <c r="P22" s="40">
        <f t="shared" si="30"/>
        <v>-203973.35586000001</v>
      </c>
      <c r="Q22" s="1">
        <v>-48716.491199999997</v>
      </c>
      <c r="R22" s="1">
        <v>-45862.314279999991</v>
      </c>
      <c r="S22" s="1">
        <v>-46937.127329999996</v>
      </c>
      <c r="T22" s="1">
        <v>-52036.160359999994</v>
      </c>
      <c r="U22" s="40">
        <v>-193552.09316999995</v>
      </c>
      <c r="V22" s="1">
        <v>-46246.905490000005</v>
      </c>
      <c r="W22" s="1">
        <v>-50018.175630000005</v>
      </c>
      <c r="X22" s="1">
        <v>-52265.858900000007</v>
      </c>
      <c r="Y22" s="1">
        <v>-53344.552379999994</v>
      </c>
      <c r="Z22" s="40">
        <v>-201875.49240000005</v>
      </c>
      <c r="AA22" s="1">
        <v>-50765.18862999999</v>
      </c>
      <c r="AB22" s="1">
        <v>-56620.483110000001</v>
      </c>
      <c r="AC22" s="1">
        <v>-58062.623519999994</v>
      </c>
      <c r="AD22" s="1">
        <v>-63027.794510000007</v>
      </c>
      <c r="AE22" s="40">
        <v>-228476.08976999999</v>
      </c>
      <c r="AF22" s="1">
        <f t="shared" si="43"/>
        <v>-66371.153319999998</v>
      </c>
      <c r="AG22" s="1">
        <f t="shared" si="43"/>
        <v>-69525.734239999991</v>
      </c>
      <c r="AH22" s="1">
        <f t="shared" si="43"/>
        <v>-74031.084159999999</v>
      </c>
      <c r="AI22" s="1">
        <f t="shared" si="43"/>
        <v>-78573.320139999996</v>
      </c>
      <c r="AJ22" s="40">
        <f t="shared" si="31"/>
        <v>-288501.29186</v>
      </c>
      <c r="AK22" s="1">
        <f t="shared" si="44"/>
        <v>-82301.461340000009</v>
      </c>
      <c r="AL22" s="1">
        <f t="shared" si="44"/>
        <v>-87296.975080000004</v>
      </c>
      <c r="AM22" s="1">
        <f t="shared" si="44"/>
        <v>-91732.790000000008</v>
      </c>
      <c r="AN22" s="1">
        <f t="shared" si="44"/>
        <v>-97595.213820000004</v>
      </c>
      <c r="AO22" s="40">
        <f t="shared" si="32"/>
        <v>-358926.44024000003</v>
      </c>
      <c r="AP22" s="1">
        <f t="shared" si="45"/>
        <v>-101993.79684</v>
      </c>
      <c r="AQ22" s="1">
        <f t="shared" si="45"/>
        <v>-108106.20809</v>
      </c>
      <c r="AR22" s="1">
        <f t="shared" si="45"/>
        <v>-116061.94504000001</v>
      </c>
      <c r="AS22" s="1">
        <f t="shared" si="45"/>
        <v>-121875.162</v>
      </c>
      <c r="AT22" s="40">
        <f t="shared" si="33"/>
        <v>-448037.11197000003</v>
      </c>
      <c r="AU22" s="1">
        <f t="shared" si="46"/>
        <v>-126590.46187</v>
      </c>
      <c r="AV22" s="1">
        <f t="shared" si="46"/>
        <v>-132000.40255999999</v>
      </c>
      <c r="AW22" s="1">
        <f t="shared" si="46"/>
        <v>-138751.52178999997</v>
      </c>
      <c r="AX22" s="1">
        <f t="shared" si="46"/>
        <v>-144903.64332</v>
      </c>
      <c r="AY22" s="40">
        <f t="shared" si="28"/>
        <v>-542246.02954000002</v>
      </c>
      <c r="AZ22" s="1">
        <f>AZ34+AZ46</f>
        <v>-154269.18787999998</v>
      </c>
    </row>
    <row r="23" spans="1:56" ht="14.85" customHeight="1">
      <c r="A23" s="56" t="s">
        <v>479</v>
      </c>
      <c r="B23" s="8"/>
      <c r="C23" s="8"/>
      <c r="D23" s="8"/>
      <c r="E23" s="8"/>
      <c r="F23" s="40"/>
      <c r="G23" s="8">
        <v>-3994.3973400000173</v>
      </c>
      <c r="H23" s="8">
        <v>-3718.884169999988</v>
      </c>
      <c r="I23" s="8">
        <v>2186.3982900000001</v>
      </c>
      <c r="J23" s="8">
        <v>17342.845489999967</v>
      </c>
      <c r="K23" s="40">
        <f t="shared" si="29"/>
        <v>11815.962269999962</v>
      </c>
      <c r="L23" s="8">
        <v>-1318.8841100000031</v>
      </c>
      <c r="M23" s="8">
        <v>-5435.1380799999988</v>
      </c>
      <c r="N23" s="8">
        <v>-153365.87926000002</v>
      </c>
      <c r="O23" s="8">
        <v>11180.994259999998</v>
      </c>
      <c r="P23" s="40">
        <f t="shared" si="30"/>
        <v>-148938.90719</v>
      </c>
      <c r="Q23" s="1">
        <v>-968.85884999999996</v>
      </c>
      <c r="R23" s="1">
        <v>4859.4332200000008</v>
      </c>
      <c r="S23" s="1">
        <v>13296.826710000001</v>
      </c>
      <c r="T23" s="1">
        <v>8991.9247500000001</v>
      </c>
      <c r="U23" s="40">
        <v>26179.325830000002</v>
      </c>
      <c r="V23" s="1">
        <v>-13826.862420000001</v>
      </c>
      <c r="W23" s="1">
        <v>1681.4874200000002</v>
      </c>
      <c r="X23" s="1">
        <v>-19724.046419999999</v>
      </c>
      <c r="Y23" s="1">
        <v>2487.6251299999994</v>
      </c>
      <c r="Z23" s="40">
        <v>-29381.796289999998</v>
      </c>
      <c r="AA23" s="1">
        <v>-6850.2749199999998</v>
      </c>
      <c r="AB23" s="1">
        <v>21394.407779999998</v>
      </c>
      <c r="AC23" s="1">
        <v>-10022.74172</v>
      </c>
      <c r="AD23" s="1">
        <v>-10714.70269</v>
      </c>
      <c r="AE23" s="40">
        <v>-6193.3115500000022</v>
      </c>
      <c r="AF23" s="1">
        <f t="shared" si="43"/>
        <v>23378.970609999997</v>
      </c>
      <c r="AG23" s="1">
        <f t="shared" si="43"/>
        <v>-11674.178460000001</v>
      </c>
      <c r="AH23" s="1">
        <f t="shared" si="43"/>
        <v>605.78534000000025</v>
      </c>
      <c r="AI23" s="1">
        <f t="shared" si="43"/>
        <v>-17453.92628</v>
      </c>
      <c r="AJ23" s="40">
        <f t="shared" si="31"/>
        <v>-5143.3487900000036</v>
      </c>
      <c r="AK23" s="1">
        <f t="shared" si="44"/>
        <v>1650.6248300000009</v>
      </c>
      <c r="AL23" s="1">
        <f t="shared" si="44"/>
        <v>-4284.1606000000002</v>
      </c>
      <c r="AM23" s="1">
        <f t="shared" si="44"/>
        <v>-6243.5820000000003</v>
      </c>
      <c r="AN23" s="1">
        <f t="shared" si="44"/>
        <v>-6329.7621100000006</v>
      </c>
      <c r="AO23" s="40">
        <f t="shared" si="32"/>
        <v>-15206.87988</v>
      </c>
      <c r="AP23" s="1">
        <f t="shared" si="45"/>
        <v>-42.451820000000517</v>
      </c>
      <c r="AQ23" s="1">
        <f t="shared" si="45"/>
        <v>-8163.0576800000008</v>
      </c>
      <c r="AR23" s="1">
        <f t="shared" si="45"/>
        <v>-10055.909050000002</v>
      </c>
      <c r="AS23" s="1">
        <f t="shared" si="45"/>
        <v>-18116.57</v>
      </c>
      <c r="AT23" s="40">
        <f t="shared" si="33"/>
        <v>-36377.988550000002</v>
      </c>
      <c r="AU23" s="1">
        <f t="shared" si="46"/>
        <v>-5843.4110899999996</v>
      </c>
      <c r="AV23" s="1">
        <f t="shared" si="46"/>
        <v>5300.3753900000011</v>
      </c>
      <c r="AW23" s="1">
        <f t="shared" si="46"/>
        <v>4302.8252299999995</v>
      </c>
      <c r="AX23" s="1">
        <f t="shared" si="46"/>
        <v>-3051.1013900000012</v>
      </c>
      <c r="AY23" s="40">
        <f t="shared" si="28"/>
        <v>708.68813999999975</v>
      </c>
      <c r="AZ23" s="1">
        <f>AZ35+AZ47</f>
        <v>-2874.677720000002</v>
      </c>
    </row>
    <row r="24" spans="1:56" ht="14.85" customHeight="1">
      <c r="A24" s="56" t="s">
        <v>709</v>
      </c>
      <c r="B24" s="8"/>
      <c r="C24" s="8"/>
      <c r="D24" s="8"/>
      <c r="E24" s="8"/>
      <c r="F24" s="40"/>
      <c r="G24" s="8">
        <v>-2079.7369800000001</v>
      </c>
      <c r="H24" s="8">
        <v>-2327.9214700000002</v>
      </c>
      <c r="I24" s="8">
        <v>-3493.02756</v>
      </c>
      <c r="J24" s="8">
        <v>-5244.0830400000004</v>
      </c>
      <c r="K24" s="40">
        <f t="shared" si="29"/>
        <v>-13144.769050000003</v>
      </c>
      <c r="L24" s="8">
        <v>12429.914879999997</v>
      </c>
      <c r="M24" s="8">
        <v>131.97717000000023</v>
      </c>
      <c r="N24" s="8">
        <v>-257.03554999999994</v>
      </c>
      <c r="O24" s="8">
        <v>378.58985000000075</v>
      </c>
      <c r="P24" s="40">
        <f t="shared" si="30"/>
        <v>12683.446349999997</v>
      </c>
      <c r="Q24" s="1">
        <v>-21449.942620000002</v>
      </c>
      <c r="R24" s="1">
        <v>-3234.5274100000001</v>
      </c>
      <c r="S24" s="1">
        <v>-6315.7637599999998</v>
      </c>
      <c r="T24" s="1">
        <v>78782.837399999989</v>
      </c>
      <c r="U24" s="40">
        <v>47782.603609999991</v>
      </c>
      <c r="V24" s="1">
        <v>-6608.634060000003</v>
      </c>
      <c r="W24" s="1">
        <v>-7623.3786999999993</v>
      </c>
      <c r="X24" s="1">
        <v>-2606.2484199999999</v>
      </c>
      <c r="Y24" s="1">
        <v>-4630.0639600000004</v>
      </c>
      <c r="Z24" s="40">
        <v>-21468.325140000001</v>
      </c>
      <c r="AA24" s="1">
        <v>3216.6046200000005</v>
      </c>
      <c r="AB24" s="1">
        <v>-12879.556270000003</v>
      </c>
      <c r="AC24" s="1">
        <v>12588.9665</v>
      </c>
      <c r="AD24" s="1">
        <v>-32881.854209999998</v>
      </c>
      <c r="AE24" s="40">
        <v>-29955.839359999998</v>
      </c>
      <c r="AF24" s="1">
        <f t="shared" si="43"/>
        <v>-27616.52289</v>
      </c>
      <c r="AG24" s="1">
        <f t="shared" si="43"/>
        <v>-28020.249050000002</v>
      </c>
      <c r="AH24" s="1">
        <f t="shared" si="43"/>
        <v>-12742.008370000001</v>
      </c>
      <c r="AI24" s="1">
        <f t="shared" si="43"/>
        <v>-2655.5353800000003</v>
      </c>
      <c r="AJ24" s="40">
        <f t="shared" si="31"/>
        <v>-71034.315690000003</v>
      </c>
      <c r="AK24" s="1">
        <f t="shared" si="44"/>
        <v>-5353.60088</v>
      </c>
      <c r="AL24" s="1">
        <f t="shared" si="44"/>
        <v>-2633.26613</v>
      </c>
      <c r="AM24" s="1">
        <f t="shared" si="44"/>
        <v>-2945.989</v>
      </c>
      <c r="AN24" s="1">
        <f t="shared" si="44"/>
        <v>2070.6456800000001</v>
      </c>
      <c r="AO24" s="40">
        <f t="shared" si="32"/>
        <v>-8862.2103299999999</v>
      </c>
      <c r="AP24" s="1">
        <f t="shared" si="45"/>
        <v>-3279.23342</v>
      </c>
      <c r="AQ24" s="1">
        <f t="shared" si="45"/>
        <v>334610.18099999998</v>
      </c>
      <c r="AR24" s="1">
        <f t="shared" si="45"/>
        <v>-90189.224950000033</v>
      </c>
      <c r="AS24" s="1">
        <f t="shared" si="45"/>
        <v>-11002.464</v>
      </c>
      <c r="AT24" s="40">
        <f t="shared" si="33"/>
        <v>230139.25862999994</v>
      </c>
      <c r="AU24" s="1">
        <f t="shared" si="46"/>
        <v>-14925.89474</v>
      </c>
      <c r="AV24" s="1">
        <f t="shared" si="46"/>
        <v>-1945.4998300000002</v>
      </c>
      <c r="AW24" s="1">
        <f t="shared" si="46"/>
        <v>-5073.493950000001</v>
      </c>
      <c r="AX24" s="1">
        <f t="shared" si="46"/>
        <v>-8729.4413999999997</v>
      </c>
      <c r="AY24" s="40">
        <f t="shared" si="28"/>
        <v>-30674.32992</v>
      </c>
      <c r="AZ24" s="1">
        <f>AZ36+AZ48</f>
        <v>14703.856120000002</v>
      </c>
    </row>
    <row r="25" spans="1:56" ht="14.85" customHeight="1">
      <c r="A25" s="54" t="s">
        <v>710</v>
      </c>
      <c r="B25" s="76"/>
      <c r="C25" s="76"/>
      <c r="D25" s="76"/>
      <c r="E25" s="76"/>
      <c r="F25" s="39"/>
      <c r="G25" s="76">
        <f t="shared" ref="G25" si="47">SUM(G20:G24)</f>
        <v>376459.19472999999</v>
      </c>
      <c r="H25" s="76">
        <f t="shared" ref="H25" si="48">SUM(H20:H24)</f>
        <v>458774.99204999988</v>
      </c>
      <c r="I25" s="76">
        <f t="shared" ref="I25" si="49">SUM(I20:I24)</f>
        <v>311575.39682000031</v>
      </c>
      <c r="J25" s="76">
        <f t="shared" ref="J25" si="50">SUM(J20:J24)</f>
        <v>391592.25589999993</v>
      </c>
      <c r="K25" s="39">
        <f t="shared" ref="K25" si="51">SUM(K20:K24)</f>
        <v>1538401.8395000005</v>
      </c>
      <c r="L25" s="76">
        <f t="shared" ref="L25" si="52">SUM(L20:L24)</f>
        <v>407969.63146999996</v>
      </c>
      <c r="M25" s="76">
        <f t="shared" ref="M25" si="53">SUM(M20:M24)</f>
        <v>401130.52191999997</v>
      </c>
      <c r="N25" s="76">
        <f t="shared" ref="N25" si="54">SUM(N20:N24)</f>
        <v>1057625.8173300002</v>
      </c>
      <c r="O25" s="76">
        <f t="shared" ref="O25" si="55">SUM(O20:O24)</f>
        <v>242010.13321</v>
      </c>
      <c r="P25" s="39">
        <f t="shared" ref="P25" si="56">SUM(P20:P24)</f>
        <v>2108736.1039299998</v>
      </c>
      <c r="Q25" s="76">
        <v>367030.19146</v>
      </c>
      <c r="R25" s="76">
        <v>456282.65777000005</v>
      </c>
      <c r="S25" s="76">
        <v>410679.77728000004</v>
      </c>
      <c r="T25" s="76">
        <v>588669.16549999989</v>
      </c>
      <c r="U25" s="39">
        <v>1822661.79201</v>
      </c>
      <c r="V25" s="76">
        <v>428455.80532999994</v>
      </c>
      <c r="W25" s="76">
        <v>407315.02132</v>
      </c>
      <c r="X25" s="76">
        <v>358252.3403199999</v>
      </c>
      <c r="Y25" s="76">
        <v>411134.87866000005</v>
      </c>
      <c r="Z25" s="39">
        <v>1605158.0456299996</v>
      </c>
      <c r="AA25" s="76">
        <v>354188.35254999984</v>
      </c>
      <c r="AB25" s="76">
        <v>315057.91857999988</v>
      </c>
      <c r="AC25" s="76">
        <v>328479.86478999996</v>
      </c>
      <c r="AD25" s="76">
        <v>425412.32203999994</v>
      </c>
      <c r="AE25" s="39">
        <v>1423138.45796</v>
      </c>
      <c r="AF25" s="76">
        <f>SUM(AF20:AF24)</f>
        <v>438922.26604999998</v>
      </c>
      <c r="AG25" s="76">
        <f>SUM(AG20:AG24)</f>
        <v>446109.50573999988</v>
      </c>
      <c r="AH25" s="76">
        <f>SUM(AH20:AH24)</f>
        <v>461909.8968799999</v>
      </c>
      <c r="AI25" s="76">
        <f>SUM(AI20:AI24)</f>
        <v>391237.51778000011</v>
      </c>
      <c r="AJ25" s="39">
        <f t="shared" si="31"/>
        <v>1738179.1864499999</v>
      </c>
      <c r="AK25" s="76">
        <f>SUM(AK20:AK24)</f>
        <v>476589.09334000008</v>
      </c>
      <c r="AL25" s="76">
        <f t="shared" ref="AL25:AN25" si="57">SUM(AL20:AL24)</f>
        <v>515785.9377699999</v>
      </c>
      <c r="AM25" s="76">
        <f t="shared" si="57"/>
        <v>526501.66599999997</v>
      </c>
      <c r="AN25" s="76">
        <f t="shared" si="57"/>
        <v>591215.90795000002</v>
      </c>
      <c r="AO25" s="39">
        <f t="shared" si="32"/>
        <v>2110092.60506</v>
      </c>
      <c r="AP25" s="76">
        <f>SUM(AP20:AP24)</f>
        <v>547513.11655000004</v>
      </c>
      <c r="AQ25" s="76">
        <f t="shared" ref="AQ25:AR25" si="58">SUM(AQ20:AQ24)</f>
        <v>426487.89325999998</v>
      </c>
      <c r="AR25" s="76">
        <f t="shared" si="58"/>
        <v>562005.62869000004</v>
      </c>
      <c r="AS25" s="76">
        <f t="shared" ref="AS25" si="59">SUM(AS20:AS24)</f>
        <v>618702.58600000001</v>
      </c>
      <c r="AT25" s="39">
        <f t="shared" si="33"/>
        <v>2154709.2245</v>
      </c>
      <c r="AU25" s="76">
        <f>SUM(AU20:AU24)</f>
        <v>565301.12077000004</v>
      </c>
      <c r="AV25" s="76">
        <f>SUM(AV20:AV24)</f>
        <v>585864.65261999995</v>
      </c>
      <c r="AW25" s="76">
        <f>SUM(AW20:AW24)</f>
        <v>610079.26115000003</v>
      </c>
      <c r="AX25" s="76">
        <f>SUM(AX20:AX24)</f>
        <v>638584.27562000009</v>
      </c>
      <c r="AY25" s="39">
        <f t="shared" si="28"/>
        <v>2399829.3101599999</v>
      </c>
      <c r="AZ25" s="76">
        <f>SUM(AZ20:AZ24)</f>
        <v>674721.02183999983</v>
      </c>
    </row>
    <row r="26" spans="1:56" ht="14.85" customHeight="1">
      <c r="A26" s="17" t="s">
        <v>711</v>
      </c>
      <c r="B26" s="18"/>
      <c r="C26" s="18"/>
      <c r="D26" s="18"/>
      <c r="E26" s="18"/>
      <c r="F26" s="46"/>
      <c r="G26" s="18">
        <f t="shared" ref="G26:J26" si="60">-G21/G20</f>
        <v>0.2032719710980086</v>
      </c>
      <c r="H26" s="18">
        <f t="shared" si="60"/>
        <v>0.16997914637750103</v>
      </c>
      <c r="I26" s="18">
        <f t="shared" si="60"/>
        <v>0.36611452486358859</v>
      </c>
      <c r="J26" s="18">
        <f t="shared" si="60"/>
        <v>0.15107382727030533</v>
      </c>
      <c r="K26" s="46">
        <f t="shared" ref="K26:P26" si="61">-K21/K20</f>
        <v>0.22429322111163147</v>
      </c>
      <c r="L26" s="18">
        <f t="shared" si="61"/>
        <v>0.2467187756876757</v>
      </c>
      <c r="M26" s="18">
        <f t="shared" si="61"/>
        <v>0.22683228757750751</v>
      </c>
      <c r="N26" s="18">
        <f t="shared" si="61"/>
        <v>0.15718100032154589</v>
      </c>
      <c r="O26" s="18">
        <f t="shared" si="61"/>
        <v>0.14068591624970575</v>
      </c>
      <c r="P26" s="46">
        <f t="shared" si="61"/>
        <v>0.18724434994489875</v>
      </c>
      <c r="Q26" s="18">
        <v>0.2639658238636578</v>
      </c>
      <c r="R26" s="18">
        <v>0.18559716484777805</v>
      </c>
      <c r="S26" s="18">
        <v>0.25794413939085981</v>
      </c>
      <c r="T26" s="18">
        <v>0.10084179669453618</v>
      </c>
      <c r="U26" s="46">
        <v>0.20141407827557914</v>
      </c>
      <c r="V26" s="18">
        <v>0.21290364763284589</v>
      </c>
      <c r="W26" s="18">
        <v>0.27184975919484516</v>
      </c>
      <c r="X26" s="18">
        <v>0.34334853104335372</v>
      </c>
      <c r="Y26" s="18">
        <v>0.29977846243962453</v>
      </c>
      <c r="Z26" s="46">
        <v>0.28291186293468223</v>
      </c>
      <c r="AA26" s="18">
        <v>0.4004726875065443</v>
      </c>
      <c r="AB26" s="18">
        <v>0.47016938984855661</v>
      </c>
      <c r="AC26" s="169">
        <v>0.44360437716815965</v>
      </c>
      <c r="AD26" s="169">
        <v>0.24267246492433708</v>
      </c>
      <c r="AE26" s="46">
        <v>0.38839861751651766</v>
      </c>
      <c r="AF26" s="169">
        <f t="shared" ref="AF26:AJ26" si="62">-AF21/AF20</f>
        <v>0.28725765805904402</v>
      </c>
      <c r="AG26" s="169">
        <f t="shared" si="62"/>
        <v>0.23646505035547596</v>
      </c>
      <c r="AH26" s="169">
        <f t="shared" si="62"/>
        <v>0.25763573541810286</v>
      </c>
      <c r="AI26" s="413">
        <f t="shared" si="62"/>
        <v>0.35586452215530467</v>
      </c>
      <c r="AJ26" s="493">
        <f t="shared" si="62"/>
        <v>0.28500330409545271</v>
      </c>
      <c r="AK26" s="413">
        <f t="shared" ref="AK26:AN26" si="63">-AK21/AK20</f>
        <v>0.2749155417433819</v>
      </c>
      <c r="AL26" s="413">
        <f t="shared" si="63"/>
        <v>0.23487871466122837</v>
      </c>
      <c r="AM26" s="413">
        <f t="shared" si="63"/>
        <v>0.22868749764844135</v>
      </c>
      <c r="AN26" s="413">
        <f t="shared" si="63"/>
        <v>0.17123628441555414</v>
      </c>
      <c r="AO26" s="493">
        <f>-AO21/AO20</f>
        <v>0.22644095195398273</v>
      </c>
      <c r="AP26" s="413">
        <f t="shared" ref="AP26:AR26" si="64">-AP21/AP20</f>
        <v>0.23693723384937201</v>
      </c>
      <c r="AQ26" s="413">
        <f t="shared" si="64"/>
        <v>0.76361759851526667</v>
      </c>
      <c r="AR26" s="413">
        <f t="shared" si="64"/>
        <v>0.15623824124122584</v>
      </c>
      <c r="AS26" s="413">
        <f t="shared" ref="AS26" si="65">-AS21/AS20</f>
        <v>0.18448158015797861</v>
      </c>
      <c r="AT26" s="493">
        <f t="shared" ref="AT26:AZ26" si="66">-AT21/AT20</f>
        <v>0.33127101316794028</v>
      </c>
      <c r="AU26" s="413">
        <f t="shared" si="66"/>
        <v>0.25918171869989576</v>
      </c>
      <c r="AV26" s="413">
        <f t="shared" si="66"/>
        <v>0.27430072027486652</v>
      </c>
      <c r="AW26" s="413">
        <f t="shared" si="66"/>
        <v>0.2627701779241518</v>
      </c>
      <c r="AX26" s="413">
        <f t="shared" si="66"/>
        <v>0.23815431696972511</v>
      </c>
      <c r="AY26" s="493">
        <f t="shared" si="66"/>
        <v>0.25832942783209839</v>
      </c>
      <c r="AZ26" s="413">
        <f t="shared" si="66"/>
        <v>0.24854280641389564</v>
      </c>
    </row>
    <row r="27" spans="1:56" ht="14.85" customHeight="1" thickBot="1">
      <c r="A27" s="17" t="s">
        <v>712</v>
      </c>
      <c r="B27" s="18"/>
      <c r="C27" s="18"/>
      <c r="D27" s="18"/>
      <c r="E27" s="18"/>
      <c r="F27" s="48"/>
      <c r="G27" s="18">
        <f t="shared" ref="G27:J27" si="67">-G22/G20</f>
        <v>0.11445852458964621</v>
      </c>
      <c r="H27" s="18">
        <f t="shared" si="67"/>
        <v>8.8789572206052728E-2</v>
      </c>
      <c r="I27" s="18">
        <f t="shared" si="67"/>
        <v>0.10172581405546262</v>
      </c>
      <c r="J27" s="18">
        <f t="shared" si="67"/>
        <v>0.10869524686371211</v>
      </c>
      <c r="K27" s="48">
        <f t="shared" ref="K27:P27" si="68">-K22/K20</f>
        <v>0.10286186170173545</v>
      </c>
      <c r="L27" s="18">
        <f t="shared" si="68"/>
        <v>9.2404872721794512E-2</v>
      </c>
      <c r="M27" s="18">
        <f t="shared" si="68"/>
        <v>9.6289759039723838E-2</v>
      </c>
      <c r="N27" s="18">
        <f t="shared" si="68"/>
        <v>4.004099720772928E-2</v>
      </c>
      <c r="O27" s="18">
        <f t="shared" si="68"/>
        <v>9.9714087697607465E-2</v>
      </c>
      <c r="P27" s="48">
        <f t="shared" si="68"/>
        <v>6.7694108657655877E-2</v>
      </c>
      <c r="Q27" s="18">
        <v>8.1834383956192427E-2</v>
      </c>
      <c r="R27" s="18">
        <v>7.4623179559727512E-2</v>
      </c>
      <c r="S27" s="18">
        <v>7.7290723895998462E-2</v>
      </c>
      <c r="T27" s="18">
        <v>8.4619558995390004E-2</v>
      </c>
      <c r="U27" s="48">
        <v>7.9581836058424685E-2</v>
      </c>
      <c r="V27" s="18">
        <v>7.3516384077774471E-2</v>
      </c>
      <c r="W27" s="18">
        <v>7.8615810681228332E-2</v>
      </c>
      <c r="X27" s="18">
        <v>7.9289759567023999E-2</v>
      </c>
      <c r="Y27" s="18">
        <v>8.0049836709111075E-2</v>
      </c>
      <c r="Z27" s="48">
        <v>7.79179686667439E-2</v>
      </c>
      <c r="AA27" s="18">
        <v>7.4488667908435044E-2</v>
      </c>
      <c r="AB27" s="18">
        <v>8.2605385640634452E-2</v>
      </c>
      <c r="AC27" s="169">
        <v>8.4134861044964093E-2</v>
      </c>
      <c r="AD27" s="169">
        <v>8.971690606963309E-2</v>
      </c>
      <c r="AE27" s="48">
        <v>8.2793753936259984E-2</v>
      </c>
      <c r="AF27" s="169">
        <f t="shared" ref="AF27:AJ27" si="69">-AF22/AF20</f>
        <v>9.2841326409326741E-2</v>
      </c>
      <c r="AG27" s="169">
        <f t="shared" si="69"/>
        <v>9.5592458137297123E-2</v>
      </c>
      <c r="AH27" s="169">
        <f t="shared" si="69"/>
        <v>0.10027425140203376</v>
      </c>
      <c r="AI27" s="413">
        <f t="shared" si="69"/>
        <v>0.10330631973733639</v>
      </c>
      <c r="AJ27" s="492">
        <f t="shared" si="69"/>
        <v>9.8093859137075051E-2</v>
      </c>
      <c r="AK27" s="413">
        <f t="shared" ref="AK27:AN27" si="70">-AK22/AK20</f>
        <v>0.10607215911638589</v>
      </c>
      <c r="AL27" s="413">
        <f t="shared" si="70"/>
        <v>0.10949628950269891</v>
      </c>
      <c r="AM27" s="413">
        <f t="shared" si="70"/>
        <v>0.11277006419550145</v>
      </c>
      <c r="AN27" s="413">
        <f t="shared" si="70"/>
        <v>0.11670299425753304</v>
      </c>
      <c r="AO27" s="492">
        <f>-AO22/AO20</f>
        <v>0.11136822299858339</v>
      </c>
      <c r="AP27" s="413">
        <f t="shared" ref="AP27:AR27" si="71">-AP22/AP20</f>
        <v>0.11921608353289305</v>
      </c>
      <c r="AQ27" s="413">
        <f t="shared" si="71"/>
        <v>0.12277096369873496</v>
      </c>
      <c r="AR27" s="413">
        <f t="shared" si="71"/>
        <v>0.12582170366655049</v>
      </c>
      <c r="AS27" s="413">
        <f t="shared" ref="AS27" si="72">-AS22/AS20</f>
        <v>0.1291306419054645</v>
      </c>
      <c r="AT27" s="492">
        <f t="shared" ref="AT27:AZ27" si="73">-AT22/AT20</f>
        <v>0.12437412258426774</v>
      </c>
      <c r="AU27" s="413">
        <f t="shared" si="73"/>
        <v>0.13159207963952627</v>
      </c>
      <c r="AV27" s="413">
        <f t="shared" si="73"/>
        <v>0.13406750497545791</v>
      </c>
      <c r="AW27" s="413">
        <f t="shared" si="73"/>
        <v>0.13646152831677247</v>
      </c>
      <c r="AX27" s="413">
        <f t="shared" si="73"/>
        <v>0.13881377224308994</v>
      </c>
      <c r="AY27" s="492">
        <f t="shared" si="73"/>
        <v>0.13531708529282641</v>
      </c>
      <c r="AZ27" s="413">
        <f t="shared" si="73"/>
        <v>0.14186517288257156</v>
      </c>
    </row>
    <row r="28" spans="1:56" ht="14.85" customHeight="1" thickBot="1">
      <c r="AR28" s="116"/>
    </row>
    <row r="29" spans="1:56" s="30" customFormat="1" ht="14.85" customHeight="1">
      <c r="A29" s="179" t="s">
        <v>715</v>
      </c>
      <c r="B29" s="180" t="s">
        <v>224</v>
      </c>
      <c r="C29" s="180" t="s">
        <v>225</v>
      </c>
      <c r="D29" s="180" t="s">
        <v>226</v>
      </c>
      <c r="E29" s="180" t="s">
        <v>227</v>
      </c>
      <c r="F29" s="181">
        <v>2016</v>
      </c>
      <c r="G29" s="180" t="s">
        <v>228</v>
      </c>
      <c r="H29" s="180" t="s">
        <v>229</v>
      </c>
      <c r="I29" s="180" t="s">
        <v>230</v>
      </c>
      <c r="J29" s="180" t="s">
        <v>231</v>
      </c>
      <c r="K29" s="181">
        <v>2017</v>
      </c>
      <c r="L29" s="180" t="s">
        <v>232</v>
      </c>
      <c r="M29" s="180" t="s">
        <v>233</v>
      </c>
      <c r="N29" s="180" t="s">
        <v>234</v>
      </c>
      <c r="O29" s="180" t="s">
        <v>235</v>
      </c>
      <c r="P29" s="181">
        <v>2018</v>
      </c>
      <c r="Q29" s="180" t="s">
        <v>236</v>
      </c>
      <c r="R29" s="180" t="s">
        <v>237</v>
      </c>
      <c r="S29" s="180" t="s">
        <v>238</v>
      </c>
      <c r="T29" s="180" t="s">
        <v>239</v>
      </c>
      <c r="U29" s="181">
        <v>2019</v>
      </c>
      <c r="V29" s="180" t="s">
        <v>240</v>
      </c>
      <c r="W29" s="180" t="s">
        <v>241</v>
      </c>
      <c r="X29" s="180" t="s">
        <v>242</v>
      </c>
      <c r="Y29" s="180" t="s">
        <v>243</v>
      </c>
      <c r="Z29" s="181">
        <v>2020</v>
      </c>
      <c r="AA29" s="180" t="s">
        <v>244</v>
      </c>
      <c r="AB29" s="180" t="s">
        <v>245</v>
      </c>
      <c r="AC29" s="180" t="s">
        <v>246</v>
      </c>
      <c r="AD29" s="180" t="s">
        <v>247</v>
      </c>
      <c r="AE29" s="181">
        <v>2021</v>
      </c>
      <c r="AF29" s="180" t="s">
        <v>248</v>
      </c>
      <c r="AG29" s="180" t="s">
        <v>249</v>
      </c>
      <c r="AH29" s="180" t="s">
        <v>250</v>
      </c>
      <c r="AI29" s="180" t="s">
        <v>215</v>
      </c>
      <c r="AJ29" s="181">
        <v>2022</v>
      </c>
      <c r="AK29" s="180" t="s">
        <v>252</v>
      </c>
      <c r="AL29" s="180" t="s">
        <v>253</v>
      </c>
      <c r="AM29" s="180" t="s">
        <v>254</v>
      </c>
      <c r="AN29" s="180" t="s">
        <v>219</v>
      </c>
      <c r="AO29" s="181">
        <v>2023</v>
      </c>
      <c r="AP29" s="180" t="s">
        <v>223</v>
      </c>
      <c r="AQ29" s="180" t="s">
        <v>256</v>
      </c>
      <c r="AR29" s="180" t="s">
        <v>357</v>
      </c>
      <c r="AS29" s="180" t="s">
        <v>358</v>
      </c>
      <c r="AT29" s="181">
        <v>2024</v>
      </c>
      <c r="AU29" s="180" t="s">
        <v>359</v>
      </c>
      <c r="AV29" s="180" t="s">
        <v>1115</v>
      </c>
      <c r="AW29" s="180" t="s">
        <v>1116</v>
      </c>
      <c r="AX29" s="180" t="s">
        <v>1117</v>
      </c>
      <c r="AY29" s="181" t="s">
        <v>1118</v>
      </c>
      <c r="AZ29" s="180" t="s">
        <v>1124</v>
      </c>
      <c r="BA29" s="594"/>
      <c r="BB29" s="594"/>
    </row>
    <row r="30" spans="1:56" ht="14.85" customHeight="1">
      <c r="A30" s="54" t="s">
        <v>714</v>
      </c>
      <c r="B30" s="76"/>
      <c r="C30" s="76"/>
      <c r="D30" s="76"/>
      <c r="E30" s="76"/>
      <c r="F30" s="39"/>
      <c r="G30" s="76"/>
      <c r="H30" s="76"/>
      <c r="I30" s="76"/>
      <c r="J30" s="76"/>
      <c r="K30" s="39"/>
      <c r="L30" s="76"/>
      <c r="M30" s="76"/>
      <c r="N30" s="76"/>
      <c r="O30" s="76"/>
      <c r="P30" s="39"/>
      <c r="Q30" s="76"/>
      <c r="R30" s="76"/>
      <c r="S30" s="76"/>
      <c r="T30" s="76"/>
      <c r="U30" s="39"/>
      <c r="V30" s="76"/>
      <c r="W30" s="76"/>
      <c r="X30" s="76"/>
      <c r="Y30" s="76"/>
      <c r="Z30" s="39"/>
      <c r="AA30" s="76">
        <v>315.24607000000003</v>
      </c>
      <c r="AB30" s="76">
        <v>12508.759199999999</v>
      </c>
      <c r="AC30" s="76">
        <v>31917.90899</v>
      </c>
      <c r="AD30" s="76">
        <v>53171.650719999998</v>
      </c>
      <c r="AE30" s="39">
        <v>97913.564979999996</v>
      </c>
      <c r="AF30" s="76">
        <v>72141.299729999999</v>
      </c>
      <c r="AG30" s="76">
        <v>90072.674800000008</v>
      </c>
      <c r="AH30" s="76">
        <v>113968.43591999999</v>
      </c>
      <c r="AI30" s="76">
        <v>138709.92337</v>
      </c>
      <c r="AJ30" s="39">
        <f>SUM(AF30:AI30)</f>
        <v>414892.33381999994</v>
      </c>
      <c r="AK30" s="76">
        <v>158678.93</v>
      </c>
      <c r="AL30" s="76">
        <v>185901.22907999999</v>
      </c>
      <c r="AM30" s="76">
        <v>210322.61600000001</v>
      </c>
      <c r="AN30" s="76">
        <v>240511.59193</v>
      </c>
      <c r="AO30" s="39">
        <f>SUM(AK30:AN30)</f>
        <v>795414.36701000005</v>
      </c>
      <c r="AP30" s="76">
        <v>264783.34032999998</v>
      </c>
      <c r="AQ30" s="76">
        <v>300654.03389999998</v>
      </c>
      <c r="AR30" s="76">
        <v>343564.42984000006</v>
      </c>
      <c r="AS30" s="76">
        <v>373631.76899999997</v>
      </c>
      <c r="AT30" s="39">
        <f>SUM(AP30:AS30)</f>
        <v>1282633.5730699999</v>
      </c>
      <c r="AU30" s="76">
        <v>398231.01241999998</v>
      </c>
      <c r="AV30" s="76">
        <v>427085.91920999991</v>
      </c>
      <c r="AW30" s="76">
        <v>461590.71967000002</v>
      </c>
      <c r="AX30" s="76">
        <v>493572.70220000006</v>
      </c>
      <c r="AY30" s="39">
        <f t="shared" ref="AY30:AY37" si="74">SUM(AU30:AX30)</f>
        <v>1780480.3535000002</v>
      </c>
      <c r="AZ30" s="10">
        <v>542466.08651000005</v>
      </c>
      <c r="BA30" s="1"/>
      <c r="BB30" s="1"/>
      <c r="BC30" s="1"/>
      <c r="BD30" s="184"/>
    </row>
    <row r="31" spans="1:56" ht="14.85" customHeight="1">
      <c r="A31" s="56" t="s">
        <v>443</v>
      </c>
      <c r="B31" s="8"/>
      <c r="C31" s="8"/>
      <c r="D31" s="8"/>
      <c r="E31" s="8"/>
      <c r="F31" s="40"/>
      <c r="G31" s="8"/>
      <c r="H31" s="8"/>
      <c r="I31" s="8"/>
      <c r="J31" s="8"/>
      <c r="K31" s="40"/>
      <c r="L31" s="8"/>
      <c r="M31" s="8"/>
      <c r="N31" s="8"/>
      <c r="O31" s="8"/>
      <c r="P31" s="40"/>
      <c r="Q31" s="1"/>
      <c r="R31" s="1"/>
      <c r="S31" s="1"/>
      <c r="T31" s="1"/>
      <c r="U31" s="40"/>
      <c r="V31" s="1"/>
      <c r="W31" s="1"/>
      <c r="X31" s="1"/>
      <c r="Y31" s="1"/>
      <c r="Z31" s="40"/>
      <c r="AA31" s="1">
        <v>10.89629</v>
      </c>
      <c r="AB31" s="1">
        <v>-10.896290000000015</v>
      </c>
      <c r="AC31" s="1">
        <v>0</v>
      </c>
      <c r="AD31" s="1">
        <v>0</v>
      </c>
      <c r="AE31" s="40">
        <v>-1.4210854715202004E-14</v>
      </c>
      <c r="AF31" s="1">
        <v>-7.105427357601002E-18</v>
      </c>
      <c r="AG31" s="1">
        <v>0</v>
      </c>
      <c r="AH31" s="1">
        <v>0</v>
      </c>
      <c r="AI31" s="1">
        <v>0</v>
      </c>
      <c r="AJ31" s="40">
        <f t="shared" ref="AJ31:AJ37" si="75">SUM(AF31:AI31)</f>
        <v>-7.105427357601002E-18</v>
      </c>
      <c r="AK31" s="1">
        <v>3.552713678800501E-18</v>
      </c>
      <c r="AL31" s="1">
        <v>0</v>
      </c>
      <c r="AM31" s="1">
        <v>0</v>
      </c>
      <c r="AN31" s="1">
        <v>-0.13691000000000003</v>
      </c>
      <c r="AO31" s="40">
        <f t="shared" ref="AO31:AO37" si="76">SUM(AK31:AN31)</f>
        <v>-0.13691000000000003</v>
      </c>
      <c r="AP31" s="1">
        <v>-6.5724099999999996</v>
      </c>
      <c r="AQ31" s="1">
        <v>-6.0030799999999989</v>
      </c>
      <c r="AR31" s="1">
        <v>10.416210000000001</v>
      </c>
      <c r="AS31" s="1">
        <v>0.53</v>
      </c>
      <c r="AT31" s="40">
        <f t="shared" ref="AT31:AT37" si="77">SUM(AP31:AS31)</f>
        <v>-1.6292799999999972</v>
      </c>
      <c r="AU31" s="1">
        <v>0.52988999999999997</v>
      </c>
      <c r="AV31" s="1">
        <v>0.52988999999999997</v>
      </c>
      <c r="AW31" s="1">
        <v>0.52988999999999997</v>
      </c>
      <c r="AX31" s="1">
        <v>0.17663000000000001</v>
      </c>
      <c r="AY31" s="40">
        <f t="shared" si="74"/>
        <v>1.7663</v>
      </c>
      <c r="AZ31" s="8">
        <v>3.8999999999999937E-3</v>
      </c>
      <c r="BA31" s="114"/>
      <c r="BB31" s="114"/>
    </row>
    <row r="32" spans="1:56" ht="14.85" customHeight="1">
      <c r="A32" s="54" t="s">
        <v>708</v>
      </c>
      <c r="B32" s="76"/>
      <c r="C32" s="76"/>
      <c r="D32" s="76"/>
      <c r="E32" s="76"/>
      <c r="F32" s="39"/>
      <c r="G32" s="76"/>
      <c r="H32" s="76"/>
      <c r="I32" s="76"/>
      <c r="J32" s="76"/>
      <c r="K32" s="39"/>
      <c r="L32" s="76"/>
      <c r="M32" s="76"/>
      <c r="N32" s="76"/>
      <c r="O32" s="76"/>
      <c r="P32" s="39"/>
      <c r="Q32" s="76"/>
      <c r="R32" s="76"/>
      <c r="S32" s="76"/>
      <c r="T32" s="76"/>
      <c r="U32" s="39"/>
      <c r="V32" s="76"/>
      <c r="W32" s="76"/>
      <c r="X32" s="76"/>
      <c r="Y32" s="76"/>
      <c r="Z32" s="39"/>
      <c r="AA32" s="76">
        <v>326.14236000000005</v>
      </c>
      <c r="AB32" s="76">
        <v>12497.862909999998</v>
      </c>
      <c r="AC32" s="76">
        <v>31917.90899</v>
      </c>
      <c r="AD32" s="76">
        <v>53171.650719999998</v>
      </c>
      <c r="AE32" s="39">
        <v>97913.564979999996</v>
      </c>
      <c r="AF32" s="76">
        <f>SUM(AF30:AF31)</f>
        <v>72141.299729999999</v>
      </c>
      <c r="AG32" s="76">
        <f>SUM(AG30:AG31)</f>
        <v>90072.674800000008</v>
      </c>
      <c r="AH32" s="76">
        <f>SUM(AH30:AH31)</f>
        <v>113968.43591999999</v>
      </c>
      <c r="AI32" s="76">
        <f>SUM(AI30:AI31)</f>
        <v>138709.92337</v>
      </c>
      <c r="AJ32" s="39">
        <f t="shared" si="75"/>
        <v>414892.33381999994</v>
      </c>
      <c r="AK32" s="76">
        <f>SUM(AK30:AK31)</f>
        <v>158678.93</v>
      </c>
      <c r="AL32" s="76">
        <f t="shared" ref="AL32:AS32" si="78">SUM(AL30:AL31)</f>
        <v>185901.22907999999</v>
      </c>
      <c r="AM32" s="76">
        <f t="shared" si="78"/>
        <v>210322.61600000001</v>
      </c>
      <c r="AN32" s="76">
        <f t="shared" si="78"/>
        <v>240511.45501999999</v>
      </c>
      <c r="AO32" s="39">
        <f t="shared" si="76"/>
        <v>795414.23010000004</v>
      </c>
      <c r="AP32" s="76">
        <f t="shared" si="78"/>
        <v>264776.76791999995</v>
      </c>
      <c r="AQ32" s="76">
        <f t="shared" si="78"/>
        <v>300648.03081999999</v>
      </c>
      <c r="AR32" s="76">
        <f t="shared" si="78"/>
        <v>343574.84605000005</v>
      </c>
      <c r="AS32" s="76">
        <f t="shared" si="78"/>
        <v>373632.299</v>
      </c>
      <c r="AT32" s="39">
        <f t="shared" si="77"/>
        <v>1282631.9437899999</v>
      </c>
      <c r="AU32" s="76">
        <f>SUM(AU30:AU31)</f>
        <v>398231.54230999999</v>
      </c>
      <c r="AV32" s="76">
        <f>SUM(AV30:AV31)</f>
        <v>427086.44909999991</v>
      </c>
      <c r="AW32" s="76">
        <f>SUM(AW30:AW31)</f>
        <v>461591.24956000003</v>
      </c>
      <c r="AX32" s="76">
        <f>SUM(AX30:AX31)</f>
        <v>493572.87883000006</v>
      </c>
      <c r="AY32" s="39">
        <f t="shared" si="74"/>
        <v>1780482.1198</v>
      </c>
      <c r="AZ32" s="76">
        <f>SUM(AZ30:AZ31)</f>
        <v>542466.09041000006</v>
      </c>
    </row>
    <row r="33" spans="1:52" ht="14.85" customHeight="1">
      <c r="A33" s="56" t="s">
        <v>477</v>
      </c>
      <c r="B33" s="8"/>
      <c r="C33" s="8"/>
      <c r="D33" s="8"/>
      <c r="E33" s="8"/>
      <c r="F33" s="40"/>
      <c r="G33" s="8"/>
      <c r="H33" s="8"/>
      <c r="I33" s="8"/>
      <c r="J33" s="8"/>
      <c r="K33" s="40"/>
      <c r="L33" s="8"/>
      <c r="M33" s="8"/>
      <c r="N33" s="8"/>
      <c r="O33" s="8"/>
      <c r="P33" s="40"/>
      <c r="Q33" s="1"/>
      <c r="R33" s="1"/>
      <c r="S33" s="1"/>
      <c r="T33" s="1"/>
      <c r="U33" s="40"/>
      <c r="V33" s="1"/>
      <c r="W33" s="1"/>
      <c r="X33" s="1"/>
      <c r="Y33" s="1"/>
      <c r="Z33" s="40"/>
      <c r="AA33" s="1">
        <v>-3.68092</v>
      </c>
      <c r="AB33" s="1">
        <v>-1869.61024</v>
      </c>
      <c r="AC33" s="1">
        <v>-6381.4806099999996</v>
      </c>
      <c r="AD33" s="1">
        <v>-10297.814370000002</v>
      </c>
      <c r="AE33" s="40">
        <v>-18552.586139999999</v>
      </c>
      <c r="AF33" s="1">
        <v>-16360.247710000001</v>
      </c>
      <c r="AG33" s="1">
        <v>-6889.4889500000008</v>
      </c>
      <c r="AH33" s="1">
        <v>-17098.054629999999</v>
      </c>
      <c r="AI33" s="1">
        <v>-28045.972040000001</v>
      </c>
      <c r="AJ33" s="40">
        <f t="shared" si="75"/>
        <v>-68393.763330000002</v>
      </c>
      <c r="AK33" s="1">
        <v>-25368.674360000001</v>
      </c>
      <c r="AL33" s="1">
        <v>-34411.787670000005</v>
      </c>
      <c r="AM33" s="1">
        <v>-29207.528999999999</v>
      </c>
      <c r="AN33" s="1">
        <v>-34999.568599999991</v>
      </c>
      <c r="AO33" s="40">
        <f t="shared" si="76"/>
        <v>-123987.55963</v>
      </c>
      <c r="AP33" s="1">
        <v>-46425.163329999996</v>
      </c>
      <c r="AQ33" s="1">
        <v>-275588.74575</v>
      </c>
      <c r="AR33" s="1">
        <v>44553.528529999989</v>
      </c>
      <c r="AS33" s="1">
        <v>-61541.807000000001</v>
      </c>
      <c r="AT33" s="40">
        <f t="shared" si="77"/>
        <v>-339002.18755000003</v>
      </c>
      <c r="AU33" s="1">
        <v>-54331.44476999998</v>
      </c>
      <c r="AV33" s="1">
        <v>-88113.083200000008</v>
      </c>
      <c r="AW33" s="1">
        <v>-83056.977669999993</v>
      </c>
      <c r="AX33" s="1">
        <v>-92278.988400000002</v>
      </c>
      <c r="AY33" s="40">
        <f t="shared" si="74"/>
        <v>-317780.49404000002</v>
      </c>
      <c r="AZ33" s="8">
        <v>-102320.51673999999</v>
      </c>
    </row>
    <row r="34" spans="1:52" ht="14.85" customHeight="1">
      <c r="A34" s="56" t="s">
        <v>478</v>
      </c>
      <c r="B34" s="8"/>
      <c r="C34" s="8"/>
      <c r="D34" s="8"/>
      <c r="E34" s="8"/>
      <c r="F34" s="40"/>
      <c r="G34" s="8"/>
      <c r="H34" s="8"/>
      <c r="I34" s="8"/>
      <c r="J34" s="8"/>
      <c r="K34" s="40"/>
      <c r="L34" s="8"/>
      <c r="M34" s="8"/>
      <c r="N34" s="8"/>
      <c r="O34" s="8"/>
      <c r="P34" s="40"/>
      <c r="Q34" s="1"/>
      <c r="R34" s="1"/>
      <c r="S34" s="1"/>
      <c r="T34" s="1"/>
      <c r="U34" s="40"/>
      <c r="V34" s="1"/>
      <c r="W34" s="1"/>
      <c r="X34" s="1"/>
      <c r="Y34" s="1"/>
      <c r="Z34" s="40"/>
      <c r="AA34" s="1">
        <v>-65.228369999999998</v>
      </c>
      <c r="AB34" s="1">
        <v>-2499.5719900000004</v>
      </c>
      <c r="AC34" s="1">
        <v>-6382.5340400000014</v>
      </c>
      <c r="AD34" s="1">
        <v>-10622.728299999999</v>
      </c>
      <c r="AE34" s="40">
        <v>-19570.062700000002</v>
      </c>
      <c r="AF34" s="1">
        <v>-14424.493780000001</v>
      </c>
      <c r="AG34" s="1">
        <v>-18003.46974</v>
      </c>
      <c r="AH34" s="1">
        <v>-22788.874169999999</v>
      </c>
      <c r="AI34" s="1">
        <v>-27740.130380000002</v>
      </c>
      <c r="AJ34" s="40">
        <f t="shared" si="75"/>
        <v>-82956.968070000003</v>
      </c>
      <c r="AK34" s="1">
        <v>-31730.14215</v>
      </c>
      <c r="AL34" s="1">
        <v>-37159.093980000005</v>
      </c>
      <c r="AM34" s="1">
        <v>-42053.665000000001</v>
      </c>
      <c r="AN34" s="1">
        <v>-48097.750619999999</v>
      </c>
      <c r="AO34" s="40">
        <f t="shared" si="76"/>
        <v>-159040.65175000002</v>
      </c>
      <c r="AP34" s="1">
        <v>-52940.570669999994</v>
      </c>
      <c r="AQ34" s="1">
        <v>-59946.184999999998</v>
      </c>
      <c r="AR34" s="1">
        <v>-68001.883860000002</v>
      </c>
      <c r="AS34" s="1">
        <v>-74426.39</v>
      </c>
      <c r="AT34" s="40">
        <f t="shared" si="77"/>
        <v>-255315.02953</v>
      </c>
      <c r="AU34" s="1">
        <v>-79631.452969999998</v>
      </c>
      <c r="AV34" s="1">
        <v>-85418.977829999989</v>
      </c>
      <c r="AW34" s="1">
        <v>-92341.255449999982</v>
      </c>
      <c r="AX34" s="1">
        <v>-98752.797839999999</v>
      </c>
      <c r="AY34" s="40">
        <f t="shared" si="74"/>
        <v>-356144.48408999998</v>
      </c>
      <c r="AZ34" s="8">
        <v>-108496.75197</v>
      </c>
    </row>
    <row r="35" spans="1:52" ht="14.85" customHeight="1">
      <c r="A35" s="56" t="s">
        <v>479</v>
      </c>
      <c r="B35" s="8"/>
      <c r="C35" s="8"/>
      <c r="D35" s="8"/>
      <c r="E35" s="8"/>
      <c r="F35" s="40"/>
      <c r="G35" s="8"/>
      <c r="H35" s="8"/>
      <c r="I35" s="8"/>
      <c r="J35" s="8"/>
      <c r="K35" s="40"/>
      <c r="L35" s="8"/>
      <c r="M35" s="8"/>
      <c r="N35" s="8"/>
      <c r="O35" s="8"/>
      <c r="P35" s="40"/>
      <c r="Q35" s="1"/>
      <c r="R35" s="1"/>
      <c r="S35" s="1"/>
      <c r="T35" s="1"/>
      <c r="U35" s="40"/>
      <c r="V35" s="1"/>
      <c r="W35" s="1"/>
      <c r="X35" s="1"/>
      <c r="Y35" s="1"/>
      <c r="Z35" s="40"/>
      <c r="AA35" s="1">
        <v>0</v>
      </c>
      <c r="AB35" s="1">
        <v>-7.7000000000000007E-4</v>
      </c>
      <c r="AC35" s="1">
        <v>-1.1062100000000001</v>
      </c>
      <c r="AD35" s="1">
        <v>-0.6804</v>
      </c>
      <c r="AE35" s="40">
        <v>-1.7873800000000002</v>
      </c>
      <c r="AF35" s="1">
        <v>-0.69961999999999991</v>
      </c>
      <c r="AG35" s="1">
        <v>-2.1414599999999999</v>
      </c>
      <c r="AH35" s="1">
        <v>-10.737860000000001</v>
      </c>
      <c r="AI35" s="1">
        <v>0</v>
      </c>
      <c r="AJ35" s="40">
        <f t="shared" si="75"/>
        <v>-13.578940000000001</v>
      </c>
      <c r="AK35" s="1">
        <v>0</v>
      </c>
      <c r="AL35" s="1">
        <v>1.0000000000000001E-5</v>
      </c>
      <c r="AM35" s="1">
        <v>0</v>
      </c>
      <c r="AN35" s="1">
        <v>-4.2313000000000001</v>
      </c>
      <c r="AO35" s="40">
        <f t="shared" si="76"/>
        <v>-4.2312900000000004</v>
      </c>
      <c r="AP35" s="1">
        <v>0.10648000000000002</v>
      </c>
      <c r="AQ35" s="1">
        <v>141.14541999999997</v>
      </c>
      <c r="AR35" s="1">
        <v>-106.06318999999999</v>
      </c>
      <c r="AS35" s="1">
        <v>155.35900000000001</v>
      </c>
      <c r="AT35" s="40">
        <f t="shared" si="77"/>
        <v>190.54771</v>
      </c>
      <c r="AU35" s="1">
        <v>22.37743</v>
      </c>
      <c r="AV35" s="1">
        <v>25.282540000000001</v>
      </c>
      <c r="AW35" s="1">
        <v>-28.168610000000001</v>
      </c>
      <c r="AX35" s="1">
        <v>-81.814359999999979</v>
      </c>
      <c r="AY35" s="40">
        <f t="shared" si="74"/>
        <v>-62.322999999999979</v>
      </c>
      <c r="AZ35" s="8">
        <v>61.369049999999987</v>
      </c>
    </row>
    <row r="36" spans="1:52" ht="14.85" customHeight="1">
      <c r="A36" s="56" t="s">
        <v>709</v>
      </c>
      <c r="B36" s="8"/>
      <c r="C36" s="8"/>
      <c r="D36" s="8"/>
      <c r="E36" s="8"/>
      <c r="F36" s="40"/>
      <c r="G36" s="8"/>
      <c r="H36" s="8"/>
      <c r="I36" s="8"/>
      <c r="J36" s="8"/>
      <c r="K36" s="40"/>
      <c r="L36" s="8"/>
      <c r="M36" s="8"/>
      <c r="N36" s="8"/>
      <c r="O36" s="8"/>
      <c r="P36" s="40"/>
      <c r="Q36" s="1"/>
      <c r="R36" s="1"/>
      <c r="S36" s="1"/>
      <c r="T36" s="1"/>
      <c r="U36" s="40"/>
      <c r="V36" s="1"/>
      <c r="W36" s="1"/>
      <c r="X36" s="1"/>
      <c r="Y36" s="1"/>
      <c r="Z36" s="40"/>
      <c r="AA36" s="1">
        <v>842.09931999999992</v>
      </c>
      <c r="AB36" s="1">
        <v>-1466.7713600000002</v>
      </c>
      <c r="AC36" s="1">
        <v>-317.51283999999998</v>
      </c>
      <c r="AD36" s="1">
        <v>-317.51288</v>
      </c>
      <c r="AE36" s="40">
        <v>-1259.6977600000002</v>
      </c>
      <c r="AF36" s="1">
        <v>-314.92442999999997</v>
      </c>
      <c r="AG36" s="1">
        <v>-687.83536000000004</v>
      </c>
      <c r="AH36" s="1">
        <v>-695.39412000000004</v>
      </c>
      <c r="AI36" s="1">
        <v>-695.39392000000009</v>
      </c>
      <c r="AJ36" s="40">
        <f t="shared" si="75"/>
        <v>-2393.54783</v>
      </c>
      <c r="AK36" s="1">
        <v>-680.27680000000009</v>
      </c>
      <c r="AL36" s="1">
        <v>-702.09971999999993</v>
      </c>
      <c r="AM36" s="1">
        <v>-709.81500000000005</v>
      </c>
      <c r="AN36" s="110">
        <v>-709.81484</v>
      </c>
      <c r="AO36" s="40">
        <f t="shared" si="76"/>
        <v>-2802.0063600000003</v>
      </c>
      <c r="AP36" s="1">
        <v>-792.89654000000007</v>
      </c>
      <c r="AQ36" s="1">
        <v>183918.17986999996</v>
      </c>
      <c r="AR36" s="1">
        <v>-105831.10786000003</v>
      </c>
      <c r="AS36" s="1">
        <v>-9388.8880000000008</v>
      </c>
      <c r="AT36" s="40">
        <f t="shared" si="77"/>
        <v>67905.287469999937</v>
      </c>
      <c r="AU36" s="1">
        <v>-11701.1096</v>
      </c>
      <c r="AV36" s="1">
        <v>733.16940000000034</v>
      </c>
      <c r="AW36" s="1">
        <v>-794.02519999999981</v>
      </c>
      <c r="AX36" s="1">
        <v>-2110.1839599999998</v>
      </c>
      <c r="AY36" s="40">
        <f t="shared" si="74"/>
        <v>-13872.149359999999</v>
      </c>
      <c r="AZ36" s="8">
        <v>230.56181999999995</v>
      </c>
    </row>
    <row r="37" spans="1:52" ht="14.85" customHeight="1">
      <c r="A37" s="54" t="s">
        <v>710</v>
      </c>
      <c r="B37" s="76"/>
      <c r="C37" s="76"/>
      <c r="D37" s="76"/>
      <c r="E37" s="76"/>
      <c r="F37" s="39"/>
      <c r="G37" s="76"/>
      <c r="H37" s="76"/>
      <c r="I37" s="76"/>
      <c r="J37" s="76"/>
      <c r="K37" s="39"/>
      <c r="L37" s="76"/>
      <c r="M37" s="76"/>
      <c r="N37" s="76"/>
      <c r="O37" s="76"/>
      <c r="P37" s="39"/>
      <c r="Q37" s="76"/>
      <c r="R37" s="76"/>
      <c r="S37" s="76"/>
      <c r="T37" s="76"/>
      <c r="U37" s="39"/>
      <c r="V37" s="76"/>
      <c r="W37" s="76"/>
      <c r="X37" s="76"/>
      <c r="Y37" s="76"/>
      <c r="Z37" s="39"/>
      <c r="AA37" s="76">
        <v>1099.33239</v>
      </c>
      <c r="AB37" s="76">
        <v>6661.9085499999983</v>
      </c>
      <c r="AC37" s="76">
        <v>18835.275289999998</v>
      </c>
      <c r="AD37" s="76">
        <v>31932.914769999999</v>
      </c>
      <c r="AE37" s="39">
        <v>58529.430999999997</v>
      </c>
      <c r="AF37" s="76">
        <f>SUM(AF32:AF36)</f>
        <v>41040.93419</v>
      </c>
      <c r="AG37" s="76">
        <f>SUM(AG32:AG36)</f>
        <v>64489.739290000012</v>
      </c>
      <c r="AH37" s="76">
        <f>SUM(AH32:AH36)</f>
        <v>73375.375140000004</v>
      </c>
      <c r="AI37" s="76">
        <f>SUM(AI32:AI36)</f>
        <v>82228.427030000006</v>
      </c>
      <c r="AJ37" s="39">
        <f t="shared" si="75"/>
        <v>261134.47565000004</v>
      </c>
      <c r="AK37" s="76">
        <f>SUM(AK32:AK36)</f>
        <v>100899.83668999998</v>
      </c>
      <c r="AL37" s="76">
        <f t="shared" ref="AL37:AS37" si="79">SUM(AL32:AL36)</f>
        <v>113628.24771999997</v>
      </c>
      <c r="AM37" s="76">
        <f t="shared" si="79"/>
        <v>138351.60699999999</v>
      </c>
      <c r="AN37" s="76">
        <f t="shared" si="79"/>
        <v>156700.08965999997</v>
      </c>
      <c r="AO37" s="39">
        <f t="shared" si="76"/>
        <v>509579.78106999991</v>
      </c>
      <c r="AP37" s="76">
        <f t="shared" si="79"/>
        <v>164618.24385999996</v>
      </c>
      <c r="AQ37" s="76">
        <f t="shared" si="79"/>
        <v>149172.42535999994</v>
      </c>
      <c r="AR37" s="76">
        <f t="shared" si="79"/>
        <v>214189.31967</v>
      </c>
      <c r="AS37" s="76">
        <f t="shared" si="79"/>
        <v>228430.57299999995</v>
      </c>
      <c r="AT37" s="39">
        <f t="shared" si="77"/>
        <v>756410.5618899999</v>
      </c>
      <c r="AU37" s="76">
        <f>SUM(AU32:AU36)</f>
        <v>252589.9124</v>
      </c>
      <c r="AV37" s="76">
        <f>SUM(AV32:AV36)</f>
        <v>254312.84000999993</v>
      </c>
      <c r="AW37" s="76">
        <f t="shared" ref="AW37:AZ37" si="80">SUM(AW32:AW36)</f>
        <v>285370.82263000007</v>
      </c>
      <c r="AX37" s="76">
        <f t="shared" si="80"/>
        <v>300349.09427</v>
      </c>
      <c r="AY37" s="39">
        <f t="shared" si="74"/>
        <v>1092622.66931</v>
      </c>
      <c r="AZ37" s="76">
        <f t="shared" si="80"/>
        <v>331940.75257000007</v>
      </c>
    </row>
    <row r="38" spans="1:52" ht="14.85" customHeight="1">
      <c r="A38" s="17" t="s">
        <v>711</v>
      </c>
      <c r="B38" s="18"/>
      <c r="C38" s="18"/>
      <c r="D38" s="18"/>
      <c r="E38" s="18"/>
      <c r="F38" s="46"/>
      <c r="G38" s="18"/>
      <c r="H38" s="18"/>
      <c r="I38" s="18"/>
      <c r="J38" s="18"/>
      <c r="K38" s="46"/>
      <c r="L38" s="18"/>
      <c r="M38" s="18"/>
      <c r="N38" s="18"/>
      <c r="O38" s="18"/>
      <c r="P38" s="46"/>
      <c r="Q38" s="18"/>
      <c r="R38" s="18"/>
      <c r="S38" s="18"/>
      <c r="T38" s="18"/>
      <c r="U38" s="46"/>
      <c r="V38" s="18"/>
      <c r="W38" s="18"/>
      <c r="X38" s="18"/>
      <c r="Y38" s="18"/>
      <c r="Z38" s="46"/>
      <c r="AA38" s="18">
        <v>1.1286237089840152E-2</v>
      </c>
      <c r="AB38" s="18">
        <v>0.14959439493483773</v>
      </c>
      <c r="AC38" s="169">
        <v>0.19993416899582431</v>
      </c>
      <c r="AD38" s="169">
        <v>0.19367114299738261</v>
      </c>
      <c r="AE38" s="46">
        <v>0.18947922224861882</v>
      </c>
      <c r="AF38" s="169">
        <f>-AF33/AF32</f>
        <v>0.22678060654896384</v>
      </c>
      <c r="AG38" s="169">
        <f>-AG33/AG32</f>
        <v>7.6488113240753899E-2</v>
      </c>
      <c r="AH38" s="169">
        <f>-AH33/AH32</f>
        <v>0.15002447381134509</v>
      </c>
      <c r="AI38" s="169">
        <f>-AI33/AI32</f>
        <v>0.20219153293877276</v>
      </c>
      <c r="AJ38" s="46">
        <f>-AJ33/(AJ32-AJ211)</f>
        <v>0.16479969565178251</v>
      </c>
      <c r="AK38" s="169">
        <f>-AK33/AK32</f>
        <v>0.15987424644217099</v>
      </c>
      <c r="AL38" s="169">
        <f t="shared" ref="AL38:AN38" si="81">-AL33/AL32</f>
        <v>0.18510790832475549</v>
      </c>
      <c r="AM38" s="169">
        <f t="shared" si="81"/>
        <v>0.13887012987704564</v>
      </c>
      <c r="AN38" s="169">
        <f t="shared" si="81"/>
        <v>0.14552142057886416</v>
      </c>
      <c r="AO38" s="46">
        <f>-AO33/(AO32-AO211)</f>
        <v>0.15554022240135884</v>
      </c>
      <c r="AP38" s="169">
        <f>-AP33/AP32</f>
        <v>0.17533699687741094</v>
      </c>
      <c r="AQ38" s="169">
        <f t="shared" ref="AQ38:AS38" si="82">-AQ33/AQ32</f>
        <v>0.91664909628161462</v>
      </c>
      <c r="AR38" s="169">
        <f t="shared" si="82"/>
        <v>-0.12967633993646951</v>
      </c>
      <c r="AS38" s="169">
        <f t="shared" si="82"/>
        <v>0.16471222419665599</v>
      </c>
      <c r="AT38" s="46">
        <f>-AT33/(AT32)</f>
        <v>0.26430199964324563</v>
      </c>
      <c r="AU38" s="169">
        <f>-AU33/AU32</f>
        <v>0.13643179657453183</v>
      </c>
      <c r="AV38" s="169">
        <f>-AV33/AV32</f>
        <v>0.20631205552337442</v>
      </c>
      <c r="AW38" s="169">
        <f t="shared" ref="AW38:AZ38" si="83">-AW33/AW32</f>
        <v>0.17993620491976811</v>
      </c>
      <c r="AX38" s="169">
        <f t="shared" si="83"/>
        <v>0.18696122165128809</v>
      </c>
      <c r="AY38" s="46">
        <f>-AY33/(AY32)</f>
        <v>0.17848002544147762</v>
      </c>
      <c r="AZ38" s="169">
        <f t="shared" si="83"/>
        <v>0.18862103742312328</v>
      </c>
    </row>
    <row r="39" spans="1:52" ht="14.85" customHeight="1" thickBot="1">
      <c r="A39" s="17" t="s">
        <v>712</v>
      </c>
      <c r="B39" s="18"/>
      <c r="C39" s="18"/>
      <c r="D39" s="18"/>
      <c r="E39" s="18"/>
      <c r="F39" s="48"/>
      <c r="G39" s="18"/>
      <c r="H39" s="18"/>
      <c r="I39" s="18"/>
      <c r="J39" s="18"/>
      <c r="K39" s="48"/>
      <c r="L39" s="18"/>
      <c r="M39" s="18"/>
      <c r="N39" s="18"/>
      <c r="O39" s="18"/>
      <c r="P39" s="48"/>
      <c r="Q39" s="18"/>
      <c r="R39" s="18"/>
      <c r="S39" s="18"/>
      <c r="T39" s="18"/>
      <c r="U39" s="48"/>
      <c r="V39" s="18"/>
      <c r="W39" s="18"/>
      <c r="X39" s="18"/>
      <c r="Y39" s="18"/>
      <c r="Z39" s="48"/>
      <c r="AA39" s="18">
        <v>0.19999968725313691</v>
      </c>
      <c r="AB39" s="18">
        <v>0.19999995263190168</v>
      </c>
      <c r="AC39" s="169">
        <v>0.19996717335085057</v>
      </c>
      <c r="AD39" s="169">
        <v>0.19978180395299189</v>
      </c>
      <c r="AE39" s="48">
        <v>0.19987080139506125</v>
      </c>
      <c r="AF39" s="169">
        <f>-AF34/AF32</f>
        <v>0.1999477945918067</v>
      </c>
      <c r="AG39" s="169">
        <f>-AG34/AG32</f>
        <v>0.1998771523103475</v>
      </c>
      <c r="AH39" s="169">
        <f>-AH34/AH32</f>
        <v>0.19995776888608546</v>
      </c>
      <c r="AI39" s="169">
        <f>-AI34/AI32</f>
        <v>0.199986631857657</v>
      </c>
      <c r="AJ39" s="48">
        <f>-AJ34/(AJ32-AJ211)</f>
        <v>0.19989078571633323</v>
      </c>
      <c r="AK39" s="169">
        <f>-AK34/AK32</f>
        <v>0.19996443226583391</v>
      </c>
      <c r="AL39" s="169">
        <f t="shared" ref="AL39:AN39" si="84">-AL34/AL32</f>
        <v>0.19988622003143997</v>
      </c>
      <c r="AM39" s="169">
        <f t="shared" si="84"/>
        <v>0.19994837359763534</v>
      </c>
      <c r="AN39" s="169">
        <f t="shared" si="84"/>
        <v>0.19998112196361034</v>
      </c>
      <c r="AO39" s="48">
        <f>-AO34/(AO32-AO211)</f>
        <v>0.19951371264885071</v>
      </c>
      <c r="AP39" s="169">
        <f>-AP34/AP32</f>
        <v>0.19994416838714316</v>
      </c>
      <c r="AQ39" s="169">
        <f t="shared" ref="AQ39:AS39" si="85">-AQ34/AQ32</f>
        <v>0.1993899139685042</v>
      </c>
      <c r="AR39" s="169">
        <f t="shared" si="85"/>
        <v>0.19792451234949768</v>
      </c>
      <c r="AS39" s="169">
        <f t="shared" si="85"/>
        <v>0.19919688474255809</v>
      </c>
      <c r="AT39" s="48">
        <f>-AT34/(AT32-AT211)</f>
        <v>0.19921665507944195</v>
      </c>
      <c r="AU39" s="169">
        <f>-AU34/AU32</f>
        <v>0.19996269634516184</v>
      </c>
      <c r="AV39" s="169">
        <f>-AV34/AV32</f>
        <v>0.2000039523848241</v>
      </c>
      <c r="AW39" s="169">
        <f t="shared" ref="AW39:AZ39" si="86">-AW34/AW32</f>
        <v>0.2000498396319729</v>
      </c>
      <c r="AX39" s="169">
        <f t="shared" si="86"/>
        <v>0.20007743957506455</v>
      </c>
      <c r="AY39" s="48">
        <f>-AY34/(AY32-AY211)</f>
        <v>0.19990590784934681</v>
      </c>
      <c r="AZ39" s="169">
        <f t="shared" si="86"/>
        <v>0.20000651448645815</v>
      </c>
    </row>
    <row r="40" spans="1:52" ht="30.75" thickBot="1">
      <c r="A40" s="787" t="s">
        <v>716</v>
      </c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</row>
    <row r="41" spans="1:52" s="30" customFormat="1" ht="14.85" customHeight="1">
      <c r="A41" s="179" t="s">
        <v>717</v>
      </c>
      <c r="B41" s="180" t="s">
        <v>224</v>
      </c>
      <c r="C41" s="180" t="s">
        <v>225</v>
      </c>
      <c r="D41" s="180" t="s">
        <v>226</v>
      </c>
      <c r="E41" s="180" t="s">
        <v>227</v>
      </c>
      <c r="F41" s="181">
        <v>2016</v>
      </c>
      <c r="G41" s="180" t="s">
        <v>228</v>
      </c>
      <c r="H41" s="180" t="s">
        <v>229</v>
      </c>
      <c r="I41" s="180" t="s">
        <v>230</v>
      </c>
      <c r="J41" s="180" t="s">
        <v>231</v>
      </c>
      <c r="K41" s="181">
        <v>2017</v>
      </c>
      <c r="L41" s="180" t="s">
        <v>232</v>
      </c>
      <c r="M41" s="180" t="s">
        <v>233</v>
      </c>
      <c r="N41" s="180" t="s">
        <v>234</v>
      </c>
      <c r="O41" s="180" t="s">
        <v>235</v>
      </c>
      <c r="P41" s="181">
        <v>2018</v>
      </c>
      <c r="Q41" s="180" t="s">
        <v>236</v>
      </c>
      <c r="R41" s="180" t="s">
        <v>237</v>
      </c>
      <c r="S41" s="180" t="s">
        <v>238</v>
      </c>
      <c r="T41" s="180" t="s">
        <v>239</v>
      </c>
      <c r="U41" s="181">
        <v>2019</v>
      </c>
      <c r="V41" s="180" t="s">
        <v>240</v>
      </c>
      <c r="W41" s="180" t="s">
        <v>241</v>
      </c>
      <c r="X41" s="180" t="s">
        <v>242</v>
      </c>
      <c r="Y41" s="180" t="s">
        <v>243</v>
      </c>
      <c r="Z41" s="181">
        <v>2020</v>
      </c>
      <c r="AA41" s="180" t="s">
        <v>244</v>
      </c>
      <c r="AB41" s="180" t="s">
        <v>245</v>
      </c>
      <c r="AC41" s="180" t="s">
        <v>246</v>
      </c>
      <c r="AD41" s="180" t="s">
        <v>247</v>
      </c>
      <c r="AE41" s="181">
        <v>2021</v>
      </c>
      <c r="AF41" s="180" t="s">
        <v>248</v>
      </c>
      <c r="AG41" s="180" t="s">
        <v>249</v>
      </c>
      <c r="AH41" s="180" t="s">
        <v>250</v>
      </c>
      <c r="AI41" s="180" t="s">
        <v>215</v>
      </c>
      <c r="AJ41" s="181">
        <v>2022</v>
      </c>
      <c r="AK41" s="180" t="s">
        <v>252</v>
      </c>
      <c r="AL41" s="180" t="s">
        <v>253</v>
      </c>
      <c r="AM41" s="180" t="s">
        <v>254</v>
      </c>
      <c r="AN41" s="180" t="s">
        <v>219</v>
      </c>
      <c r="AO41" s="181">
        <v>2023</v>
      </c>
      <c r="AP41" s="180" t="s">
        <v>223</v>
      </c>
      <c r="AQ41" s="180" t="s">
        <v>256</v>
      </c>
      <c r="AR41" s="180" t="s">
        <v>357</v>
      </c>
      <c r="AS41" s="180" t="s">
        <v>358</v>
      </c>
      <c r="AT41" s="181">
        <v>2024</v>
      </c>
      <c r="AU41" s="180" t="s">
        <v>359</v>
      </c>
      <c r="AV41" s="180" t="s">
        <v>1115</v>
      </c>
      <c r="AW41" s="180" t="s">
        <v>1116</v>
      </c>
      <c r="AX41" s="180" t="s">
        <v>1117</v>
      </c>
      <c r="AY41" s="181" t="s">
        <v>1118</v>
      </c>
      <c r="AZ41" s="180" t="s">
        <v>1124</v>
      </c>
    </row>
    <row r="42" spans="1:52" ht="14.85" customHeight="1">
      <c r="A42" s="54" t="s">
        <v>707</v>
      </c>
      <c r="B42" s="76"/>
      <c r="C42" s="76"/>
      <c r="D42" s="76"/>
      <c r="E42" s="76"/>
      <c r="F42" s="39"/>
      <c r="G42" s="76">
        <v>560677.74777000002</v>
      </c>
      <c r="H42" s="76">
        <v>576020.97540999996</v>
      </c>
      <c r="I42" s="76">
        <v>587947.6573900003</v>
      </c>
      <c r="J42" s="76">
        <v>593805.63769</v>
      </c>
      <c r="K42" s="39">
        <f>SUM(G42:J42)</f>
        <v>2318452.0182600003</v>
      </c>
      <c r="L42" s="76">
        <v>600503.55825999996</v>
      </c>
      <c r="M42" s="76">
        <v>606263.19518999988</v>
      </c>
      <c r="N42" s="76">
        <v>600001.52379000001</v>
      </c>
      <c r="O42" s="76">
        <v>303384.08412000001</v>
      </c>
      <c r="P42" s="39">
        <f>SUM(L42:O42)</f>
        <v>2110152.3613599995</v>
      </c>
      <c r="Q42" s="76">
        <v>595305.89520999999</v>
      </c>
      <c r="R42" s="76">
        <v>614585.36812</v>
      </c>
      <c r="S42" s="76">
        <v>607280.21377000003</v>
      </c>
      <c r="T42" s="76">
        <v>614942.46693999995</v>
      </c>
      <c r="U42" s="39">
        <v>2432113.94404</v>
      </c>
      <c r="V42" s="76">
        <v>629069.37100000004</v>
      </c>
      <c r="W42" s="76">
        <v>636235.57649000001</v>
      </c>
      <c r="X42" s="76">
        <v>659175.39900999994</v>
      </c>
      <c r="Y42" s="76">
        <v>666391.77009000001</v>
      </c>
      <c r="Z42" s="39">
        <v>2590872.1165899998</v>
      </c>
      <c r="AA42" s="76">
        <v>681190.32712999987</v>
      </c>
      <c r="AB42" s="76">
        <v>672935.39918999991</v>
      </c>
      <c r="AC42" s="76">
        <v>658195.77887000004</v>
      </c>
      <c r="AD42" s="76">
        <v>649346.89011000004</v>
      </c>
      <c r="AE42" s="39">
        <v>2661668.3953</v>
      </c>
      <c r="AF42" s="76">
        <v>642746.68452999997</v>
      </c>
      <c r="AG42" s="76">
        <v>637241.28674999997</v>
      </c>
      <c r="AH42" s="76">
        <v>624317.59480999992</v>
      </c>
      <c r="AI42" s="76">
        <v>621875.30580000009</v>
      </c>
      <c r="AJ42" s="39">
        <f>SUM(AF42:AI42)</f>
        <v>2526180.8718900001</v>
      </c>
      <c r="AK42" s="76">
        <v>617221.75898000004</v>
      </c>
      <c r="AL42" s="76">
        <v>611358.43585000001</v>
      </c>
      <c r="AM42" s="76">
        <v>603127.21799999999</v>
      </c>
      <c r="AN42" s="76">
        <v>595758.55194000003</v>
      </c>
      <c r="AO42" s="39">
        <f>SUM(AK42:AN42)</f>
        <v>2427465.96477</v>
      </c>
      <c r="AP42" s="76">
        <v>590760.45337999996</v>
      </c>
      <c r="AQ42" s="76">
        <v>579903.89150000003</v>
      </c>
      <c r="AR42" s="76">
        <v>578856.98930000002</v>
      </c>
      <c r="AS42" s="76">
        <v>570180.57299999997</v>
      </c>
      <c r="AT42" s="39">
        <f>SUM(AP42:AS42)</f>
        <v>2319701.9071800001</v>
      </c>
      <c r="AU42" s="76">
        <v>563759.95608999999</v>
      </c>
      <c r="AV42" s="76">
        <v>557495.18076000002</v>
      </c>
      <c r="AW42" s="76">
        <v>555189.98909000005</v>
      </c>
      <c r="AX42" s="76">
        <v>550297.92000000004</v>
      </c>
      <c r="AY42" s="39">
        <f t="shared" ref="AY42:AY49" si="87">SUM(AU42:AX42)</f>
        <v>2226743.0459400001</v>
      </c>
      <c r="AZ42" s="10">
        <v>544969.14648</v>
      </c>
    </row>
    <row r="43" spans="1:52" ht="14.85" customHeight="1">
      <c r="A43" s="56" t="s">
        <v>443</v>
      </c>
      <c r="B43" s="8"/>
      <c r="C43" s="8"/>
      <c r="D43" s="8"/>
      <c r="E43" s="8"/>
      <c r="F43" s="40"/>
      <c r="G43" s="8">
        <v>0</v>
      </c>
      <c r="H43" s="8">
        <v>51073.170970000021</v>
      </c>
      <c r="I43" s="8">
        <v>0</v>
      </c>
      <c r="J43" s="8">
        <v>-81136.577010000037</v>
      </c>
      <c r="K43" s="40">
        <f t="shared" ref="K43:K48" si="88">SUM(G43:J43)</f>
        <v>-30063.406040000016</v>
      </c>
      <c r="L43" s="8">
        <v>0</v>
      </c>
      <c r="M43" s="8">
        <v>-5809.7740099999846</v>
      </c>
      <c r="N43" s="8">
        <v>908820.00397000019</v>
      </c>
      <c r="O43" s="8">
        <v>0</v>
      </c>
      <c r="P43" s="40">
        <f t="shared" ref="P43:P48" si="89">SUM(L43:O43)</f>
        <v>903010.22996000026</v>
      </c>
      <c r="Q43" s="1">
        <v>0</v>
      </c>
      <c r="R43" s="1">
        <v>0</v>
      </c>
      <c r="S43" s="1">
        <v>0</v>
      </c>
      <c r="T43" s="1">
        <v>0</v>
      </c>
      <c r="U43" s="40">
        <v>0</v>
      </c>
      <c r="V43" s="1">
        <v>0</v>
      </c>
      <c r="W43" s="1">
        <v>0</v>
      </c>
      <c r="X43" s="1">
        <v>0</v>
      </c>
      <c r="Y43" s="1">
        <v>0</v>
      </c>
      <c r="Z43" s="40">
        <v>0</v>
      </c>
      <c r="AA43" s="1">
        <v>-0.87718000000000007</v>
      </c>
      <c r="AB43" s="1">
        <v>5.0400000000000007E-2</v>
      </c>
      <c r="AC43" s="1">
        <v>5.0950000000000002E-2</v>
      </c>
      <c r="AD43" s="1">
        <v>5.0939999999999999E-2</v>
      </c>
      <c r="AE43" s="40">
        <v>-0.72489000000000003</v>
      </c>
      <c r="AF43" s="1">
        <v>4.9840000000000002E-2</v>
      </c>
      <c r="AG43" s="1">
        <v>5.0400000000000007E-2</v>
      </c>
      <c r="AH43" s="1">
        <v>5.0939999999999999E-2</v>
      </c>
      <c r="AI43" s="1">
        <v>0.57371000000000005</v>
      </c>
      <c r="AJ43" s="40">
        <f t="shared" ref="AJ43:AJ49" si="90">SUM(AF43:AI43)</f>
        <v>0.72489000000000003</v>
      </c>
      <c r="AK43" s="1">
        <v>0</v>
      </c>
      <c r="AL43" s="1">
        <v>0</v>
      </c>
      <c r="AM43" s="1">
        <v>0</v>
      </c>
      <c r="AN43" s="1">
        <v>0</v>
      </c>
      <c r="AO43" s="40">
        <f t="shared" ref="AO43:AO49" si="91">SUM(AK43:AN43)</f>
        <v>0</v>
      </c>
      <c r="AP43" s="1">
        <v>0</v>
      </c>
      <c r="AQ43" s="1">
        <v>0</v>
      </c>
      <c r="AR43" s="1">
        <v>0</v>
      </c>
      <c r="AS43" s="1">
        <v>0</v>
      </c>
      <c r="AT43" s="40">
        <f t="shared" ref="AT43:AT49" si="92">SUM(AP43:AS43)</f>
        <v>0</v>
      </c>
      <c r="AU43" s="1">
        <v>0</v>
      </c>
      <c r="AV43" s="1">
        <v>0</v>
      </c>
      <c r="AW43" s="1">
        <v>0</v>
      </c>
      <c r="AX43" s="1">
        <v>0</v>
      </c>
      <c r="AY43" s="40">
        <f t="shared" si="87"/>
        <v>0</v>
      </c>
      <c r="AZ43" s="8">
        <v>0</v>
      </c>
    </row>
    <row r="44" spans="1:52" ht="14.85" customHeight="1">
      <c r="A44" s="54" t="s">
        <v>708</v>
      </c>
      <c r="B44" s="76"/>
      <c r="C44" s="76"/>
      <c r="D44" s="76"/>
      <c r="E44" s="76"/>
      <c r="F44" s="39"/>
      <c r="G44" s="76">
        <f t="shared" ref="G44" si="93">SUM(G42:G43)</f>
        <v>560677.74777000002</v>
      </c>
      <c r="H44" s="76">
        <f t="shared" ref="H44" si="94">SUM(H42:H43)</f>
        <v>627094.14637999993</v>
      </c>
      <c r="I44" s="76">
        <f t="shared" ref="I44" si="95">SUM(I42:I43)</f>
        <v>587947.6573900003</v>
      </c>
      <c r="J44" s="76">
        <f t="shared" ref="J44" si="96">SUM(J42:J43)</f>
        <v>512669.06068</v>
      </c>
      <c r="K44" s="39">
        <f t="shared" si="88"/>
        <v>2288388.6122200005</v>
      </c>
      <c r="L44" s="76">
        <f t="shared" ref="L44" si="97">SUM(L42:L43)</f>
        <v>600503.55825999996</v>
      </c>
      <c r="M44" s="76">
        <f t="shared" ref="M44" si="98">SUM(M42:M43)</f>
        <v>600453.42117999995</v>
      </c>
      <c r="N44" s="76">
        <f t="shared" ref="N44" si="99">SUM(N42:N43)</f>
        <v>1508821.5277600002</v>
      </c>
      <c r="O44" s="76">
        <f t="shared" ref="O44" si="100">SUM(O42:O43)</f>
        <v>303384.08412000001</v>
      </c>
      <c r="P44" s="39">
        <f t="shared" si="89"/>
        <v>3013162.5913199997</v>
      </c>
      <c r="Q44" s="76">
        <v>595305.89520999999</v>
      </c>
      <c r="R44" s="76">
        <v>614585.36812</v>
      </c>
      <c r="S44" s="76">
        <v>607280.21377000003</v>
      </c>
      <c r="T44" s="76">
        <v>614942.46693999995</v>
      </c>
      <c r="U44" s="39">
        <v>2432113.94404</v>
      </c>
      <c r="V44" s="76">
        <v>629069.37100000004</v>
      </c>
      <c r="W44" s="76">
        <v>636235.57649000001</v>
      </c>
      <c r="X44" s="76">
        <v>659175.39900999994</v>
      </c>
      <c r="Y44" s="76">
        <v>666391.77009000001</v>
      </c>
      <c r="Z44" s="39">
        <v>2590872.1165899998</v>
      </c>
      <c r="AA44" s="76">
        <v>681189.44994999992</v>
      </c>
      <c r="AB44" s="76">
        <v>672935.44958999986</v>
      </c>
      <c r="AC44" s="76">
        <v>658195.82981999998</v>
      </c>
      <c r="AD44" s="76">
        <v>649346.94105000002</v>
      </c>
      <c r="AE44" s="39">
        <v>2661667.6704099998</v>
      </c>
      <c r="AF44" s="76">
        <f>SUM(AF42:AF43)</f>
        <v>642746.73436999996</v>
      </c>
      <c r="AG44" s="76">
        <f>SUM(AG42:AG43)</f>
        <v>637241.33714999992</v>
      </c>
      <c r="AH44" s="76">
        <f>SUM(AH42:AH43)</f>
        <v>624317.64574999991</v>
      </c>
      <c r="AI44" s="76">
        <f>SUM(AI42:AI43)</f>
        <v>621875.87951000012</v>
      </c>
      <c r="AJ44" s="39">
        <f t="shared" si="90"/>
        <v>2526181.5967799998</v>
      </c>
      <c r="AK44" s="76">
        <f>SUM(AK42:AK43)</f>
        <v>617221.75898000004</v>
      </c>
      <c r="AL44" s="76">
        <f t="shared" ref="AL44:AN44" si="101">SUM(AL42:AL43)</f>
        <v>611358.43585000001</v>
      </c>
      <c r="AM44" s="76">
        <f t="shared" si="101"/>
        <v>603127.21799999999</v>
      </c>
      <c r="AN44" s="76">
        <f t="shared" si="101"/>
        <v>595758.55194000003</v>
      </c>
      <c r="AO44" s="39">
        <f t="shared" si="91"/>
        <v>2427465.96477</v>
      </c>
      <c r="AP44" s="76">
        <f>SUM(AP42:AP43)</f>
        <v>590760.45337999996</v>
      </c>
      <c r="AQ44" s="76">
        <f>SUM(AQ42:AQ43)</f>
        <v>579903.89150000003</v>
      </c>
      <c r="AR44" s="76">
        <f t="shared" ref="AR44:AS44" si="102">SUM(AR42:AR43)</f>
        <v>578856.98930000002</v>
      </c>
      <c r="AS44" s="76">
        <f t="shared" si="102"/>
        <v>570180.57299999997</v>
      </c>
      <c r="AT44" s="39">
        <f t="shared" si="92"/>
        <v>2319701.9071800001</v>
      </c>
      <c r="AU44" s="76">
        <f>SUM(AU42:AU43)</f>
        <v>563759.95608999999</v>
      </c>
      <c r="AV44" s="76">
        <f>SUM(AV42:AV43)</f>
        <v>557495.18076000002</v>
      </c>
      <c r="AW44" s="76">
        <f t="shared" ref="AW44:AZ44" si="103">SUM(AW42:AW43)</f>
        <v>555189.98909000005</v>
      </c>
      <c r="AX44" s="76">
        <f t="shared" si="103"/>
        <v>550297.92000000004</v>
      </c>
      <c r="AY44" s="39">
        <f t="shared" si="87"/>
        <v>2226743.0459400001</v>
      </c>
      <c r="AZ44" s="76">
        <f t="shared" si="103"/>
        <v>544969.14648</v>
      </c>
    </row>
    <row r="45" spans="1:52" ht="14.85" customHeight="1">
      <c r="A45" s="56" t="s">
        <v>477</v>
      </c>
      <c r="B45" s="8"/>
      <c r="C45" s="8"/>
      <c r="D45" s="8"/>
      <c r="E45" s="8"/>
      <c r="F45" s="40"/>
      <c r="G45" s="8">
        <v>-113970.07094000001</v>
      </c>
      <c r="H45" s="8">
        <v>-106592.92770000006</v>
      </c>
      <c r="I45" s="8">
        <v>-215256.17722999994</v>
      </c>
      <c r="J45" s="8">
        <v>-77450.877120000005</v>
      </c>
      <c r="K45" s="40">
        <f t="shared" si="88"/>
        <v>-513270.05299000005</v>
      </c>
      <c r="L45" s="8">
        <v>-148155.50269000002</v>
      </c>
      <c r="M45" s="8">
        <v>-136202.22310999999</v>
      </c>
      <c r="N45" s="8">
        <v>-237158.07703999995</v>
      </c>
      <c r="O45" s="8">
        <v>-42681.867850000002</v>
      </c>
      <c r="P45" s="40">
        <f t="shared" si="89"/>
        <v>-564197.67068999994</v>
      </c>
      <c r="Q45" s="1">
        <v>-157140.41107999999</v>
      </c>
      <c r="R45" s="1">
        <v>-114065.30188</v>
      </c>
      <c r="S45" s="1">
        <v>-156644.37211000003</v>
      </c>
      <c r="T45" s="1">
        <v>-62011.903230000011</v>
      </c>
      <c r="U45" s="40">
        <v>-489861.98830000003</v>
      </c>
      <c r="V45" s="1">
        <v>-133931.1637</v>
      </c>
      <c r="W45" s="1">
        <v>-172960.48825999998</v>
      </c>
      <c r="X45" s="1">
        <v>-226326.90495000003</v>
      </c>
      <c r="Y45" s="1">
        <v>-199769.90021999998</v>
      </c>
      <c r="Z45" s="40">
        <v>-732988.45713</v>
      </c>
      <c r="AA45" s="1">
        <v>-272924.69991000002</v>
      </c>
      <c r="AB45" s="1">
        <v>-320400.15207999997</v>
      </c>
      <c r="AC45" s="1">
        <v>-299755.99467000004</v>
      </c>
      <c r="AD45" s="1">
        <v>-160184.10395000002</v>
      </c>
      <c r="AE45" s="40">
        <v>-1053264.9506100002</v>
      </c>
      <c r="AF45" s="1">
        <v>-188996.81474</v>
      </c>
      <c r="AG45" s="1">
        <v>-165094.85550999999</v>
      </c>
      <c r="AH45" s="1">
        <v>-173110.82296999998</v>
      </c>
      <c r="AI45" s="1">
        <v>-242619.53125999999</v>
      </c>
      <c r="AJ45" s="40">
        <f t="shared" si="90"/>
        <v>-769822.02447999991</v>
      </c>
      <c r="AK45" s="1">
        <v>-187938.48389</v>
      </c>
      <c r="AL45" s="1">
        <v>-152847.53768000001</v>
      </c>
      <c r="AM45" s="1">
        <v>-156818.27799999999</v>
      </c>
      <c r="AN45" s="1">
        <v>-108200.20016000001</v>
      </c>
      <c r="AO45" s="40">
        <f t="shared" si="91"/>
        <v>-605804.49973000004</v>
      </c>
      <c r="AP45" s="1">
        <v>-156283.45934</v>
      </c>
      <c r="AQ45" s="1">
        <v>-396816.19853999995</v>
      </c>
      <c r="AR45" s="1">
        <v>-188672.65615000002</v>
      </c>
      <c r="AS45" s="1">
        <v>-112574.283</v>
      </c>
      <c r="AT45" s="40">
        <f t="shared" si="92"/>
        <v>-854346.59703000006</v>
      </c>
      <c r="AU45" s="1">
        <v>-194999.16516000003</v>
      </c>
      <c r="AV45" s="1">
        <v>-181958.36703999998</v>
      </c>
      <c r="AW45" s="1">
        <v>-184122.80932</v>
      </c>
      <c r="AX45" s="1">
        <v>-156323.3487</v>
      </c>
      <c r="AY45" s="40">
        <f t="shared" si="87"/>
        <v>-717403.69021999999</v>
      </c>
      <c r="AZ45" s="8">
        <v>-167953.68882999997</v>
      </c>
    </row>
    <row r="46" spans="1:52" ht="14.85" customHeight="1">
      <c r="A46" s="56" t="s">
        <v>478</v>
      </c>
      <c r="B46" s="8"/>
      <c r="C46" s="8"/>
      <c r="D46" s="8"/>
      <c r="E46" s="8"/>
      <c r="F46" s="40"/>
      <c r="G46" s="8">
        <v>-64174.347780000004</v>
      </c>
      <c r="H46" s="8">
        <v>-55679.420989999999</v>
      </c>
      <c r="I46" s="8">
        <v>-59809.454070000014</v>
      </c>
      <c r="J46" s="8">
        <v>-55724.690110000003</v>
      </c>
      <c r="K46" s="40">
        <f t="shared" si="88"/>
        <v>-235387.91295</v>
      </c>
      <c r="L46" s="8">
        <v>-55489.454870000009</v>
      </c>
      <c r="M46" s="8">
        <v>-57817.515240000008</v>
      </c>
      <c r="N46" s="8">
        <v>-60414.718579999993</v>
      </c>
      <c r="O46" s="8">
        <v>-30251.667170000001</v>
      </c>
      <c r="P46" s="40">
        <f t="shared" si="89"/>
        <v>-203973.35586000001</v>
      </c>
      <c r="Q46" s="1">
        <v>-48716.491199999997</v>
      </c>
      <c r="R46" s="1">
        <v>-45862.314279999991</v>
      </c>
      <c r="S46" s="1">
        <v>-46937.127329999996</v>
      </c>
      <c r="T46" s="1">
        <v>-52036.160359999994</v>
      </c>
      <c r="U46" s="40">
        <v>-193552.09316999995</v>
      </c>
      <c r="V46" s="1">
        <v>-46246.905490000005</v>
      </c>
      <c r="W46" s="1">
        <v>-50018.175630000005</v>
      </c>
      <c r="X46" s="1">
        <v>-52265.858900000007</v>
      </c>
      <c r="Y46" s="1">
        <v>-53344.552379999994</v>
      </c>
      <c r="Z46" s="40">
        <v>-201875.49240000005</v>
      </c>
      <c r="AA46" s="1">
        <v>-50699.960259999993</v>
      </c>
      <c r="AB46" s="1">
        <v>-54120.911119999997</v>
      </c>
      <c r="AC46" s="1">
        <v>-51680.089479999995</v>
      </c>
      <c r="AD46" s="1">
        <v>-52405.066210000005</v>
      </c>
      <c r="AE46" s="40">
        <v>-208906.02707000001</v>
      </c>
      <c r="AF46" s="1">
        <v>-51946.659540000001</v>
      </c>
      <c r="AG46" s="1">
        <v>-51522.26449999999</v>
      </c>
      <c r="AH46" s="1">
        <v>-51242.209989999996</v>
      </c>
      <c r="AI46" s="1">
        <v>-50833.189760000001</v>
      </c>
      <c r="AJ46" s="40">
        <f t="shared" si="90"/>
        <v>-205544.32378999999</v>
      </c>
      <c r="AK46" s="1">
        <v>-50571.319190000002</v>
      </c>
      <c r="AL46" s="1">
        <v>-50137.881099999999</v>
      </c>
      <c r="AM46" s="1">
        <v>-49679.125</v>
      </c>
      <c r="AN46" s="1">
        <v>-49497.463200000006</v>
      </c>
      <c r="AO46" s="40">
        <f t="shared" si="91"/>
        <v>-199885.78849000001</v>
      </c>
      <c r="AP46" s="1">
        <v>-49053.226170000009</v>
      </c>
      <c r="AQ46" s="1">
        <v>-48160.023090000002</v>
      </c>
      <c r="AR46" s="1">
        <v>-48060.061180000004</v>
      </c>
      <c r="AS46" s="1">
        <v>-47448.771999999997</v>
      </c>
      <c r="AT46" s="40">
        <f t="shared" si="92"/>
        <v>-192722.08244000003</v>
      </c>
      <c r="AU46" s="1">
        <v>-46959.008900000001</v>
      </c>
      <c r="AV46" s="1">
        <v>-46581.424730000006</v>
      </c>
      <c r="AW46" s="1">
        <v>-46410.266340000002</v>
      </c>
      <c r="AX46" s="1">
        <v>-46150.845480000004</v>
      </c>
      <c r="AY46" s="40">
        <f t="shared" si="87"/>
        <v>-186101.54545000003</v>
      </c>
      <c r="AZ46" s="8">
        <v>-45772.435909999993</v>
      </c>
    </row>
    <row r="47" spans="1:52" ht="14.85" customHeight="1">
      <c r="A47" s="56" t="s">
        <v>479</v>
      </c>
      <c r="B47" s="8"/>
      <c r="C47" s="8"/>
      <c r="D47" s="8"/>
      <c r="E47" s="8"/>
      <c r="F47" s="40"/>
      <c r="G47" s="8">
        <v>-3994.3973400000173</v>
      </c>
      <c r="H47" s="8">
        <v>-3718.884169999988</v>
      </c>
      <c r="I47" s="8">
        <v>2186.3982900000001</v>
      </c>
      <c r="J47" s="8">
        <v>17342.845489999967</v>
      </c>
      <c r="K47" s="40">
        <f t="shared" si="88"/>
        <v>11815.962269999962</v>
      </c>
      <c r="L47" s="8">
        <v>-1318.8841100000031</v>
      </c>
      <c r="M47" s="8">
        <v>-5435.1380799999988</v>
      </c>
      <c r="N47" s="8">
        <v>-153365.87926000002</v>
      </c>
      <c r="O47" s="8">
        <v>11180.994259999998</v>
      </c>
      <c r="P47" s="40">
        <f t="shared" si="89"/>
        <v>-148938.90719</v>
      </c>
      <c r="Q47" s="1">
        <v>-968.85884999999996</v>
      </c>
      <c r="R47" s="1">
        <v>4859.4332200000008</v>
      </c>
      <c r="S47" s="1">
        <v>13296.826710000001</v>
      </c>
      <c r="T47" s="1">
        <v>8991.9247500000001</v>
      </c>
      <c r="U47" s="40">
        <v>26179.325830000002</v>
      </c>
      <c r="V47" s="1">
        <v>-13826.862420000001</v>
      </c>
      <c r="W47" s="1">
        <v>1681.4874200000002</v>
      </c>
      <c r="X47" s="1">
        <v>-19724.046419999999</v>
      </c>
      <c r="Y47" s="1">
        <v>2487.6251299999994</v>
      </c>
      <c r="Z47" s="40">
        <v>-29381.796289999998</v>
      </c>
      <c r="AA47" s="1">
        <v>-6850.2749199999998</v>
      </c>
      <c r="AB47" s="1">
        <v>21394.408549999996</v>
      </c>
      <c r="AC47" s="1">
        <v>-10021.63551</v>
      </c>
      <c r="AD47" s="1">
        <v>-10714.022290000001</v>
      </c>
      <c r="AE47" s="40">
        <v>-6191.5241700000042</v>
      </c>
      <c r="AF47" s="1">
        <v>23379.670229999996</v>
      </c>
      <c r="AG47" s="1">
        <v>-11672.037</v>
      </c>
      <c r="AH47" s="1">
        <v>616.5232000000002</v>
      </c>
      <c r="AI47" s="1">
        <v>-17453.92628</v>
      </c>
      <c r="AJ47" s="40">
        <f t="shared" si="90"/>
        <v>-5129.7698500000042</v>
      </c>
      <c r="AK47" s="1">
        <v>1650.6248300000009</v>
      </c>
      <c r="AL47" s="1">
        <v>-4284.1606099999999</v>
      </c>
      <c r="AM47" s="1">
        <v>-6243.5820000000003</v>
      </c>
      <c r="AN47" s="1">
        <v>-6325.5308100000002</v>
      </c>
      <c r="AO47" s="40">
        <f t="shared" si="91"/>
        <v>-15202.648590000001</v>
      </c>
      <c r="AP47" s="1">
        <v>-42.558300000000514</v>
      </c>
      <c r="AQ47" s="1">
        <v>-8304.2031000000006</v>
      </c>
      <c r="AR47" s="1">
        <v>-9949.8458600000013</v>
      </c>
      <c r="AS47" s="1">
        <v>-18271.929</v>
      </c>
      <c r="AT47" s="40">
        <f t="shared" si="92"/>
        <v>-36568.536260000008</v>
      </c>
      <c r="AU47" s="1">
        <v>-5865.7885199999992</v>
      </c>
      <c r="AV47" s="1">
        <v>5275.0928500000009</v>
      </c>
      <c r="AW47" s="1">
        <v>4330.9938399999992</v>
      </c>
      <c r="AX47" s="1">
        <v>-2969.2870300000013</v>
      </c>
      <c r="AY47" s="40">
        <f t="shared" si="87"/>
        <v>771.01113999999961</v>
      </c>
      <c r="AZ47" s="8">
        <v>-2936.0467700000017</v>
      </c>
    </row>
    <row r="48" spans="1:52" ht="14.85" customHeight="1">
      <c r="A48" s="56" t="s">
        <v>709</v>
      </c>
      <c r="B48" s="8"/>
      <c r="C48" s="8"/>
      <c r="D48" s="8"/>
      <c r="E48" s="8"/>
      <c r="F48" s="40"/>
      <c r="G48" s="8">
        <v>-2079.7369800000001</v>
      </c>
      <c r="H48" s="8">
        <v>-2327.9214700000002</v>
      </c>
      <c r="I48" s="8">
        <v>-3493.02756</v>
      </c>
      <c r="J48" s="8">
        <v>-5244.0830400000004</v>
      </c>
      <c r="K48" s="40">
        <f t="shared" si="88"/>
        <v>-13144.769050000003</v>
      </c>
      <c r="L48" s="8">
        <v>12429.914879999997</v>
      </c>
      <c r="M48" s="8">
        <v>131.97717000000023</v>
      </c>
      <c r="N48" s="8">
        <v>-257.03554999999994</v>
      </c>
      <c r="O48" s="8">
        <v>378.58985000000075</v>
      </c>
      <c r="P48" s="40">
        <f t="shared" si="89"/>
        <v>12683.446349999997</v>
      </c>
      <c r="Q48" s="1">
        <v>-21449.942620000002</v>
      </c>
      <c r="R48" s="1">
        <v>-3234.5274100000001</v>
      </c>
      <c r="S48" s="1">
        <v>-6315.7637599999998</v>
      </c>
      <c r="T48" s="1">
        <v>78782.837399999989</v>
      </c>
      <c r="U48" s="40">
        <v>47782.603609999991</v>
      </c>
      <c r="V48" s="1">
        <v>-6608.634060000003</v>
      </c>
      <c r="W48" s="1">
        <v>-7623.3786999999993</v>
      </c>
      <c r="X48" s="1">
        <v>-2606.2484199999999</v>
      </c>
      <c r="Y48" s="1">
        <v>-4630.0639600000004</v>
      </c>
      <c r="Z48" s="40">
        <v>-21468.325140000001</v>
      </c>
      <c r="AA48" s="1">
        <v>2374.5053000000007</v>
      </c>
      <c r="AB48" s="1">
        <v>-11412.784910000002</v>
      </c>
      <c r="AC48" s="1">
        <v>12906.47934</v>
      </c>
      <c r="AD48" s="1">
        <v>-32564.341329999999</v>
      </c>
      <c r="AE48" s="40">
        <v>-28696.141600000003</v>
      </c>
      <c r="AF48" s="1">
        <v>-27301.598460000001</v>
      </c>
      <c r="AG48" s="1">
        <v>-27332.413690000001</v>
      </c>
      <c r="AH48" s="1">
        <v>-12046.614250000001</v>
      </c>
      <c r="AI48" s="1">
        <v>-1960.1414600000003</v>
      </c>
      <c r="AJ48" s="40">
        <f t="shared" si="90"/>
        <v>-68640.767860000007</v>
      </c>
      <c r="AK48" s="1">
        <v>-4673.3240800000003</v>
      </c>
      <c r="AL48" s="1">
        <v>-1931.16641</v>
      </c>
      <c r="AM48" s="1">
        <v>-2236.174</v>
      </c>
      <c r="AN48" s="1">
        <v>2780.4605200000001</v>
      </c>
      <c r="AO48" s="40">
        <f t="shared" si="91"/>
        <v>-6060.2039699999987</v>
      </c>
      <c r="AP48" s="1">
        <v>-2486.3368799999998</v>
      </c>
      <c r="AQ48" s="1">
        <v>150692.00112999999</v>
      </c>
      <c r="AR48" s="1">
        <v>15641.882909999993</v>
      </c>
      <c r="AS48" s="1">
        <v>-1613.576</v>
      </c>
      <c r="AT48" s="40">
        <f t="shared" si="92"/>
        <v>162233.97115999999</v>
      </c>
      <c r="AU48" s="1">
        <v>-3224.7851399999995</v>
      </c>
      <c r="AV48" s="1">
        <v>-2678.6692300000004</v>
      </c>
      <c r="AW48" s="1">
        <v>-4279.4687500000009</v>
      </c>
      <c r="AX48" s="1">
        <v>-6619.2574400000003</v>
      </c>
      <c r="AY48" s="40">
        <f t="shared" si="87"/>
        <v>-16802.180560000001</v>
      </c>
      <c r="AZ48" s="8">
        <v>14473.294300000001</v>
      </c>
    </row>
    <row r="49" spans="1:52" ht="14.85" customHeight="1">
      <c r="A49" s="54" t="s">
        <v>710</v>
      </c>
      <c r="B49" s="76"/>
      <c r="C49" s="76"/>
      <c r="D49" s="76"/>
      <c r="E49" s="76"/>
      <c r="F49" s="39"/>
      <c r="G49" s="76">
        <f t="shared" ref="G49" si="104">SUM(G44:G48)</f>
        <v>376459.19472999999</v>
      </c>
      <c r="H49" s="76">
        <f t="shared" ref="H49" si="105">SUM(H44:H48)</f>
        <v>458774.99204999988</v>
      </c>
      <c r="I49" s="76">
        <f t="shared" ref="I49" si="106">SUM(I44:I48)</f>
        <v>311575.39682000031</v>
      </c>
      <c r="J49" s="76">
        <f t="shared" ref="J49" si="107">SUM(J44:J48)</f>
        <v>391592.25589999993</v>
      </c>
      <c r="K49" s="39">
        <f t="shared" ref="K49" si="108">SUM(K44:K48)</f>
        <v>1538401.8395000005</v>
      </c>
      <c r="L49" s="76">
        <f t="shared" ref="L49" si="109">SUM(L44:L48)</f>
        <v>407969.63146999996</v>
      </c>
      <c r="M49" s="76">
        <f t="shared" ref="M49" si="110">SUM(M44:M48)</f>
        <v>401130.52191999997</v>
      </c>
      <c r="N49" s="76">
        <f t="shared" ref="N49" si="111">SUM(N44:N48)</f>
        <v>1057625.8173300002</v>
      </c>
      <c r="O49" s="76">
        <f t="shared" ref="O49" si="112">SUM(O44:O48)</f>
        <v>242010.13321</v>
      </c>
      <c r="P49" s="39">
        <f t="shared" ref="P49" si="113">SUM(P44:P48)</f>
        <v>2108736.1039299998</v>
      </c>
      <c r="Q49" s="76">
        <v>367030.19146</v>
      </c>
      <c r="R49" s="76">
        <v>456282.65777000005</v>
      </c>
      <c r="S49" s="76">
        <v>410679.77728000004</v>
      </c>
      <c r="T49" s="76">
        <v>588669.16549999989</v>
      </c>
      <c r="U49" s="39">
        <v>1822661.79201</v>
      </c>
      <c r="V49" s="76">
        <v>428455.80532999994</v>
      </c>
      <c r="W49" s="76">
        <v>407315.02132</v>
      </c>
      <c r="X49" s="76">
        <v>358252.3403199999</v>
      </c>
      <c r="Y49" s="76">
        <v>411134.87866000005</v>
      </c>
      <c r="Z49" s="39">
        <v>1605158.0456299996</v>
      </c>
      <c r="AA49" s="76">
        <v>353089.0201599999</v>
      </c>
      <c r="AB49" s="76">
        <v>308396.01002999989</v>
      </c>
      <c r="AC49" s="76">
        <v>309644.5895</v>
      </c>
      <c r="AD49" s="76">
        <v>393479.40726999997</v>
      </c>
      <c r="AE49" s="39">
        <v>1364609.0269599995</v>
      </c>
      <c r="AF49" s="76">
        <f>SUM(AF44:AF48)</f>
        <v>397881.33185999992</v>
      </c>
      <c r="AG49" s="76">
        <f>SUM(AG44:AG48)</f>
        <v>381619.76644999988</v>
      </c>
      <c r="AH49" s="76">
        <f>SUM(AH44:AH48)</f>
        <v>388534.52173999994</v>
      </c>
      <c r="AI49" s="76">
        <f>SUM(AI44:AI48)</f>
        <v>309009.09075000015</v>
      </c>
      <c r="AJ49" s="39">
        <f t="shared" si="90"/>
        <v>1477044.7108</v>
      </c>
      <c r="AK49" s="76">
        <f>SUM(AK44:AK48)</f>
        <v>375689.25665</v>
      </c>
      <c r="AL49" s="76">
        <f t="shared" ref="AL49:AN49" si="114">SUM(AL44:AL48)</f>
        <v>402157.69004999998</v>
      </c>
      <c r="AM49" s="76">
        <f t="shared" si="114"/>
        <v>388150.05900000001</v>
      </c>
      <c r="AN49" s="76">
        <f t="shared" si="114"/>
        <v>434515.81829000002</v>
      </c>
      <c r="AO49" s="39">
        <f t="shared" si="91"/>
        <v>1600512.8239900002</v>
      </c>
      <c r="AP49" s="76">
        <f>SUM(AP44:AP48)</f>
        <v>382894.87268999999</v>
      </c>
      <c r="AQ49" s="76">
        <f>SUM(AQ44:AQ48)</f>
        <v>277315.46790000005</v>
      </c>
      <c r="AR49" s="76">
        <f t="shared" ref="AR49:AS49" si="115">SUM(AR44:AR48)</f>
        <v>347816.30901999993</v>
      </c>
      <c r="AS49" s="76">
        <f t="shared" si="115"/>
        <v>390272.01299999998</v>
      </c>
      <c r="AT49" s="39">
        <f t="shared" si="92"/>
        <v>1398298.66261</v>
      </c>
      <c r="AU49" s="76">
        <f>SUM(AU44:AU48)</f>
        <v>312711.20836999995</v>
      </c>
      <c r="AV49" s="76">
        <f>SUM(AV44:AV48)</f>
        <v>331551.81261000002</v>
      </c>
      <c r="AW49" s="76">
        <f t="shared" ref="AW49:AZ49" si="116">SUM(AW44:AW48)</f>
        <v>324708.43852000008</v>
      </c>
      <c r="AX49" s="76">
        <f t="shared" si="116"/>
        <v>338235.18135000003</v>
      </c>
      <c r="AY49" s="39">
        <f t="shared" si="87"/>
        <v>1307206.6408500001</v>
      </c>
      <c r="AZ49" s="76">
        <f t="shared" si="116"/>
        <v>342780.26926999999</v>
      </c>
    </row>
    <row r="50" spans="1:52" s="505" customFormat="1" ht="14.85" customHeight="1">
      <c r="A50" s="17" t="s">
        <v>711</v>
      </c>
      <c r="B50" s="18"/>
      <c r="C50" s="18"/>
      <c r="D50" s="18"/>
      <c r="E50" s="18"/>
      <c r="F50" s="46"/>
      <c r="G50" s="18">
        <f t="shared" ref="G50:J50" si="117">-G45/G44</f>
        <v>0.2032719710980086</v>
      </c>
      <c r="H50" s="18">
        <f t="shared" si="117"/>
        <v>0.16997914637750103</v>
      </c>
      <c r="I50" s="18">
        <f t="shared" si="117"/>
        <v>0.36611452486358859</v>
      </c>
      <c r="J50" s="18">
        <f t="shared" si="117"/>
        <v>0.15107382727030533</v>
      </c>
      <c r="K50" s="46">
        <f t="shared" ref="K50:P50" si="118">-K45/K44</f>
        <v>0.22429322111163147</v>
      </c>
      <c r="L50" s="18">
        <f t="shared" si="118"/>
        <v>0.2467187756876757</v>
      </c>
      <c r="M50" s="18">
        <f t="shared" si="118"/>
        <v>0.22683228757750751</v>
      </c>
      <c r="N50" s="18">
        <f t="shared" si="118"/>
        <v>0.15718100032154589</v>
      </c>
      <c r="O50" s="18">
        <f t="shared" si="118"/>
        <v>0.14068591624970575</v>
      </c>
      <c r="P50" s="46">
        <f t="shared" si="118"/>
        <v>0.18724434994489875</v>
      </c>
      <c r="Q50" s="18">
        <v>0.2639658238636578</v>
      </c>
      <c r="R50" s="18">
        <v>0.18559716484777805</v>
      </c>
      <c r="S50" s="18">
        <v>0.25794413939085981</v>
      </c>
      <c r="T50" s="18">
        <v>0.10084179669453618</v>
      </c>
      <c r="U50" s="46">
        <v>0.20141407827557914</v>
      </c>
      <c r="V50" s="18">
        <v>0.21290364763284589</v>
      </c>
      <c r="W50" s="18">
        <v>0.27184975919484516</v>
      </c>
      <c r="X50" s="18">
        <v>0.34334853104335372</v>
      </c>
      <c r="Y50" s="18">
        <v>0.29977846243962453</v>
      </c>
      <c r="Z50" s="46">
        <v>0.28291186293468223</v>
      </c>
      <c r="AA50" s="18">
        <v>0.40065902360941291</v>
      </c>
      <c r="AB50" s="18">
        <v>0.4761231590269327</v>
      </c>
      <c r="AC50" s="169">
        <v>0.45542068346433578</v>
      </c>
      <c r="AD50" s="169">
        <v>0.24668492884709803</v>
      </c>
      <c r="AE50" s="46">
        <v>0.39571617535849496</v>
      </c>
      <c r="AF50" s="169">
        <f>-AF45/AF44</f>
        <v>0.2940455464550103</v>
      </c>
      <c r="AG50" s="169">
        <f>-AG45/AG44</f>
        <v>0.2590774419129348</v>
      </c>
      <c r="AH50" s="169">
        <f>-AH45/AH44</f>
        <v>0.27728004189604472</v>
      </c>
      <c r="AI50" s="169">
        <f>-AI45/AI44</f>
        <v>0.39014140804298314</v>
      </c>
      <c r="AJ50" s="46">
        <f>-AJ45/(AJ44)</f>
        <v>0.30473740504691127</v>
      </c>
      <c r="AK50" s="169">
        <f>-AK45/AK44</f>
        <v>0.30449102150996887</v>
      </c>
      <c r="AL50" s="169">
        <f t="shared" ref="AL50:AN50" si="119">-AL45/AL44</f>
        <v>0.25001296901626779</v>
      </c>
      <c r="AM50" s="169">
        <f t="shared" si="119"/>
        <v>0.26000862391854446</v>
      </c>
      <c r="AN50" s="169">
        <f t="shared" si="119"/>
        <v>0.18161753584176338</v>
      </c>
      <c r="AO50" s="46">
        <f>-AO45/(AO44)</f>
        <v>0.2495625102564103</v>
      </c>
      <c r="AP50" s="169">
        <f>-AP45/AP44</f>
        <v>0.26454624449865205</v>
      </c>
      <c r="AQ50" s="169">
        <f>-AQ45/AQ44</f>
        <v>0.68427924757252634</v>
      </c>
      <c r="AR50" s="169">
        <f t="shared" ref="AR50:AS50" si="120">-AR45/AR44</f>
        <v>0.32594001564731562</v>
      </c>
      <c r="AS50" s="169">
        <f t="shared" si="120"/>
        <v>0.1974361953577117</v>
      </c>
      <c r="AT50" s="46">
        <f>-AT45/(AT44)</f>
        <v>0.36830016580389269</v>
      </c>
      <c r="AU50" s="169">
        <f>-AU45/AU44</f>
        <v>0.34589041497809025</v>
      </c>
      <c r="AV50" s="169">
        <f>-AV45/AV44</f>
        <v>0.32638554254755525</v>
      </c>
      <c r="AW50" s="169">
        <f t="shared" ref="AW50:AZ50" si="121">-AW45/AW44</f>
        <v>0.33163928193624626</v>
      </c>
      <c r="AX50" s="169">
        <f t="shared" si="121"/>
        <v>0.28407039717686011</v>
      </c>
      <c r="AY50" s="46">
        <f>-AY45/(AY44)</f>
        <v>0.32217623471555706</v>
      </c>
      <c r="AZ50" s="169">
        <f t="shared" si="121"/>
        <v>0.30818935331445185</v>
      </c>
    </row>
    <row r="51" spans="1:52" s="505" customFormat="1" ht="14.85" customHeight="1" thickBot="1">
      <c r="A51" s="17" t="s">
        <v>712</v>
      </c>
      <c r="B51" s="18"/>
      <c r="C51" s="18"/>
      <c r="D51" s="18"/>
      <c r="E51" s="18"/>
      <c r="F51" s="48"/>
      <c r="G51" s="18">
        <f t="shared" ref="G51:J51" si="122">-G46/G44</f>
        <v>0.11445852458964621</v>
      </c>
      <c r="H51" s="18">
        <f t="shared" si="122"/>
        <v>8.8789572206052728E-2</v>
      </c>
      <c r="I51" s="18">
        <f t="shared" si="122"/>
        <v>0.10172581405546262</v>
      </c>
      <c r="J51" s="18">
        <f t="shared" si="122"/>
        <v>0.10869524686371211</v>
      </c>
      <c r="K51" s="48">
        <f t="shared" ref="K51:P51" si="123">-K46/K44</f>
        <v>0.10286186170173545</v>
      </c>
      <c r="L51" s="18">
        <f t="shared" si="123"/>
        <v>9.2404872721794512E-2</v>
      </c>
      <c r="M51" s="18">
        <f t="shared" si="123"/>
        <v>9.6289759039723838E-2</v>
      </c>
      <c r="N51" s="18">
        <f t="shared" si="123"/>
        <v>4.004099720772928E-2</v>
      </c>
      <c r="O51" s="18">
        <f t="shared" si="123"/>
        <v>9.9714087697607465E-2</v>
      </c>
      <c r="P51" s="48">
        <f t="shared" si="123"/>
        <v>6.7694108657655877E-2</v>
      </c>
      <c r="Q51" s="18">
        <v>8.1834383956192427E-2</v>
      </c>
      <c r="R51" s="18">
        <v>7.4623179559727512E-2</v>
      </c>
      <c r="S51" s="18">
        <v>7.7290723895998462E-2</v>
      </c>
      <c r="T51" s="18">
        <v>8.4619558995390004E-2</v>
      </c>
      <c r="U51" s="48">
        <v>7.9581836058424685E-2</v>
      </c>
      <c r="V51" s="18">
        <v>7.3516384077774471E-2</v>
      </c>
      <c r="W51" s="18">
        <v>7.8615810681228332E-2</v>
      </c>
      <c r="X51" s="18">
        <v>7.9289759567023999E-2</v>
      </c>
      <c r="Y51" s="18">
        <v>8.0049836709111075E-2</v>
      </c>
      <c r="Z51" s="48">
        <v>7.79179686667439E-2</v>
      </c>
      <c r="AA51" s="18">
        <v>7.4428575286539483E-2</v>
      </c>
      <c r="AB51" s="18">
        <v>8.0425115295938571E-2</v>
      </c>
      <c r="AC51" s="169">
        <v>7.8517801448443086E-2</v>
      </c>
      <c r="AD51" s="169">
        <v>8.0704262847932307E-2</v>
      </c>
      <c r="AE51" s="48">
        <v>7.8486893533864954E-2</v>
      </c>
      <c r="AF51" s="169">
        <f>-AF46/AF44</f>
        <v>8.0819795359857366E-2</v>
      </c>
      <c r="AG51" s="169">
        <f>-AG46/AG44</f>
        <v>8.0852043796198661E-2</v>
      </c>
      <c r="AH51" s="169">
        <f>-AH46/AH44</f>
        <v>8.2077145086043732E-2</v>
      </c>
      <c r="AI51" s="169">
        <f>-AI46/AI44</f>
        <v>8.1741697073141703E-2</v>
      </c>
      <c r="AJ51" s="48">
        <f>-AJ46/(AJ44)</f>
        <v>8.1365616807595034E-2</v>
      </c>
      <c r="AK51" s="169">
        <f>-AK46/AK44</f>
        <v>8.1933791954406254E-2</v>
      </c>
      <c r="AL51" s="169">
        <f t="shared" ref="AL51:AN51" si="124">-AL46/AL44</f>
        <v>8.2010614657326147E-2</v>
      </c>
      <c r="AM51" s="169">
        <f t="shared" si="124"/>
        <v>8.2369230764843385E-2</v>
      </c>
      <c r="AN51" s="169">
        <f t="shared" si="124"/>
        <v>8.3083093039653069E-2</v>
      </c>
      <c r="AO51" s="48">
        <f>-AO46/(AO44)</f>
        <v>8.2343394878015924E-2</v>
      </c>
      <c r="AP51" s="169">
        <f>-AP46/AP44</f>
        <v>8.3034038398042659E-2</v>
      </c>
      <c r="AQ51" s="169">
        <f>-AQ46/AQ44</f>
        <v>8.3048284027595634E-2</v>
      </c>
      <c r="AR51" s="169">
        <f t="shared" ref="AR51:AS51" si="125">-AR46/AR44</f>
        <v>8.302579405341215E-2</v>
      </c>
      <c r="AS51" s="169">
        <f t="shared" si="125"/>
        <v>8.3217096910806185E-2</v>
      </c>
      <c r="AT51" s="48">
        <f>-AT46/(AT44)</f>
        <v>8.3080537996490733E-2</v>
      </c>
      <c r="AU51" s="169">
        <f>-AU46/AU44</f>
        <v>8.3296105714367824E-2</v>
      </c>
      <c r="AV51" s="169">
        <f>-AV46/AV44</f>
        <v>8.3554847355807316E-2</v>
      </c>
      <c r="AW51" s="169">
        <f t="shared" ref="AW51:AZ51" si="126">-AW46/AW44</f>
        <v>8.3593485567112019E-2</v>
      </c>
      <c r="AX51" s="169">
        <f t="shared" si="126"/>
        <v>8.3865200653493288E-2</v>
      </c>
      <c r="AY51" s="48">
        <f>-AY46/(AY44)</f>
        <v>8.3575671557307551E-2</v>
      </c>
      <c r="AZ51" s="169">
        <f t="shared" si="126"/>
        <v>8.3990875824159733E-2</v>
      </c>
    </row>
    <row r="52" spans="1:52" ht="45.75" thickBot="1">
      <c r="A52" s="787" t="s">
        <v>718</v>
      </c>
      <c r="AF52" s="116"/>
      <c r="AG52" s="116"/>
      <c r="AH52" s="116"/>
      <c r="AI52" s="116"/>
      <c r="AK52" s="116"/>
      <c r="AL52" s="116"/>
      <c r="AP52" s="116"/>
      <c r="AQ52" s="116"/>
      <c r="AR52" s="116"/>
      <c r="AU52" s="116"/>
      <c r="AV52" s="116"/>
      <c r="AW52" s="116"/>
      <c r="AX52" s="116"/>
      <c r="AZ52" s="741"/>
    </row>
    <row r="53" spans="1:52" s="30" customFormat="1" ht="24.4" customHeight="1">
      <c r="A53" s="625" t="s">
        <v>719</v>
      </c>
      <c r="B53" s="626" t="s">
        <v>224</v>
      </c>
      <c r="C53" s="626" t="s">
        <v>225</v>
      </c>
      <c r="D53" s="626" t="s">
        <v>226</v>
      </c>
      <c r="E53" s="626" t="s">
        <v>227</v>
      </c>
      <c r="F53" s="652">
        <v>2016</v>
      </c>
      <c r="G53" s="626" t="s">
        <v>228</v>
      </c>
      <c r="H53" s="626" t="s">
        <v>229</v>
      </c>
      <c r="I53" s="626" t="s">
        <v>230</v>
      </c>
      <c r="J53" s="626" t="s">
        <v>231</v>
      </c>
      <c r="K53" s="652">
        <v>2017</v>
      </c>
      <c r="L53" s="626" t="s">
        <v>232</v>
      </c>
      <c r="M53" s="626" t="s">
        <v>233</v>
      </c>
      <c r="N53" s="626" t="s">
        <v>234</v>
      </c>
      <c r="O53" s="626" t="s">
        <v>235</v>
      </c>
      <c r="P53" s="652">
        <v>2018</v>
      </c>
      <c r="Q53" s="626" t="s">
        <v>236</v>
      </c>
      <c r="R53" s="626" t="s">
        <v>237</v>
      </c>
      <c r="S53" s="626" t="s">
        <v>238</v>
      </c>
      <c r="T53" s="626" t="s">
        <v>239</v>
      </c>
      <c r="U53" s="652">
        <v>2019</v>
      </c>
      <c r="V53" s="626" t="s">
        <v>240</v>
      </c>
      <c r="W53" s="626" t="s">
        <v>241</v>
      </c>
      <c r="X53" s="626" t="s">
        <v>242</v>
      </c>
      <c r="Y53" s="626" t="s">
        <v>243</v>
      </c>
      <c r="Z53" s="652">
        <v>2020</v>
      </c>
      <c r="AA53" s="626" t="s">
        <v>244</v>
      </c>
      <c r="AB53" s="626" t="s">
        <v>245</v>
      </c>
      <c r="AC53" s="626" t="s">
        <v>246</v>
      </c>
      <c r="AD53" s="626" t="s">
        <v>247</v>
      </c>
      <c r="AE53" s="652">
        <v>2021</v>
      </c>
      <c r="AF53" s="626" t="s">
        <v>248</v>
      </c>
      <c r="AG53" s="626" t="s">
        <v>249</v>
      </c>
      <c r="AH53" s="626" t="s">
        <v>250</v>
      </c>
      <c r="AI53" s="626" t="s">
        <v>215</v>
      </c>
      <c r="AJ53" s="652">
        <v>2022</v>
      </c>
      <c r="AK53" s="626" t="s">
        <v>252</v>
      </c>
      <c r="AL53" s="626" t="s">
        <v>253</v>
      </c>
      <c r="AM53" s="626" t="s">
        <v>254</v>
      </c>
      <c r="AN53" s="626" t="s">
        <v>219</v>
      </c>
      <c r="AO53" s="652">
        <v>2023</v>
      </c>
      <c r="AP53" s="626" t="s">
        <v>223</v>
      </c>
      <c r="AQ53" s="626" t="s">
        <v>256</v>
      </c>
      <c r="AR53" s="626" t="s">
        <v>357</v>
      </c>
      <c r="AS53" s="626" t="s">
        <v>358</v>
      </c>
      <c r="AT53" s="652">
        <v>2024</v>
      </c>
      <c r="AU53" s="626" t="s">
        <v>359</v>
      </c>
      <c r="AV53" s="626" t="s">
        <v>1115</v>
      </c>
      <c r="AW53" s="626" t="s">
        <v>1116</v>
      </c>
      <c r="AX53" s="626" t="s">
        <v>1117</v>
      </c>
      <c r="AY53" s="653" t="s">
        <v>1118</v>
      </c>
      <c r="AZ53" s="645" t="s">
        <v>1124</v>
      </c>
    </row>
    <row r="54" spans="1:52" ht="14.85" customHeight="1">
      <c r="A54" s="54" t="s">
        <v>707</v>
      </c>
      <c r="B54" s="76"/>
      <c r="C54" s="76"/>
      <c r="D54" s="76"/>
      <c r="E54" s="76"/>
      <c r="F54" s="39"/>
      <c r="G54" s="76">
        <v>52166.526410000006</v>
      </c>
      <c r="H54" s="76">
        <v>53371.650289999998</v>
      </c>
      <c r="I54" s="76">
        <v>65080.348689999977</v>
      </c>
      <c r="J54" s="76">
        <v>79166.81727</v>
      </c>
      <c r="K54" s="39">
        <f>SUM(G54:J54)</f>
        <v>249785.34265999999</v>
      </c>
      <c r="L54" s="76">
        <v>63895.231820000008</v>
      </c>
      <c r="M54" s="76">
        <v>74038.18316</v>
      </c>
      <c r="N54" s="76">
        <v>89841.830430000002</v>
      </c>
      <c r="O54" s="76">
        <v>69618.558560000005</v>
      </c>
      <c r="P54" s="39">
        <f>SUM(L54:O54)</f>
        <v>297393.80397000001</v>
      </c>
      <c r="Q54" s="76">
        <v>74651.291559999998</v>
      </c>
      <c r="R54" s="76">
        <v>87776.733219999995</v>
      </c>
      <c r="S54" s="76">
        <v>88516.389309999999</v>
      </c>
      <c r="T54" s="76">
        <v>87360.030479999987</v>
      </c>
      <c r="U54" s="39">
        <v>338304.44456999993</v>
      </c>
      <c r="V54" s="76">
        <v>94370.45912</v>
      </c>
      <c r="W54" s="76">
        <v>87181.935289999994</v>
      </c>
      <c r="X54" s="76">
        <v>164785.52932</v>
      </c>
      <c r="Y54" s="76">
        <v>176048.25302999999</v>
      </c>
      <c r="Z54" s="39">
        <v>522386.17676000006</v>
      </c>
      <c r="AA54" s="76">
        <v>155828.39906</v>
      </c>
      <c r="AB54" s="76">
        <v>154402.68505999999</v>
      </c>
      <c r="AC54" s="76">
        <v>175438.08309999999</v>
      </c>
      <c r="AD54" s="76">
        <v>184840.73855999997</v>
      </c>
      <c r="AE54" s="39">
        <v>670509.90577999991</v>
      </c>
      <c r="AF54" s="76">
        <f t="shared" ref="AF54:AI55" si="127">AF66+AF78</f>
        <v>165247.12798999998</v>
      </c>
      <c r="AG54" s="76">
        <f t="shared" si="127"/>
        <v>178300.91370999999</v>
      </c>
      <c r="AH54" s="76">
        <f t="shared" si="127"/>
        <v>220450.06330000001</v>
      </c>
      <c r="AI54" s="76">
        <f t="shared" si="127"/>
        <v>191644.98579000001</v>
      </c>
      <c r="AJ54" s="39">
        <f>SUM(AF54:AI54)</f>
        <v>755643.09079000005</v>
      </c>
      <c r="AK54" s="76">
        <f>AK66+AK78</f>
        <v>182932.61742</v>
      </c>
      <c r="AL54" s="76">
        <v>194049.93417999998</v>
      </c>
      <c r="AM54" s="76">
        <v>210800.448</v>
      </c>
      <c r="AN54" s="76">
        <f>AN66+AN78</f>
        <v>211608.43077999997</v>
      </c>
      <c r="AO54" s="39">
        <f>SUM(AK54:AN54)</f>
        <v>799391.43037999992</v>
      </c>
      <c r="AP54" s="76">
        <f>AP66+AP78</f>
        <v>211781.30952000001</v>
      </c>
      <c r="AQ54" s="76">
        <f>AQ66+AQ78</f>
        <v>229454.11506000004</v>
      </c>
      <c r="AR54" s="76">
        <f>AR66+AR78</f>
        <v>238808.27091000002</v>
      </c>
      <c r="AS54" s="76">
        <f>AS66+AS78</f>
        <v>242832.95199999999</v>
      </c>
      <c r="AT54" s="39">
        <f>SUM(AP54:AS54)</f>
        <v>922876.64749000012</v>
      </c>
      <c r="AU54" s="76">
        <f t="shared" ref="AU54:AX55" si="128">AU66+AU78</f>
        <v>267813.13971999992</v>
      </c>
      <c r="AV54" s="76">
        <f t="shared" si="128"/>
        <v>280174.23776000005</v>
      </c>
      <c r="AW54" s="76">
        <f t="shared" si="128"/>
        <v>307249.69007000001</v>
      </c>
      <c r="AX54" s="76">
        <f t="shared" si="128"/>
        <v>301232.15473000001</v>
      </c>
      <c r="AY54" s="39">
        <f t="shared" ref="AY54:AY61" si="129">SUM(AU54:AX54)</f>
        <v>1156469.2222800001</v>
      </c>
      <c r="AZ54" s="76">
        <f>AZ66+AZ78</f>
        <v>282647.86531999998</v>
      </c>
    </row>
    <row r="55" spans="1:52" ht="14.85" customHeight="1">
      <c r="A55" s="56" t="s">
        <v>443</v>
      </c>
      <c r="B55" s="8"/>
      <c r="C55" s="8"/>
      <c r="D55" s="8"/>
      <c r="E55" s="8"/>
      <c r="F55" s="40"/>
      <c r="G55" s="8">
        <v>281.7252799998173</v>
      </c>
      <c r="H55" s="8">
        <v>201.26945000005026</v>
      </c>
      <c r="I55" s="8">
        <v>-11264.79142000003</v>
      </c>
      <c r="J55" s="8">
        <v>-24647.59273000004</v>
      </c>
      <c r="K55" s="40">
        <f t="shared" ref="K55:K60" si="130">SUM(G55:J55)</f>
        <v>-35429.389420000203</v>
      </c>
      <c r="L55" s="8">
        <v>-9471.439559999937</v>
      </c>
      <c r="M55" s="8">
        <v>-17077.446149999974</v>
      </c>
      <c r="N55" s="8">
        <v>-28976.676929999936</v>
      </c>
      <c r="O55" s="8">
        <v>-4561.6045700000004</v>
      </c>
      <c r="P55" s="40">
        <f t="shared" ref="P55:P60" si="131">SUM(L55:O55)</f>
        <v>-60087.167209999847</v>
      </c>
      <c r="Q55" s="1">
        <v>-8844.9231600000003</v>
      </c>
      <c r="R55" s="1">
        <v>-17189.580389999999</v>
      </c>
      <c r="S55" s="1">
        <v>-13306.593210000001</v>
      </c>
      <c r="T55" s="1">
        <v>-8662.9688100000003</v>
      </c>
      <c r="U55" s="40">
        <v>-48004.065569999999</v>
      </c>
      <c r="V55" s="1">
        <v>-13627.79961</v>
      </c>
      <c r="W55" s="1">
        <v>-5232.3257499999991</v>
      </c>
      <c r="X55" s="1">
        <v>-77438.318489999991</v>
      </c>
      <c r="Y55" s="1">
        <v>-83216.428799999994</v>
      </c>
      <c r="Z55" s="40">
        <v>-179514.87264999998</v>
      </c>
      <c r="AA55" s="1">
        <v>-53957.349919999993</v>
      </c>
      <c r="AB55" s="1">
        <v>-40728.495009999984</v>
      </c>
      <c r="AC55" s="1">
        <v>-41392.219730000012</v>
      </c>
      <c r="AD55" s="1">
        <v>-37070.29967</v>
      </c>
      <c r="AE55" s="40">
        <v>-173148.36432999998</v>
      </c>
      <c r="AF55" s="1">
        <f t="shared" si="127"/>
        <v>-6492.545060000004</v>
      </c>
      <c r="AG55" s="1">
        <f t="shared" si="127"/>
        <v>-9729.4263199999987</v>
      </c>
      <c r="AH55" s="1">
        <f t="shared" si="127"/>
        <v>-41766.70637</v>
      </c>
      <c r="AI55" s="1">
        <f t="shared" si="127"/>
        <v>-2221.7648499999996</v>
      </c>
      <c r="AJ55" s="40">
        <f t="shared" ref="AJ55:AJ61" si="132">SUM(AF55:AI55)</f>
        <v>-60210.442600000002</v>
      </c>
      <c r="AK55" s="1">
        <f>AK67+AK79</f>
        <v>7833.2484899999999</v>
      </c>
      <c r="AL55" s="1">
        <v>1677.9409300000007</v>
      </c>
      <c r="AM55" s="1">
        <v>-15091.902999999998</v>
      </c>
      <c r="AN55" s="1">
        <f>AN67+AN79</f>
        <v>-16132.2129</v>
      </c>
      <c r="AO55" s="40">
        <f t="shared" ref="AO55:AO61" si="133">SUM(AK55:AN55)</f>
        <v>-21712.926479999998</v>
      </c>
      <c r="AP55" s="1">
        <f>AP67+AP79</f>
        <v>-18428.001700000001</v>
      </c>
      <c r="AQ55" s="1">
        <f>AQ67+AQ79</f>
        <v>-29736.709690000003</v>
      </c>
      <c r="AR55" s="1">
        <f>AR67+AR79</f>
        <v>-31132.404009999998</v>
      </c>
      <c r="AS55" s="1">
        <v>-30883.284</v>
      </c>
      <c r="AT55" s="40">
        <f t="shared" ref="AT55:AT61" si="134">SUM(AP55:AS55)</f>
        <v>-110180.39940000001</v>
      </c>
      <c r="AU55" s="1">
        <f t="shared" si="128"/>
        <v>-52042.383979999999</v>
      </c>
      <c r="AV55" s="1">
        <f t="shared" si="128"/>
        <v>-52521.972689999995</v>
      </c>
      <c r="AW55" s="1">
        <f t="shared" si="128"/>
        <v>-67562.897810000009</v>
      </c>
      <c r="AX55" s="1">
        <f t="shared" si="128"/>
        <v>-51969.915529999998</v>
      </c>
      <c r="AY55" s="40">
        <f t="shared" si="129"/>
        <v>-224097.17001</v>
      </c>
      <c r="AZ55" s="1">
        <v>-27649.90883</v>
      </c>
    </row>
    <row r="56" spans="1:52" ht="14.85" customHeight="1">
      <c r="A56" s="54" t="s">
        <v>708</v>
      </c>
      <c r="B56" s="76"/>
      <c r="C56" s="76"/>
      <c r="D56" s="76"/>
      <c r="E56" s="76"/>
      <c r="F56" s="39"/>
      <c r="G56" s="76">
        <f t="shared" ref="G56" si="135">SUM(G54:G55)</f>
        <v>52448.251689999823</v>
      </c>
      <c r="H56" s="76">
        <f t="shared" ref="H56" si="136">SUM(H54:H55)</f>
        <v>53572.919740000048</v>
      </c>
      <c r="I56" s="76">
        <f t="shared" ref="I56" si="137">SUM(I54:I55)</f>
        <v>53815.557269999947</v>
      </c>
      <c r="J56" s="76">
        <f t="shared" ref="J56" si="138">SUM(J54:J55)</f>
        <v>54519.224539999959</v>
      </c>
      <c r="K56" s="39">
        <f t="shared" si="130"/>
        <v>214355.95323999977</v>
      </c>
      <c r="L56" s="76">
        <f t="shared" ref="L56" si="139">SUM(L54:L55)</f>
        <v>54423.792260000075</v>
      </c>
      <c r="M56" s="76">
        <f t="shared" ref="M56" si="140">SUM(M54:M55)</f>
        <v>56960.737010000026</v>
      </c>
      <c r="N56" s="76">
        <f t="shared" ref="N56" si="141">SUM(N54:N55)</f>
        <v>60865.153500000066</v>
      </c>
      <c r="O56" s="76">
        <f t="shared" ref="O56" si="142">SUM(O54:O55)</f>
        <v>65056.953990000002</v>
      </c>
      <c r="P56" s="39">
        <f t="shared" si="131"/>
        <v>237306.63676000017</v>
      </c>
      <c r="Q56" s="76">
        <v>65806.368399999992</v>
      </c>
      <c r="R56" s="76">
        <v>70587.152829999992</v>
      </c>
      <c r="S56" s="76">
        <v>75209.796099999992</v>
      </c>
      <c r="T56" s="76">
        <v>78697.061669999981</v>
      </c>
      <c r="U56" s="39">
        <v>290300.37899999996</v>
      </c>
      <c r="V56" s="76">
        <v>80742.659509999998</v>
      </c>
      <c r="W56" s="76">
        <v>81949.60953999999</v>
      </c>
      <c r="X56" s="76">
        <v>87347.210830000011</v>
      </c>
      <c r="Y56" s="76">
        <v>92831.824229999998</v>
      </c>
      <c r="Z56" s="39">
        <v>342871.30411000003</v>
      </c>
      <c r="AA56" s="76">
        <v>101871.04914</v>
      </c>
      <c r="AB56" s="76">
        <v>113674.19005</v>
      </c>
      <c r="AC56" s="76">
        <v>134045.86336999998</v>
      </c>
      <c r="AD56" s="76">
        <v>147770.43888999996</v>
      </c>
      <c r="AE56" s="39">
        <v>497361.5414499999</v>
      </c>
      <c r="AF56" s="76">
        <f>SUM(AF54:AF55)</f>
        <v>158754.58292999998</v>
      </c>
      <c r="AG56" s="76">
        <f>SUM(AG54:AG55)</f>
        <v>168571.48738999999</v>
      </c>
      <c r="AH56" s="76">
        <f>SUM(AH54:AH55)</f>
        <v>178683.35693000001</v>
      </c>
      <c r="AI56" s="76">
        <f>SUM(AI54:AI55)</f>
        <v>189423.22094</v>
      </c>
      <c r="AJ56" s="39">
        <f t="shared" si="132"/>
        <v>695432.64818999998</v>
      </c>
      <c r="AK56" s="76">
        <f>SUM(AK54:AK55)</f>
        <v>190765.86590999999</v>
      </c>
      <c r="AL56" s="76">
        <f t="shared" ref="AL56:AN56" si="143">SUM(AL54:AL55)</f>
        <v>195727.87510999999</v>
      </c>
      <c r="AM56" s="76">
        <f t="shared" si="143"/>
        <v>195708.54500000001</v>
      </c>
      <c r="AN56" s="76">
        <f t="shared" si="143"/>
        <v>195476.21787999995</v>
      </c>
      <c r="AO56" s="39">
        <f t="shared" si="133"/>
        <v>777678.50389999989</v>
      </c>
      <c r="AP56" s="76">
        <f>SUM(AP54:AP55)</f>
        <v>193353.30782000002</v>
      </c>
      <c r="AQ56" s="76">
        <f>SUM(AQ54:AQ55)</f>
        <v>199717.40537000005</v>
      </c>
      <c r="AR56" s="76">
        <f>SUM(AR54:AR55)</f>
        <v>207675.86690000002</v>
      </c>
      <c r="AS56" s="76">
        <f>SUM(AS54:AS55)</f>
        <v>211949.66800000001</v>
      </c>
      <c r="AT56" s="39">
        <f t="shared" si="134"/>
        <v>812696.24809000012</v>
      </c>
      <c r="AU56" s="76">
        <f>SUM(AU54:AU55)</f>
        <v>215770.75573999994</v>
      </c>
      <c r="AV56" s="76">
        <f>SUM(AV54:AV55)</f>
        <v>227652.26507000005</v>
      </c>
      <c r="AW56" s="76">
        <f>SUM(AW54:AW55)</f>
        <v>239686.79226000002</v>
      </c>
      <c r="AX56" s="76">
        <f>SUM(AX54:AX55)</f>
        <v>249262.23920000001</v>
      </c>
      <c r="AY56" s="39">
        <f t="shared" si="129"/>
        <v>932372.0522700001</v>
      </c>
      <c r="AZ56" s="76">
        <f>SUM(AZ54:AZ55)</f>
        <v>254997.95648999998</v>
      </c>
    </row>
    <row r="57" spans="1:52" ht="14.85" customHeight="1">
      <c r="A57" s="56" t="s">
        <v>477</v>
      </c>
      <c r="B57" s="8"/>
      <c r="C57" s="8"/>
      <c r="D57" s="8"/>
      <c r="E57" s="8"/>
      <c r="F57" s="40"/>
      <c r="G57" s="8">
        <v>-18135.522350000036</v>
      </c>
      <c r="H57" s="8">
        <v>-11951.372020000003</v>
      </c>
      <c r="I57" s="8">
        <v>-11479.836759999998</v>
      </c>
      <c r="J57" s="8">
        <v>-18716.292389999999</v>
      </c>
      <c r="K57" s="40">
        <f t="shared" si="130"/>
        <v>-60283.023520000032</v>
      </c>
      <c r="L57" s="8">
        <v>-14207.028410000001</v>
      </c>
      <c r="M57" s="8">
        <v>-8974.5616099999988</v>
      </c>
      <c r="N57" s="8">
        <v>-14401.269200000001</v>
      </c>
      <c r="O57" s="8">
        <v>-19867.12112</v>
      </c>
      <c r="P57" s="40">
        <f t="shared" si="131"/>
        <v>-57449.980339999995</v>
      </c>
      <c r="Q57" s="1">
        <v>-20805.082990000003</v>
      </c>
      <c r="R57" s="1">
        <v>-14929.311659999999</v>
      </c>
      <c r="S57" s="1">
        <v>-16749.33324</v>
      </c>
      <c r="T57" s="1">
        <v>-15207.086650000001</v>
      </c>
      <c r="U57" s="40">
        <v>-67690.814540000007</v>
      </c>
      <c r="V57" s="1">
        <v>-18277.391600000003</v>
      </c>
      <c r="W57" s="1">
        <v>-16452.765819999997</v>
      </c>
      <c r="X57" s="1">
        <v>-23203.749759999999</v>
      </c>
      <c r="Y57" s="1">
        <v>-17563.199550000001</v>
      </c>
      <c r="Z57" s="40">
        <v>-75497.10673</v>
      </c>
      <c r="AA57" s="1">
        <f t="shared" ref="AA57:AD60" si="144">AA69+AA81</f>
        <v>-18514.517250000001</v>
      </c>
      <c r="AB57" s="1">
        <f t="shared" si="144"/>
        <v>-16730.234629999999</v>
      </c>
      <c r="AC57" s="1">
        <f t="shared" si="144"/>
        <v>-21806.598140000002</v>
      </c>
      <c r="AD57" s="1">
        <f t="shared" si="144"/>
        <v>-30839.96228</v>
      </c>
      <c r="AE57" s="40">
        <v>-87894.017640000005</v>
      </c>
      <c r="AF57" s="1">
        <f t="shared" ref="AF57:AI60" si="145">AF69+AF81</f>
        <v>-26441.809230000003</v>
      </c>
      <c r="AG57" s="1">
        <f t="shared" si="145"/>
        <v>-20001.945909999999</v>
      </c>
      <c r="AH57" s="1">
        <f t="shared" si="145"/>
        <v>-25775.77879</v>
      </c>
      <c r="AI57" s="1">
        <f t="shared" si="145"/>
        <v>-24456.988170000001</v>
      </c>
      <c r="AJ57" s="40">
        <f t="shared" si="132"/>
        <v>-96676.522100000002</v>
      </c>
      <c r="AK57" s="1">
        <f t="shared" ref="AK57:AN60" si="146">AK69+AK81</f>
        <v>-23635.408690000004</v>
      </c>
      <c r="AL57" s="1">
        <f t="shared" si="146"/>
        <v>-18169.812470000001</v>
      </c>
      <c r="AM57" s="1">
        <f t="shared" si="146"/>
        <v>-25004.633000000005</v>
      </c>
      <c r="AN57" s="1">
        <f t="shared" si="146"/>
        <v>-35984.25129</v>
      </c>
      <c r="AO57" s="40">
        <f t="shared" si="133"/>
        <v>-102794.10545</v>
      </c>
      <c r="AP57" s="1">
        <f t="shared" ref="AP57:AS60" si="147">AP69+AP81</f>
        <v>-33180.72944000001</v>
      </c>
      <c r="AQ57" s="1">
        <f t="shared" si="147"/>
        <v>-39143.756580000001</v>
      </c>
      <c r="AR57" s="1">
        <f t="shared" si="147"/>
        <v>-48782.991869999998</v>
      </c>
      <c r="AS57" s="1">
        <f t="shared" si="147"/>
        <v>-38814.121999999996</v>
      </c>
      <c r="AT57" s="40">
        <f t="shared" si="134"/>
        <v>-159921.59989000001</v>
      </c>
      <c r="AU57" s="1">
        <f t="shared" ref="AU57:AX60" si="148">AU69+AU81</f>
        <v>-36239.772140000001</v>
      </c>
      <c r="AV57" s="1">
        <f t="shared" si="148"/>
        <v>-35449.67895999999</v>
      </c>
      <c r="AW57" s="1">
        <f t="shared" si="148"/>
        <v>-37305.606750000014</v>
      </c>
      <c r="AX57" s="1">
        <f t="shared" si="148"/>
        <v>-35831.477550000011</v>
      </c>
      <c r="AY57" s="40">
        <f t="shared" si="129"/>
        <v>-144826.53540000002</v>
      </c>
      <c r="AZ57" s="1">
        <v>-31996.913909999999</v>
      </c>
    </row>
    <row r="58" spans="1:52" ht="14.85" customHeight="1">
      <c r="A58" s="56" t="s">
        <v>478</v>
      </c>
      <c r="B58" s="8"/>
      <c r="C58" s="8"/>
      <c r="D58" s="8"/>
      <c r="E58" s="8"/>
      <c r="F58" s="40"/>
      <c r="G58" s="8">
        <v>-12225.091649999998</v>
      </c>
      <c r="H58" s="8">
        <v>-20735.583599999991</v>
      </c>
      <c r="I58" s="8">
        <v>-20919.032589999995</v>
      </c>
      <c r="J58" s="8">
        <v>-21437.050430000003</v>
      </c>
      <c r="K58" s="40">
        <f t="shared" si="130"/>
        <v>-75316.758269999991</v>
      </c>
      <c r="L58" s="8">
        <v>-21572.359519999998</v>
      </c>
      <c r="M58" s="8">
        <v>-20249.535230000016</v>
      </c>
      <c r="N58" s="8">
        <v>-22314.192329999998</v>
      </c>
      <c r="O58" s="8">
        <v>-29239.36002</v>
      </c>
      <c r="P58" s="40">
        <f t="shared" si="131"/>
        <v>-93375.447100000019</v>
      </c>
      <c r="Q58" s="1">
        <v>-22815.226480000001</v>
      </c>
      <c r="R58" s="1">
        <v>-23608.33668</v>
      </c>
      <c r="S58" s="1">
        <v>-34274.838609999999</v>
      </c>
      <c r="T58" s="1">
        <v>-37764.167529999999</v>
      </c>
      <c r="U58" s="40">
        <v>-118462.5693</v>
      </c>
      <c r="V58" s="1">
        <v>-33255.981699999997</v>
      </c>
      <c r="W58" s="1">
        <v>-31727.900750000001</v>
      </c>
      <c r="X58" s="1">
        <v>-43206.223399999995</v>
      </c>
      <c r="Y58" s="1">
        <v>-44848.106089999994</v>
      </c>
      <c r="Z58" s="40">
        <v>-153038.21193999998</v>
      </c>
      <c r="AA58" s="1">
        <f t="shared" si="144"/>
        <v>-29090.695310000003</v>
      </c>
      <c r="AB58" s="1">
        <f t="shared" si="144"/>
        <v>-29031.421719999998</v>
      </c>
      <c r="AC58" s="1">
        <f t="shared" si="144"/>
        <v>-37981.914979999994</v>
      </c>
      <c r="AD58" s="1">
        <f t="shared" si="144"/>
        <v>-44175.194080000001</v>
      </c>
      <c r="AE58" s="40">
        <v>-140086.55918000001</v>
      </c>
      <c r="AF58" s="1">
        <f t="shared" si="145"/>
        <v>-47805.811109999995</v>
      </c>
      <c r="AG58" s="1">
        <f t="shared" si="145"/>
        <v>-52452.279930000004</v>
      </c>
      <c r="AH58" s="1">
        <f t="shared" si="145"/>
        <v>-55463.207259999996</v>
      </c>
      <c r="AI58" s="1">
        <f t="shared" si="145"/>
        <v>-64965.759240000007</v>
      </c>
      <c r="AJ58" s="40">
        <f t="shared" si="132"/>
        <v>-220687.05754000001</v>
      </c>
      <c r="AK58" s="1">
        <f t="shared" si="146"/>
        <v>-61168.320419999989</v>
      </c>
      <c r="AL58" s="1">
        <f t="shared" si="146"/>
        <v>-64062.411389999987</v>
      </c>
      <c r="AM58" s="1">
        <f t="shared" si="146"/>
        <v>-63065.4</v>
      </c>
      <c r="AN58" s="1">
        <f t="shared" si="146"/>
        <v>-63234.16203</v>
      </c>
      <c r="AO58" s="40">
        <f t="shared" si="133"/>
        <v>-251530.29383999997</v>
      </c>
      <c r="AP58" s="1">
        <f t="shared" si="147"/>
        <v>-63156.791270000002</v>
      </c>
      <c r="AQ58" s="1">
        <f t="shared" si="147"/>
        <v>-64873.096389999984</v>
      </c>
      <c r="AR58" s="1">
        <f t="shared" si="147"/>
        <v>-68021.94041000001</v>
      </c>
      <c r="AS58" s="1">
        <f t="shared" si="147"/>
        <v>-69907.965490000017</v>
      </c>
      <c r="AT58" s="40">
        <f t="shared" si="134"/>
        <v>-265959.79356000002</v>
      </c>
      <c r="AU58" s="1">
        <f t="shared" si="148"/>
        <v>-71557.74599000001</v>
      </c>
      <c r="AV58" s="1">
        <f t="shared" si="148"/>
        <v>-76063.545329999979</v>
      </c>
      <c r="AW58" s="1">
        <f t="shared" si="148"/>
        <v>-81140.235820000016</v>
      </c>
      <c r="AX58" s="1">
        <f t="shared" si="148"/>
        <v>-84387.754910000003</v>
      </c>
      <c r="AY58" s="40">
        <f t="shared" si="129"/>
        <v>-313149.28205000004</v>
      </c>
      <c r="AZ58" s="1">
        <v>-88234.317980000022</v>
      </c>
    </row>
    <row r="59" spans="1:52" ht="14.85" customHeight="1">
      <c r="A59" s="56" t="s">
        <v>479</v>
      </c>
      <c r="B59" s="8"/>
      <c r="C59" s="8"/>
      <c r="D59" s="8"/>
      <c r="E59" s="8"/>
      <c r="F59" s="40"/>
      <c r="G59" s="8">
        <v>-4296.9497800000008</v>
      </c>
      <c r="H59" s="8">
        <v>-5266.8518299999996</v>
      </c>
      <c r="I59" s="8">
        <v>-5090.4993500000019</v>
      </c>
      <c r="J59" s="8">
        <v>-8965.3991399999977</v>
      </c>
      <c r="K59" s="40">
        <f t="shared" si="130"/>
        <v>-23619.700100000002</v>
      </c>
      <c r="L59" s="8">
        <v>-4135.4775599999984</v>
      </c>
      <c r="M59" s="8">
        <v>-5653.0111500000003</v>
      </c>
      <c r="N59" s="8">
        <v>-94.055960000001164</v>
      </c>
      <c r="O59" s="8">
        <v>-7118.3289600000007</v>
      </c>
      <c r="P59" s="40">
        <f t="shared" si="131"/>
        <v>-17000.873630000002</v>
      </c>
      <c r="Q59" s="1">
        <v>-3435.4301600000003</v>
      </c>
      <c r="R59" s="1">
        <v>-3807.5765400000005</v>
      </c>
      <c r="S59" s="1">
        <v>-3696.4390600000002</v>
      </c>
      <c r="T59" s="1">
        <v>-6896.5346099999997</v>
      </c>
      <c r="U59" s="40">
        <v>-17835.980370000001</v>
      </c>
      <c r="V59" s="1">
        <v>-9615.8163700000005</v>
      </c>
      <c r="W59" s="1">
        <v>-9560.6525099999999</v>
      </c>
      <c r="X59" s="1">
        <v>-7055.3224800000007</v>
      </c>
      <c r="Y59" s="1">
        <v>-164.79506000000006</v>
      </c>
      <c r="Z59" s="40">
        <v>-26396.586420000003</v>
      </c>
      <c r="AA59" s="1">
        <f t="shared" si="144"/>
        <v>-9422.5944099999979</v>
      </c>
      <c r="AB59" s="1">
        <f t="shared" si="144"/>
        <v>426.66664000000026</v>
      </c>
      <c r="AC59" s="1">
        <f t="shared" si="144"/>
        <v>-8058.7527200000004</v>
      </c>
      <c r="AD59" s="1">
        <f t="shared" si="144"/>
        <v>-3774.3938000000003</v>
      </c>
      <c r="AE59" s="40">
        <v>-20829.07429</v>
      </c>
      <c r="AF59" s="1">
        <f t="shared" si="145"/>
        <v>-6403.9682599999996</v>
      </c>
      <c r="AG59" s="1">
        <f t="shared" si="145"/>
        <v>-4524.2916500000001</v>
      </c>
      <c r="AH59" s="1">
        <f t="shared" si="145"/>
        <v>-1111.5933600000001</v>
      </c>
      <c r="AI59" s="1">
        <f t="shared" si="145"/>
        <v>-4165.8910700000006</v>
      </c>
      <c r="AJ59" s="40">
        <f t="shared" si="132"/>
        <v>-16205.744340000001</v>
      </c>
      <c r="AK59" s="1">
        <f t="shared" si="146"/>
        <v>-3624.8412900000003</v>
      </c>
      <c r="AL59" s="1">
        <f t="shared" si="146"/>
        <v>-4264.6181700000006</v>
      </c>
      <c r="AM59" s="1">
        <f t="shared" si="146"/>
        <v>-3839.2730000000001</v>
      </c>
      <c r="AN59" s="1">
        <f t="shared" si="146"/>
        <v>-4963.2974400000003</v>
      </c>
      <c r="AO59" s="40">
        <f t="shared" si="133"/>
        <v>-16692.029900000001</v>
      </c>
      <c r="AP59" s="1">
        <f t="shared" si="147"/>
        <v>-4968.5620699999999</v>
      </c>
      <c r="AQ59" s="1">
        <f t="shared" si="147"/>
        <v>-5024.0374600000005</v>
      </c>
      <c r="AR59" s="1">
        <f t="shared" si="147"/>
        <v>-5722.8201799999997</v>
      </c>
      <c r="AS59" s="1">
        <f t="shared" si="147"/>
        <v>-2279.9539999999997</v>
      </c>
      <c r="AT59" s="40">
        <f t="shared" si="134"/>
        <v>-17995.37371</v>
      </c>
      <c r="AU59" s="1">
        <f t="shared" si="148"/>
        <v>-5082.3008499999996</v>
      </c>
      <c r="AV59" s="1">
        <f t="shared" si="148"/>
        <v>-5513.5658000000003</v>
      </c>
      <c r="AW59" s="1">
        <f t="shared" si="148"/>
        <v>-5468.0802699999995</v>
      </c>
      <c r="AX59" s="1">
        <f t="shared" si="148"/>
        <v>-6165.3472500000007</v>
      </c>
      <c r="AY59" s="40">
        <f t="shared" si="129"/>
        <v>-22229.294170000001</v>
      </c>
      <c r="AZ59" s="1">
        <v>-8086.5691000000006</v>
      </c>
    </row>
    <row r="60" spans="1:52" ht="14.85" customHeight="1">
      <c r="A60" s="56" t="s">
        <v>709</v>
      </c>
      <c r="B60" s="8"/>
      <c r="C60" s="8"/>
      <c r="D60" s="8"/>
      <c r="E60" s="8"/>
      <c r="F60" s="40"/>
      <c r="G60" s="8">
        <v>-418.55423999999999</v>
      </c>
      <c r="H60" s="8">
        <v>-423.20499999999993</v>
      </c>
      <c r="I60" s="8">
        <v>-687.42535999999996</v>
      </c>
      <c r="J60" s="8">
        <v>-756.91164000000003</v>
      </c>
      <c r="K60" s="40">
        <f t="shared" si="130"/>
        <v>-2286.0962399999999</v>
      </c>
      <c r="L60" s="8">
        <v>-451.89639999999997</v>
      </c>
      <c r="M60" s="8">
        <v>-1195.9711399999999</v>
      </c>
      <c r="N60" s="8">
        <v>-429.03479000000004</v>
      </c>
      <c r="O60" s="8">
        <v>-813.34849999999994</v>
      </c>
      <c r="P60" s="40">
        <f t="shared" si="131"/>
        <v>-2890.25083</v>
      </c>
      <c r="Q60" s="1">
        <v>-419.35421000000002</v>
      </c>
      <c r="R60" s="1">
        <v>-367.77370999999994</v>
      </c>
      <c r="S60" s="1">
        <v>-978.35237000000006</v>
      </c>
      <c r="T60" s="1">
        <v>834.49560999999972</v>
      </c>
      <c r="U60" s="40">
        <v>-930.98468000000025</v>
      </c>
      <c r="V60" s="1">
        <v>-434.87315000000001</v>
      </c>
      <c r="W60" s="1">
        <v>-285.96411000000001</v>
      </c>
      <c r="X60" s="1">
        <v>2589.5177199999998</v>
      </c>
      <c r="Y60" s="1">
        <v>-547.38179000000002</v>
      </c>
      <c r="Z60" s="40">
        <v>1321.2986699999997</v>
      </c>
      <c r="AA60" s="1">
        <f t="shared" si="144"/>
        <v>-610.91678000000013</v>
      </c>
      <c r="AB60" s="1">
        <f t="shared" si="144"/>
        <v>366.31988999999999</v>
      </c>
      <c r="AC60" s="1">
        <f t="shared" si="144"/>
        <v>-542.99383</v>
      </c>
      <c r="AD60" s="1">
        <f t="shared" si="144"/>
        <v>-2001.0927099999999</v>
      </c>
      <c r="AE60" s="40">
        <v>-3941.3931499999999</v>
      </c>
      <c r="AF60" s="1">
        <f t="shared" si="145"/>
        <v>-1462.8104899999998</v>
      </c>
      <c r="AG60" s="1">
        <f t="shared" si="145"/>
        <v>-1837.3995799999998</v>
      </c>
      <c r="AH60" s="1">
        <f t="shared" si="145"/>
        <v>-2153.8096799999998</v>
      </c>
      <c r="AI60" s="1">
        <f t="shared" si="145"/>
        <v>-1645.3361399999999</v>
      </c>
      <c r="AJ60" s="40">
        <f t="shared" si="132"/>
        <v>-7099.3558899999989</v>
      </c>
      <c r="AK60" s="1">
        <f t="shared" si="146"/>
        <v>-1757.6535100000001</v>
      </c>
      <c r="AL60" s="1">
        <f t="shared" si="146"/>
        <v>-1908.9426699999999</v>
      </c>
      <c r="AM60" s="1">
        <f t="shared" si="146"/>
        <v>-1526.6509999999998</v>
      </c>
      <c r="AN60" s="1">
        <f t="shared" si="146"/>
        <v>-895.27979000000005</v>
      </c>
      <c r="AO60" s="40">
        <f t="shared" si="133"/>
        <v>-6088.5269700000008</v>
      </c>
      <c r="AP60" s="1">
        <f t="shared" si="147"/>
        <v>-1259.2830300000001</v>
      </c>
      <c r="AQ60" s="1">
        <f t="shared" si="147"/>
        <v>10338.386400000001</v>
      </c>
      <c r="AR60" s="1">
        <f t="shared" si="147"/>
        <v>12409.273869999999</v>
      </c>
      <c r="AS60" s="1">
        <f t="shared" si="147"/>
        <v>-583.70999999999992</v>
      </c>
      <c r="AT60" s="40">
        <f t="shared" si="134"/>
        <v>20904.667240000002</v>
      </c>
      <c r="AU60" s="1">
        <f t="shared" si="148"/>
        <v>-1136.3866600000001</v>
      </c>
      <c r="AV60" s="1">
        <f t="shared" si="148"/>
        <v>-1392.1112499999999</v>
      </c>
      <c r="AW60" s="1">
        <f t="shared" si="148"/>
        <v>-2082.1037900000001</v>
      </c>
      <c r="AX60" s="1">
        <f t="shared" si="148"/>
        <v>-2763.11859</v>
      </c>
      <c r="AY60" s="40">
        <f t="shared" si="129"/>
        <v>-7373.7202900000002</v>
      </c>
      <c r="AZ60" s="1">
        <v>-1138.57593</v>
      </c>
    </row>
    <row r="61" spans="1:52" ht="14.85" customHeight="1">
      <c r="A61" s="54" t="s">
        <v>710</v>
      </c>
      <c r="B61" s="76"/>
      <c r="C61" s="76"/>
      <c r="D61" s="76"/>
      <c r="E61" s="76"/>
      <c r="F61" s="39"/>
      <c r="G61" s="76">
        <f t="shared" ref="G61" si="149">SUM(G56:G60)</f>
        <v>17372.133669999788</v>
      </c>
      <c r="H61" s="76">
        <f t="shared" ref="H61" si="150">SUM(H56:H60)</f>
        <v>15195.907290000056</v>
      </c>
      <c r="I61" s="76">
        <f t="shared" ref="I61" si="151">SUM(I56:I60)</f>
        <v>15638.763209999952</v>
      </c>
      <c r="J61" s="76">
        <f t="shared" ref="J61" si="152">SUM(J56:J60)</f>
        <v>4643.5709399999632</v>
      </c>
      <c r="K61" s="39">
        <f t="shared" ref="K61" si="153">SUM(K56:K60)</f>
        <v>52850.375109999732</v>
      </c>
      <c r="L61" s="76">
        <f t="shared" ref="L61" si="154">SUM(L56:L60)</f>
        <v>14057.030370000079</v>
      </c>
      <c r="M61" s="76">
        <f t="shared" ref="M61" si="155">SUM(M56:M60)</f>
        <v>20887.657880000013</v>
      </c>
      <c r="N61" s="76">
        <f t="shared" ref="N61" si="156">SUM(N56:N60)</f>
        <v>23626.601220000062</v>
      </c>
      <c r="O61" s="76">
        <f t="shared" ref="O61" si="157">SUM(O56:O60)</f>
        <v>8018.7953899999975</v>
      </c>
      <c r="P61" s="39">
        <f t="shared" ref="P61" si="158">SUM(P56:P60)</f>
        <v>66590.084860000163</v>
      </c>
      <c r="Q61" s="76">
        <v>18331.274559999987</v>
      </c>
      <c r="R61" s="76">
        <v>27874.154239999989</v>
      </c>
      <c r="S61" s="76">
        <v>19510.832819999992</v>
      </c>
      <c r="T61" s="76">
        <v>19663.768489999984</v>
      </c>
      <c r="U61" s="39">
        <v>85380.030109999963</v>
      </c>
      <c r="V61" s="76">
        <v>19158.596689999998</v>
      </c>
      <c r="W61" s="76">
        <v>23922.326349999988</v>
      </c>
      <c r="X61" s="76">
        <v>16471.432910000018</v>
      </c>
      <c r="Y61" s="76">
        <v>29708.34174</v>
      </c>
      <c r="Z61" s="39">
        <v>89260.697690000045</v>
      </c>
      <c r="AA61" s="76">
        <v>43079.615669999999</v>
      </c>
      <c r="AB61" s="76">
        <v>68705.520230000009</v>
      </c>
      <c r="AC61" s="76">
        <v>65665.614059999964</v>
      </c>
      <c r="AD61" s="76">
        <v>67159.747229999964</v>
      </c>
      <c r="AE61" s="39">
        <v>244610.49718999997</v>
      </c>
      <c r="AF61" s="76">
        <f>SUM(AF56:AF60)</f>
        <v>76640.183839999969</v>
      </c>
      <c r="AG61" s="76">
        <f>SUM(AG56:AG60)</f>
        <v>89755.570319999984</v>
      </c>
      <c r="AH61" s="76">
        <f>SUM(AH56:AH60)</f>
        <v>94178.967839999998</v>
      </c>
      <c r="AI61" s="76">
        <f>SUM(AI56:AI60)</f>
        <v>94189.246319999991</v>
      </c>
      <c r="AJ61" s="39">
        <f t="shared" si="132"/>
        <v>354763.96831999993</v>
      </c>
      <c r="AK61" s="76">
        <f>SUM(AK56:AK60)</f>
        <v>100579.64199999999</v>
      </c>
      <c r="AL61" s="76">
        <f t="shared" ref="AL61:AN61" si="159">SUM(AL56:AL60)</f>
        <v>107322.09040999999</v>
      </c>
      <c r="AM61" s="76">
        <f t="shared" si="159"/>
        <v>102272.58800000002</v>
      </c>
      <c r="AN61" s="76">
        <f t="shared" si="159"/>
        <v>90399.227329999965</v>
      </c>
      <c r="AO61" s="39">
        <f t="shared" si="133"/>
        <v>400573.54774000001</v>
      </c>
      <c r="AP61" s="76">
        <f>SUM(AP56:AP60)</f>
        <v>90787.942010000013</v>
      </c>
      <c r="AQ61" s="76">
        <f>SUM(AQ56:AQ60)</f>
        <v>101014.90134000007</v>
      </c>
      <c r="AR61" s="76">
        <f>SUM(AR56:AR60)</f>
        <v>97557.388310000024</v>
      </c>
      <c r="AS61" s="76">
        <f>SUM(AS56:AS60)</f>
        <v>100363.91650999998</v>
      </c>
      <c r="AT61" s="39">
        <f t="shared" si="134"/>
        <v>389724.14817000006</v>
      </c>
      <c r="AU61" s="76">
        <f>SUM(AU56:AU60)</f>
        <v>101754.55009999991</v>
      </c>
      <c r="AV61" s="76">
        <f>SUM(AV56:AV60)</f>
        <v>109233.36373000008</v>
      </c>
      <c r="AW61" s="76">
        <f>SUM(AW56:AW60)</f>
        <v>113690.76562999999</v>
      </c>
      <c r="AX61" s="76">
        <f>SUM(AX56:AX60)</f>
        <v>120114.54089999999</v>
      </c>
      <c r="AY61" s="39">
        <f t="shared" si="129"/>
        <v>444793.22035999992</v>
      </c>
      <c r="AZ61" s="76">
        <f>SUM(AZ56:AZ60)</f>
        <v>125541.57956999996</v>
      </c>
    </row>
    <row r="62" spans="1:52" ht="14.85" customHeight="1">
      <c r="A62" s="17" t="s">
        <v>711</v>
      </c>
      <c r="B62" s="18"/>
      <c r="C62" s="18"/>
      <c r="D62" s="18"/>
      <c r="E62" s="18"/>
      <c r="F62" s="46"/>
      <c r="G62" s="18">
        <f t="shared" ref="G62:J62" si="160">-G57/G56</f>
        <v>0.34577934946605454</v>
      </c>
      <c r="H62" s="18">
        <f t="shared" si="160"/>
        <v>0.22308606807324241</v>
      </c>
      <c r="I62" s="18">
        <f t="shared" si="160"/>
        <v>0.2133181805105929</v>
      </c>
      <c r="J62" s="18">
        <f t="shared" si="160"/>
        <v>0.34329711304437444</v>
      </c>
      <c r="K62" s="46">
        <f t="shared" ref="K62:P62" si="161">-K57/K56</f>
        <v>0.28122859481539675</v>
      </c>
      <c r="L62" s="18">
        <f t="shared" si="161"/>
        <v>0.26104444067639437</v>
      </c>
      <c r="M62" s="18">
        <f t="shared" si="161"/>
        <v>0.15755697838713753</v>
      </c>
      <c r="N62" s="18">
        <f t="shared" si="161"/>
        <v>0.23660942874316393</v>
      </c>
      <c r="O62" s="18">
        <f t="shared" si="161"/>
        <v>0.3053804382396047</v>
      </c>
      <c r="P62" s="46">
        <f t="shared" si="161"/>
        <v>0.24209175573164426</v>
      </c>
      <c r="Q62" s="18">
        <v>0.31615607266970847</v>
      </c>
      <c r="R62" s="18">
        <v>0.21150182521110197</v>
      </c>
      <c r="S62" s="18">
        <v>0.22270148449451788</v>
      </c>
      <c r="T62" s="18">
        <v>0.1932357616319629</v>
      </c>
      <c r="U62" s="46">
        <v>0.23317508152478167</v>
      </c>
      <c r="V62" s="18">
        <v>0.22636598436216165</v>
      </c>
      <c r="W62" s="18">
        <v>0.20076686042011371</v>
      </c>
      <c r="X62" s="18">
        <v>0.26564957872736683</v>
      </c>
      <c r="Y62" s="18">
        <v>0.18919373496836001</v>
      </c>
      <c r="Z62" s="46">
        <v>0.22019079994451507</v>
      </c>
      <c r="AA62" s="18">
        <v>0.18174464095835266</v>
      </c>
      <c r="AB62" s="18">
        <v>0.14717707355241452</v>
      </c>
      <c r="AC62" s="169">
        <v>0.16268012747106084</v>
      </c>
      <c r="AD62" s="169">
        <v>0.20872014627336408</v>
      </c>
      <c r="AE62" s="46">
        <v>0.17672057510469183</v>
      </c>
      <c r="AF62" s="169">
        <f t="shared" ref="AF62:AJ62" si="162">-AF57/AF56</f>
        <v>0.16655776949544224</v>
      </c>
      <c r="AG62" s="169">
        <f t="shared" si="162"/>
        <v>0.11865556992876457</v>
      </c>
      <c r="AH62" s="169">
        <f t="shared" si="162"/>
        <v>0.14425394302446296</v>
      </c>
      <c r="AI62" s="413">
        <f t="shared" si="162"/>
        <v>0.12911293583032663</v>
      </c>
      <c r="AJ62" s="493">
        <f t="shared" si="162"/>
        <v>0.13901636966803274</v>
      </c>
      <c r="AK62" s="413">
        <f t="shared" ref="AK62:AN62" si="163">-AK57/AK56</f>
        <v>0.12389747283799071</v>
      </c>
      <c r="AL62" s="413">
        <f t="shared" si="163"/>
        <v>9.2832012097349342E-2</v>
      </c>
      <c r="AM62" s="413">
        <f t="shared" si="163"/>
        <v>0.12776464614766822</v>
      </c>
      <c r="AN62" s="413">
        <f t="shared" si="163"/>
        <v>0.18408505996412422</v>
      </c>
      <c r="AO62" s="493">
        <f>-AO57/AO56</f>
        <v>0.13218072112639762</v>
      </c>
      <c r="AP62" s="413">
        <f t="shared" ref="AP62" si="164">-AP57/AP56</f>
        <v>0.17160673284622169</v>
      </c>
      <c r="AQ62" s="413">
        <f t="shared" ref="AQ62:AX62" si="165">-AQ57/AQ56</f>
        <v>0.19599571958929457</v>
      </c>
      <c r="AR62" s="413">
        <f t="shared" si="165"/>
        <v>0.23489966647636512</v>
      </c>
      <c r="AS62" s="413">
        <f t="shared" si="165"/>
        <v>0.18312895871108414</v>
      </c>
      <c r="AT62" s="493">
        <f t="shared" si="165"/>
        <v>0.19677905523231834</v>
      </c>
      <c r="AU62" s="413">
        <f t="shared" si="165"/>
        <v>0.16795497617697694</v>
      </c>
      <c r="AV62" s="413">
        <f t="shared" si="165"/>
        <v>0.15571854270415311</v>
      </c>
      <c r="AW62" s="413">
        <f t="shared" si="165"/>
        <v>0.15564314745191629</v>
      </c>
      <c r="AX62" s="413">
        <f t="shared" si="165"/>
        <v>0.14375012302304635</v>
      </c>
      <c r="AY62" s="493">
        <f>-AY57/(AY56)</f>
        <v>0.1553312704380167</v>
      </c>
      <c r="AZ62" s="413">
        <f t="shared" ref="AZ62" si="166">-AZ57/AZ56</f>
        <v>0.12547909932468337</v>
      </c>
    </row>
    <row r="63" spans="1:52" ht="14.85" customHeight="1" thickBot="1">
      <c r="A63" s="17" t="s">
        <v>712</v>
      </c>
      <c r="B63" s="18"/>
      <c r="C63" s="18"/>
      <c r="D63" s="18"/>
      <c r="E63" s="18"/>
      <c r="F63" s="48"/>
      <c r="G63" s="18">
        <f t="shared" ref="G63:J63" si="167">-G58/G56</f>
        <v>0.23308863987035294</v>
      </c>
      <c r="H63" s="18">
        <f t="shared" si="167"/>
        <v>0.3870534535103532</v>
      </c>
      <c r="I63" s="18">
        <f t="shared" si="167"/>
        <v>0.38871719724180076</v>
      </c>
      <c r="J63" s="18">
        <f t="shared" si="167"/>
        <v>0.39320167538832018</v>
      </c>
      <c r="K63" s="48">
        <f t="shared" ref="K63:P63" si="168">-K58/K56</f>
        <v>0.35136303485666642</v>
      </c>
      <c r="L63" s="18">
        <f t="shared" si="168"/>
        <v>0.39637736776852767</v>
      </c>
      <c r="M63" s="18">
        <f t="shared" si="168"/>
        <v>0.35549988102234364</v>
      </c>
      <c r="N63" s="18">
        <f t="shared" si="168"/>
        <v>0.36661687430066159</v>
      </c>
      <c r="O63" s="18">
        <f t="shared" si="168"/>
        <v>0.44944249963646354</v>
      </c>
      <c r="P63" s="48">
        <f t="shared" si="168"/>
        <v>0.39348013344622629</v>
      </c>
      <c r="Q63" s="18">
        <v>0.34670240942820368</v>
      </c>
      <c r="R63" s="18">
        <v>0.33445656516076827</v>
      </c>
      <c r="S63" s="18">
        <v>0.45572306251738398</v>
      </c>
      <c r="T63" s="18">
        <v>0.47986756720798934</v>
      </c>
      <c r="U63" s="48">
        <v>0.40806894468436095</v>
      </c>
      <c r="V63" s="18">
        <v>0.41187622381798356</v>
      </c>
      <c r="W63" s="18">
        <v>0.3871635377898105</v>
      </c>
      <c r="X63" s="18">
        <v>0.49464914780267394</v>
      </c>
      <c r="Y63" s="18">
        <v>0.48311133021456509</v>
      </c>
      <c r="Z63" s="48">
        <v>0.44634301589409836</v>
      </c>
      <c r="AA63" s="18">
        <v>0.28556391198073416</v>
      </c>
      <c r="AB63" s="18">
        <v>0.25539149834479069</v>
      </c>
      <c r="AC63" s="169">
        <v>0.28327546755537009</v>
      </c>
      <c r="AD63" s="169">
        <v>0.29770864768661859</v>
      </c>
      <c r="AE63" s="48">
        <v>0.28165941172611353</v>
      </c>
      <c r="AF63" s="169">
        <f t="shared" ref="AF63:AJ63" si="169">-AF58/AF56</f>
        <v>0.3011302743372084</v>
      </c>
      <c r="AG63" s="169">
        <f t="shared" si="169"/>
        <v>0.31115748423485512</v>
      </c>
      <c r="AH63" s="169">
        <f t="shared" si="169"/>
        <v>0.31039940268039595</v>
      </c>
      <c r="AI63" s="413">
        <f t="shared" si="169"/>
        <v>0.34296618396420353</v>
      </c>
      <c r="AJ63" s="492">
        <f t="shared" si="169"/>
        <v>0.317337786936494</v>
      </c>
      <c r="AK63" s="413">
        <f t="shared" ref="AK63:AN63" si="170">-AK58/AK56</f>
        <v>0.32064604497357058</v>
      </c>
      <c r="AL63" s="413">
        <f t="shared" si="170"/>
        <v>0.32730346331096993</v>
      </c>
      <c r="AM63" s="413">
        <f t="shared" si="170"/>
        <v>0.32224142282596807</v>
      </c>
      <c r="AN63" s="413">
        <f t="shared" si="170"/>
        <v>0.32348775066242863</v>
      </c>
      <c r="AO63" s="492">
        <f>-AO58/AO56</f>
        <v>0.32343737492883529</v>
      </c>
      <c r="AP63" s="413">
        <f t="shared" ref="AP63" si="171">-AP58/AP56</f>
        <v>0.32663931112466443</v>
      </c>
      <c r="AQ63" s="413">
        <f t="shared" ref="AQ63:AX63" si="172">-AQ58/AQ56</f>
        <v>0.32482445017656281</v>
      </c>
      <c r="AR63" s="413">
        <f t="shared" si="172"/>
        <v>0.32753897419748779</v>
      </c>
      <c r="AS63" s="413">
        <f t="shared" si="172"/>
        <v>0.32983286149804214</v>
      </c>
      <c r="AT63" s="492">
        <f t="shared" si="172"/>
        <v>0.32725608637305648</v>
      </c>
      <c r="AU63" s="413">
        <f t="shared" si="172"/>
        <v>0.33163783360997201</v>
      </c>
      <c r="AV63" s="413">
        <f t="shared" si="172"/>
        <v>0.3341216275911485</v>
      </c>
      <c r="AW63" s="413">
        <f t="shared" si="172"/>
        <v>0.33852610339906936</v>
      </c>
      <c r="AX63" s="413">
        <f t="shared" si="172"/>
        <v>0.33855009559747229</v>
      </c>
      <c r="AY63" s="492">
        <f>-AY58/(AY56)</f>
        <v>0.33586300799942576</v>
      </c>
      <c r="AZ63" s="413">
        <f t="shared" ref="AZ63" si="173">-AZ58/AZ56</f>
        <v>0.34601970617541095</v>
      </c>
    </row>
    <row r="64" spans="1:52" ht="14.85" customHeight="1" thickBot="1"/>
    <row r="65" spans="1:56" s="30" customFormat="1" ht="14.85" customHeight="1">
      <c r="A65" s="179" t="s">
        <v>720</v>
      </c>
      <c r="B65" s="180" t="s">
        <v>224</v>
      </c>
      <c r="C65" s="180" t="s">
        <v>225</v>
      </c>
      <c r="D65" s="180" t="s">
        <v>226</v>
      </c>
      <c r="E65" s="180" t="s">
        <v>227</v>
      </c>
      <c r="F65" s="181">
        <v>2016</v>
      </c>
      <c r="G65" s="180" t="s">
        <v>228</v>
      </c>
      <c r="H65" s="180" t="s">
        <v>229</v>
      </c>
      <c r="I65" s="180" t="s">
        <v>230</v>
      </c>
      <c r="J65" s="180" t="s">
        <v>231</v>
      </c>
      <c r="K65" s="181">
        <v>2017</v>
      </c>
      <c r="L65" s="180" t="s">
        <v>232</v>
      </c>
      <c r="M65" s="180" t="s">
        <v>233</v>
      </c>
      <c r="N65" s="180" t="s">
        <v>234</v>
      </c>
      <c r="O65" s="180" t="s">
        <v>235</v>
      </c>
      <c r="P65" s="181">
        <v>2018</v>
      </c>
      <c r="Q65" s="180" t="s">
        <v>236</v>
      </c>
      <c r="R65" s="180" t="s">
        <v>237</v>
      </c>
      <c r="S65" s="180" t="s">
        <v>238</v>
      </c>
      <c r="T65" s="180" t="s">
        <v>239</v>
      </c>
      <c r="U65" s="181">
        <v>2019</v>
      </c>
      <c r="V65" s="180" t="s">
        <v>240</v>
      </c>
      <c r="W65" s="180" t="s">
        <v>241</v>
      </c>
      <c r="X65" s="180" t="s">
        <v>242</v>
      </c>
      <c r="Y65" s="180" t="s">
        <v>243</v>
      </c>
      <c r="Z65" s="181">
        <v>2020</v>
      </c>
      <c r="AA65" s="180" t="s">
        <v>244</v>
      </c>
      <c r="AB65" s="180" t="s">
        <v>245</v>
      </c>
      <c r="AC65" s="180" t="s">
        <v>246</v>
      </c>
      <c r="AD65" s="180" t="s">
        <v>247</v>
      </c>
      <c r="AE65" s="181">
        <v>2021</v>
      </c>
      <c r="AF65" s="180" t="s">
        <v>248</v>
      </c>
      <c r="AG65" s="180" t="s">
        <v>249</v>
      </c>
      <c r="AH65" s="180" t="s">
        <v>250</v>
      </c>
      <c r="AI65" s="180" t="s">
        <v>215</v>
      </c>
      <c r="AJ65" s="181">
        <v>2022</v>
      </c>
      <c r="AK65" s="180" t="s">
        <v>252</v>
      </c>
      <c r="AL65" s="180" t="s">
        <v>253</v>
      </c>
      <c r="AM65" s="180" t="s">
        <v>254</v>
      </c>
      <c r="AN65" s="180" t="s">
        <v>219</v>
      </c>
      <c r="AO65" s="181">
        <v>2023</v>
      </c>
      <c r="AP65" s="180" t="s">
        <v>223</v>
      </c>
      <c r="AQ65" s="180" t="s">
        <v>256</v>
      </c>
      <c r="AR65" s="180" t="s">
        <v>357</v>
      </c>
      <c r="AS65" s="180" t="s">
        <v>358</v>
      </c>
      <c r="AT65" s="181">
        <v>2024</v>
      </c>
      <c r="AU65" s="180" t="s">
        <v>359</v>
      </c>
      <c r="AV65" s="180" t="s">
        <v>1115</v>
      </c>
      <c r="AW65" s="180" t="s">
        <v>1116</v>
      </c>
      <c r="AX65" s="180" t="s">
        <v>1117</v>
      </c>
      <c r="AY65" s="181" t="s">
        <v>1118</v>
      </c>
      <c r="AZ65" s="180" t="s">
        <v>1124</v>
      </c>
      <c r="BA65" s="594"/>
      <c r="BB65" s="594"/>
    </row>
    <row r="66" spans="1:56" ht="14.85" customHeight="1">
      <c r="A66" s="54" t="s">
        <v>707</v>
      </c>
      <c r="B66" s="76"/>
      <c r="C66" s="76"/>
      <c r="D66" s="76"/>
      <c r="E66" s="76"/>
      <c r="F66" s="39"/>
      <c r="G66" s="76"/>
      <c r="H66" s="76"/>
      <c r="I66" s="76"/>
      <c r="J66" s="76"/>
      <c r="K66" s="39"/>
      <c r="L66" s="76"/>
      <c r="M66" s="76"/>
      <c r="N66" s="76"/>
      <c r="O66" s="76"/>
      <c r="P66" s="39"/>
      <c r="Q66" s="76"/>
      <c r="R66" s="76"/>
      <c r="S66" s="76"/>
      <c r="T66" s="76"/>
      <c r="U66" s="39"/>
      <c r="V66" s="76"/>
      <c r="W66" s="76"/>
      <c r="X66" s="76"/>
      <c r="Y66" s="76"/>
      <c r="Z66" s="39"/>
      <c r="AA66" s="76">
        <v>81846.50099</v>
      </c>
      <c r="AB66" s="76">
        <v>147430.94257999997</v>
      </c>
      <c r="AC66" s="76">
        <v>161558.64296999999</v>
      </c>
      <c r="AD66" s="76">
        <v>171062.38916999998</v>
      </c>
      <c r="AE66" s="39">
        <v>561898.47570999991</v>
      </c>
      <c r="AF66" s="76">
        <v>150504.23574999999</v>
      </c>
      <c r="AG66" s="76">
        <v>169294.82686</v>
      </c>
      <c r="AH66" s="76">
        <v>204721.57305000001</v>
      </c>
      <c r="AI66" s="76">
        <v>174149.03044</v>
      </c>
      <c r="AJ66" s="39">
        <f>SUM(AF66:AI66)</f>
        <v>698669.66610000003</v>
      </c>
      <c r="AK66" s="76">
        <v>165109.65776</v>
      </c>
      <c r="AL66" s="76">
        <v>176414.94683999999</v>
      </c>
      <c r="AM66" s="76">
        <v>193075.57</v>
      </c>
      <c r="AN66" s="76">
        <v>194107.12076999998</v>
      </c>
      <c r="AO66" s="39">
        <f>SUM(AK66:AN66)</f>
        <v>728707.29536999995</v>
      </c>
      <c r="AP66" s="76">
        <v>195087.30364</v>
      </c>
      <c r="AQ66" s="76">
        <v>212795.05991000004</v>
      </c>
      <c r="AR66" s="76">
        <v>222584.67058000003</v>
      </c>
      <c r="AS66" s="76">
        <v>226446.36499999999</v>
      </c>
      <c r="AT66" s="39">
        <f>SUM(AP66:AS66)</f>
        <v>856913.39913000003</v>
      </c>
      <c r="AU66" s="76">
        <v>252023.42136999994</v>
      </c>
      <c r="AV66" s="76">
        <v>264975.81349000003</v>
      </c>
      <c r="AW66" s="76">
        <v>291318.11854</v>
      </c>
      <c r="AX66" s="76">
        <v>284239.14158</v>
      </c>
      <c r="AY66" s="39">
        <f t="shared" ref="AY66:AY73" si="174">SUM(AU66:AX66)</f>
        <v>1092556.49498</v>
      </c>
      <c r="AZ66" s="10">
        <v>266312.01179999998</v>
      </c>
      <c r="BA66" s="1"/>
      <c r="BB66" s="1"/>
      <c r="BC66" s="1"/>
      <c r="BD66" s="184"/>
    </row>
    <row r="67" spans="1:56" ht="14.85" customHeight="1">
      <c r="A67" s="56" t="s">
        <v>443</v>
      </c>
      <c r="B67" s="8"/>
      <c r="C67" s="8"/>
      <c r="D67" s="8"/>
      <c r="E67" s="8"/>
      <c r="F67" s="40"/>
      <c r="G67" s="8"/>
      <c r="H67" s="8"/>
      <c r="I67" s="8"/>
      <c r="J67" s="8"/>
      <c r="K67" s="40"/>
      <c r="L67" s="8"/>
      <c r="M67" s="8"/>
      <c r="N67" s="8"/>
      <c r="O67" s="8"/>
      <c r="P67" s="40"/>
      <c r="Q67" s="1"/>
      <c r="R67" s="1"/>
      <c r="S67" s="1"/>
      <c r="T67" s="1"/>
      <c r="U67" s="40"/>
      <c r="V67" s="1"/>
      <c r="W67" s="1"/>
      <c r="X67" s="1"/>
      <c r="Y67" s="1"/>
      <c r="Z67" s="40"/>
      <c r="AA67" s="1">
        <v>-77759.586309999999</v>
      </c>
      <c r="AB67" s="1">
        <v>-122161.47961999998</v>
      </c>
      <c r="AC67" s="1">
        <v>-104414.50029000001</v>
      </c>
      <c r="AD67" s="1">
        <v>-86716.595480000004</v>
      </c>
      <c r="AE67" s="40">
        <v>-391052.1617</v>
      </c>
      <c r="AF67" s="1">
        <v>-44316.078249999999</v>
      </c>
      <c r="AG67" s="1">
        <v>-49136.755440000001</v>
      </c>
      <c r="AH67" s="1">
        <v>-70099.314599999998</v>
      </c>
      <c r="AI67" s="1">
        <v>-28557.177060000002</v>
      </c>
      <c r="AJ67" s="40">
        <f t="shared" ref="AJ67:AJ73" si="175">SUM(AF67:AI67)</f>
        <v>-192109.32535</v>
      </c>
      <c r="AK67" s="1">
        <v>-15576.3663</v>
      </c>
      <c r="AL67" s="1">
        <v>-20041.22623</v>
      </c>
      <c r="AM67" s="1">
        <v>-31678.733</v>
      </c>
      <c r="AN67" s="1">
        <v>-27243.10714</v>
      </c>
      <c r="AO67" s="40">
        <f t="shared" ref="AO67:AO73" si="176">SUM(AK67:AN67)</f>
        <v>-94539.432670000009</v>
      </c>
      <c r="AP67" s="1">
        <v>-25432.535459999999</v>
      </c>
      <c r="AQ67" s="1">
        <v>-36680.054900000003</v>
      </c>
      <c r="AR67" s="1">
        <v>-37627.256289999998</v>
      </c>
      <c r="AS67" s="610">
        <v>-36492.873</v>
      </c>
      <c r="AT67" s="40">
        <f t="shared" ref="AT67:AT73" si="177">SUM(AP67:AS67)</f>
        <v>-136232.71964999998</v>
      </c>
      <c r="AU67" s="1">
        <v>-56825.773560000001</v>
      </c>
      <c r="AV67" s="1">
        <v>-57353.713959999994</v>
      </c>
      <c r="AW67" s="1">
        <v>-70575.176000000007</v>
      </c>
      <c r="AX67" s="1">
        <v>-52238.896639999999</v>
      </c>
      <c r="AY67" s="40">
        <f t="shared" si="174"/>
        <v>-236993.56015999999</v>
      </c>
      <c r="AZ67" s="8">
        <v>-26956.176220000001</v>
      </c>
      <c r="BA67" s="114"/>
      <c r="BB67" s="114"/>
    </row>
    <row r="68" spans="1:56" ht="14.85" customHeight="1">
      <c r="A68" s="54" t="s">
        <v>708</v>
      </c>
      <c r="B68" s="76"/>
      <c r="C68" s="76"/>
      <c r="D68" s="76"/>
      <c r="E68" s="76"/>
      <c r="F68" s="39"/>
      <c r="G68" s="76"/>
      <c r="H68" s="76"/>
      <c r="I68" s="76"/>
      <c r="J68" s="76"/>
      <c r="K68" s="39"/>
      <c r="L68" s="76"/>
      <c r="M68" s="76"/>
      <c r="N68" s="76"/>
      <c r="O68" s="76"/>
      <c r="P68" s="39"/>
      <c r="Q68" s="76"/>
      <c r="R68" s="76"/>
      <c r="S68" s="76"/>
      <c r="T68" s="76"/>
      <c r="U68" s="39"/>
      <c r="V68" s="76"/>
      <c r="W68" s="76"/>
      <c r="X68" s="76"/>
      <c r="Y68" s="76"/>
      <c r="Z68" s="39"/>
      <c r="AA68" s="76">
        <v>4086.9146800000017</v>
      </c>
      <c r="AB68" s="76">
        <v>25269.46295999999</v>
      </c>
      <c r="AC68" s="76">
        <v>57144.142679999975</v>
      </c>
      <c r="AD68" s="76">
        <v>84345.793689999977</v>
      </c>
      <c r="AE68" s="39">
        <v>170846.31400999994</v>
      </c>
      <c r="AF68" s="76">
        <f>SUM(AF66:AF67)</f>
        <v>106188.1575</v>
      </c>
      <c r="AG68" s="76">
        <f>SUM(AG66:AG67)</f>
        <v>120158.07141999999</v>
      </c>
      <c r="AH68" s="76">
        <f>SUM(AH66:AH67)</f>
        <v>134622.25845000002</v>
      </c>
      <c r="AI68" s="76">
        <f>SUM(AI66:AI67)</f>
        <v>145591.85337999999</v>
      </c>
      <c r="AJ68" s="39">
        <f t="shared" si="175"/>
        <v>506560.34074999997</v>
      </c>
      <c r="AK68" s="76">
        <f>SUM(AK66:AK67)</f>
        <v>149533.29146000001</v>
      </c>
      <c r="AL68" s="76">
        <f t="shared" ref="AL68:AN68" si="178">SUM(AL66:AL67)</f>
        <v>156373.72060999999</v>
      </c>
      <c r="AM68" s="76">
        <f t="shared" si="178"/>
        <v>161396.837</v>
      </c>
      <c r="AN68" s="76">
        <f t="shared" si="178"/>
        <v>166864.01362999997</v>
      </c>
      <c r="AO68" s="39">
        <f t="shared" si="176"/>
        <v>634167.86269999994</v>
      </c>
      <c r="AP68" s="76">
        <f>SUM(AP66:AP67)</f>
        <v>169654.76818000001</v>
      </c>
      <c r="AQ68" s="76">
        <f>SUM(AQ66:AQ67)</f>
        <v>176115.00501000002</v>
      </c>
      <c r="AR68" s="76">
        <f t="shared" ref="AR68" si="179">SUM(AR66:AR67)</f>
        <v>184957.41429000004</v>
      </c>
      <c r="AS68" s="76">
        <f>SUM(AS66:AS67)</f>
        <v>189953.492</v>
      </c>
      <c r="AT68" s="39">
        <f t="shared" si="177"/>
        <v>720680.67948000005</v>
      </c>
      <c r="AU68" s="76">
        <f>SUM(AU66:AU67)</f>
        <v>195197.64780999994</v>
      </c>
      <c r="AV68" s="76">
        <f>SUM(AV66:AV67)</f>
        <v>207622.09953000004</v>
      </c>
      <c r="AW68" s="76">
        <f t="shared" ref="AW68:AZ68" si="180">SUM(AW66:AW67)</f>
        <v>220742.94253999999</v>
      </c>
      <c r="AX68" s="76">
        <f t="shared" si="180"/>
        <v>232000.24494</v>
      </c>
      <c r="AY68" s="39">
        <f t="shared" si="174"/>
        <v>855562.93481999997</v>
      </c>
      <c r="AZ68" s="76">
        <f t="shared" si="180"/>
        <v>239355.83557999998</v>
      </c>
    </row>
    <row r="69" spans="1:56" ht="14.85" customHeight="1">
      <c r="A69" s="56" t="s">
        <v>477</v>
      </c>
      <c r="B69" s="8"/>
      <c r="C69" s="8"/>
      <c r="D69" s="8"/>
      <c r="E69" s="8"/>
      <c r="F69" s="40"/>
      <c r="G69" s="8"/>
      <c r="H69" s="8"/>
      <c r="I69" s="8"/>
      <c r="J69" s="8"/>
      <c r="K69" s="40"/>
      <c r="L69" s="8"/>
      <c r="M69" s="8"/>
      <c r="N69" s="8"/>
      <c r="O69" s="8"/>
      <c r="P69" s="40"/>
      <c r="Q69" s="1"/>
      <c r="R69" s="1"/>
      <c r="S69" s="1"/>
      <c r="T69" s="1"/>
      <c r="U69" s="40"/>
      <c r="V69" s="1"/>
      <c r="W69" s="1"/>
      <c r="X69" s="1"/>
      <c r="Y69" s="1"/>
      <c r="Z69" s="40"/>
      <c r="AA69" s="1">
        <v>-745.43736999999999</v>
      </c>
      <c r="AB69" s="1">
        <v>-6947.52556</v>
      </c>
      <c r="AC69" s="1">
        <v>-8175.4075300000004</v>
      </c>
      <c r="AD69" s="1">
        <v>-19319.018100000001</v>
      </c>
      <c r="AE69" s="40">
        <v>-35190.0939</v>
      </c>
      <c r="AF69" s="1">
        <v>-17376.158500000001</v>
      </c>
      <c r="AG69" s="1">
        <v>-14938.957999999999</v>
      </c>
      <c r="AH69" s="1">
        <v>-18366.151750000001</v>
      </c>
      <c r="AI69" s="1">
        <v>-18035.109</v>
      </c>
      <c r="AJ69" s="40">
        <f t="shared" si="175"/>
        <v>-68716.377250000005</v>
      </c>
      <c r="AK69" s="1">
        <v>-15934.081270000002</v>
      </c>
      <c r="AL69" s="1">
        <v>-13538.313250000001</v>
      </c>
      <c r="AM69" s="1">
        <v>-20327.670000000006</v>
      </c>
      <c r="AN69" s="1">
        <v>-29037.102999999999</v>
      </c>
      <c r="AO69" s="40">
        <f t="shared" si="176"/>
        <v>-78837.167520000003</v>
      </c>
      <c r="AP69" s="1">
        <v>-28661.507450000008</v>
      </c>
      <c r="AQ69" s="1">
        <v>-24657.3495</v>
      </c>
      <c r="AR69" s="1">
        <v>-30518.177849999996</v>
      </c>
      <c r="AS69" s="1">
        <v>-35842.911999999997</v>
      </c>
      <c r="AT69" s="40">
        <f t="shared" si="177"/>
        <v>-119679.94680000001</v>
      </c>
      <c r="AU69" s="1">
        <v>-33406.17553</v>
      </c>
      <c r="AV69" s="1">
        <v>-33456.71540999999</v>
      </c>
      <c r="AW69" s="1">
        <v>-35396.494050000016</v>
      </c>
      <c r="AX69" s="1">
        <v>-33405.77150000001</v>
      </c>
      <c r="AY69" s="40">
        <f t="shared" si="174"/>
        <v>-135665.15648999999</v>
      </c>
      <c r="AZ69" s="8">
        <v>-29359.278709999999</v>
      </c>
      <c r="BC69" s="8"/>
    </row>
    <row r="70" spans="1:56" ht="14.85" customHeight="1">
      <c r="A70" s="56" t="s">
        <v>478</v>
      </c>
      <c r="B70" s="8"/>
      <c r="C70" s="8"/>
      <c r="D70" s="8"/>
      <c r="E70" s="8"/>
      <c r="F70" s="40"/>
      <c r="G70" s="8"/>
      <c r="H70" s="8"/>
      <c r="I70" s="8"/>
      <c r="J70" s="8"/>
      <c r="K70" s="40"/>
      <c r="L70" s="8"/>
      <c r="M70" s="8"/>
      <c r="N70" s="8"/>
      <c r="O70" s="8"/>
      <c r="P70" s="40"/>
      <c r="Q70" s="1"/>
      <c r="R70" s="1"/>
      <c r="S70" s="1"/>
      <c r="T70" s="1"/>
      <c r="U70" s="40"/>
      <c r="V70" s="1"/>
      <c r="W70" s="1"/>
      <c r="X70" s="1"/>
      <c r="Y70" s="1"/>
      <c r="Z70" s="40"/>
      <c r="AA70" s="1">
        <v>-1413.88834</v>
      </c>
      <c r="AB70" s="1">
        <v>-8725.9997600000006</v>
      </c>
      <c r="AC70" s="1">
        <v>-19804.013429999995</v>
      </c>
      <c r="AD70" s="1">
        <v>-29487.524999999998</v>
      </c>
      <c r="AE70" s="40">
        <v>-59238.759619999997</v>
      </c>
      <c r="AF70" s="1">
        <v>-36885.319279999996</v>
      </c>
      <c r="AG70" s="1">
        <v>-41944.90724</v>
      </c>
      <c r="AH70" s="1">
        <v>-47232.615999999995</v>
      </c>
      <c r="AI70" s="1">
        <v>-50889.983000000007</v>
      </c>
      <c r="AJ70" s="40">
        <f t="shared" si="175"/>
        <v>-176952.82552000001</v>
      </c>
      <c r="AK70" s="1">
        <v>-52680.728999999992</v>
      </c>
      <c r="AL70" s="1">
        <v>-56215.827999999987</v>
      </c>
      <c r="AM70" s="1">
        <v>-56038.635999999999</v>
      </c>
      <c r="AN70" s="1">
        <v>-57754.923999999999</v>
      </c>
      <c r="AO70" s="40">
        <f t="shared" si="176"/>
        <v>-222690.11699999997</v>
      </c>
      <c r="AP70" s="1">
        <v>-58886.16</v>
      </c>
      <c r="AQ70" s="1">
        <v>-61110.266279999982</v>
      </c>
      <c r="AR70" s="1">
        <v>-63995.298210000008</v>
      </c>
      <c r="AS70" s="1">
        <v>-65908.703490000014</v>
      </c>
      <c r="AT70" s="40">
        <f t="shared" si="177"/>
        <v>-249900.42798000001</v>
      </c>
      <c r="AU70" s="1">
        <v>-68045.538150000008</v>
      </c>
      <c r="AV70" s="1">
        <v>-72703.212039999984</v>
      </c>
      <c r="AW70" s="1">
        <v>-77862.952000000019</v>
      </c>
      <c r="AX70" s="1">
        <v>-81884.708030000009</v>
      </c>
      <c r="AY70" s="40">
        <f t="shared" si="174"/>
        <v>-300496.41022000002</v>
      </c>
      <c r="AZ70" s="8">
        <v>-85572.753960000016</v>
      </c>
    </row>
    <row r="71" spans="1:56" ht="14.85" customHeight="1">
      <c r="A71" s="56" t="s">
        <v>479</v>
      </c>
      <c r="B71" s="8"/>
      <c r="C71" s="8"/>
      <c r="D71" s="8"/>
      <c r="E71" s="8"/>
      <c r="F71" s="40"/>
      <c r="G71" s="8"/>
      <c r="H71" s="8"/>
      <c r="I71" s="8"/>
      <c r="J71" s="8"/>
      <c r="K71" s="40"/>
      <c r="L71" s="8"/>
      <c r="M71" s="8"/>
      <c r="N71" s="8"/>
      <c r="O71" s="8"/>
      <c r="P71" s="40"/>
      <c r="Q71" s="1"/>
      <c r="R71" s="1"/>
      <c r="S71" s="1"/>
      <c r="T71" s="1"/>
      <c r="U71" s="40"/>
      <c r="V71" s="1"/>
      <c r="W71" s="1"/>
      <c r="X71" s="1"/>
      <c r="Y71" s="1"/>
      <c r="Z71" s="40"/>
      <c r="AA71" s="1">
        <v>-584.87754000000007</v>
      </c>
      <c r="AB71" s="1">
        <v>-1007.3973299999999</v>
      </c>
      <c r="AC71" s="1">
        <v>-1284.82753</v>
      </c>
      <c r="AD71" s="1">
        <v>-1572.56203</v>
      </c>
      <c r="AE71" s="40">
        <v>-4449.6644299999998</v>
      </c>
      <c r="AF71" s="1">
        <v>-1993.3907899999999</v>
      </c>
      <c r="AG71" s="1">
        <v>-1697.6014100000002</v>
      </c>
      <c r="AH71" s="1">
        <v>-1773.3335</v>
      </c>
      <c r="AI71" s="1">
        <v>-3032.011</v>
      </c>
      <c r="AJ71" s="40">
        <f t="shared" si="175"/>
        <v>-8496.3366999999998</v>
      </c>
      <c r="AK71" s="1">
        <v>-1948.1215300000001</v>
      </c>
      <c r="AL71" s="1">
        <v>-121.73703999999994</v>
      </c>
      <c r="AM71" s="1">
        <v>-2116.0740000000001</v>
      </c>
      <c r="AN71" s="1">
        <v>-2116.0584100000001</v>
      </c>
      <c r="AO71" s="40">
        <f t="shared" si="176"/>
        <v>-6301.9909800000005</v>
      </c>
      <c r="AP71" s="1">
        <v>-2249.0861799999998</v>
      </c>
      <c r="AQ71" s="1">
        <v>-2631.4915900000005</v>
      </c>
      <c r="AR71" s="1">
        <v>-2191.3439399999997</v>
      </c>
      <c r="AS71" s="1">
        <v>-2350.1329999999998</v>
      </c>
      <c r="AT71" s="40">
        <f t="shared" si="177"/>
        <v>-9422.0547100000003</v>
      </c>
      <c r="AU71" s="1">
        <v>-2630.7248999999997</v>
      </c>
      <c r="AV71" s="1">
        <v>-3188.2134900000001</v>
      </c>
      <c r="AW71" s="1">
        <v>-3289.3778099999995</v>
      </c>
      <c r="AX71" s="1">
        <v>-3461.7764600000005</v>
      </c>
      <c r="AY71" s="40">
        <f t="shared" si="174"/>
        <v>-12570.09266</v>
      </c>
      <c r="AZ71" s="8">
        <v>-3742.2252100000001</v>
      </c>
    </row>
    <row r="72" spans="1:56" ht="14.85" customHeight="1">
      <c r="A72" s="56" t="s">
        <v>709</v>
      </c>
      <c r="B72" s="8"/>
      <c r="C72" s="8"/>
      <c r="D72" s="8"/>
      <c r="E72" s="8"/>
      <c r="F72" s="40"/>
      <c r="G72" s="8"/>
      <c r="H72" s="8"/>
      <c r="I72" s="8"/>
      <c r="J72" s="8"/>
      <c r="K72" s="40"/>
      <c r="L72" s="8"/>
      <c r="M72" s="8"/>
      <c r="N72" s="8"/>
      <c r="O72" s="8"/>
      <c r="P72" s="40"/>
      <c r="Q72" s="1"/>
      <c r="R72" s="1"/>
      <c r="S72" s="1"/>
      <c r="T72" s="1"/>
      <c r="U72" s="40"/>
      <c r="V72" s="1"/>
      <c r="W72" s="1"/>
      <c r="X72" s="1"/>
      <c r="Y72" s="1"/>
      <c r="Z72" s="40"/>
      <c r="AA72" s="1">
        <v>-63.058160000000044</v>
      </c>
      <c r="AB72" s="1">
        <v>960.72480000000007</v>
      </c>
      <c r="AC72" s="1">
        <v>-325.16212000000002</v>
      </c>
      <c r="AD72" s="1">
        <v>-456.94592</v>
      </c>
      <c r="AE72" s="40">
        <v>-1037.15112</v>
      </c>
      <c r="AF72" s="1">
        <v>-515.91899999999998</v>
      </c>
      <c r="AG72" s="1">
        <v>-732.73522000000003</v>
      </c>
      <c r="AH72" s="1">
        <v>-892.71289999999988</v>
      </c>
      <c r="AI72" s="1">
        <v>-1045.4856600000001</v>
      </c>
      <c r="AJ72" s="40">
        <f t="shared" si="175"/>
        <v>-3186.8527800000002</v>
      </c>
      <c r="AK72" s="1">
        <v>-1171.80567</v>
      </c>
      <c r="AL72" s="1">
        <v>-1205.6884</v>
      </c>
      <c r="AM72" s="1">
        <v>-1113.8409999999999</v>
      </c>
      <c r="AN72" s="1">
        <v>-1020.63652</v>
      </c>
      <c r="AO72" s="40">
        <f t="shared" si="176"/>
        <v>-4511.9715899999992</v>
      </c>
      <c r="AP72" s="1">
        <v>-981.25270999999998</v>
      </c>
      <c r="AQ72" s="1">
        <v>986.822</v>
      </c>
      <c r="AR72" s="1">
        <v>-1386.5071999999998</v>
      </c>
      <c r="AS72" s="1">
        <v>-1183.3689999999999</v>
      </c>
      <c r="AT72" s="40">
        <f t="shared" si="177"/>
        <v>-2564.3069099999993</v>
      </c>
      <c r="AU72" s="1">
        <v>-860.41974000000005</v>
      </c>
      <c r="AV72" s="1">
        <v>-1176.1880899999999</v>
      </c>
      <c r="AW72" s="1">
        <v>-1392.7274200000002</v>
      </c>
      <c r="AX72" s="1">
        <v>-1904.1364799999999</v>
      </c>
      <c r="AY72" s="40">
        <f t="shared" si="174"/>
        <v>-5333.4717300000002</v>
      </c>
      <c r="AZ72" s="8">
        <v>-560.43817000000001</v>
      </c>
    </row>
    <row r="73" spans="1:56" ht="14.85" customHeight="1">
      <c r="A73" s="54" t="s">
        <v>710</v>
      </c>
      <c r="B73" s="76"/>
      <c r="C73" s="76"/>
      <c r="D73" s="76"/>
      <c r="E73" s="76"/>
      <c r="F73" s="39"/>
      <c r="G73" s="76"/>
      <c r="H73" s="76"/>
      <c r="I73" s="76"/>
      <c r="J73" s="76"/>
      <c r="K73" s="39"/>
      <c r="L73" s="76"/>
      <c r="M73" s="76"/>
      <c r="N73" s="76"/>
      <c r="O73" s="76"/>
      <c r="P73" s="39"/>
      <c r="Q73" s="76"/>
      <c r="R73" s="76"/>
      <c r="S73" s="76"/>
      <c r="T73" s="76"/>
      <c r="U73" s="39"/>
      <c r="V73" s="76"/>
      <c r="W73" s="76"/>
      <c r="X73" s="76"/>
      <c r="Y73" s="76"/>
      <c r="Z73" s="39"/>
      <c r="AA73" s="76">
        <v>126.94355000000178</v>
      </c>
      <c r="AB73" s="76">
        <v>9549.2651099999875</v>
      </c>
      <c r="AC73" s="76">
        <v>27564.74242999998</v>
      </c>
      <c r="AD73" s="76">
        <v>33689.693849999974</v>
      </c>
      <c r="AE73" s="39">
        <v>70930.64493999994</v>
      </c>
      <c r="AF73" s="76">
        <f>SUM(AF68:AF72)</f>
        <v>49417.369930000001</v>
      </c>
      <c r="AG73" s="76">
        <f>SUM(AG68:AG72)</f>
        <v>60843.869549999989</v>
      </c>
      <c r="AH73" s="76">
        <f>SUM(AH68:AH72)</f>
        <v>66357.444300000032</v>
      </c>
      <c r="AI73" s="76">
        <f>SUM(AI68:AI72)</f>
        <v>72589.264719999977</v>
      </c>
      <c r="AJ73" s="39">
        <f t="shared" si="175"/>
        <v>249207.9485</v>
      </c>
      <c r="AK73" s="76">
        <f>SUM(AK68:AK72)</f>
        <v>77798.553990000015</v>
      </c>
      <c r="AL73" s="76">
        <f t="shared" ref="AL73:AN73" si="181">SUM(AL68:AL72)</f>
        <v>85292.153920000012</v>
      </c>
      <c r="AM73" s="76">
        <f t="shared" si="181"/>
        <v>81800.615999999995</v>
      </c>
      <c r="AN73" s="76">
        <f t="shared" si="181"/>
        <v>76935.291699999972</v>
      </c>
      <c r="AO73" s="39">
        <f t="shared" si="176"/>
        <v>321826.61560999998</v>
      </c>
      <c r="AP73" s="76">
        <f>SUM(AP68:AP72)</f>
        <v>78876.761840000006</v>
      </c>
      <c r="AQ73" s="76">
        <f>SUM(AQ68:AQ72)</f>
        <v>88702.719640000025</v>
      </c>
      <c r="AR73" s="76">
        <f>SUM(AR68:AR72)</f>
        <v>86866.08709000003</v>
      </c>
      <c r="AS73" s="76">
        <f>SUM(AS68:AS72)</f>
        <v>84668.374509999994</v>
      </c>
      <c r="AT73" s="39">
        <f t="shared" si="177"/>
        <v>339113.94308000006</v>
      </c>
      <c r="AU73" s="76">
        <f>SUM(AU68:AU72)</f>
        <v>90254.789489999923</v>
      </c>
      <c r="AV73" s="76">
        <f>SUM(AV68:AV72)</f>
        <v>97097.770500000086</v>
      </c>
      <c r="AW73" s="76">
        <f t="shared" ref="AW73:AZ73" si="182">SUM(AW68:AW72)</f>
        <v>102801.39125999996</v>
      </c>
      <c r="AX73" s="76">
        <f t="shared" si="182"/>
        <v>111343.85247</v>
      </c>
      <c r="AY73" s="39">
        <f t="shared" si="174"/>
        <v>401497.80371999997</v>
      </c>
      <c r="AZ73" s="76">
        <f t="shared" si="182"/>
        <v>120121.13952999996</v>
      </c>
    </row>
    <row r="74" spans="1:56" ht="14.85" customHeight="1">
      <c r="A74" s="17" t="s">
        <v>711</v>
      </c>
      <c r="B74" s="18"/>
      <c r="C74" s="18"/>
      <c r="D74" s="18"/>
      <c r="E74" s="18"/>
      <c r="F74" s="46"/>
      <c r="G74" s="18"/>
      <c r="H74" s="18"/>
      <c r="I74" s="18"/>
      <c r="J74" s="18"/>
      <c r="K74" s="46"/>
      <c r="L74" s="18"/>
      <c r="M74" s="18"/>
      <c r="N74" s="18"/>
      <c r="O74" s="18"/>
      <c r="P74" s="46"/>
      <c r="Q74" s="18"/>
      <c r="R74" s="18"/>
      <c r="S74" s="18"/>
      <c r="T74" s="18"/>
      <c r="U74" s="46"/>
      <c r="V74" s="18"/>
      <c r="W74" s="18"/>
      <c r="X74" s="18"/>
      <c r="Y74" s="18"/>
      <c r="Z74" s="46"/>
      <c r="AA74" s="18">
        <v>0.18239611745454878</v>
      </c>
      <c r="AB74" s="18">
        <v>0.2749376023937472</v>
      </c>
      <c r="AC74" s="169">
        <v>0.14306641322420841</v>
      </c>
      <c r="AD74" s="169">
        <v>0.2290774986481724</v>
      </c>
      <c r="AE74" s="46">
        <v>0.20597514265329869</v>
      </c>
      <c r="AF74" s="169">
        <f t="shared" ref="AF74:AJ74" si="183">-AF69/AF68</f>
        <v>0.16363555888988845</v>
      </c>
      <c r="AG74" s="169">
        <f t="shared" si="183"/>
        <v>0.12432754473715237</v>
      </c>
      <c r="AH74" s="169">
        <f t="shared" si="183"/>
        <v>0.13642730378662726</v>
      </c>
      <c r="AI74" s="169">
        <f t="shared" si="183"/>
        <v>0.12387443789816807</v>
      </c>
      <c r="AJ74" s="46">
        <f t="shared" si="183"/>
        <v>0.1356528960562928</v>
      </c>
      <c r="AK74" s="169">
        <f t="shared" ref="AK74:AN74" si="184">-AK69/AK68</f>
        <v>0.10655875433774124</v>
      </c>
      <c r="AL74" s="169">
        <f t="shared" si="184"/>
        <v>8.6576652376040189E-2</v>
      </c>
      <c r="AM74" s="169">
        <f t="shared" si="184"/>
        <v>0.12594837902554437</v>
      </c>
      <c r="AN74" s="169">
        <f t="shared" si="184"/>
        <v>0.17401656815223285</v>
      </c>
      <c r="AO74" s="46">
        <f>-AO69/AO68</f>
        <v>0.12431592983022981</v>
      </c>
      <c r="AP74" s="169">
        <f t="shared" ref="AP74" si="185">-AP69/AP68</f>
        <v>0.16894018221516047</v>
      </c>
      <c r="AQ74" s="169">
        <f t="shared" ref="AQ74:AV74" si="186">-AQ69/AQ68</f>
        <v>0.14000709081318724</v>
      </c>
      <c r="AR74" s="169">
        <f t="shared" si="186"/>
        <v>0.16500110561747836</v>
      </c>
      <c r="AS74" s="169">
        <f t="shared" si="186"/>
        <v>0.18869309335992621</v>
      </c>
      <c r="AT74" s="46">
        <f t="shared" si="186"/>
        <v>0.16606515230344995</v>
      </c>
      <c r="AU74" s="169">
        <f t="shared" si="186"/>
        <v>0.17114025657991874</v>
      </c>
      <c r="AV74" s="169">
        <f t="shared" si="186"/>
        <v>0.16114236146218006</v>
      </c>
      <c r="AW74" s="169">
        <f t="shared" ref="AW74:AZ74" si="187">-AW69/AW68</f>
        <v>0.16035164541482885</v>
      </c>
      <c r="AX74" s="169">
        <f t="shared" si="187"/>
        <v>0.1439902423751295</v>
      </c>
      <c r="AY74" s="46">
        <f>-AY69/AY68</f>
        <v>0.1585682957601971</v>
      </c>
      <c r="AZ74" s="169">
        <f t="shared" si="187"/>
        <v>0.12265954844534065</v>
      </c>
    </row>
    <row r="75" spans="1:56" ht="14.85" customHeight="1" thickBot="1">
      <c r="A75" s="17" t="s">
        <v>712</v>
      </c>
      <c r="B75" s="18"/>
      <c r="C75" s="18"/>
      <c r="D75" s="18"/>
      <c r="E75" s="18"/>
      <c r="F75" s="48"/>
      <c r="G75" s="18"/>
      <c r="H75" s="18"/>
      <c r="I75" s="18"/>
      <c r="J75" s="18"/>
      <c r="K75" s="48"/>
      <c r="L75" s="18"/>
      <c r="M75" s="18"/>
      <c r="N75" s="18"/>
      <c r="O75" s="18"/>
      <c r="P75" s="48"/>
      <c r="Q75" s="18"/>
      <c r="R75" s="18"/>
      <c r="S75" s="18"/>
      <c r="T75" s="18"/>
      <c r="U75" s="48"/>
      <c r="V75" s="18"/>
      <c r="W75" s="18"/>
      <c r="X75" s="18"/>
      <c r="Y75" s="18"/>
      <c r="Z75" s="48"/>
      <c r="AA75" s="18">
        <v>0.34595494418297945</v>
      </c>
      <c r="AB75" s="18">
        <v>0.34531797426058175</v>
      </c>
      <c r="AC75" s="169">
        <v>0.34638726108542622</v>
      </c>
      <c r="AD75" s="169">
        <v>0.34743722440629998</v>
      </c>
      <c r="AE75" s="48">
        <v>0.34673712431707859</v>
      </c>
      <c r="AF75" s="169">
        <f t="shared" ref="AF75:AJ75" si="188">-AF70/AF68</f>
        <v>0.34735812493968543</v>
      </c>
      <c r="AG75" s="169">
        <f t="shared" si="188"/>
        <v>0.34908106250628773</v>
      </c>
      <c r="AH75" s="169">
        <f t="shared" si="188"/>
        <v>0.35085294619048923</v>
      </c>
      <c r="AI75" s="169">
        <f t="shared" si="188"/>
        <v>0.34953867141985834</v>
      </c>
      <c r="AJ75" s="48">
        <f t="shared" si="188"/>
        <v>0.34932230434385819</v>
      </c>
      <c r="AK75" s="169">
        <f t="shared" ref="AK75:AN75" si="189">-AK70/AK68</f>
        <v>0.35230100592075864</v>
      </c>
      <c r="AL75" s="169">
        <f t="shared" si="189"/>
        <v>0.35949664547666343</v>
      </c>
      <c r="AM75" s="169">
        <f t="shared" si="189"/>
        <v>0.34721024923183591</v>
      </c>
      <c r="AN75" s="169">
        <f t="shared" si="189"/>
        <v>0.34611970995774022</v>
      </c>
      <c r="AO75" s="48">
        <f>-AO70/AO68</f>
        <v>0.35115326729406654</v>
      </c>
      <c r="AP75" s="169">
        <f t="shared" ref="AP75" si="190">-AP70/AP68</f>
        <v>0.3470940465258428</v>
      </c>
      <c r="AQ75" s="169">
        <f t="shared" ref="AQ75:AV75" si="191">-AQ70/AQ68</f>
        <v>0.34699068529981342</v>
      </c>
      <c r="AR75" s="169">
        <f t="shared" si="191"/>
        <v>0.34600017769311991</v>
      </c>
      <c r="AS75" s="169">
        <f t="shared" si="191"/>
        <v>0.3469728447529673</v>
      </c>
      <c r="AT75" s="48">
        <f t="shared" si="191"/>
        <v>0.34675610862818351</v>
      </c>
      <c r="AU75" s="169">
        <f t="shared" si="191"/>
        <v>0.34859814610181</v>
      </c>
      <c r="AV75" s="169">
        <f t="shared" si="191"/>
        <v>0.35017087393191904</v>
      </c>
      <c r="AW75" s="169">
        <f>-AW70/AW68</f>
        <v>0.35273133131262291</v>
      </c>
      <c r="AX75" s="169">
        <f t="shared" ref="AX75:AZ75" si="192">-AX70/AX68</f>
        <v>0.35295095507841839</v>
      </c>
      <c r="AY75" s="48">
        <f>-AY70/AY68</f>
        <v>0.35122654101795658</v>
      </c>
      <c r="AZ75" s="169">
        <f t="shared" si="192"/>
        <v>0.35751271220374742</v>
      </c>
    </row>
    <row r="76" spans="1:56" ht="30.75" thickBot="1">
      <c r="A76" s="787" t="s">
        <v>716</v>
      </c>
    </row>
    <row r="77" spans="1:56" s="30" customFormat="1" ht="14.85" customHeight="1">
      <c r="A77" s="179" t="s">
        <v>721</v>
      </c>
      <c r="B77" s="180" t="s">
        <v>224</v>
      </c>
      <c r="C77" s="180" t="s">
        <v>225</v>
      </c>
      <c r="D77" s="180" t="s">
        <v>226</v>
      </c>
      <c r="E77" s="180" t="s">
        <v>227</v>
      </c>
      <c r="F77" s="181">
        <v>2016</v>
      </c>
      <c r="G77" s="180" t="s">
        <v>228</v>
      </c>
      <c r="H77" s="180" t="s">
        <v>229</v>
      </c>
      <c r="I77" s="180" t="s">
        <v>230</v>
      </c>
      <c r="J77" s="180" t="s">
        <v>231</v>
      </c>
      <c r="K77" s="181">
        <v>2017</v>
      </c>
      <c r="L77" s="180" t="s">
        <v>232</v>
      </c>
      <c r="M77" s="180" t="s">
        <v>233</v>
      </c>
      <c r="N77" s="180" t="s">
        <v>234</v>
      </c>
      <c r="O77" s="180" t="s">
        <v>235</v>
      </c>
      <c r="P77" s="181">
        <v>2018</v>
      </c>
      <c r="Q77" s="180" t="s">
        <v>236</v>
      </c>
      <c r="R77" s="180" t="s">
        <v>237</v>
      </c>
      <c r="S77" s="180" t="s">
        <v>238</v>
      </c>
      <c r="T77" s="180" t="s">
        <v>239</v>
      </c>
      <c r="U77" s="181">
        <v>2019</v>
      </c>
      <c r="V77" s="180" t="s">
        <v>240</v>
      </c>
      <c r="W77" s="180" t="s">
        <v>241</v>
      </c>
      <c r="X77" s="180" t="s">
        <v>242</v>
      </c>
      <c r="Y77" s="180" t="s">
        <v>243</v>
      </c>
      <c r="Z77" s="181">
        <v>2020</v>
      </c>
      <c r="AA77" s="180" t="s">
        <v>244</v>
      </c>
      <c r="AB77" s="180" t="s">
        <v>245</v>
      </c>
      <c r="AC77" s="180" t="s">
        <v>246</v>
      </c>
      <c r="AD77" s="180" t="s">
        <v>247</v>
      </c>
      <c r="AE77" s="181">
        <v>2021</v>
      </c>
      <c r="AF77" s="180" t="s">
        <v>248</v>
      </c>
      <c r="AG77" s="180" t="s">
        <v>249</v>
      </c>
      <c r="AH77" s="180" t="s">
        <v>250</v>
      </c>
      <c r="AI77" s="180" t="s">
        <v>215</v>
      </c>
      <c r="AJ77" s="181">
        <v>2022</v>
      </c>
      <c r="AK77" s="180" t="s">
        <v>252</v>
      </c>
      <c r="AL77" s="180" t="s">
        <v>253</v>
      </c>
      <c r="AM77" s="180" t="s">
        <v>254</v>
      </c>
      <c r="AN77" s="180" t="s">
        <v>219</v>
      </c>
      <c r="AO77" s="181">
        <v>2023</v>
      </c>
      <c r="AP77" s="180" t="s">
        <v>223</v>
      </c>
      <c r="AQ77" s="180" t="s">
        <v>256</v>
      </c>
      <c r="AR77" s="180" t="s">
        <v>357</v>
      </c>
      <c r="AS77" s="180" t="s">
        <v>358</v>
      </c>
      <c r="AT77" s="181">
        <v>2024</v>
      </c>
      <c r="AU77" s="180" t="s">
        <v>359</v>
      </c>
      <c r="AV77" s="180" t="s">
        <v>1115</v>
      </c>
      <c r="AW77" s="180" t="s">
        <v>1116</v>
      </c>
      <c r="AX77" s="180" t="s">
        <v>1117</v>
      </c>
      <c r="AY77" s="181" t="s">
        <v>1118</v>
      </c>
      <c r="AZ77" s="180" t="s">
        <v>1124</v>
      </c>
    </row>
    <row r="78" spans="1:56" ht="14.85" customHeight="1">
      <c r="A78" s="54" t="s">
        <v>707</v>
      </c>
      <c r="B78" s="76"/>
      <c r="C78" s="76"/>
      <c r="D78" s="76"/>
      <c r="E78" s="76"/>
      <c r="F78" s="39"/>
      <c r="G78" s="76">
        <v>52166.526410000006</v>
      </c>
      <c r="H78" s="76">
        <v>53371.650289999998</v>
      </c>
      <c r="I78" s="76">
        <v>65080.348689999977</v>
      </c>
      <c r="J78" s="76">
        <v>79166.81727</v>
      </c>
      <c r="K78" s="39">
        <f>SUM(G78:J78)</f>
        <v>249785.34265999999</v>
      </c>
      <c r="L78" s="76">
        <v>63895.231820000008</v>
      </c>
      <c r="M78" s="76">
        <v>74038.18316</v>
      </c>
      <c r="N78" s="76">
        <v>89841.830430000002</v>
      </c>
      <c r="O78" s="76">
        <v>69618.558560000005</v>
      </c>
      <c r="P78" s="39">
        <f>SUM(L78:O78)</f>
        <v>297393.80397000001</v>
      </c>
      <c r="Q78" s="76">
        <v>74651.291559999998</v>
      </c>
      <c r="R78" s="76">
        <v>87776.733219999995</v>
      </c>
      <c r="S78" s="76">
        <v>88516.389309999999</v>
      </c>
      <c r="T78" s="76">
        <v>87360.030479999987</v>
      </c>
      <c r="U78" s="39">
        <v>338304.44456999993</v>
      </c>
      <c r="V78" s="76">
        <v>94370.45912</v>
      </c>
      <c r="W78" s="76">
        <v>87181.935289999994</v>
      </c>
      <c r="X78" s="76">
        <v>164785.52932</v>
      </c>
      <c r="Y78" s="76">
        <v>176048.25302999999</v>
      </c>
      <c r="Z78" s="39">
        <v>522386.17676000006</v>
      </c>
      <c r="AA78" s="76">
        <v>73981.898069999996</v>
      </c>
      <c r="AB78" s="76">
        <v>6971.7424800000008</v>
      </c>
      <c r="AC78" s="76">
        <v>13879.440129999999</v>
      </c>
      <c r="AD78" s="76">
        <v>13778.349390000001</v>
      </c>
      <c r="AE78" s="39">
        <v>108611.43007</v>
      </c>
      <c r="AF78" s="76">
        <v>14742.892239999999</v>
      </c>
      <c r="AG78" s="76">
        <v>9006.0868500000015</v>
      </c>
      <c r="AH78" s="76">
        <v>15728.490250000001</v>
      </c>
      <c r="AI78" s="76">
        <v>17495.95535</v>
      </c>
      <c r="AJ78" s="39">
        <f>SUM(AF78:AI78)</f>
        <v>56973.42469</v>
      </c>
      <c r="AK78" s="76">
        <v>17822.95966</v>
      </c>
      <c r="AL78" s="76">
        <v>17634.98734</v>
      </c>
      <c r="AM78" s="76">
        <v>17724.878000000001</v>
      </c>
      <c r="AN78" s="76">
        <v>17501.310009999997</v>
      </c>
      <c r="AO78" s="39">
        <f>SUM(AK78:AN78)</f>
        <v>70684.135009999998</v>
      </c>
      <c r="AP78" s="76">
        <v>16694.005880000001</v>
      </c>
      <c r="AQ78" s="76">
        <v>16659.05515</v>
      </c>
      <c r="AR78" s="76">
        <v>16223.600329999999</v>
      </c>
      <c r="AS78" s="76">
        <v>16386.587</v>
      </c>
      <c r="AT78" s="39">
        <f>SUM(AP78:AS78)</f>
        <v>65963.248359999998</v>
      </c>
      <c r="AU78" s="76">
        <v>15789.718349999999</v>
      </c>
      <c r="AV78" s="76">
        <v>15198.42427</v>
      </c>
      <c r="AW78" s="76">
        <v>15931.571530000001</v>
      </c>
      <c r="AX78" s="76">
        <v>16993.013150000002</v>
      </c>
      <c r="AY78" s="39">
        <f t="shared" ref="AY78:AY85" si="193">SUM(AU78:AX78)</f>
        <v>63912.727299999999</v>
      </c>
      <c r="AZ78" s="10">
        <v>16335.853520000001</v>
      </c>
    </row>
    <row r="79" spans="1:56" ht="14.85" customHeight="1">
      <c r="A79" s="56" t="s">
        <v>443</v>
      </c>
      <c r="B79" s="8"/>
      <c r="C79" s="8"/>
      <c r="D79" s="8"/>
      <c r="E79" s="8"/>
      <c r="F79" s="40"/>
      <c r="G79" s="8">
        <v>281.7252799998173</v>
      </c>
      <c r="H79" s="8">
        <v>201.26945000005026</v>
      </c>
      <c r="I79" s="8">
        <v>-11264.79142000003</v>
      </c>
      <c r="J79" s="8">
        <v>-24647.59273000004</v>
      </c>
      <c r="K79" s="40">
        <f t="shared" ref="K79:K84" si="194">SUM(G79:J79)</f>
        <v>-35429.389420000203</v>
      </c>
      <c r="L79" s="8">
        <v>-9471.439559999937</v>
      </c>
      <c r="M79" s="8">
        <v>-17077.446149999974</v>
      </c>
      <c r="N79" s="8">
        <v>-28976.676929999936</v>
      </c>
      <c r="O79" s="8">
        <v>-4561.6045700000004</v>
      </c>
      <c r="P79" s="40">
        <f t="shared" ref="P79:P84" si="195">SUM(L79:O79)</f>
        <v>-60087.167209999847</v>
      </c>
      <c r="Q79" s="1">
        <v>-8844.9231600000003</v>
      </c>
      <c r="R79" s="1">
        <v>-17189.580389999999</v>
      </c>
      <c r="S79" s="1">
        <v>-13306.593210000001</v>
      </c>
      <c r="T79" s="1">
        <v>-8662.9688100000003</v>
      </c>
      <c r="U79" s="40">
        <v>-48004.065569999999</v>
      </c>
      <c r="V79" s="1">
        <v>-13627.79961</v>
      </c>
      <c r="W79" s="1">
        <v>-5232.3257499999991</v>
      </c>
      <c r="X79" s="1">
        <v>-77438.318489999991</v>
      </c>
      <c r="Y79" s="1">
        <v>-83216.428799999994</v>
      </c>
      <c r="Z79" s="40">
        <v>-179514.87264999998</v>
      </c>
      <c r="AA79" s="1">
        <v>23802.236390000002</v>
      </c>
      <c r="AB79" s="1">
        <v>81432.98461</v>
      </c>
      <c r="AC79" s="1">
        <v>63022.280559999999</v>
      </c>
      <c r="AD79" s="1">
        <v>49646.295810000003</v>
      </c>
      <c r="AE79" s="40">
        <v>217903.79737000001</v>
      </c>
      <c r="AF79" s="1">
        <v>37823.533189999995</v>
      </c>
      <c r="AG79" s="1">
        <v>39407.329120000002</v>
      </c>
      <c r="AH79" s="1">
        <v>28332.608229999998</v>
      </c>
      <c r="AI79" s="1">
        <v>26335.412210000002</v>
      </c>
      <c r="AJ79" s="40">
        <f t="shared" ref="AJ79:AJ85" si="196">SUM(AF79:AI79)</f>
        <v>131898.88274999999</v>
      </c>
      <c r="AK79" s="1">
        <v>23409.61479</v>
      </c>
      <c r="AL79" s="1">
        <v>21719.167160000001</v>
      </c>
      <c r="AM79" s="1">
        <v>16586.830000000002</v>
      </c>
      <c r="AN79" s="1">
        <v>11110.89424</v>
      </c>
      <c r="AO79" s="40">
        <f>SUM(AK79:AN79)</f>
        <v>72826.50619</v>
      </c>
      <c r="AP79" s="1">
        <v>7004.5337599999993</v>
      </c>
      <c r="AQ79" s="1">
        <v>6943.3452100000004</v>
      </c>
      <c r="AR79" s="1">
        <v>6494.8522799999992</v>
      </c>
      <c r="AS79" s="1">
        <v>5609.5889999999999</v>
      </c>
      <c r="AT79" s="40">
        <f>SUM(AP79:AS79)</f>
        <v>26052.320249999997</v>
      </c>
      <c r="AU79" s="1">
        <v>4783.38958</v>
      </c>
      <c r="AV79" s="1">
        <v>4831.7412700000004</v>
      </c>
      <c r="AW79" s="1">
        <v>3012.27819</v>
      </c>
      <c r="AX79" s="1">
        <v>268.98111</v>
      </c>
      <c r="AY79" s="40">
        <f t="shared" si="193"/>
        <v>12896.390150000003</v>
      </c>
      <c r="AZ79" s="8">
        <v>-693.73261000000014</v>
      </c>
    </row>
    <row r="80" spans="1:56" ht="14.85" customHeight="1">
      <c r="A80" s="54" t="s">
        <v>708</v>
      </c>
      <c r="B80" s="76"/>
      <c r="C80" s="76"/>
      <c r="D80" s="76"/>
      <c r="E80" s="76"/>
      <c r="F80" s="39"/>
      <c r="G80" s="76">
        <f t="shared" ref="G80:J80" si="197">SUM(G78:G79)</f>
        <v>52448.251689999823</v>
      </c>
      <c r="H80" s="76">
        <f t="shared" si="197"/>
        <v>53572.919740000048</v>
      </c>
      <c r="I80" s="76">
        <f t="shared" si="197"/>
        <v>53815.557269999947</v>
      </c>
      <c r="J80" s="76">
        <f t="shared" si="197"/>
        <v>54519.224539999959</v>
      </c>
      <c r="K80" s="39">
        <f t="shared" si="194"/>
        <v>214355.95323999977</v>
      </c>
      <c r="L80" s="76">
        <f t="shared" ref="L80:O80" si="198">SUM(L78:L79)</f>
        <v>54423.792260000075</v>
      </c>
      <c r="M80" s="76">
        <f t="shared" si="198"/>
        <v>56960.737010000026</v>
      </c>
      <c r="N80" s="76">
        <f t="shared" si="198"/>
        <v>60865.153500000066</v>
      </c>
      <c r="O80" s="76">
        <f t="shared" si="198"/>
        <v>65056.953990000002</v>
      </c>
      <c r="P80" s="39">
        <f t="shared" si="195"/>
        <v>237306.63676000017</v>
      </c>
      <c r="Q80" s="76">
        <v>65806.368399999992</v>
      </c>
      <c r="R80" s="76">
        <v>70587.152829999992</v>
      </c>
      <c r="S80" s="76">
        <v>75209.796099999992</v>
      </c>
      <c r="T80" s="76">
        <v>78697.061669999981</v>
      </c>
      <c r="U80" s="39">
        <v>290300.37899999996</v>
      </c>
      <c r="V80" s="76">
        <v>80742.659509999998</v>
      </c>
      <c r="W80" s="76">
        <v>81949.60953999999</v>
      </c>
      <c r="X80" s="76">
        <v>87347.210830000011</v>
      </c>
      <c r="Y80" s="76">
        <v>92831.824229999998</v>
      </c>
      <c r="Z80" s="39">
        <v>342871.30411000003</v>
      </c>
      <c r="AA80" s="76">
        <v>97784.134460000001</v>
      </c>
      <c r="AB80" s="76">
        <v>88404.72709</v>
      </c>
      <c r="AC80" s="76">
        <v>76901.720690000002</v>
      </c>
      <c r="AD80" s="76">
        <v>63424.645200000006</v>
      </c>
      <c r="AE80" s="39">
        <v>326515.22744000005</v>
      </c>
      <c r="AF80" s="76">
        <f>SUM(AF78:AF79)</f>
        <v>52566.425429999996</v>
      </c>
      <c r="AG80" s="76">
        <f>SUM(AG78:AG79)</f>
        <v>48413.415970000002</v>
      </c>
      <c r="AH80" s="76">
        <f>SUM(AH78:AH79)</f>
        <v>44061.098480000001</v>
      </c>
      <c r="AI80" s="76">
        <f>SUM(AI78:AI79)</f>
        <v>43831.367559999999</v>
      </c>
      <c r="AJ80" s="39">
        <f t="shared" si="196"/>
        <v>188872.30744</v>
      </c>
      <c r="AK80" s="76">
        <f>SUM(AK78:AK79)</f>
        <v>41232.57445</v>
      </c>
      <c r="AL80" s="76">
        <f t="shared" ref="AL80:AM80" si="199">SUM(AL78:AL79)</f>
        <v>39354.154500000004</v>
      </c>
      <c r="AM80" s="76">
        <f t="shared" si="199"/>
        <v>34311.707999999999</v>
      </c>
      <c r="AN80" s="76">
        <f>SUM(AN78:AN79)</f>
        <v>28612.204249999995</v>
      </c>
      <c r="AO80" s="39">
        <f t="shared" ref="AO80:AO85" si="200">SUM(AK80:AN80)</f>
        <v>143510.64120000001</v>
      </c>
      <c r="AP80" s="76">
        <f>SUM(AP78:AP79)</f>
        <v>23698.539639999999</v>
      </c>
      <c r="AQ80" s="76">
        <f>SUM(AQ78:AQ79)</f>
        <v>23602.40036</v>
      </c>
      <c r="AR80" s="76">
        <f>SUM(AR78:AR79)</f>
        <v>22718.45261</v>
      </c>
      <c r="AS80" s="76">
        <f>SUM(AS78:AS79)</f>
        <v>21996.175999999999</v>
      </c>
      <c r="AT80" s="39">
        <f t="shared" ref="AT80:AT85" si="201">SUM(AP80:AS80)</f>
        <v>92015.568610000017</v>
      </c>
      <c r="AU80" s="76">
        <f>SUM(AU78:AU79)</f>
        <v>20573.107929999998</v>
      </c>
      <c r="AV80" s="76">
        <f>SUM(AV78:AV79)</f>
        <v>20030.165540000002</v>
      </c>
      <c r="AW80" s="76">
        <f t="shared" ref="AW80:AZ80" si="202">SUM(AW78:AW79)</f>
        <v>18943.849720000002</v>
      </c>
      <c r="AX80" s="76">
        <f t="shared" si="202"/>
        <v>17261.994260000003</v>
      </c>
      <c r="AY80" s="39">
        <f t="shared" si="193"/>
        <v>76809.117450000005</v>
      </c>
      <c r="AZ80" s="76">
        <f t="shared" si="202"/>
        <v>15642.12091</v>
      </c>
    </row>
    <row r="81" spans="1:52" ht="14.85" customHeight="1">
      <c r="A81" s="56" t="s">
        <v>477</v>
      </c>
      <c r="B81" s="8"/>
      <c r="C81" s="8"/>
      <c r="D81" s="8"/>
      <c r="E81" s="8"/>
      <c r="F81" s="40"/>
      <c r="G81" s="8">
        <v>-18135.522350000036</v>
      </c>
      <c r="H81" s="8">
        <v>-11951.372020000003</v>
      </c>
      <c r="I81" s="8">
        <v>-11479.836759999998</v>
      </c>
      <c r="J81" s="8">
        <v>-18716.292389999999</v>
      </c>
      <c r="K81" s="40">
        <f t="shared" si="194"/>
        <v>-60283.023520000032</v>
      </c>
      <c r="L81" s="8">
        <v>-14207.028410000001</v>
      </c>
      <c r="M81" s="8">
        <v>-8974.5616099999988</v>
      </c>
      <c r="N81" s="8">
        <v>-14401.269200000001</v>
      </c>
      <c r="O81" s="8">
        <v>-19867.12112</v>
      </c>
      <c r="P81" s="40">
        <f t="shared" si="195"/>
        <v>-57449.980339999995</v>
      </c>
      <c r="Q81" s="1">
        <v>-20805.082990000003</v>
      </c>
      <c r="R81" s="1">
        <v>-14929.311659999999</v>
      </c>
      <c r="S81" s="1">
        <v>-16749.33324</v>
      </c>
      <c r="T81" s="1">
        <v>-15207.086650000001</v>
      </c>
      <c r="U81" s="40">
        <v>-67690.814540000007</v>
      </c>
      <c r="V81" s="1">
        <v>-18277.391600000003</v>
      </c>
      <c r="W81" s="1">
        <v>-16452.765819999997</v>
      </c>
      <c r="X81" s="1">
        <v>-23203.749759999999</v>
      </c>
      <c r="Y81" s="1">
        <v>-17563.199550000001</v>
      </c>
      <c r="Z81" s="40">
        <v>-75497.10673</v>
      </c>
      <c r="AA81" s="1">
        <v>-17769.079880000001</v>
      </c>
      <c r="AB81" s="1">
        <v>-9782.7090700000008</v>
      </c>
      <c r="AC81" s="1">
        <v>-13631.19061</v>
      </c>
      <c r="AD81" s="1">
        <v>-11520.94418</v>
      </c>
      <c r="AE81" s="40">
        <v>-52703.923739999998</v>
      </c>
      <c r="AF81" s="1">
        <v>-9065.6507300000012</v>
      </c>
      <c r="AG81" s="1">
        <v>-5062.9879099999998</v>
      </c>
      <c r="AH81" s="1">
        <v>-7409.6270400000003</v>
      </c>
      <c r="AI81" s="1">
        <v>-6421.8791700000002</v>
      </c>
      <c r="AJ81" s="40">
        <f t="shared" si="196"/>
        <v>-27960.144850000001</v>
      </c>
      <c r="AK81" s="1">
        <v>-7701.3274199999996</v>
      </c>
      <c r="AL81" s="1">
        <v>-4631.4992199999997</v>
      </c>
      <c r="AM81" s="1">
        <v>-4676.9629999999997</v>
      </c>
      <c r="AN81" s="1">
        <v>-6947.1482899999992</v>
      </c>
      <c r="AO81" s="40">
        <f t="shared" si="200"/>
        <v>-23956.93793</v>
      </c>
      <c r="AP81" s="1">
        <v>-4519.22199</v>
      </c>
      <c r="AQ81" s="1">
        <v>-14486.407080000001</v>
      </c>
      <c r="AR81" s="1">
        <v>-18264.814019999998</v>
      </c>
      <c r="AS81" s="1">
        <v>-2971.21</v>
      </c>
      <c r="AT81" s="40">
        <f t="shared" si="201"/>
        <v>-40241.65309</v>
      </c>
      <c r="AU81" s="1">
        <v>-2833.5966099999996</v>
      </c>
      <c r="AV81" s="1">
        <v>-1992.9635499999997</v>
      </c>
      <c r="AW81" s="1">
        <v>-1909.1126999999997</v>
      </c>
      <c r="AX81" s="1">
        <v>-2425.7060499999998</v>
      </c>
      <c r="AY81" s="40">
        <f t="shared" si="193"/>
        <v>-9161.3789099999995</v>
      </c>
      <c r="AZ81" s="8">
        <v>-2637.6352000000002</v>
      </c>
    </row>
    <row r="82" spans="1:52" ht="14.85" customHeight="1">
      <c r="A82" s="56" t="s">
        <v>478</v>
      </c>
      <c r="B82" s="8"/>
      <c r="C82" s="8"/>
      <c r="D82" s="8"/>
      <c r="E82" s="8"/>
      <c r="F82" s="40"/>
      <c r="G82" s="8">
        <v>-12225.091649999998</v>
      </c>
      <c r="H82" s="8">
        <v>-20735.583599999991</v>
      </c>
      <c r="I82" s="8">
        <v>-20919.032589999995</v>
      </c>
      <c r="J82" s="8">
        <v>-21437.050430000003</v>
      </c>
      <c r="K82" s="40">
        <f t="shared" si="194"/>
        <v>-75316.758269999991</v>
      </c>
      <c r="L82" s="8">
        <v>-21572.359519999998</v>
      </c>
      <c r="M82" s="8">
        <v>-20249.535230000016</v>
      </c>
      <c r="N82" s="8">
        <v>-22314.192329999998</v>
      </c>
      <c r="O82" s="8">
        <v>-29239.36002</v>
      </c>
      <c r="P82" s="40">
        <f t="shared" si="195"/>
        <v>-93375.447100000019</v>
      </c>
      <c r="Q82" s="1">
        <v>-22815.226480000001</v>
      </c>
      <c r="R82" s="1">
        <v>-23608.33668</v>
      </c>
      <c r="S82" s="1">
        <v>-34274.838609999999</v>
      </c>
      <c r="T82" s="1">
        <v>-37764.167529999999</v>
      </c>
      <c r="U82" s="40">
        <v>-118462.5693</v>
      </c>
      <c r="V82" s="1">
        <v>-33255.981699999997</v>
      </c>
      <c r="W82" s="1">
        <v>-31727.900750000001</v>
      </c>
      <c r="X82" s="1">
        <v>-43206.223399999995</v>
      </c>
      <c r="Y82" s="1">
        <v>-44848.106089999994</v>
      </c>
      <c r="Z82" s="40">
        <v>-153038.21193999998</v>
      </c>
      <c r="AA82" s="1">
        <v>-27676.806970000001</v>
      </c>
      <c r="AB82" s="1">
        <v>-20305.42196</v>
      </c>
      <c r="AC82" s="1">
        <v>-18177.901549999999</v>
      </c>
      <c r="AD82" s="1">
        <v>-14687.66908</v>
      </c>
      <c r="AE82" s="40">
        <v>-80847.799559999985</v>
      </c>
      <c r="AF82" s="1">
        <v>-10920.491830000001</v>
      </c>
      <c r="AG82" s="1">
        <v>-10507.37269</v>
      </c>
      <c r="AH82" s="1">
        <v>-8230.5912599999992</v>
      </c>
      <c r="AI82" s="1">
        <v>-14075.776239999999</v>
      </c>
      <c r="AJ82" s="40">
        <f t="shared" si="196"/>
        <v>-43734.232020000003</v>
      </c>
      <c r="AK82" s="1">
        <v>-8487.5914200000007</v>
      </c>
      <c r="AL82" s="1">
        <v>-7846.5833900000007</v>
      </c>
      <c r="AM82" s="1">
        <v>-7026.7640000000001</v>
      </c>
      <c r="AN82" s="1">
        <v>-5479.2380300000004</v>
      </c>
      <c r="AO82" s="40">
        <f t="shared" si="200"/>
        <v>-28840.17684</v>
      </c>
      <c r="AP82" s="1">
        <v>-4270.6312699999999</v>
      </c>
      <c r="AQ82" s="1">
        <v>-3762.8301099999999</v>
      </c>
      <c r="AR82" s="1">
        <v>-4026.6422000000002</v>
      </c>
      <c r="AS82" s="1">
        <v>-3999.2620000000002</v>
      </c>
      <c r="AT82" s="40">
        <f t="shared" si="201"/>
        <v>-16059.36558</v>
      </c>
      <c r="AU82" s="1">
        <v>-3512.2078400000009</v>
      </c>
      <c r="AV82" s="1">
        <v>-3360.33329</v>
      </c>
      <c r="AW82" s="1">
        <v>-3277.2838200000001</v>
      </c>
      <c r="AX82" s="1">
        <v>-2503.0468799999999</v>
      </c>
      <c r="AY82" s="40">
        <f t="shared" si="193"/>
        <v>-12652.871830000002</v>
      </c>
      <c r="AZ82" s="8">
        <v>-2661.5640200000003</v>
      </c>
    </row>
    <row r="83" spans="1:52" ht="14.85" customHeight="1">
      <c r="A83" s="56" t="s">
        <v>479</v>
      </c>
      <c r="B83" s="8"/>
      <c r="C83" s="8"/>
      <c r="D83" s="8"/>
      <c r="E83" s="8"/>
      <c r="F83" s="40"/>
      <c r="G83" s="8">
        <v>-4296.9497800000008</v>
      </c>
      <c r="H83" s="8">
        <v>-5266.8518299999996</v>
      </c>
      <c r="I83" s="8">
        <v>-5090.4993500000019</v>
      </c>
      <c r="J83" s="8">
        <v>-8965.3991399999977</v>
      </c>
      <c r="K83" s="40">
        <f t="shared" si="194"/>
        <v>-23619.700100000002</v>
      </c>
      <c r="L83" s="8">
        <v>-4135.4775599999984</v>
      </c>
      <c r="M83" s="8">
        <v>-5653.0111500000003</v>
      </c>
      <c r="N83" s="8">
        <v>-94.055960000001164</v>
      </c>
      <c r="O83" s="8">
        <v>-7118.3289600000007</v>
      </c>
      <c r="P83" s="40">
        <f t="shared" si="195"/>
        <v>-17000.873630000002</v>
      </c>
      <c r="Q83" s="1">
        <v>-3435.4301600000003</v>
      </c>
      <c r="R83" s="1">
        <v>-3807.5765400000005</v>
      </c>
      <c r="S83" s="1">
        <v>-3696.4390600000002</v>
      </c>
      <c r="T83" s="1">
        <v>-6896.5346099999997</v>
      </c>
      <c r="U83" s="40">
        <v>-17835.980370000001</v>
      </c>
      <c r="V83" s="1">
        <v>-9615.8163700000005</v>
      </c>
      <c r="W83" s="1">
        <v>-9560.6525099999999</v>
      </c>
      <c r="X83" s="1">
        <v>-7055.3224800000007</v>
      </c>
      <c r="Y83" s="1">
        <v>-164.79506000000006</v>
      </c>
      <c r="Z83" s="40">
        <v>-26396.586420000003</v>
      </c>
      <c r="AA83" s="1">
        <v>-8837.7168699999984</v>
      </c>
      <c r="AB83" s="1">
        <v>1434.0639700000002</v>
      </c>
      <c r="AC83" s="1">
        <v>-6773.9251900000008</v>
      </c>
      <c r="AD83" s="1">
        <v>-2201.8317700000002</v>
      </c>
      <c r="AE83" s="40">
        <v>-16379.40986</v>
      </c>
      <c r="AF83" s="1">
        <v>-4410.5774700000002</v>
      </c>
      <c r="AG83" s="1">
        <v>-2826.6902399999999</v>
      </c>
      <c r="AH83" s="1">
        <v>661.74013999999988</v>
      </c>
      <c r="AI83" s="1">
        <v>-1133.8800700000004</v>
      </c>
      <c r="AJ83" s="40">
        <f t="shared" si="196"/>
        <v>-7709.4076400000004</v>
      </c>
      <c r="AK83" s="1">
        <v>-1676.7197600000002</v>
      </c>
      <c r="AL83" s="1">
        <v>-4142.8811300000007</v>
      </c>
      <c r="AM83" s="1">
        <v>-1723.1990000000001</v>
      </c>
      <c r="AN83" s="1">
        <v>-2847.2390300000002</v>
      </c>
      <c r="AO83" s="40">
        <f t="shared" si="200"/>
        <v>-10390.038920000001</v>
      </c>
      <c r="AP83" s="1">
        <v>-2719.4758899999997</v>
      </c>
      <c r="AQ83" s="1">
        <v>-2392.5458699999999</v>
      </c>
      <c r="AR83" s="1">
        <v>-3531.47624</v>
      </c>
      <c r="AS83" s="1">
        <v>70.179000000000002</v>
      </c>
      <c r="AT83" s="40">
        <f t="shared" si="201"/>
        <v>-8573.3189999999995</v>
      </c>
      <c r="AU83" s="1">
        <v>-2451.5759499999999</v>
      </c>
      <c r="AV83" s="1">
        <v>-2325.3523100000002</v>
      </c>
      <c r="AW83" s="1">
        <v>-2178.70246</v>
      </c>
      <c r="AX83" s="1">
        <v>-2703.5707900000007</v>
      </c>
      <c r="AY83" s="40">
        <f t="shared" si="193"/>
        <v>-9659.2015100000026</v>
      </c>
      <c r="AZ83" s="8">
        <v>-4344.3438900000001</v>
      </c>
    </row>
    <row r="84" spans="1:52" ht="14.85" customHeight="1">
      <c r="A84" s="56" t="s">
        <v>709</v>
      </c>
      <c r="B84" s="8"/>
      <c r="C84" s="8"/>
      <c r="D84" s="8"/>
      <c r="E84" s="8"/>
      <c r="F84" s="40"/>
      <c r="G84" s="8">
        <v>-418.55423999999999</v>
      </c>
      <c r="H84" s="8">
        <v>-423.20499999999993</v>
      </c>
      <c r="I84" s="8">
        <v>-687.42535999999996</v>
      </c>
      <c r="J84" s="8">
        <v>-756.91164000000003</v>
      </c>
      <c r="K84" s="40">
        <f t="shared" si="194"/>
        <v>-2286.0962399999999</v>
      </c>
      <c r="L84" s="8">
        <v>-451.89639999999997</v>
      </c>
      <c r="M84" s="8">
        <v>-1195.9711399999999</v>
      </c>
      <c r="N84" s="8">
        <v>-429.03479000000004</v>
      </c>
      <c r="O84" s="8">
        <v>-813.34849999999994</v>
      </c>
      <c r="P84" s="40">
        <f t="shared" si="195"/>
        <v>-2890.25083</v>
      </c>
      <c r="Q84" s="1">
        <v>-419.35421000000002</v>
      </c>
      <c r="R84" s="1">
        <v>-367.77370999999994</v>
      </c>
      <c r="S84" s="1">
        <v>-978.35237000000006</v>
      </c>
      <c r="T84" s="1">
        <v>834.49560999999972</v>
      </c>
      <c r="U84" s="40">
        <v>-930.98468000000025</v>
      </c>
      <c r="V84" s="1">
        <v>-434.87315000000001</v>
      </c>
      <c r="W84" s="1">
        <v>-285.96411000000001</v>
      </c>
      <c r="X84" s="1">
        <v>2589.5177199999998</v>
      </c>
      <c r="Y84" s="1">
        <v>-547.38179000000002</v>
      </c>
      <c r="Z84" s="40">
        <v>1321.2986699999997</v>
      </c>
      <c r="AA84" s="1">
        <v>-547.85862000000009</v>
      </c>
      <c r="AB84" s="1">
        <v>-594.40491000000009</v>
      </c>
      <c r="AC84" s="1">
        <v>-217.83170999999996</v>
      </c>
      <c r="AD84" s="1">
        <v>-1544.14679</v>
      </c>
      <c r="AE84" s="40">
        <v>-2904.2420300000003</v>
      </c>
      <c r="AF84" s="1">
        <v>-946.89148999999998</v>
      </c>
      <c r="AG84" s="1">
        <v>-1104.6643599999998</v>
      </c>
      <c r="AH84" s="1">
        <v>-1261.0967800000001</v>
      </c>
      <c r="AI84" s="1">
        <v>-599.85047999999995</v>
      </c>
      <c r="AJ84" s="40">
        <f t="shared" si="196"/>
        <v>-3912.5031099999997</v>
      </c>
      <c r="AK84" s="1">
        <v>-585.84784000000002</v>
      </c>
      <c r="AL84" s="1">
        <v>-703.25427000000002</v>
      </c>
      <c r="AM84" s="1">
        <v>-412.81</v>
      </c>
      <c r="AN84" s="1">
        <v>125.35672999999998</v>
      </c>
      <c r="AO84" s="40">
        <f t="shared" si="200"/>
        <v>-1576.55538</v>
      </c>
      <c r="AP84" s="1">
        <v>-278.03032000000007</v>
      </c>
      <c r="AQ84" s="1">
        <v>9351.5644000000011</v>
      </c>
      <c r="AR84" s="1">
        <v>13795.781069999999</v>
      </c>
      <c r="AS84" s="1">
        <v>599.65899999999999</v>
      </c>
      <c r="AT84" s="40">
        <f t="shared" si="201"/>
        <v>23468.974150000002</v>
      </c>
      <c r="AU84" s="1">
        <v>-275.96691999999996</v>
      </c>
      <c r="AV84" s="1">
        <v>-215.92316000000002</v>
      </c>
      <c r="AW84" s="1">
        <v>-689.37636999999995</v>
      </c>
      <c r="AX84" s="1">
        <v>-858.98211000000038</v>
      </c>
      <c r="AY84" s="40">
        <f t="shared" si="193"/>
        <v>-2040.2485600000005</v>
      </c>
      <c r="AZ84" s="8">
        <v>-578.13776000000007</v>
      </c>
    </row>
    <row r="85" spans="1:52" ht="14.85" customHeight="1">
      <c r="A85" s="54" t="s">
        <v>710</v>
      </c>
      <c r="B85" s="76"/>
      <c r="C85" s="76"/>
      <c r="D85" s="76"/>
      <c r="E85" s="76"/>
      <c r="F85" s="39"/>
      <c r="G85" s="76">
        <f t="shared" ref="G85:P85" si="203">SUM(G80:G84)</f>
        <v>17372.133669999788</v>
      </c>
      <c r="H85" s="76">
        <f t="shared" si="203"/>
        <v>15195.907290000056</v>
      </c>
      <c r="I85" s="76">
        <f t="shared" si="203"/>
        <v>15638.763209999952</v>
      </c>
      <c r="J85" s="76">
        <f t="shared" si="203"/>
        <v>4643.5709399999632</v>
      </c>
      <c r="K85" s="39">
        <f t="shared" si="203"/>
        <v>52850.375109999732</v>
      </c>
      <c r="L85" s="76">
        <f t="shared" si="203"/>
        <v>14057.030370000079</v>
      </c>
      <c r="M85" s="76">
        <f t="shared" si="203"/>
        <v>20887.657880000013</v>
      </c>
      <c r="N85" s="76">
        <f t="shared" si="203"/>
        <v>23626.601220000062</v>
      </c>
      <c r="O85" s="76">
        <f t="shared" si="203"/>
        <v>8018.7953899999975</v>
      </c>
      <c r="P85" s="39">
        <f t="shared" si="203"/>
        <v>66590.084860000163</v>
      </c>
      <c r="Q85" s="76">
        <v>18331.274559999987</v>
      </c>
      <c r="R85" s="76">
        <v>27874.154239999989</v>
      </c>
      <c r="S85" s="76">
        <v>19510.832819999992</v>
      </c>
      <c r="T85" s="76">
        <v>19663.768489999984</v>
      </c>
      <c r="U85" s="39">
        <v>85380.030109999963</v>
      </c>
      <c r="V85" s="76">
        <v>19158.596689999998</v>
      </c>
      <c r="W85" s="76">
        <v>23922.326349999988</v>
      </c>
      <c r="X85" s="76">
        <v>16471.432910000018</v>
      </c>
      <c r="Y85" s="76">
        <v>29708.34174</v>
      </c>
      <c r="Z85" s="39">
        <v>89260.697690000045</v>
      </c>
      <c r="AA85" s="76">
        <v>42952.672119999996</v>
      </c>
      <c r="AB85" s="76">
        <v>59156.255120000009</v>
      </c>
      <c r="AC85" s="76">
        <v>38100.871630000001</v>
      </c>
      <c r="AD85" s="76">
        <v>33470.053380000012</v>
      </c>
      <c r="AE85" s="39">
        <v>173679.85225000008</v>
      </c>
      <c r="AF85" s="76">
        <f>SUM(AF80:AF84)</f>
        <v>27222.813909999997</v>
      </c>
      <c r="AG85" s="76">
        <f>SUM(AG80:AG84)</f>
        <v>28911.700770000003</v>
      </c>
      <c r="AH85" s="76">
        <f>SUM(AH80:AH84)</f>
        <v>27821.523540000002</v>
      </c>
      <c r="AI85" s="76">
        <f>SUM(AI80:AI84)</f>
        <v>21599.981599999999</v>
      </c>
      <c r="AJ85" s="39">
        <f t="shared" si="196"/>
        <v>105556.01982</v>
      </c>
      <c r="AK85" s="76">
        <f>SUM(AK80:AK84)</f>
        <v>22781.088009999999</v>
      </c>
      <c r="AL85" s="76">
        <f t="shared" ref="AL85:AN85" si="204">SUM(AL80:AL84)</f>
        <v>22029.936490000004</v>
      </c>
      <c r="AM85" s="76">
        <f t="shared" si="204"/>
        <v>20471.971999999998</v>
      </c>
      <c r="AN85" s="76">
        <f t="shared" si="204"/>
        <v>13463.935629999996</v>
      </c>
      <c r="AO85" s="39">
        <f t="shared" si="200"/>
        <v>78746.932129999987</v>
      </c>
      <c r="AP85" s="76">
        <f>SUM(AP80:AP84)</f>
        <v>11911.180169999998</v>
      </c>
      <c r="AQ85" s="76">
        <f>SUM(AQ80:AQ84)</f>
        <v>12312.181700000001</v>
      </c>
      <c r="AR85" s="76">
        <f>SUM(AR80:AR84)</f>
        <v>10691.301220000001</v>
      </c>
      <c r="AS85" s="76">
        <f>SUM(AS80:AS84)</f>
        <v>15695.541999999999</v>
      </c>
      <c r="AT85" s="39">
        <f t="shared" si="201"/>
        <v>50610.205090000003</v>
      </c>
      <c r="AU85" s="76">
        <f>SUM(AU80:AU84)</f>
        <v>11499.760609999996</v>
      </c>
      <c r="AV85" s="76">
        <f>SUM(AV80:AV84)</f>
        <v>12135.59323</v>
      </c>
      <c r="AW85" s="76">
        <f t="shared" ref="AW85:AX85" si="205">SUM(AW80:AW84)</f>
        <v>10889.37437</v>
      </c>
      <c r="AX85" s="76">
        <f t="shared" si="205"/>
        <v>8770.688430000002</v>
      </c>
      <c r="AY85" s="39">
        <f t="shared" si="193"/>
        <v>43295.416639999996</v>
      </c>
      <c r="AZ85" s="76">
        <f t="shared" ref="AZ85" si="206">SUM(AZ80:AZ84)</f>
        <v>5420.4400399999995</v>
      </c>
    </row>
    <row r="86" spans="1:52" ht="14.85" customHeight="1">
      <c r="A86" s="17" t="s">
        <v>711</v>
      </c>
      <c r="B86" s="18"/>
      <c r="C86" s="18"/>
      <c r="D86" s="18"/>
      <c r="E86" s="18"/>
      <c r="F86" s="46"/>
      <c r="G86" s="18">
        <f t="shared" ref="G86:J86" si="207">-G81/G80</f>
        <v>0.34577934946605454</v>
      </c>
      <c r="H86" s="18">
        <f t="shared" si="207"/>
        <v>0.22308606807324241</v>
      </c>
      <c r="I86" s="18">
        <f t="shared" si="207"/>
        <v>0.2133181805105929</v>
      </c>
      <c r="J86" s="18">
        <f t="shared" si="207"/>
        <v>0.34329711304437444</v>
      </c>
      <c r="K86" s="46">
        <f t="shared" ref="K86:P86" si="208">-K81/K80</f>
        <v>0.28122859481539675</v>
      </c>
      <c r="L86" s="18">
        <f t="shared" si="208"/>
        <v>0.26104444067639437</v>
      </c>
      <c r="M86" s="18">
        <f t="shared" si="208"/>
        <v>0.15755697838713753</v>
      </c>
      <c r="N86" s="18">
        <f t="shared" si="208"/>
        <v>0.23660942874316393</v>
      </c>
      <c r="O86" s="18">
        <f t="shared" si="208"/>
        <v>0.3053804382396047</v>
      </c>
      <c r="P86" s="46">
        <f t="shared" si="208"/>
        <v>0.24209175573164426</v>
      </c>
      <c r="Q86" s="18">
        <v>0.31615607266970847</v>
      </c>
      <c r="R86" s="18">
        <v>0.21150182521110197</v>
      </c>
      <c r="S86" s="18">
        <v>0.22270148449451788</v>
      </c>
      <c r="T86" s="18">
        <v>0.1932357616319629</v>
      </c>
      <c r="U86" s="46">
        <v>0.23317508152478167</v>
      </c>
      <c r="V86" s="18">
        <v>0.22636598436216165</v>
      </c>
      <c r="W86" s="18">
        <v>0.20076686042011371</v>
      </c>
      <c r="X86" s="18">
        <v>0.26564957872736683</v>
      </c>
      <c r="Y86" s="18">
        <v>0.18919373496836001</v>
      </c>
      <c r="Z86" s="46">
        <v>0.22019079994451507</v>
      </c>
      <c r="AA86" s="18">
        <v>0.18171741231977359</v>
      </c>
      <c r="AB86" s="18">
        <v>0.1106582124284006</v>
      </c>
      <c r="AC86" s="169">
        <v>0.17725468933197155</v>
      </c>
      <c r="AD86" s="169">
        <v>0.18164775133815017</v>
      </c>
      <c r="AE86" s="46">
        <v>0.16141337160051683</v>
      </c>
      <c r="AF86" s="169">
        <f t="shared" ref="AF86:AJ86" si="209">-AF81/AF80</f>
        <v>0.17246085606624065</v>
      </c>
      <c r="AG86" s="169">
        <f t="shared" si="209"/>
        <v>0.10457820024799212</v>
      </c>
      <c r="AH86" s="169">
        <f t="shared" si="209"/>
        <v>0.16816709740823513</v>
      </c>
      <c r="AI86" s="169">
        <f t="shared" si="209"/>
        <v>0.14651331974091844</v>
      </c>
      <c r="AJ86" s="46">
        <f t="shared" si="209"/>
        <v>0.14803729159121032</v>
      </c>
      <c r="AK86" s="169">
        <f t="shared" ref="AK86:AN86" si="210">-AK81/AK80</f>
        <v>0.18677774848472989</v>
      </c>
      <c r="AL86" s="169">
        <f t="shared" si="210"/>
        <v>0.11768768199555651</v>
      </c>
      <c r="AM86" s="169">
        <f t="shared" si="210"/>
        <v>0.13630807886334309</v>
      </c>
      <c r="AN86" s="169">
        <f t="shared" si="210"/>
        <v>0.24280367319130963</v>
      </c>
      <c r="AO86" s="46">
        <f>-AO81/AO80</f>
        <v>0.16693492363826187</v>
      </c>
      <c r="AP86" s="169">
        <f t="shared" ref="AP86" si="211">-AP81/AP80</f>
        <v>0.19069622257956145</v>
      </c>
      <c r="AQ86" s="169">
        <f t="shared" ref="AQ86:AV86" si="212">-AQ81/AQ80</f>
        <v>0.61376838198841577</v>
      </c>
      <c r="AR86" s="169">
        <f t="shared" si="212"/>
        <v>0.80396382330900296</v>
      </c>
      <c r="AS86" s="169">
        <f t="shared" si="212"/>
        <v>0.13507847909563916</v>
      </c>
      <c r="AT86" s="46">
        <f t="shared" si="212"/>
        <v>0.43733526508498521</v>
      </c>
      <c r="AU86" s="169">
        <f t="shared" si="212"/>
        <v>0.13773303574945081</v>
      </c>
      <c r="AV86" s="169">
        <f t="shared" si="212"/>
        <v>9.949810679397908E-2</v>
      </c>
      <c r="AW86" s="169">
        <f t="shared" ref="AW86:AX86" si="213">-AW81/AW80</f>
        <v>0.10077744113354377</v>
      </c>
      <c r="AX86" s="169">
        <f t="shared" si="213"/>
        <v>0.1405229322559165</v>
      </c>
      <c r="AY86" s="46">
        <f>-AY81/AY80</f>
        <v>0.1192746279888417</v>
      </c>
      <c r="AZ86" s="169">
        <f t="shared" ref="AZ86" si="214">-AZ81/AZ80</f>
        <v>0.16862388516085189</v>
      </c>
    </row>
    <row r="87" spans="1:52" ht="14.85" customHeight="1" thickBot="1">
      <c r="A87" s="17" t="s">
        <v>712</v>
      </c>
      <c r="B87" s="18"/>
      <c r="C87" s="18"/>
      <c r="D87" s="18"/>
      <c r="E87" s="18"/>
      <c r="F87" s="48"/>
      <c r="G87" s="18">
        <f t="shared" ref="G87:J87" si="215">-G82/G80</f>
        <v>0.23308863987035294</v>
      </c>
      <c r="H87" s="18">
        <f t="shared" si="215"/>
        <v>0.3870534535103532</v>
      </c>
      <c r="I87" s="18">
        <f t="shared" si="215"/>
        <v>0.38871719724180076</v>
      </c>
      <c r="J87" s="18">
        <f t="shared" si="215"/>
        <v>0.39320167538832018</v>
      </c>
      <c r="K87" s="48">
        <f t="shared" ref="K87:P87" si="216">-K82/K80</f>
        <v>0.35136303485666642</v>
      </c>
      <c r="L87" s="18">
        <f t="shared" si="216"/>
        <v>0.39637736776852767</v>
      </c>
      <c r="M87" s="18">
        <f t="shared" si="216"/>
        <v>0.35549988102234364</v>
      </c>
      <c r="N87" s="18">
        <f t="shared" si="216"/>
        <v>0.36661687430066159</v>
      </c>
      <c r="O87" s="18">
        <f t="shared" si="216"/>
        <v>0.44944249963646354</v>
      </c>
      <c r="P87" s="48">
        <f t="shared" si="216"/>
        <v>0.39348013344622629</v>
      </c>
      <c r="Q87" s="18">
        <v>0.34670240942820368</v>
      </c>
      <c r="R87" s="18">
        <v>0.33445656516076827</v>
      </c>
      <c r="S87" s="18">
        <v>0.45572306251738398</v>
      </c>
      <c r="T87" s="18">
        <v>0.47986756720798934</v>
      </c>
      <c r="U87" s="48">
        <v>0.40806894468436095</v>
      </c>
      <c r="V87" s="18">
        <v>0.41187622381798356</v>
      </c>
      <c r="W87" s="18">
        <v>0.3871635377898105</v>
      </c>
      <c r="X87" s="18">
        <v>0.49464914780267394</v>
      </c>
      <c r="Y87" s="18">
        <v>0.48311133021456509</v>
      </c>
      <c r="Z87" s="48">
        <v>0.44634301589409836</v>
      </c>
      <c r="AA87" s="18">
        <v>0.28303985225048545</v>
      </c>
      <c r="AB87" s="18">
        <v>0.22968706118314425</v>
      </c>
      <c r="AC87" s="169">
        <v>0.23637834611370123</v>
      </c>
      <c r="AD87" s="169">
        <v>0.23157668495715919</v>
      </c>
      <c r="AE87" s="48">
        <v>0.24760805244483264</v>
      </c>
      <c r="AF87" s="169">
        <f t="shared" ref="AF87:AJ87" si="217">-AF82/AF80</f>
        <v>0.20774651768061075</v>
      </c>
      <c r="AG87" s="169">
        <f t="shared" si="217"/>
        <v>0.21703431744025312</v>
      </c>
      <c r="AH87" s="169">
        <f t="shared" si="217"/>
        <v>0.18679950214441407</v>
      </c>
      <c r="AI87" s="169">
        <f t="shared" si="217"/>
        <v>0.3211347722776825</v>
      </c>
      <c r="AJ87" s="48">
        <f t="shared" si="217"/>
        <v>0.23155449633024297</v>
      </c>
      <c r="AK87" s="169">
        <f t="shared" ref="AK87:AN87" si="218">-AK82/AK80</f>
        <v>0.2058467494017949</v>
      </c>
      <c r="AL87" s="169">
        <f t="shared" si="218"/>
        <v>0.19938386403397385</v>
      </c>
      <c r="AM87" s="169">
        <f t="shared" si="218"/>
        <v>0.20479202026317081</v>
      </c>
      <c r="AN87" s="169">
        <f t="shared" si="218"/>
        <v>0.19150003201867963</v>
      </c>
      <c r="AO87" s="48">
        <f>-AO82/AO80</f>
        <v>0.20096193981746349</v>
      </c>
      <c r="AP87" s="169">
        <f t="shared" ref="AP87" si="219">-AP82/AP80</f>
        <v>0.18020651630329743</v>
      </c>
      <c r="AQ87" s="169">
        <f t="shared" ref="AQ87:AV87" si="220">-AQ82/AQ80</f>
        <v>0.15942573859466555</v>
      </c>
      <c r="AR87" s="169">
        <f t="shared" si="220"/>
        <v>0.17724104141791724</v>
      </c>
      <c r="AS87" s="169">
        <f t="shared" si="220"/>
        <v>0.18181623933178204</v>
      </c>
      <c r="AT87" s="48">
        <f t="shared" si="220"/>
        <v>0.17452878705848382</v>
      </c>
      <c r="AU87" s="169">
        <f t="shared" si="220"/>
        <v>0.17071838887689156</v>
      </c>
      <c r="AV87" s="169">
        <f t="shared" si="220"/>
        <v>0.16776363047471846</v>
      </c>
      <c r="AW87" s="169">
        <f t="shared" ref="AW87:AX87" si="221">-AW82/AW80</f>
        <v>0.17299988484072495</v>
      </c>
      <c r="AX87" s="169">
        <f t="shared" si="221"/>
        <v>0.1450033433159072</v>
      </c>
      <c r="AY87" s="48">
        <f>-AY82/AY80</f>
        <v>0.16473137890480996</v>
      </c>
      <c r="AZ87" s="169">
        <f t="shared" ref="AZ87" si="222">-AZ82/AZ80</f>
        <v>0.17015365341527719</v>
      </c>
    </row>
    <row r="88" spans="1:52" ht="45.75" thickBot="1">
      <c r="A88" s="787" t="s">
        <v>722</v>
      </c>
      <c r="AE88"/>
      <c r="AJ88"/>
      <c r="AO88"/>
      <c r="AT88"/>
      <c r="AY88"/>
      <c r="AZ88"/>
    </row>
    <row r="89" spans="1:52" s="30" customFormat="1" ht="24.4" customHeight="1">
      <c r="A89" s="625" t="s">
        <v>723</v>
      </c>
      <c r="B89" s="626" t="s">
        <v>224</v>
      </c>
      <c r="C89" s="626" t="s">
        <v>225</v>
      </c>
      <c r="D89" s="626" t="s">
        <v>226</v>
      </c>
      <c r="E89" s="626" t="s">
        <v>227</v>
      </c>
      <c r="F89" s="652">
        <v>2016</v>
      </c>
      <c r="G89" s="626" t="s">
        <v>228</v>
      </c>
      <c r="H89" s="626" t="s">
        <v>229</v>
      </c>
      <c r="I89" s="626" t="s">
        <v>230</v>
      </c>
      <c r="J89" s="626" t="s">
        <v>231</v>
      </c>
      <c r="K89" s="652">
        <v>2017</v>
      </c>
      <c r="L89" s="626" t="s">
        <v>232</v>
      </c>
      <c r="M89" s="626" t="s">
        <v>233</v>
      </c>
      <c r="N89" s="626" t="s">
        <v>234</v>
      </c>
      <c r="O89" s="626" t="s">
        <v>235</v>
      </c>
      <c r="P89" s="652">
        <v>2018</v>
      </c>
      <c r="Q89" s="626" t="s">
        <v>236</v>
      </c>
      <c r="R89" s="626" t="s">
        <v>237</v>
      </c>
      <c r="S89" s="626" t="s">
        <v>238</v>
      </c>
      <c r="T89" s="626" t="s">
        <v>239</v>
      </c>
      <c r="U89" s="652">
        <v>2019</v>
      </c>
      <c r="V89" s="626" t="s">
        <v>240</v>
      </c>
      <c r="W89" s="626" t="s">
        <v>241</v>
      </c>
      <c r="X89" s="626" t="s">
        <v>242</v>
      </c>
      <c r="Y89" s="626" t="s">
        <v>243</v>
      </c>
      <c r="Z89" s="652">
        <v>2020</v>
      </c>
      <c r="AA89" s="626" t="s">
        <v>244</v>
      </c>
      <c r="AB89" s="626" t="s">
        <v>245</v>
      </c>
      <c r="AC89" s="626" t="s">
        <v>246</v>
      </c>
      <c r="AD89" s="626" t="s">
        <v>247</v>
      </c>
      <c r="AE89" s="652">
        <v>2021</v>
      </c>
      <c r="AF89" s="626" t="s">
        <v>248</v>
      </c>
      <c r="AG89" s="626" t="s">
        <v>249</v>
      </c>
      <c r="AH89" s="626" t="s">
        <v>250</v>
      </c>
      <c r="AI89" s="626" t="s">
        <v>215</v>
      </c>
      <c r="AJ89" s="652">
        <v>2022</v>
      </c>
      <c r="AK89" s="626" t="s">
        <v>252</v>
      </c>
      <c r="AL89" s="626" t="s">
        <v>253</v>
      </c>
      <c r="AM89" s="626" t="s">
        <v>254</v>
      </c>
      <c r="AN89" s="626" t="s">
        <v>219</v>
      </c>
      <c r="AO89" s="652">
        <v>2023</v>
      </c>
      <c r="AP89" s="626" t="s">
        <v>223</v>
      </c>
      <c r="AQ89" s="626" t="s">
        <v>256</v>
      </c>
      <c r="AR89" s="626" t="s">
        <v>357</v>
      </c>
      <c r="AS89" s="626" t="s">
        <v>358</v>
      </c>
      <c r="AT89" s="652">
        <v>2024</v>
      </c>
      <c r="AU89" s="626" t="s">
        <v>359</v>
      </c>
      <c r="AV89" s="626" t="s">
        <v>1115</v>
      </c>
      <c r="AW89" s="626" t="s">
        <v>1116</v>
      </c>
      <c r="AX89" s="626" t="s">
        <v>1117</v>
      </c>
      <c r="AY89" s="653" t="s">
        <v>1118</v>
      </c>
      <c r="AZ89" s="645" t="s">
        <v>1124</v>
      </c>
    </row>
    <row r="90" spans="1:52" ht="14.85" customHeight="1">
      <c r="A90" s="54" t="s">
        <v>707</v>
      </c>
      <c r="B90" s="76"/>
      <c r="C90" s="76"/>
      <c r="D90" s="76"/>
      <c r="E90" s="76"/>
      <c r="F90" s="39"/>
      <c r="G90" s="76">
        <v>328754.64900000003</v>
      </c>
      <c r="H90" s="76">
        <v>350542.36695000005</v>
      </c>
      <c r="I90" s="76">
        <v>346691.87826999999</v>
      </c>
      <c r="J90" s="76">
        <v>305099.49418000004</v>
      </c>
      <c r="K90" s="39">
        <f>SUM(G90:J90)</f>
        <v>1331088.3884000001</v>
      </c>
      <c r="L90" s="76">
        <v>306924.81741000002</v>
      </c>
      <c r="M90" s="76">
        <v>391735.72445000004</v>
      </c>
      <c r="N90" s="76">
        <v>383661.66011000006</v>
      </c>
      <c r="O90" s="76">
        <v>372964.52860999998</v>
      </c>
      <c r="P90" s="39">
        <f>SUM(L90:O90)</f>
        <v>1455286.73058</v>
      </c>
      <c r="Q90" s="76">
        <v>434537.92297999992</v>
      </c>
      <c r="R90" s="76">
        <v>468538.89335000003</v>
      </c>
      <c r="S90" s="76">
        <v>466960.75356999994</v>
      </c>
      <c r="T90" s="76">
        <v>472349.20726</v>
      </c>
      <c r="U90" s="39">
        <v>1842386.7771600001</v>
      </c>
      <c r="V90" s="76">
        <v>451798.50277999998</v>
      </c>
      <c r="W90" s="76">
        <v>380721.10884999996</v>
      </c>
      <c r="X90" s="76">
        <v>1100820.1166900001</v>
      </c>
      <c r="Y90" s="76">
        <v>765131.05688000005</v>
      </c>
      <c r="Z90" s="39">
        <v>2698470.7851999998</v>
      </c>
      <c r="AA90" s="76">
        <v>625689.95255000005</v>
      </c>
      <c r="AB90" s="76">
        <v>538858.69591000001</v>
      </c>
      <c r="AC90" s="76">
        <v>698171.69689000002</v>
      </c>
      <c r="AD90" s="76">
        <v>474209.55567999999</v>
      </c>
      <c r="AE90" s="39">
        <v>2336929.9010300003</v>
      </c>
      <c r="AF90" s="76">
        <f t="shared" ref="AF90:AI91" si="223">AF102+AF114+AF126</f>
        <v>413054.70195999998</v>
      </c>
      <c r="AG90" s="76">
        <f t="shared" si="223"/>
        <v>587796.89637000009</v>
      </c>
      <c r="AH90" s="76">
        <f t="shared" si="223"/>
        <v>759794.99924000015</v>
      </c>
      <c r="AI90" s="76">
        <f t="shared" si="223"/>
        <v>314297.47795999993</v>
      </c>
      <c r="AJ90" s="39">
        <f>SUM(AF90:AI90)</f>
        <v>2074944.07553</v>
      </c>
      <c r="AK90" s="76">
        <f>AK102+AK114+AK126</f>
        <v>562323.3369600001</v>
      </c>
      <c r="AL90" s="76">
        <v>522187.47620000009</v>
      </c>
      <c r="AM90" s="76">
        <v>531286.08721999999</v>
      </c>
      <c r="AN90" s="76">
        <f>AN102+AN114+AN126</f>
        <v>564730.50792999996</v>
      </c>
      <c r="AO90" s="39">
        <f>SUM(AK90:AN90)</f>
        <v>2180527.4083099999</v>
      </c>
      <c r="AP90" s="76">
        <f>AP102+AP114+AP126</f>
        <v>567609.62923000008</v>
      </c>
      <c r="AQ90" s="76">
        <f>AQ102+AQ114+AQ126</f>
        <v>580612.65918999992</v>
      </c>
      <c r="AR90" s="76">
        <f>AR102+AR114+AR126</f>
        <v>600246.40830000001</v>
      </c>
      <c r="AS90" s="76">
        <f>AS102+AS114+AS126</f>
        <v>571269.37199999997</v>
      </c>
      <c r="AT90" s="39">
        <f>SUM(AP90:AS90)</f>
        <v>2319738.0687199999</v>
      </c>
      <c r="AU90" s="76">
        <f>AU102+AU114+AU126</f>
        <v>378384.51835999993</v>
      </c>
      <c r="AV90" s="76">
        <f>AV102+AV114+AV126</f>
        <v>332925.60550000001</v>
      </c>
      <c r="AW90" s="76">
        <f>AW102+AW114+AW126</f>
        <v>384052.71742999996</v>
      </c>
      <c r="AX90" s="76">
        <f>AX102+AX114+AX126</f>
        <v>250462.06231000001</v>
      </c>
      <c r="AY90" s="39">
        <f t="shared" ref="AY90:AY97" si="224">SUM(AU90:AX90)</f>
        <v>1345824.9035999998</v>
      </c>
      <c r="AZ90" s="76">
        <f>AZ102+AZ114+AZ126</f>
        <v>298912.26056999998</v>
      </c>
    </row>
    <row r="91" spans="1:52" ht="14.85" customHeight="1">
      <c r="A91" s="56" t="s">
        <v>443</v>
      </c>
      <c r="B91" s="8"/>
      <c r="C91" s="8"/>
      <c r="D91" s="8"/>
      <c r="E91" s="8"/>
      <c r="F91" s="40"/>
      <c r="G91" s="8">
        <v>-203119.06896000059</v>
      </c>
      <c r="H91" s="8">
        <v>-205845.30532999977</v>
      </c>
      <c r="I91" s="8">
        <v>-178634.34872000004</v>
      </c>
      <c r="J91" s="8">
        <v>-122469.08478000024</v>
      </c>
      <c r="K91" s="40">
        <f t="shared" ref="K91:K96" si="225">SUM(G91:J91)</f>
        <v>-710067.80779000069</v>
      </c>
      <c r="L91" s="8">
        <v>-114680.56327999971</v>
      </c>
      <c r="M91" s="8">
        <v>-185109.73671999935</v>
      </c>
      <c r="N91" s="8">
        <v>-204433.49333000011</v>
      </c>
      <c r="O91" s="8">
        <v>-141466.25573</v>
      </c>
      <c r="P91" s="40">
        <f t="shared" ref="P91:P96" si="226">SUM(L91:O91)</f>
        <v>-645690.04905999918</v>
      </c>
      <c r="Q91" s="1">
        <v>-198409.43701999998</v>
      </c>
      <c r="R91" s="1">
        <v>-219348.53878</v>
      </c>
      <c r="S91" s="1">
        <v>-200937.99531</v>
      </c>
      <c r="T91" s="1">
        <v>-196752.49403</v>
      </c>
      <c r="U91" s="40">
        <v>-815448.46513999999</v>
      </c>
      <c r="V91" s="1">
        <v>-165543.84591</v>
      </c>
      <c r="W91" s="1">
        <v>-89682.801020000014</v>
      </c>
      <c r="X91" s="1">
        <v>-775634.04975999997</v>
      </c>
      <c r="Y91" s="1">
        <v>-384012.88805000001</v>
      </c>
      <c r="Z91" s="40">
        <v>-1414873.5847400001</v>
      </c>
      <c r="AA91" s="1">
        <v>-232294.32942000002</v>
      </c>
      <c r="AB91" s="1">
        <v>-174667.45018999994</v>
      </c>
      <c r="AC91" s="1">
        <v>-300336.10469000007</v>
      </c>
      <c r="AD91" s="1">
        <v>-95304.584189999907</v>
      </c>
      <c r="AE91" s="40">
        <v>-802602.46848999988</v>
      </c>
      <c r="AF91" s="1">
        <f t="shared" si="223"/>
        <v>-6277.2263799999491</v>
      </c>
      <c r="AG91" s="1">
        <f t="shared" si="223"/>
        <v>-162469.24052999995</v>
      </c>
      <c r="AH91" s="1">
        <f t="shared" si="223"/>
        <v>-305474.29842000001</v>
      </c>
      <c r="AI91" s="1">
        <f t="shared" si="223"/>
        <v>154337.89374999996</v>
      </c>
      <c r="AJ91" s="40">
        <f t="shared" ref="AJ91:AJ97" si="227">SUM(AF91:AI91)</f>
        <v>-319882.87157999992</v>
      </c>
      <c r="AK91" s="1">
        <f>AK103+AK115+AK127</f>
        <v>-85390.763470000034</v>
      </c>
      <c r="AL91" s="1">
        <v>-30891.178820000001</v>
      </c>
      <c r="AM91" s="1">
        <v>-39459.551459999988</v>
      </c>
      <c r="AN91" s="1">
        <f>AN103+AN115+AN127</f>
        <v>-67870.743359999993</v>
      </c>
      <c r="AO91" s="40">
        <f t="shared" ref="AO91:AO97" si="228">SUM(AK91:AN91)</f>
        <v>-223612.23711000002</v>
      </c>
      <c r="AP91" s="1">
        <f>AP103+AP115+AP127</f>
        <v>-70480.62599</v>
      </c>
      <c r="AQ91" s="1">
        <f>AQ103+AQ115+AQ127</f>
        <v>-72881.884239999985</v>
      </c>
      <c r="AR91" s="1">
        <f>AR103+AR115+AR127</f>
        <v>-87884.562960000025</v>
      </c>
      <c r="AS91" s="1">
        <f>AS103+AS115+AS126</f>
        <v>-56501.722999999998</v>
      </c>
      <c r="AT91" s="40">
        <f t="shared" ref="AT91:AT97" si="229">SUM(AP91:AS91)</f>
        <v>-287748.79619000002</v>
      </c>
      <c r="AU91" s="1">
        <f>AU103+AU115+AU126</f>
        <v>123502.88958</v>
      </c>
      <c r="AV91" s="1">
        <f>AV103+AV115+AV126</f>
        <v>149253.63724999997</v>
      </c>
      <c r="AW91" s="1">
        <f>AW103+AW115+AW126</f>
        <v>100001.53383</v>
      </c>
      <c r="AX91" s="1">
        <f>AX103+AX115+AX126</f>
        <v>215381.75734000001</v>
      </c>
      <c r="AY91" s="40">
        <f t="shared" si="224"/>
        <v>588139.81799999997</v>
      </c>
      <c r="AZ91" s="1">
        <f>AZ103+AZ115+AZ126</f>
        <v>154283.50567999997</v>
      </c>
    </row>
    <row r="92" spans="1:52" ht="14.85" customHeight="1">
      <c r="A92" s="54" t="s">
        <v>708</v>
      </c>
      <c r="B92" s="76"/>
      <c r="C92" s="76"/>
      <c r="D92" s="76"/>
      <c r="E92" s="76"/>
      <c r="F92" s="39"/>
      <c r="G92" s="76">
        <f t="shared" ref="G92" si="230">SUM(G90:G91)</f>
        <v>125635.58003999945</v>
      </c>
      <c r="H92" s="76">
        <f t="shared" ref="H92" si="231">SUM(H90:H91)</f>
        <v>144697.06162000028</v>
      </c>
      <c r="I92" s="76">
        <f t="shared" ref="I92" si="232">SUM(I90:I91)</f>
        <v>168057.52954999995</v>
      </c>
      <c r="J92" s="76">
        <f t="shared" ref="J92" si="233">SUM(J90:J91)</f>
        <v>182630.4093999998</v>
      </c>
      <c r="K92" s="39">
        <f t="shared" si="225"/>
        <v>621020.58060999948</v>
      </c>
      <c r="L92" s="76">
        <f t="shared" ref="L92" si="234">SUM(L90:L91)</f>
        <v>192244.25413000031</v>
      </c>
      <c r="M92" s="76">
        <f t="shared" ref="M92" si="235">SUM(M90:M91)</f>
        <v>206625.98773000069</v>
      </c>
      <c r="N92" s="76">
        <f t="shared" ref="N92" si="236">SUM(N90:N91)</f>
        <v>179228.16677999994</v>
      </c>
      <c r="O92" s="76">
        <f t="shared" ref="O92" si="237">SUM(O90:O91)</f>
        <v>231498.27287999997</v>
      </c>
      <c r="P92" s="39">
        <f t="shared" si="226"/>
        <v>809596.68152000092</v>
      </c>
      <c r="Q92" s="76">
        <v>236128.48595999993</v>
      </c>
      <c r="R92" s="76">
        <v>249190.35457000002</v>
      </c>
      <c r="S92" s="76">
        <v>266022.75825999992</v>
      </c>
      <c r="T92" s="76">
        <v>275596.71322999999</v>
      </c>
      <c r="U92" s="39">
        <v>1026938.3120199998</v>
      </c>
      <c r="V92" s="76">
        <v>286254.65686999995</v>
      </c>
      <c r="W92" s="76">
        <v>291038.30782999995</v>
      </c>
      <c r="X92" s="76">
        <v>325186.06693000009</v>
      </c>
      <c r="Y92" s="76">
        <v>381118.16883000004</v>
      </c>
      <c r="Z92" s="39">
        <v>1283597.20046</v>
      </c>
      <c r="AA92" s="76">
        <v>393395.62313000002</v>
      </c>
      <c r="AB92" s="76">
        <v>364191.24572000006</v>
      </c>
      <c r="AC92" s="76">
        <v>397835.59219999996</v>
      </c>
      <c r="AD92" s="76">
        <v>378904.97149000008</v>
      </c>
      <c r="AE92" s="39">
        <v>1534327.4325400002</v>
      </c>
      <c r="AF92" s="76">
        <f>SUM(AF90:AF91)</f>
        <v>406777.47558000003</v>
      </c>
      <c r="AG92" s="76">
        <f>SUM(AG90:AG91)</f>
        <v>425327.65584000014</v>
      </c>
      <c r="AH92" s="76">
        <f>SUM(AH90:AH91)</f>
        <v>454320.70082000014</v>
      </c>
      <c r="AI92" s="76">
        <f>SUM(AI90:AI91)</f>
        <v>468635.37170999986</v>
      </c>
      <c r="AJ92" s="39">
        <f t="shared" si="227"/>
        <v>1755061.2039500002</v>
      </c>
      <c r="AK92" s="76">
        <f>SUM(AK90:AK91)</f>
        <v>476932.5734900001</v>
      </c>
      <c r="AL92" s="76">
        <f t="shared" ref="AL92:AN92" si="238">SUM(AL90:AL91)</f>
        <v>491296.29738000012</v>
      </c>
      <c r="AM92" s="76">
        <f t="shared" si="238"/>
        <v>491826.53576</v>
      </c>
      <c r="AN92" s="76">
        <f t="shared" si="238"/>
        <v>496859.76457</v>
      </c>
      <c r="AO92" s="39">
        <f t="shared" si="228"/>
        <v>1956915.1712000002</v>
      </c>
      <c r="AP92" s="76">
        <f>SUM(AP90:AP91)</f>
        <v>497129.00324000011</v>
      </c>
      <c r="AQ92" s="76">
        <f>SUM(AQ90:AQ91)</f>
        <v>507730.77494999993</v>
      </c>
      <c r="AR92" s="76">
        <f t="shared" ref="AR92:AS92" si="239">SUM(AR90:AR91)</f>
        <v>512361.84534</v>
      </c>
      <c r="AS92" s="76">
        <f t="shared" si="239"/>
        <v>514767.64899999998</v>
      </c>
      <c r="AT92" s="39">
        <f t="shared" si="229"/>
        <v>2031989.27253</v>
      </c>
      <c r="AU92" s="76">
        <f>SUM(AU90:AU91)</f>
        <v>501887.40793999995</v>
      </c>
      <c r="AV92" s="76">
        <f>SUM(AV90:AV91)</f>
        <v>482179.24274999998</v>
      </c>
      <c r="AW92" s="76">
        <f>SUM(AW90:AW91)</f>
        <v>484054.25125999993</v>
      </c>
      <c r="AX92" s="76">
        <f>SUM(AX90:AX91)</f>
        <v>465843.81965000002</v>
      </c>
      <c r="AY92" s="39">
        <f t="shared" si="224"/>
        <v>1933964.7215999998</v>
      </c>
      <c r="AZ92" s="76">
        <f>SUM(AZ90:AZ91)</f>
        <v>453195.76624999999</v>
      </c>
    </row>
    <row r="93" spans="1:52" ht="14.85" customHeight="1">
      <c r="A93" s="56" t="s">
        <v>477</v>
      </c>
      <c r="B93" s="8"/>
      <c r="C93" s="8"/>
      <c r="D93" s="8"/>
      <c r="E93" s="8"/>
      <c r="F93" s="40"/>
      <c r="G93" s="8">
        <v>-27752.933150000004</v>
      </c>
      <c r="H93" s="8">
        <v>-34060.101639999993</v>
      </c>
      <c r="I93" s="8">
        <v>-38179.237910000018</v>
      </c>
      <c r="J93" s="8">
        <v>-49050.140639999998</v>
      </c>
      <c r="K93" s="40">
        <f t="shared" si="225"/>
        <v>-149042.41334000003</v>
      </c>
      <c r="L93" s="8">
        <v>-47660.746920000005</v>
      </c>
      <c r="M93" s="8">
        <v>-41201.127320000014</v>
      </c>
      <c r="N93" s="8">
        <v>-52355.155130000021</v>
      </c>
      <c r="O93" s="8">
        <v>-47306.482049999991</v>
      </c>
      <c r="P93" s="40">
        <f t="shared" si="226"/>
        <v>-188523.51142000002</v>
      </c>
      <c r="Q93" s="1">
        <v>-46327.93333</v>
      </c>
      <c r="R93" s="1">
        <v>-57451.459060000001</v>
      </c>
      <c r="S93" s="1">
        <v>-54800.751320000003</v>
      </c>
      <c r="T93" s="1">
        <v>-59187.472529999999</v>
      </c>
      <c r="U93" s="40">
        <v>-217767.61624</v>
      </c>
      <c r="V93" s="1">
        <v>-52799.603739999991</v>
      </c>
      <c r="W93" s="1">
        <v>-61709.894189999999</v>
      </c>
      <c r="X93" s="1">
        <v>-76201.93312999999</v>
      </c>
      <c r="Y93" s="1">
        <v>-65269.623099999997</v>
      </c>
      <c r="Z93" s="40">
        <v>-255981.05415999997</v>
      </c>
      <c r="AA93" s="1">
        <v>-87362.306820000013</v>
      </c>
      <c r="AB93" s="1">
        <v>-96922.757000000012</v>
      </c>
      <c r="AC93" s="1">
        <v>-95331.214159999989</v>
      </c>
      <c r="AD93" s="1">
        <v>-82396.643690000012</v>
      </c>
      <c r="AE93" s="40">
        <v>-362012.92167000001</v>
      </c>
      <c r="AF93" s="1">
        <f t="shared" ref="AF93:AI96" si="240">AF105+AF117+AF129</f>
        <v>-93998.455150000009</v>
      </c>
      <c r="AG93" s="1">
        <f t="shared" si="240"/>
        <v>-82509.732279999997</v>
      </c>
      <c r="AH93" s="1">
        <f t="shared" si="240"/>
        <v>-98769.450530000016</v>
      </c>
      <c r="AI93" s="1">
        <f t="shared" si="240"/>
        <v>-93304.884479999993</v>
      </c>
      <c r="AJ93" s="40">
        <f t="shared" si="227"/>
        <v>-368582.52244000003</v>
      </c>
      <c r="AK93" s="1">
        <f>AK105+AK117+AK129</f>
        <v>-94364.657849999989</v>
      </c>
      <c r="AL93" s="1">
        <v>-64528.425710000003</v>
      </c>
      <c r="AM93" s="1">
        <v>-73802.218309999997</v>
      </c>
      <c r="AN93" s="1">
        <f>AN105+AN117+AN129</f>
        <v>-109437.42298</v>
      </c>
      <c r="AO93" s="40">
        <f t="shared" si="228"/>
        <v>-342132.72485</v>
      </c>
      <c r="AP93" s="1">
        <f t="shared" ref="AP93:AS96" si="241">AP105+AP117+AP129</f>
        <v>-55113.421879999994</v>
      </c>
      <c r="AQ93" s="1">
        <f t="shared" si="241"/>
        <v>-430257.39234000002</v>
      </c>
      <c r="AR93" s="1">
        <f t="shared" si="241"/>
        <v>-95176.059399999998</v>
      </c>
      <c r="AS93" s="1">
        <f t="shared" si="241"/>
        <v>-33414.512999999999</v>
      </c>
      <c r="AT93" s="40">
        <f t="shared" si="229"/>
        <v>-613961.38662</v>
      </c>
      <c r="AU93" s="1">
        <f t="shared" ref="AU93:AX96" si="242">AU105+AU117+AU129</f>
        <v>-101944.50108000002</v>
      </c>
      <c r="AV93" s="1">
        <f t="shared" si="242"/>
        <v>-103464.98871000001</v>
      </c>
      <c r="AW93" s="1">
        <f t="shared" si="242"/>
        <v>-94004.583590000024</v>
      </c>
      <c r="AX93" s="1">
        <f t="shared" si="242"/>
        <v>-81657.979710000014</v>
      </c>
      <c r="AY93" s="40">
        <f t="shared" si="224"/>
        <v>-381072.05309000006</v>
      </c>
      <c r="AZ93" s="1">
        <f>AZ105+AZ117+AZ129</f>
        <v>-69166.308989999976</v>
      </c>
    </row>
    <row r="94" spans="1:52" ht="14.85" customHeight="1">
      <c r="A94" s="56" t="s">
        <v>478</v>
      </c>
      <c r="B94" s="8"/>
      <c r="C94" s="8"/>
      <c r="D94" s="8"/>
      <c r="E94" s="8"/>
      <c r="F94" s="40"/>
      <c r="G94" s="8">
        <v>-54134.711699999985</v>
      </c>
      <c r="H94" s="8">
        <v>-56011.069880000025</v>
      </c>
      <c r="I94" s="8">
        <v>-70359.349180000019</v>
      </c>
      <c r="J94" s="8">
        <v>-70096.059309999968</v>
      </c>
      <c r="K94" s="40">
        <f t="shared" si="225"/>
        <v>-250601.19007000001</v>
      </c>
      <c r="L94" s="8">
        <v>-83443.48629999999</v>
      </c>
      <c r="M94" s="8">
        <v>-84969.628049999985</v>
      </c>
      <c r="N94" s="8">
        <v>-82378.969060000003</v>
      </c>
      <c r="O94" s="8">
        <v>-92896.902170000001</v>
      </c>
      <c r="P94" s="40">
        <f t="shared" si="226"/>
        <v>-343688.98557999998</v>
      </c>
      <c r="Q94" s="1">
        <v>-96759.509539999985</v>
      </c>
      <c r="R94" s="1">
        <v>-101469.45927999998</v>
      </c>
      <c r="S94" s="1">
        <v>-111210.05182999998</v>
      </c>
      <c r="T94" s="1">
        <v>-115929.87113000001</v>
      </c>
      <c r="U94" s="40">
        <v>-425368.89177999995</v>
      </c>
      <c r="V94" s="1">
        <v>-119168.20505</v>
      </c>
      <c r="W94" s="1">
        <v>-114567.80733999998</v>
      </c>
      <c r="X94" s="1">
        <v>-139692.52499000001</v>
      </c>
      <c r="Y94" s="1">
        <v>-161191.50753</v>
      </c>
      <c r="Z94" s="40">
        <v>-534620.04490999994</v>
      </c>
      <c r="AA94" s="1">
        <v>-161365.47498</v>
      </c>
      <c r="AB94" s="1">
        <v>-144901.16354000001</v>
      </c>
      <c r="AC94" s="1">
        <v>-158941.58214000001</v>
      </c>
      <c r="AD94" s="1">
        <v>-162770.56345000002</v>
      </c>
      <c r="AE94" s="40">
        <v>-627978.78411000012</v>
      </c>
      <c r="AF94" s="1">
        <f t="shared" si="240"/>
        <v>-166645.11496000001</v>
      </c>
      <c r="AG94" s="1">
        <f t="shared" si="240"/>
        <v>-169564.12706999999</v>
      </c>
      <c r="AH94" s="1">
        <f t="shared" si="240"/>
        <v>-177649.4566</v>
      </c>
      <c r="AI94" s="1">
        <f t="shared" si="240"/>
        <v>-178854.40828999999</v>
      </c>
      <c r="AJ94" s="40">
        <f t="shared" si="227"/>
        <v>-692713.10691999993</v>
      </c>
      <c r="AK94" s="1">
        <f>AK106+AK118+AK130</f>
        <v>-180354.35661999998</v>
      </c>
      <c r="AL94" s="1">
        <v>-225559.76764999999</v>
      </c>
      <c r="AM94" s="1">
        <v>-193024.42207000003</v>
      </c>
      <c r="AN94" s="1">
        <f>AN106+AN118+AN130</f>
        <v>-225376.70675000001</v>
      </c>
      <c r="AO94" s="40">
        <f t="shared" si="228"/>
        <v>-824315.25309000001</v>
      </c>
      <c r="AP94" s="1">
        <f t="shared" si="241"/>
        <v>-193063.39890999999</v>
      </c>
      <c r="AQ94" s="1">
        <f t="shared" si="241"/>
        <v>-201054.45501999999</v>
      </c>
      <c r="AR94" s="1">
        <f t="shared" si="241"/>
        <v>-200373.34624000004</v>
      </c>
      <c r="AS94" s="1">
        <f t="shared" si="241"/>
        <v>-212526.02499999999</v>
      </c>
      <c r="AT94" s="40">
        <f t="shared" si="229"/>
        <v>-807017.22517000011</v>
      </c>
      <c r="AU94" s="1">
        <f t="shared" si="242"/>
        <v>-191966.70201000004</v>
      </c>
      <c r="AV94" s="1">
        <f t="shared" si="242"/>
        <v>-193242.84839000003</v>
      </c>
      <c r="AW94" s="1">
        <f t="shared" si="242"/>
        <v>-188585.05857999995</v>
      </c>
      <c r="AX94" s="1">
        <f t="shared" si="242"/>
        <v>-187177.84421999997</v>
      </c>
      <c r="AY94" s="40">
        <f t="shared" si="224"/>
        <v>-760972.45319999999</v>
      </c>
      <c r="AZ94" s="1">
        <f>AZ106+AZ118+AZ130</f>
        <v>-178108.59993</v>
      </c>
    </row>
    <row r="95" spans="1:52" ht="14.85" customHeight="1">
      <c r="A95" s="56" t="s">
        <v>479</v>
      </c>
      <c r="B95" s="8"/>
      <c r="C95" s="8"/>
      <c r="D95" s="8"/>
      <c r="E95" s="8"/>
      <c r="F95" s="40"/>
      <c r="G95" s="8">
        <v>-3159.5620599999997</v>
      </c>
      <c r="H95" s="8">
        <v>-5704.1771099999996</v>
      </c>
      <c r="I95" s="8">
        <v>-2377.4586600000002</v>
      </c>
      <c r="J95" s="8">
        <v>-3812.8169300000009</v>
      </c>
      <c r="K95" s="40">
        <f t="shared" si="225"/>
        <v>-15054.01476</v>
      </c>
      <c r="L95" s="8">
        <v>-3548.8415699999996</v>
      </c>
      <c r="M95" s="8">
        <v>-2562.8059199999998</v>
      </c>
      <c r="N95" s="8">
        <v>-1427.0411199999999</v>
      </c>
      <c r="O95" s="8">
        <v>-6641.0623499999992</v>
      </c>
      <c r="P95" s="40">
        <f t="shared" si="226"/>
        <v>-14179.750959999998</v>
      </c>
      <c r="Q95" s="1">
        <v>-3663.2148199999997</v>
      </c>
      <c r="R95" s="1">
        <v>-4677.6036300000005</v>
      </c>
      <c r="S95" s="1">
        <v>-6629.2118800000007</v>
      </c>
      <c r="T95" s="1">
        <v>-5313.1055600000009</v>
      </c>
      <c r="U95" s="40">
        <v>-20283.135890000001</v>
      </c>
      <c r="V95" s="1">
        <v>-18195.691910000001</v>
      </c>
      <c r="W95" s="1">
        <v>-3734.6724099999997</v>
      </c>
      <c r="X95" s="1">
        <v>-7825.8596600000001</v>
      </c>
      <c r="Y95" s="1">
        <v>-8941.9172700000017</v>
      </c>
      <c r="Z95" s="40">
        <v>-38698.141250000001</v>
      </c>
      <c r="AA95" s="1">
        <v>-8788.1185100000002</v>
      </c>
      <c r="AB95" s="1">
        <v>-950.15616000000227</v>
      </c>
      <c r="AC95" s="1">
        <v>-18635.51698</v>
      </c>
      <c r="AD95" s="1">
        <v>-12533.69291</v>
      </c>
      <c r="AE95" s="40">
        <v>-40907.484560000004</v>
      </c>
      <c r="AF95" s="1">
        <f t="shared" si="240"/>
        <v>-15548.885050000003</v>
      </c>
      <c r="AG95" s="1">
        <f t="shared" si="240"/>
        <v>-20243.722870000001</v>
      </c>
      <c r="AH95" s="1">
        <f t="shared" si="240"/>
        <v>12969.83951</v>
      </c>
      <c r="AI95" s="1">
        <f t="shared" si="240"/>
        <v>-15113.962399999999</v>
      </c>
      <c r="AJ95" s="40">
        <f t="shared" si="227"/>
        <v>-37936.730810000001</v>
      </c>
      <c r="AK95" s="110">
        <f>AK107+AK119+AK131</f>
        <v>-8158.1460500000012</v>
      </c>
      <c r="AL95" s="1">
        <v>-17895.608079999998</v>
      </c>
      <c r="AM95" s="1">
        <v>-15149.69145</v>
      </c>
      <c r="AN95" s="1">
        <f>AN107+AN119+AN131</f>
        <v>-5914.3604700000005</v>
      </c>
      <c r="AO95" s="40">
        <f t="shared" si="228"/>
        <v>-47117.806049999999</v>
      </c>
      <c r="AP95" s="110">
        <f t="shared" si="241"/>
        <v>-10485.92554</v>
      </c>
      <c r="AQ95" s="1">
        <f t="shared" si="241"/>
        <v>-18354.100259999999</v>
      </c>
      <c r="AR95" s="1">
        <f t="shared" si="241"/>
        <v>-11932.01345</v>
      </c>
      <c r="AS95" s="1">
        <f t="shared" si="241"/>
        <v>-25160.682000000001</v>
      </c>
      <c r="AT95" s="40">
        <f t="shared" si="229"/>
        <v>-65932.721250000002</v>
      </c>
      <c r="AU95" s="110">
        <f t="shared" si="242"/>
        <v>-9705.5355199999995</v>
      </c>
      <c r="AV95" s="110">
        <f t="shared" si="242"/>
        <v>-19639.55558</v>
      </c>
      <c r="AW95" s="110">
        <f t="shared" si="242"/>
        <v>-6098.1017499999998</v>
      </c>
      <c r="AX95" s="110">
        <f t="shared" si="242"/>
        <v>-13927.976780000005</v>
      </c>
      <c r="AY95" s="40">
        <f t="shared" si="224"/>
        <v>-49371.169630000004</v>
      </c>
      <c r="AZ95" s="1">
        <f>AZ107+AZ119+AZ131</f>
        <v>-9869.3970399999998</v>
      </c>
    </row>
    <row r="96" spans="1:52" ht="14.85" customHeight="1">
      <c r="A96" s="56" t="s">
        <v>709</v>
      </c>
      <c r="B96" s="8"/>
      <c r="C96" s="8"/>
      <c r="D96" s="8"/>
      <c r="E96" s="8"/>
      <c r="F96" s="40"/>
      <c r="G96" s="8">
        <v>-282.08080999999999</v>
      </c>
      <c r="H96" s="8">
        <v>-371.76328000000001</v>
      </c>
      <c r="I96" s="8">
        <v>-672.03752000000031</v>
      </c>
      <c r="J96" s="8">
        <v>-729.24664000000007</v>
      </c>
      <c r="K96" s="40">
        <f t="shared" si="225"/>
        <v>-2055.1282500000007</v>
      </c>
      <c r="L96" s="8">
        <v>-2462.4548</v>
      </c>
      <c r="M96" s="8">
        <v>530.50411000000008</v>
      </c>
      <c r="N96" s="8">
        <v>11730.85814</v>
      </c>
      <c r="O96" s="8">
        <v>-1507.2835600000001</v>
      </c>
      <c r="P96" s="40">
        <f t="shared" si="226"/>
        <v>8291.6238900000008</v>
      </c>
      <c r="Q96" s="1">
        <v>-12844.88399</v>
      </c>
      <c r="R96" s="1">
        <v>-983.04862000000014</v>
      </c>
      <c r="S96" s="1">
        <v>-130.13472000000004</v>
      </c>
      <c r="T96" s="1">
        <v>-1008.6321499999999</v>
      </c>
      <c r="U96" s="40">
        <v>-14966.699479999999</v>
      </c>
      <c r="V96" s="1">
        <v>1211.74251</v>
      </c>
      <c r="W96" s="1">
        <v>-1339.4821799999997</v>
      </c>
      <c r="X96" s="1">
        <v>3155.8869500000001</v>
      </c>
      <c r="Y96" s="1">
        <v>-374.1395</v>
      </c>
      <c r="Z96" s="40">
        <v>2654.0077799999999</v>
      </c>
      <c r="AA96" s="1">
        <v>2657.62176</v>
      </c>
      <c r="AB96" s="1">
        <v>1813.01694</v>
      </c>
      <c r="AC96" s="1">
        <v>-2414.7998399999997</v>
      </c>
      <c r="AD96" s="1">
        <v>-2961.8211099999999</v>
      </c>
      <c r="AE96" s="40">
        <v>-905.98225000000002</v>
      </c>
      <c r="AF96" s="1">
        <f t="shared" si="240"/>
        <v>863.24656000000016</v>
      </c>
      <c r="AG96" s="1">
        <f t="shared" si="240"/>
        <v>131.24716000000012</v>
      </c>
      <c r="AH96" s="1">
        <f t="shared" si="240"/>
        <v>-1421.25026</v>
      </c>
      <c r="AI96" s="1">
        <f t="shared" si="240"/>
        <v>-1243.3811099999998</v>
      </c>
      <c r="AJ96" s="40">
        <f t="shared" si="227"/>
        <v>-1670.1376499999997</v>
      </c>
      <c r="AK96" s="110">
        <f>AK108+AK120+AK132</f>
        <v>-1680.6085800000001</v>
      </c>
      <c r="AL96" s="1">
        <v>-1624.6458399999997</v>
      </c>
      <c r="AM96" s="1">
        <v>-1624.1562799999997</v>
      </c>
      <c r="AN96" s="1">
        <f>AN108+AN120+AN132</f>
        <v>3464.9290800000003</v>
      </c>
      <c r="AO96" s="40">
        <f t="shared" si="228"/>
        <v>-1464.4816199999991</v>
      </c>
      <c r="AP96" s="110">
        <f t="shared" si="241"/>
        <v>0</v>
      </c>
      <c r="AQ96" s="1">
        <f t="shared" si="241"/>
        <v>-4937.5253300000004</v>
      </c>
      <c r="AR96" s="1">
        <f t="shared" si="241"/>
        <v>0</v>
      </c>
      <c r="AS96" s="1">
        <f t="shared" si="241"/>
        <v>0</v>
      </c>
      <c r="AT96" s="40">
        <f t="shared" si="229"/>
        <v>-4937.5253300000004</v>
      </c>
      <c r="AU96" s="110">
        <f t="shared" si="242"/>
        <v>176.87966</v>
      </c>
      <c r="AV96" s="110">
        <f t="shared" si="242"/>
        <v>0</v>
      </c>
      <c r="AW96" s="110">
        <f t="shared" si="242"/>
        <v>0</v>
      </c>
      <c r="AX96" s="110">
        <f t="shared" si="242"/>
        <v>0</v>
      </c>
      <c r="AY96" s="40">
        <f t="shared" si="224"/>
        <v>176.87966</v>
      </c>
      <c r="AZ96" s="1">
        <f>AZ108+AZ120+AZ132</f>
        <v>0</v>
      </c>
    </row>
    <row r="97" spans="1:52" ht="14.85" customHeight="1">
      <c r="A97" s="54" t="s">
        <v>710</v>
      </c>
      <c r="B97" s="76"/>
      <c r="C97" s="76"/>
      <c r="D97" s="76"/>
      <c r="E97" s="76"/>
      <c r="F97" s="39"/>
      <c r="G97" s="76">
        <f t="shared" ref="G97" si="243">SUM(G92:G96)</f>
        <v>40306.292319999469</v>
      </c>
      <c r="H97" s="76">
        <f t="shared" ref="H97" si="244">SUM(H92:H96)</f>
        <v>48549.94971000027</v>
      </c>
      <c r="I97" s="76">
        <f t="shared" ref="I97" si="245">SUM(I92:I96)</f>
        <v>56469.446279999902</v>
      </c>
      <c r="J97" s="76">
        <f t="shared" ref="J97" si="246">SUM(J92:J96)</f>
        <v>58942.145879999836</v>
      </c>
      <c r="K97" s="39">
        <f t="shared" ref="K97" si="247">SUM(K92:K96)</f>
        <v>204267.83418999944</v>
      </c>
      <c r="L97" s="76">
        <f t="shared" ref="L97" si="248">SUM(L92:L96)</f>
        <v>55128.724540000316</v>
      </c>
      <c r="M97" s="76">
        <f t="shared" ref="M97" si="249">SUM(M92:M96)</f>
        <v>78422.930550000674</v>
      </c>
      <c r="N97" s="76">
        <f t="shared" ref="N97" si="250">SUM(N92:N96)</f>
        <v>54797.859609999912</v>
      </c>
      <c r="O97" s="76">
        <f t="shared" ref="O97" si="251">SUM(O92:O96)</f>
        <v>83146.542749999993</v>
      </c>
      <c r="P97" s="39">
        <f t="shared" ref="P97" si="252">SUM(P92:P96)</f>
        <v>271496.05745000095</v>
      </c>
      <c r="Q97" s="76">
        <v>76532.944279999952</v>
      </c>
      <c r="R97" s="76">
        <v>84608.783980000051</v>
      </c>
      <c r="S97" s="76">
        <v>93252.608509999918</v>
      </c>
      <c r="T97" s="76">
        <v>94157.631859999979</v>
      </c>
      <c r="U97" s="39">
        <v>348551.9686299999</v>
      </c>
      <c r="V97" s="76">
        <v>97302.89867999994</v>
      </c>
      <c r="W97" s="76">
        <v>109686.45170999996</v>
      </c>
      <c r="X97" s="76">
        <v>104621.63610000009</v>
      </c>
      <c r="Y97" s="76">
        <v>145340.98143000001</v>
      </c>
      <c r="Z97" s="39">
        <v>456951.96792000008</v>
      </c>
      <c r="AA97" s="76">
        <v>138537.34458000003</v>
      </c>
      <c r="AB97" s="76">
        <v>123230.18596000002</v>
      </c>
      <c r="AC97" s="76">
        <v>122512.47907999996</v>
      </c>
      <c r="AD97" s="76">
        <v>118242.25033000007</v>
      </c>
      <c r="AE97" s="39">
        <v>502522.25994999998</v>
      </c>
      <c r="AF97" s="76">
        <f>SUM(AF92:AF96)</f>
        <v>131448.26698000004</v>
      </c>
      <c r="AG97" s="76">
        <f>SUM(AG92:AG96)</f>
        <v>153141.32078000015</v>
      </c>
      <c r="AH97" s="76">
        <f>SUM(AH92:AH96)</f>
        <v>189450.3829400001</v>
      </c>
      <c r="AI97" s="76">
        <f>SUM(AI92:AI96)</f>
        <v>180118.73542999988</v>
      </c>
      <c r="AJ97" s="39">
        <f t="shared" si="227"/>
        <v>654158.70613000018</v>
      </c>
      <c r="AK97" s="76">
        <f>SUM(AK92:AK96)</f>
        <v>192374.80439000015</v>
      </c>
      <c r="AL97" s="76">
        <f t="shared" ref="AL97:AN97" si="253">SUM(AL92:AL96)</f>
        <v>181687.85010000013</v>
      </c>
      <c r="AM97" s="76">
        <f t="shared" si="253"/>
        <v>208226.04764999993</v>
      </c>
      <c r="AN97" s="76">
        <f t="shared" si="253"/>
        <v>159596.20344999994</v>
      </c>
      <c r="AO97" s="39">
        <f t="shared" si="228"/>
        <v>741884.9055900001</v>
      </c>
      <c r="AP97" s="76">
        <f>SUM(AP92:AP96)</f>
        <v>238466.25691000014</v>
      </c>
      <c r="AQ97" s="76">
        <f>SUM(AQ92:AQ96)</f>
        <v>-146872.69800000009</v>
      </c>
      <c r="AR97" s="76">
        <f t="shared" ref="AR97:AS97" si="254">SUM(AR92:AR96)</f>
        <v>204880.42624999993</v>
      </c>
      <c r="AS97" s="76">
        <f t="shared" si="254"/>
        <v>243666.42900000003</v>
      </c>
      <c r="AT97" s="39">
        <f t="shared" si="229"/>
        <v>540140.41416000004</v>
      </c>
      <c r="AU97" s="76">
        <f>SUM(AU92:AU96)</f>
        <v>198447.54898999989</v>
      </c>
      <c r="AV97" s="76">
        <f>SUM(AV92:AV96)</f>
        <v>165831.85006999993</v>
      </c>
      <c r="AW97" s="76">
        <f>SUM(AW92:AW96)</f>
        <v>195366.50733999992</v>
      </c>
      <c r="AX97" s="76">
        <f>SUM(AX92:AX96)</f>
        <v>183080.01894000001</v>
      </c>
      <c r="AY97" s="39">
        <f t="shared" si="224"/>
        <v>742725.92533999973</v>
      </c>
      <c r="AZ97" s="76">
        <f>SUM(AZ92:AZ96)</f>
        <v>196051.46028999999</v>
      </c>
    </row>
    <row r="98" spans="1:52" ht="14.85" customHeight="1">
      <c r="A98" s="17" t="s">
        <v>711</v>
      </c>
      <c r="B98" s="18"/>
      <c r="C98" s="18"/>
      <c r="D98" s="18"/>
      <c r="E98" s="18"/>
      <c r="F98" s="46"/>
      <c r="G98" s="18">
        <f t="shared" ref="G98:J98" si="255">-G93/G92</f>
        <v>0.22090026679674751</v>
      </c>
      <c r="H98" s="18">
        <f t="shared" si="255"/>
        <v>0.23538903457105273</v>
      </c>
      <c r="I98" s="18">
        <f t="shared" si="255"/>
        <v>0.22717957363904395</v>
      </c>
      <c r="J98" s="18">
        <f t="shared" si="255"/>
        <v>0.26857597703003372</v>
      </c>
      <c r="K98" s="46">
        <f t="shared" ref="K98:P98" si="256">-K93/K92</f>
        <v>0.23999593249164566</v>
      </c>
      <c r="L98" s="18">
        <f t="shared" si="256"/>
        <v>0.24791766669796347</v>
      </c>
      <c r="M98" s="18">
        <f t="shared" si="256"/>
        <v>0.19939954200648638</v>
      </c>
      <c r="N98" s="18">
        <f t="shared" si="256"/>
        <v>0.29211454912812468</v>
      </c>
      <c r="O98" s="18">
        <f t="shared" si="256"/>
        <v>0.20434917920325868</v>
      </c>
      <c r="P98" s="46">
        <f t="shared" si="256"/>
        <v>0.23286102293064129</v>
      </c>
      <c r="Q98" s="18">
        <v>0.19619798577731928</v>
      </c>
      <c r="R98" s="18">
        <v>0.23055249934989486</v>
      </c>
      <c r="S98" s="18">
        <v>0.20600023726706856</v>
      </c>
      <c r="T98" s="18">
        <v>0.21476116981338936</v>
      </c>
      <c r="U98" s="46">
        <v>0.21205520691077201</v>
      </c>
      <c r="V98" s="18">
        <v>0.18444976342857705</v>
      </c>
      <c r="W98" s="18">
        <v>0.21203357953154991</v>
      </c>
      <c r="X98" s="18">
        <v>0.2343333275296918</v>
      </c>
      <c r="Y98" s="18">
        <v>0.17125823022390174</v>
      </c>
      <c r="Z98" s="46">
        <v>0.19942475261574627</v>
      </c>
      <c r="AA98" s="18">
        <v>0.22207239146412822</v>
      </c>
      <c r="AB98" s="18">
        <v>0.26613148486967425</v>
      </c>
      <c r="AC98" s="169">
        <v>0.23962464904868308</v>
      </c>
      <c r="AD98" s="169">
        <v>0.21745991710265694</v>
      </c>
      <c r="AE98" s="46">
        <v>0.23594241619646089</v>
      </c>
      <c r="AF98" s="169">
        <f t="shared" ref="AF98:AJ98" si="257">-AF93/AF92</f>
        <v>0.23108077706606825</v>
      </c>
      <c r="AG98" s="169">
        <f t="shared" si="257"/>
        <v>0.19399098823481756</v>
      </c>
      <c r="AH98" s="413">
        <f t="shared" si="257"/>
        <v>0.21740028651948226</v>
      </c>
      <c r="AI98" s="413">
        <f t="shared" si="257"/>
        <v>0.19909910798995079</v>
      </c>
      <c r="AJ98" s="493">
        <f t="shared" si="257"/>
        <v>0.2100112073644245</v>
      </c>
      <c r="AK98" s="413">
        <f t="shared" ref="AK98:AN98" si="258">-AK93/AK92</f>
        <v>0.19785743959461083</v>
      </c>
      <c r="AL98" s="413">
        <f t="shared" si="258"/>
        <v>0.13134319565223504</v>
      </c>
      <c r="AM98" s="413">
        <f t="shared" si="258"/>
        <v>0.1500574144417734</v>
      </c>
      <c r="AN98" s="413">
        <f t="shared" si="258"/>
        <v>0.22025817098454534</v>
      </c>
      <c r="AO98" s="493">
        <f>-AO93/AO92</f>
        <v>0.17483268047853129</v>
      </c>
      <c r="AP98" s="413">
        <f t="shared" ref="AP98" si="259">-AP93/AP92</f>
        <v>0.11086342080386076</v>
      </c>
      <c r="AQ98" s="413">
        <f>-AQ93/AQ92</f>
        <v>0.84741247442085954</v>
      </c>
      <c r="AR98" s="413">
        <f t="shared" ref="AR98:AS98" si="260">-AR93/AR92</f>
        <v>0.18575945938527444</v>
      </c>
      <c r="AS98" s="413">
        <f t="shared" si="260"/>
        <v>6.4911835592061456E-2</v>
      </c>
      <c r="AT98" s="493">
        <f t="shared" ref="AT98:AY98" si="261">-AT93/AT92</f>
        <v>0.30214794680267465</v>
      </c>
      <c r="AU98" s="413">
        <f t="shared" si="261"/>
        <v>0.20312225305359197</v>
      </c>
      <c r="AV98" s="413">
        <f t="shared" si="261"/>
        <v>0.21457785722983616</v>
      </c>
      <c r="AW98" s="413">
        <f t="shared" si="261"/>
        <v>0.19420257821371217</v>
      </c>
      <c r="AX98" s="413">
        <f t="shared" si="261"/>
        <v>0.17529046488445779</v>
      </c>
      <c r="AY98" s="493">
        <f t="shared" si="261"/>
        <v>0.19704188439111395</v>
      </c>
      <c r="AZ98" s="413">
        <f t="shared" ref="AZ98" si="262">-AZ93/AZ92</f>
        <v>0.15261905370899959</v>
      </c>
    </row>
    <row r="99" spans="1:52" ht="14.85" customHeight="1" thickBot="1">
      <c r="A99" s="17" t="s">
        <v>712</v>
      </c>
      <c r="B99" s="18"/>
      <c r="C99" s="18"/>
      <c r="D99" s="18"/>
      <c r="E99" s="18"/>
      <c r="F99" s="48"/>
      <c r="G99" s="18">
        <f t="shared" ref="G99:J99" si="263">-G94/G92</f>
        <v>0.43088678925798529</v>
      </c>
      <c r="H99" s="18">
        <f t="shared" si="263"/>
        <v>0.38709196477738339</v>
      </c>
      <c r="I99" s="18">
        <f t="shared" si="263"/>
        <v>0.41866228409044254</v>
      </c>
      <c r="J99" s="18">
        <f t="shared" si="263"/>
        <v>0.38381373365086507</v>
      </c>
      <c r="K99" s="48">
        <f t="shared" ref="K99:P99" si="264">-K94/K92</f>
        <v>0.40353121602483155</v>
      </c>
      <c r="L99" s="18">
        <f t="shared" si="264"/>
        <v>0.43404931230648613</v>
      </c>
      <c r="M99" s="18">
        <f t="shared" si="264"/>
        <v>0.41122430427788331</v>
      </c>
      <c r="N99" s="18">
        <f t="shared" si="264"/>
        <v>0.4596318231671645</v>
      </c>
      <c r="O99" s="18">
        <f t="shared" si="264"/>
        <v>0.40128550858845619</v>
      </c>
      <c r="P99" s="48">
        <f t="shared" si="264"/>
        <v>0.42451876770879426</v>
      </c>
      <c r="Q99" s="18">
        <v>0.40977482723702807</v>
      </c>
      <c r="R99" s="18">
        <v>0.40719657650912894</v>
      </c>
      <c r="S99" s="18">
        <v>0.41804713460382875</v>
      </c>
      <c r="T99" s="18">
        <v>0.42065041259490793</v>
      </c>
      <c r="U99" s="48">
        <v>0.41421075326646867</v>
      </c>
      <c r="V99" s="18">
        <v>0.41630136729659983</v>
      </c>
      <c r="W99" s="18">
        <v>0.39365198414677716</v>
      </c>
      <c r="X99" s="18">
        <v>0.42957721500432666</v>
      </c>
      <c r="Y99" s="18">
        <v>0.42294364507691684</v>
      </c>
      <c r="Z99" s="48">
        <v>0.41650141081517572</v>
      </c>
      <c r="AA99" s="18">
        <v>0.41018624888634253</v>
      </c>
      <c r="AB99" s="18">
        <v>0.39787107801982668</v>
      </c>
      <c r="AC99" s="169">
        <v>0.39951574282498303</v>
      </c>
      <c r="AD99" s="169">
        <v>0.42958149324334161</v>
      </c>
      <c r="AE99" s="48">
        <v>0.40928603034256744</v>
      </c>
      <c r="AF99" s="169">
        <f t="shared" ref="AF99:AJ99" si="265">-AF94/AF92</f>
        <v>0.40967144191646931</v>
      </c>
      <c r="AG99" s="169">
        <f t="shared" si="265"/>
        <v>0.3986670623031075</v>
      </c>
      <c r="AH99" s="413">
        <f t="shared" si="265"/>
        <v>0.39102214862620566</v>
      </c>
      <c r="AI99" s="413">
        <f t="shared" si="265"/>
        <v>0.38164939969720929</v>
      </c>
      <c r="AJ99" s="492">
        <f t="shared" si="265"/>
        <v>0.39469455843531631</v>
      </c>
      <c r="AK99" s="413">
        <f t="shared" ref="AK99:AN99" si="266">-AK94/AK92</f>
        <v>0.37815483077668521</v>
      </c>
      <c r="AL99" s="413">
        <f t="shared" si="266"/>
        <v>0.45911147479203895</v>
      </c>
      <c r="AM99" s="413">
        <f t="shared" si="266"/>
        <v>0.3924644321431886</v>
      </c>
      <c r="AN99" s="413">
        <f t="shared" si="266"/>
        <v>0.45360224920818248</v>
      </c>
      <c r="AO99" s="492">
        <f>-AO94/AO92</f>
        <v>0.42123198042586668</v>
      </c>
      <c r="AP99" s="413">
        <f t="shared" ref="AP99" si="267">-AP94/AP92</f>
        <v>0.38835673970282181</v>
      </c>
      <c r="AQ99" s="413">
        <f>-AQ94/AQ92</f>
        <v>0.39598634737041366</v>
      </c>
      <c r="AR99" s="413">
        <f t="shared" ref="AR99:AS99" si="268">-AR94/AR92</f>
        <v>0.39107780577812851</v>
      </c>
      <c r="AS99" s="413">
        <f t="shared" si="268"/>
        <v>0.41285816117787932</v>
      </c>
      <c r="AT99" s="492">
        <f t="shared" ref="AT99:AY99" si="269">-AT94/AT92</f>
        <v>0.39715624293881968</v>
      </c>
      <c r="AU99" s="413">
        <f t="shared" si="269"/>
        <v>0.38248957629347302</v>
      </c>
      <c r="AV99" s="413">
        <f t="shared" si="269"/>
        <v>0.4007697371788202</v>
      </c>
      <c r="AW99" s="413">
        <f t="shared" si="269"/>
        <v>0.38959488133635939</v>
      </c>
      <c r="AX99" s="413">
        <f t="shared" si="269"/>
        <v>0.40180385855635331</v>
      </c>
      <c r="AY99" s="492">
        <f t="shared" si="269"/>
        <v>0.39347793923067809</v>
      </c>
      <c r="AZ99" s="413">
        <f t="shared" ref="AZ99" si="270">-AZ94/AZ92</f>
        <v>0.3930058777992832</v>
      </c>
    </row>
    <row r="100" spans="1:52" ht="14.85" customHeight="1" thickBot="1"/>
    <row r="101" spans="1:52" ht="14.85" customHeight="1">
      <c r="A101" s="179" t="s">
        <v>724</v>
      </c>
      <c r="B101" s="180" t="s">
        <v>224</v>
      </c>
      <c r="C101" s="180" t="s">
        <v>225</v>
      </c>
      <c r="D101" s="180" t="s">
        <v>226</v>
      </c>
      <c r="E101" s="180" t="s">
        <v>227</v>
      </c>
      <c r="F101" s="181">
        <v>2016</v>
      </c>
      <c r="G101" s="180" t="s">
        <v>228</v>
      </c>
      <c r="H101" s="180" t="s">
        <v>229</v>
      </c>
      <c r="I101" s="180" t="s">
        <v>230</v>
      </c>
      <c r="J101" s="180" t="s">
        <v>231</v>
      </c>
      <c r="K101" s="181">
        <v>2017</v>
      </c>
      <c r="L101" s="180" t="s">
        <v>232</v>
      </c>
      <c r="M101" s="180" t="s">
        <v>233</v>
      </c>
      <c r="N101" s="180" t="s">
        <v>234</v>
      </c>
      <c r="O101" s="180" t="s">
        <v>235</v>
      </c>
      <c r="P101" s="181">
        <v>2018</v>
      </c>
      <c r="Q101" s="180" t="s">
        <v>236</v>
      </c>
      <c r="R101" s="180" t="s">
        <v>237</v>
      </c>
      <c r="S101" s="180" t="s">
        <v>238</v>
      </c>
      <c r="T101" s="180" t="s">
        <v>239</v>
      </c>
      <c r="U101" s="181">
        <v>2019</v>
      </c>
      <c r="V101" s="180" t="s">
        <v>240</v>
      </c>
      <c r="W101" s="180" t="s">
        <v>241</v>
      </c>
      <c r="X101" s="180" t="s">
        <v>242</v>
      </c>
      <c r="Y101" s="180" t="s">
        <v>243</v>
      </c>
      <c r="Z101" s="181">
        <v>2020</v>
      </c>
      <c r="AA101" s="180" t="s">
        <v>244</v>
      </c>
      <c r="AB101" s="180" t="s">
        <v>245</v>
      </c>
      <c r="AC101" s="180" t="s">
        <v>246</v>
      </c>
      <c r="AD101" s="180" t="s">
        <v>247</v>
      </c>
      <c r="AE101" s="181">
        <v>2021</v>
      </c>
      <c r="AF101" s="180" t="s">
        <v>248</v>
      </c>
      <c r="AG101" s="180" t="s">
        <v>249</v>
      </c>
      <c r="AH101" s="180" t="s">
        <v>250</v>
      </c>
      <c r="AI101" s="180" t="s">
        <v>215</v>
      </c>
      <c r="AJ101" s="181">
        <v>2022</v>
      </c>
      <c r="AK101" s="180" t="s">
        <v>252</v>
      </c>
      <c r="AL101" s="180" t="s">
        <v>253</v>
      </c>
      <c r="AM101" s="180" t="s">
        <v>254</v>
      </c>
      <c r="AN101" s="180" t="s">
        <v>219</v>
      </c>
      <c r="AO101" s="181">
        <v>2023</v>
      </c>
      <c r="AP101" s="180" t="s">
        <v>223</v>
      </c>
      <c r="AQ101" s="180" t="s">
        <v>256</v>
      </c>
      <c r="AR101" s="180" t="s">
        <v>357</v>
      </c>
      <c r="AS101" s="180" t="s">
        <v>358</v>
      </c>
      <c r="AT101" s="181">
        <v>2024</v>
      </c>
      <c r="AU101" s="180" t="s">
        <v>359</v>
      </c>
      <c r="AV101" s="180" t="s">
        <v>1115</v>
      </c>
      <c r="AW101" s="180" t="s">
        <v>1116</v>
      </c>
      <c r="AX101" s="180" t="s">
        <v>1117</v>
      </c>
      <c r="AY101" s="181" t="s">
        <v>1118</v>
      </c>
      <c r="AZ101" s="180" t="s">
        <v>1124</v>
      </c>
    </row>
    <row r="102" spans="1:52" ht="14.85" customHeight="1">
      <c r="A102" s="54" t="s">
        <v>707</v>
      </c>
      <c r="Q102" s="62"/>
      <c r="R102" s="62"/>
      <c r="S102" s="62"/>
      <c r="T102" s="62"/>
      <c r="U102" s="39"/>
      <c r="V102" s="62"/>
      <c r="W102" s="62"/>
      <c r="X102" s="76">
        <v>1100820.1166900001</v>
      </c>
      <c r="Y102" s="76">
        <v>765131.05688000005</v>
      </c>
      <c r="Z102" s="39">
        <v>1865951.1735700001</v>
      </c>
      <c r="AA102" s="76">
        <v>135780.33394000001</v>
      </c>
      <c r="AB102" s="76">
        <v>35950.627439999997</v>
      </c>
      <c r="AC102" s="76">
        <v>-35652.543600000005</v>
      </c>
      <c r="AD102" s="76">
        <v>-149737.72783000002</v>
      </c>
      <c r="AE102" s="39">
        <v>-13659.310050000029</v>
      </c>
      <c r="AF102" s="76">
        <v>-58573.389879999995</v>
      </c>
      <c r="AG102" s="76">
        <v>-63111.432890000004</v>
      </c>
      <c r="AH102" s="76">
        <v>-44542.88925</v>
      </c>
      <c r="AI102" s="76">
        <v>-38033.144970000001</v>
      </c>
      <c r="AJ102" s="39">
        <f>SUM(AF102:AI102)</f>
        <v>-204260.85699</v>
      </c>
      <c r="AK102" s="76">
        <v>-14003.903450000002</v>
      </c>
      <c r="AL102" s="76">
        <v>-18231.900689999999</v>
      </c>
      <c r="AM102" s="76">
        <v>-13924.387000000001</v>
      </c>
      <c r="AN102" s="76">
        <v>-5731.9358400000001</v>
      </c>
      <c r="AO102" s="39">
        <f>SUM(AK102:AN102)</f>
        <v>-51892.126980000001</v>
      </c>
      <c r="AP102" s="76">
        <v>-18.153110000000044</v>
      </c>
      <c r="AQ102" s="76">
        <v>209.13836999999992</v>
      </c>
      <c r="AR102" s="76">
        <v>207024.39085000003</v>
      </c>
      <c r="AS102" s="76">
        <v>571269.37199999997</v>
      </c>
      <c r="AT102" s="39">
        <f>SUM(AP102:AS102)</f>
        <v>778484.74811000004</v>
      </c>
      <c r="AU102" s="76">
        <v>378384.51835999993</v>
      </c>
      <c r="AV102" s="76">
        <v>332925.60550000001</v>
      </c>
      <c r="AW102" s="76">
        <v>384052.71742999996</v>
      </c>
      <c r="AX102" s="76">
        <v>250462.06231000001</v>
      </c>
      <c r="AY102" s="39">
        <f t="shared" ref="AY102:AY109" si="271">SUM(AU102:AX102)</f>
        <v>1345824.9035999998</v>
      </c>
      <c r="AZ102" s="76">
        <v>298912.26056999998</v>
      </c>
    </row>
    <row r="103" spans="1:52" ht="14.85" customHeight="1">
      <c r="A103" s="56" t="s">
        <v>443</v>
      </c>
      <c r="Q103" s="239"/>
      <c r="R103" s="239"/>
      <c r="S103" s="239"/>
      <c r="T103" s="239"/>
      <c r="U103" s="40"/>
      <c r="V103" s="239"/>
      <c r="W103" s="239"/>
      <c r="X103" s="1">
        <v>-775634.04975999997</v>
      </c>
      <c r="Y103" s="1">
        <v>-384012.88805000001</v>
      </c>
      <c r="Z103" s="40">
        <v>-1159646.93781</v>
      </c>
      <c r="AA103" s="1">
        <v>243324.56143</v>
      </c>
      <c r="AB103" s="1">
        <v>289747.75958000007</v>
      </c>
      <c r="AC103" s="1">
        <v>360087.70889999997</v>
      </c>
      <c r="AD103" s="1">
        <v>424463.78380000009</v>
      </c>
      <c r="AE103" s="40">
        <v>1317623.8137100001</v>
      </c>
      <c r="AF103" s="1">
        <v>333503.78346000001</v>
      </c>
      <c r="AG103" s="1">
        <v>328078.66610000003</v>
      </c>
      <c r="AH103" s="1">
        <v>295844.79535999999</v>
      </c>
      <c r="AI103" s="1">
        <v>273448.90489999996</v>
      </c>
      <c r="AJ103" s="40">
        <f t="shared" ref="AJ103:AJ109" si="272">SUM(AF103:AI103)</f>
        <v>1230876.1498199999</v>
      </c>
      <c r="AK103" s="1">
        <v>240918.33783999996</v>
      </c>
      <c r="AL103" s="1">
        <v>230935.66882000002</v>
      </c>
      <c r="AM103" s="77">
        <v>204386.658</v>
      </c>
      <c r="AN103" s="77">
        <v>174254.91615999999</v>
      </c>
      <c r="AO103" s="40">
        <f t="shared" ref="AO103:AO109" si="273">SUM(AK103:AN103)</f>
        <v>850495.58082000003</v>
      </c>
      <c r="AP103" s="1">
        <v>150085.19142000002</v>
      </c>
      <c r="AQ103" s="1">
        <v>140119.07532</v>
      </c>
      <c r="AR103" s="1">
        <v>46202.886829999989</v>
      </c>
      <c r="AS103" s="77">
        <v>-56501.722999999998</v>
      </c>
      <c r="AT103" s="40">
        <f t="shared" ref="AT103:AT109" si="274">SUM(AP103:AS103)</f>
        <v>279905.43056999997</v>
      </c>
      <c r="AU103" s="1">
        <v>123502.88958</v>
      </c>
      <c r="AV103" s="1">
        <v>149253.63724999997</v>
      </c>
      <c r="AW103" s="1">
        <v>100001.53383</v>
      </c>
      <c r="AX103" s="1">
        <v>215381.75734000001</v>
      </c>
      <c r="AY103" s="40">
        <f t="shared" si="271"/>
        <v>588139.81799999997</v>
      </c>
      <c r="AZ103" s="489">
        <v>154283.50567999997</v>
      </c>
    </row>
    <row r="104" spans="1:52" ht="14.85" customHeight="1">
      <c r="A104" s="54" t="s">
        <v>708</v>
      </c>
      <c r="Q104" s="76"/>
      <c r="R104" s="76"/>
      <c r="S104" s="76"/>
      <c r="T104" s="76"/>
      <c r="U104" s="39"/>
      <c r="V104" s="76"/>
      <c r="W104" s="76"/>
      <c r="X104" s="76">
        <v>325186.06693000009</v>
      </c>
      <c r="Y104" s="76">
        <v>381118.16883000004</v>
      </c>
      <c r="Z104" s="39">
        <v>706304.23576000007</v>
      </c>
      <c r="AA104" s="76">
        <v>379104.89537000004</v>
      </c>
      <c r="AB104" s="76">
        <v>325698.38702000008</v>
      </c>
      <c r="AC104" s="76">
        <v>324435.16529999999</v>
      </c>
      <c r="AD104" s="76">
        <v>274726.0559700001</v>
      </c>
      <c r="AE104" s="39">
        <v>1303964.5036600002</v>
      </c>
      <c r="AF104" s="76">
        <f t="shared" ref="AF104:AN104" si="275">SUM(AF102:AF103)</f>
        <v>274930.39358000003</v>
      </c>
      <c r="AG104" s="76">
        <f t="shared" si="275"/>
        <v>264967.23321000003</v>
      </c>
      <c r="AH104" s="76">
        <f t="shared" si="275"/>
        <v>251301.90610999998</v>
      </c>
      <c r="AI104" s="76">
        <f t="shared" si="275"/>
        <v>235415.75992999997</v>
      </c>
      <c r="AJ104" s="39">
        <f t="shared" si="272"/>
        <v>1026615.29283</v>
      </c>
      <c r="AK104" s="76">
        <f t="shared" si="275"/>
        <v>226914.43438999995</v>
      </c>
      <c r="AL104" s="76">
        <f t="shared" si="275"/>
        <v>212703.76813000001</v>
      </c>
      <c r="AM104" s="76">
        <f t="shared" si="275"/>
        <v>190462.27100000001</v>
      </c>
      <c r="AN104" s="76">
        <f t="shared" si="275"/>
        <v>168522.98032</v>
      </c>
      <c r="AO104" s="39">
        <f t="shared" si="273"/>
        <v>798603.45383999997</v>
      </c>
      <c r="AP104" s="76">
        <f>SUM(AP102:AP103)</f>
        <v>150067.03831</v>
      </c>
      <c r="AQ104" s="76">
        <f>SUM(AQ102:AQ103)</f>
        <v>140328.21369</v>
      </c>
      <c r="AR104" s="76">
        <f>SUM(AR102:AR103)</f>
        <v>253227.27768</v>
      </c>
      <c r="AS104" s="76">
        <f>SUM(AS102:AS103)</f>
        <v>514767.64899999998</v>
      </c>
      <c r="AT104" s="39">
        <f t="shared" si="274"/>
        <v>1058390.1786799999</v>
      </c>
      <c r="AU104" s="76">
        <f>SUM(AU102:AU103)</f>
        <v>501887.40793999995</v>
      </c>
      <c r="AV104" s="76">
        <f>SUM(AV102:AV103)</f>
        <v>482179.24274999998</v>
      </c>
      <c r="AW104" s="76">
        <f t="shared" ref="AW104:AZ104" si="276">SUM(AW102:AW103)</f>
        <v>484054.25125999993</v>
      </c>
      <c r="AX104" s="76">
        <f t="shared" si="276"/>
        <v>465843.81965000002</v>
      </c>
      <c r="AY104" s="39">
        <f t="shared" si="271"/>
        <v>1933964.7215999998</v>
      </c>
      <c r="AZ104" s="76">
        <f t="shared" si="276"/>
        <v>453195.76624999999</v>
      </c>
    </row>
    <row r="105" spans="1:52" ht="14.85" customHeight="1">
      <c r="A105" s="56" t="s">
        <v>477</v>
      </c>
      <c r="U105" s="40"/>
      <c r="X105" s="1">
        <v>-76201.93312999999</v>
      </c>
      <c r="Y105" s="1">
        <v>-65269.623099999997</v>
      </c>
      <c r="Z105" s="40">
        <v>-141471.55622999999</v>
      </c>
      <c r="AA105" s="1">
        <v>-86490.203680000006</v>
      </c>
      <c r="AB105" s="1">
        <v>-92267.021960000013</v>
      </c>
      <c r="AC105" s="1">
        <v>-90758.669789999985</v>
      </c>
      <c r="AD105" s="1">
        <v>-72100.40009000001</v>
      </c>
      <c r="AE105" s="40">
        <v>-341616.29552000004</v>
      </c>
      <c r="AF105" s="1">
        <v>-74345.01387000001</v>
      </c>
      <c r="AG105" s="1">
        <v>-69207.487899999993</v>
      </c>
      <c r="AH105" s="1">
        <v>-77816.511990000014</v>
      </c>
      <c r="AI105" s="1">
        <v>-58845.572799999994</v>
      </c>
      <c r="AJ105" s="40">
        <f t="shared" si="272"/>
        <v>-280214.58655999997</v>
      </c>
      <c r="AK105" s="1">
        <v>-65967.214309999996</v>
      </c>
      <c r="AL105" s="1">
        <v>-14969.591109999999</v>
      </c>
      <c r="AM105" s="77">
        <v>-32071.272000000001</v>
      </c>
      <c r="AN105" s="77">
        <v>-64939.471020000005</v>
      </c>
      <c r="AO105" s="40">
        <f t="shared" si="273"/>
        <v>-177947.54843999998</v>
      </c>
      <c r="AP105" s="1">
        <v>-12119.309279999999</v>
      </c>
      <c r="AQ105" s="1">
        <v>-299392.97924000002</v>
      </c>
      <c r="AR105" s="1">
        <v>-54342.606809999997</v>
      </c>
      <c r="AS105" s="77">
        <v>-33414.512999999999</v>
      </c>
      <c r="AT105" s="40">
        <f t="shared" si="274"/>
        <v>-399269.40832999995</v>
      </c>
      <c r="AU105" s="1">
        <v>-101944.50108000002</v>
      </c>
      <c r="AV105" s="1">
        <v>-103464.98871000001</v>
      </c>
      <c r="AW105" s="1">
        <v>-94004.583590000024</v>
      </c>
      <c r="AX105" s="1">
        <v>-81657.979710000014</v>
      </c>
      <c r="AY105" s="40">
        <f t="shared" si="271"/>
        <v>-381072.05309000006</v>
      </c>
      <c r="AZ105" s="718">
        <v>-69166.308989999976</v>
      </c>
    </row>
    <row r="106" spans="1:52" ht="14.85" customHeight="1">
      <c r="A106" s="56" t="s">
        <v>478</v>
      </c>
      <c r="U106" s="40"/>
      <c r="X106" s="1">
        <v>-139660.99765999999</v>
      </c>
      <c r="Y106" s="1">
        <v>-161229.22837</v>
      </c>
      <c r="Z106" s="40">
        <v>-300890.22603000002</v>
      </c>
      <c r="AA106" s="1">
        <v>-151641.89631000001</v>
      </c>
      <c r="AB106" s="1">
        <v>-129011.56084000001</v>
      </c>
      <c r="AC106" s="1">
        <v>-126486.17289000002</v>
      </c>
      <c r="AD106" s="1">
        <v>-120568.72477000002</v>
      </c>
      <c r="AE106" s="40">
        <v>-527708.35481000005</v>
      </c>
      <c r="AF106" s="1">
        <v>-116688.95683000001</v>
      </c>
      <c r="AG106" s="1">
        <v>-107155.54049000001</v>
      </c>
      <c r="AH106" s="1">
        <v>-99455.903839999999</v>
      </c>
      <c r="AI106" s="1">
        <v>-92704.321500000005</v>
      </c>
      <c r="AJ106" s="40">
        <f t="shared" si="272"/>
        <v>-416004.72266000003</v>
      </c>
      <c r="AK106" s="1">
        <v>-86875.89390000001</v>
      </c>
      <c r="AL106" s="1">
        <v>-82495.365860000005</v>
      </c>
      <c r="AM106" s="77">
        <v>-74430.3</v>
      </c>
      <c r="AN106" s="77">
        <v>-68773.12285</v>
      </c>
      <c r="AO106" s="40">
        <f t="shared" si="273"/>
        <v>-312574.68261000002</v>
      </c>
      <c r="AP106" s="1">
        <v>-58285.95289</v>
      </c>
      <c r="AQ106" s="1">
        <v>-55125.487879999993</v>
      </c>
      <c r="AR106" s="1">
        <v>-99177.495300000039</v>
      </c>
      <c r="AS106" s="77">
        <v>-212526.02499999999</v>
      </c>
      <c r="AT106" s="40">
        <f t="shared" si="274"/>
        <v>-425114.96107000002</v>
      </c>
      <c r="AU106" s="1">
        <v>-191966.70201000004</v>
      </c>
      <c r="AV106" s="1">
        <v>-193242.84839000003</v>
      </c>
      <c r="AW106" s="1">
        <v>-188585.05857999995</v>
      </c>
      <c r="AX106" s="1">
        <v>-187177.84421999997</v>
      </c>
      <c r="AY106" s="40">
        <f t="shared" si="271"/>
        <v>-760972.45319999999</v>
      </c>
      <c r="AZ106" s="718">
        <v>-178108.59993</v>
      </c>
    </row>
    <row r="107" spans="1:52" ht="14.85" customHeight="1">
      <c r="A107" s="56" t="s">
        <v>479</v>
      </c>
      <c r="U107" s="40"/>
      <c r="X107" s="1">
        <v>-7420.0986300000004</v>
      </c>
      <c r="Y107" s="1">
        <v>-9027.1174200000023</v>
      </c>
      <c r="Z107" s="40">
        <v>-16447.216050000003</v>
      </c>
      <c r="AA107" s="1">
        <v>-8324.9707500000004</v>
      </c>
      <c r="AB107" s="1">
        <v>-7827.6631000000016</v>
      </c>
      <c r="AC107" s="1">
        <v>-9471.0903200000012</v>
      </c>
      <c r="AD107" s="1">
        <v>-9831.75972</v>
      </c>
      <c r="AE107" s="40">
        <v>-35455.483890000003</v>
      </c>
      <c r="AF107" s="1">
        <v>-8987.8796600000005</v>
      </c>
      <c r="AG107" s="1">
        <v>-4047.7371300000004</v>
      </c>
      <c r="AH107" s="1">
        <v>-2244.2539100000004</v>
      </c>
      <c r="AI107" s="1">
        <v>-11196.105799999998</v>
      </c>
      <c r="AJ107" s="40">
        <f t="shared" si="272"/>
        <v>-26475.976499999997</v>
      </c>
      <c r="AK107" s="1">
        <v>-4375.0002800000002</v>
      </c>
      <c r="AL107" s="1">
        <v>-13187.381479999998</v>
      </c>
      <c r="AM107" s="77">
        <v>-10232.51</v>
      </c>
      <c r="AN107" s="77">
        <v>190.84861000000035</v>
      </c>
      <c r="AO107" s="40">
        <f t="shared" si="273"/>
        <v>-27604.043149999998</v>
      </c>
      <c r="AP107" s="1">
        <v>-6078.7214000000004</v>
      </c>
      <c r="AQ107" s="1">
        <v>-10271.633760000001</v>
      </c>
      <c r="AR107" s="1">
        <v>-7641.6146200000003</v>
      </c>
      <c r="AS107" s="77">
        <v>-25160.682000000001</v>
      </c>
      <c r="AT107" s="40">
        <f t="shared" si="274"/>
        <v>-49152.65178</v>
      </c>
      <c r="AU107" s="1">
        <v>-9705.5355199999995</v>
      </c>
      <c r="AV107" s="1">
        <v>-19639.55558</v>
      </c>
      <c r="AW107" s="1">
        <v>-6082.7103799999995</v>
      </c>
      <c r="AX107" s="1">
        <v>-13943.368150000004</v>
      </c>
      <c r="AY107" s="40">
        <f t="shared" si="271"/>
        <v>-49371.169629999997</v>
      </c>
      <c r="AZ107" s="718">
        <v>-9869.3970399999998</v>
      </c>
    </row>
    <row r="108" spans="1:52" ht="14.85" customHeight="1">
      <c r="A108" s="56" t="s">
        <v>709</v>
      </c>
      <c r="U108" s="40"/>
      <c r="X108" s="1">
        <v>3155.8869500000001</v>
      </c>
      <c r="Y108" s="1">
        <v>-374.1395</v>
      </c>
      <c r="Z108" s="40">
        <v>2781.7474499999998</v>
      </c>
      <c r="AA108" s="1">
        <v>2827.5969100000002</v>
      </c>
      <c r="AB108" s="1">
        <v>1866.7491</v>
      </c>
      <c r="AC108" s="1">
        <v>-2196.0496999999996</v>
      </c>
      <c r="AD108" s="1">
        <v>-2797.5761399999997</v>
      </c>
      <c r="AE108" s="40">
        <v>-299.27982999999904</v>
      </c>
      <c r="AF108" s="1">
        <v>870.85741000000019</v>
      </c>
      <c r="AG108" s="1">
        <v>660.40320999999994</v>
      </c>
      <c r="AH108" s="1">
        <v>-489.68495000000001</v>
      </c>
      <c r="AI108" s="1">
        <v>-647.36159999999995</v>
      </c>
      <c r="AJ108" s="40">
        <f t="shared" si="272"/>
        <v>394.21406999999999</v>
      </c>
      <c r="AK108" s="1">
        <v>-401.85919999999999</v>
      </c>
      <c r="AL108" s="1">
        <v>-393.27787999999998</v>
      </c>
      <c r="AM108" s="77">
        <v>-376.25599999999997</v>
      </c>
      <c r="AN108" s="77">
        <v>-32.972279999999969</v>
      </c>
      <c r="AO108" s="40">
        <f t="shared" si="273"/>
        <v>-1204.3653599999998</v>
      </c>
      <c r="AP108" s="1">
        <v>0</v>
      </c>
      <c r="AQ108" s="1">
        <v>-256.66885000000002</v>
      </c>
      <c r="AR108" s="1">
        <v>0</v>
      </c>
      <c r="AS108" s="77">
        <v>0</v>
      </c>
      <c r="AT108" s="40">
        <f t="shared" si="274"/>
        <v>-256.66885000000002</v>
      </c>
      <c r="AU108" s="1">
        <v>176.87966</v>
      </c>
      <c r="AV108" s="1">
        <v>0</v>
      </c>
      <c r="AW108" s="1">
        <v>0</v>
      </c>
      <c r="AX108" s="1">
        <v>0</v>
      </c>
      <c r="AY108" s="40">
        <f t="shared" si="271"/>
        <v>176.87966</v>
      </c>
      <c r="AZ108" s="718">
        <v>0</v>
      </c>
    </row>
    <row r="109" spans="1:52" ht="14.85" customHeight="1">
      <c r="A109" s="54" t="s">
        <v>710</v>
      </c>
      <c r="Q109" s="76"/>
      <c r="R109" s="76"/>
      <c r="S109" s="76"/>
      <c r="T109" s="76"/>
      <c r="U109" s="39"/>
      <c r="V109" s="76"/>
      <c r="W109" s="76"/>
      <c r="X109" s="76">
        <v>105058.92446000011</v>
      </c>
      <c r="Y109" s="76">
        <v>145218.06044000003</v>
      </c>
      <c r="Z109" s="39">
        <v>250276.98490000007</v>
      </c>
      <c r="AA109" s="76">
        <v>135475.42153999998</v>
      </c>
      <c r="AB109" s="76">
        <v>98458.890220000059</v>
      </c>
      <c r="AC109" s="76">
        <v>95523.182599999986</v>
      </c>
      <c r="AD109" s="76">
        <v>69427.595250000071</v>
      </c>
      <c r="AE109" s="39">
        <v>398885.08961000002</v>
      </c>
      <c r="AF109" s="76">
        <f t="shared" ref="AF109" si="277">SUM(AF104:AF108)</f>
        <v>75779.400629999989</v>
      </c>
      <c r="AG109" s="76">
        <f>SUM(AG104:AG108)</f>
        <v>85216.870900000024</v>
      </c>
      <c r="AH109" s="76">
        <f>SUM(AH104:AH108)</f>
        <v>71295.55141999996</v>
      </c>
      <c r="AI109" s="76">
        <f>SUM(AI104:AI108)</f>
        <v>72022.398229999962</v>
      </c>
      <c r="AJ109" s="39">
        <f t="shared" si="272"/>
        <v>304314.22117999999</v>
      </c>
      <c r="AK109" s="76">
        <f>SUM(AK104:AK108)</f>
        <v>69294.466699999932</v>
      </c>
      <c r="AL109" s="76">
        <f t="shared" ref="AL109:AN109" si="278">SUM(AL104:AL108)</f>
        <v>101658.15180000001</v>
      </c>
      <c r="AM109" s="76">
        <f t="shared" si="278"/>
        <v>73351.933000000019</v>
      </c>
      <c r="AN109" s="76">
        <f t="shared" si="278"/>
        <v>34968.262780000005</v>
      </c>
      <c r="AO109" s="39">
        <f t="shared" si="273"/>
        <v>279272.81427999993</v>
      </c>
      <c r="AP109" s="76">
        <f>SUM(AP104:AP108)</f>
        <v>73583.054740000021</v>
      </c>
      <c r="AQ109" s="76">
        <f>SUM(AQ104:AQ108)</f>
        <v>-224718.55604</v>
      </c>
      <c r="AR109" s="76">
        <f>SUM(AR104:AR108)</f>
        <v>92065.560949999955</v>
      </c>
      <c r="AS109" s="76">
        <f>SUM(AS104:AS108)</f>
        <v>243666.42900000003</v>
      </c>
      <c r="AT109" s="39">
        <f t="shared" si="274"/>
        <v>184596.48865000001</v>
      </c>
      <c r="AU109" s="76">
        <f>SUM(AU104:AU108)</f>
        <v>198447.54898999989</v>
      </c>
      <c r="AV109" s="76">
        <f>SUM(AV104:AV108)</f>
        <v>165831.85006999993</v>
      </c>
      <c r="AW109" s="76">
        <f t="shared" ref="AW109:AX109" si="279">SUM(AW104:AW108)</f>
        <v>195381.89870999992</v>
      </c>
      <c r="AX109" s="76">
        <f t="shared" si="279"/>
        <v>183064.62757000001</v>
      </c>
      <c r="AY109" s="39">
        <f t="shared" si="271"/>
        <v>742725.92533999984</v>
      </c>
      <c r="AZ109" s="76">
        <f t="shared" ref="AZ109" si="280">SUM(AZ104:AZ108)</f>
        <v>196051.46028999999</v>
      </c>
    </row>
    <row r="110" spans="1:52" ht="14.85" customHeight="1">
      <c r="A110" s="17" t="s">
        <v>711</v>
      </c>
      <c r="Q110" s="18"/>
      <c r="R110" s="18"/>
      <c r="S110" s="18"/>
      <c r="T110" s="18"/>
      <c r="U110" s="46"/>
      <c r="V110" s="18"/>
      <c r="W110" s="18"/>
      <c r="X110" s="18">
        <v>0.2343333275296918</v>
      </c>
      <c r="Y110" s="18">
        <v>0.17125823022390174</v>
      </c>
      <c r="Z110" s="46">
        <v>0.20029832622732788</v>
      </c>
      <c r="AA110" s="18">
        <v>0.22814319924723475</v>
      </c>
      <c r="AB110" s="18">
        <v>0.28328977249228499</v>
      </c>
      <c r="AC110" s="169">
        <v>0.27974362676153464</v>
      </c>
      <c r="AD110" s="169">
        <v>0.2624447100054948</v>
      </c>
      <c r="AE110" s="46">
        <v>0.26198281821410235</v>
      </c>
      <c r="AF110" s="18">
        <f t="shared" ref="AF110:AG110" si="281">-AF105/AF104</f>
        <v>0.27041395060734486</v>
      </c>
      <c r="AG110" s="18">
        <f t="shared" si="281"/>
        <v>0.26119262771313889</v>
      </c>
      <c r="AH110" s="169">
        <f>-AH105/AH104</f>
        <v>0.30965348888335981</v>
      </c>
      <c r="AI110" s="169">
        <f>-AI105/AI104</f>
        <v>0.24996445784894569</v>
      </c>
      <c r="AJ110" s="46">
        <f>-AJ105/AJ104</f>
        <v>0.27294994387581312</v>
      </c>
      <c r="AK110" s="169">
        <f>-AK105/AK104</f>
        <v>0.29071405037469555</v>
      </c>
      <c r="AL110" s="169">
        <f t="shared" ref="AL110:AN110" si="282">-AL105/AL104</f>
        <v>7.0377648885142946E-2</v>
      </c>
      <c r="AM110" s="169">
        <f t="shared" si="282"/>
        <v>0.16838648322113098</v>
      </c>
      <c r="AN110" s="169">
        <f t="shared" si="282"/>
        <v>0.38534490012394534</v>
      </c>
      <c r="AO110" s="46">
        <f t="shared" ref="AO110:AT110" si="283">-AO105/AO104</f>
        <v>0.22282341452989976</v>
      </c>
      <c r="AP110" s="169">
        <f t="shared" si="283"/>
        <v>8.0759302085809254E-2</v>
      </c>
      <c r="AQ110" s="169">
        <f t="shared" si="283"/>
        <v>2.1335194923908247</v>
      </c>
      <c r="AR110" s="169">
        <f t="shared" si="283"/>
        <v>0.21460013039618914</v>
      </c>
      <c r="AS110" s="169">
        <f t="shared" si="283"/>
        <v>6.4911835592061456E-2</v>
      </c>
      <c r="AT110" s="46">
        <f t="shared" si="283"/>
        <v>0.37724217058397086</v>
      </c>
      <c r="AU110" s="169">
        <f t="shared" ref="AU110" si="284">-AU105/AU104</f>
        <v>0.20312225305359197</v>
      </c>
      <c r="AV110" s="169">
        <f>-AV105/AV104</f>
        <v>0.21457785722983616</v>
      </c>
      <c r="AW110" s="169">
        <f t="shared" ref="AW110:AX110" si="285">-AW105/AW104</f>
        <v>0.19420257821371217</v>
      </c>
      <c r="AX110" s="169">
        <f t="shared" si="285"/>
        <v>0.17529046488445779</v>
      </c>
      <c r="AY110" s="46">
        <f>-AY105/AY104</f>
        <v>0.19704188439111395</v>
      </c>
      <c r="AZ110" s="169">
        <f t="shared" ref="AZ110" si="286">-AZ105/AZ104</f>
        <v>0.15261905370899959</v>
      </c>
    </row>
    <row r="111" spans="1:52" ht="14.85" customHeight="1" thickBot="1">
      <c r="A111" s="17" t="s">
        <v>712</v>
      </c>
      <c r="Q111" s="18"/>
      <c r="R111" s="18"/>
      <c r="S111" s="18"/>
      <c r="T111" s="18"/>
      <c r="U111" s="48"/>
      <c r="V111" s="18"/>
      <c r="W111" s="18"/>
      <c r="X111" s="18">
        <v>0.42948026334124451</v>
      </c>
      <c r="Y111" s="18">
        <v>0.42304261920904962</v>
      </c>
      <c r="Z111" s="48">
        <v>0.42600654335059313</v>
      </c>
      <c r="AA111" s="18">
        <v>0.39999983688419549</v>
      </c>
      <c r="AB111" s="18">
        <v>0.39610746009644138</v>
      </c>
      <c r="AC111" s="169">
        <v>0.38986579267090321</v>
      </c>
      <c r="AD111" s="169">
        <v>0.43886891013776297</v>
      </c>
      <c r="AE111" s="48">
        <v>0.40469533743350761</v>
      </c>
      <c r="AF111" s="18">
        <f t="shared" ref="AF111:AG111" si="287">-AF106/AF104</f>
        <v>0.42443090889492918</v>
      </c>
      <c r="AG111" s="18">
        <f t="shared" si="287"/>
        <v>0.40441053481157718</v>
      </c>
      <c r="AH111" s="169">
        <f>-AH106/AH104</f>
        <v>0.39576263220409524</v>
      </c>
      <c r="AI111" s="169">
        <f>-AI106/AI104</f>
        <v>0.39378978504907786</v>
      </c>
      <c r="AJ111" s="48">
        <f>-AJ106/AJ104</f>
        <v>0.40521968215886234</v>
      </c>
      <c r="AK111" s="169">
        <f>-AK106/AK104</f>
        <v>0.3828575036821395</v>
      </c>
      <c r="AL111" s="169">
        <f t="shared" ref="AL111:AN111" si="288">-AL106/AL104</f>
        <v>0.38784158167607352</v>
      </c>
      <c r="AM111" s="169">
        <f t="shared" si="288"/>
        <v>0.39078763268553068</v>
      </c>
      <c r="AN111" s="169">
        <f t="shared" si="288"/>
        <v>0.40809344054686247</v>
      </c>
      <c r="AO111" s="48">
        <f t="shared" ref="AO111:AT111" si="289">-AO106/AO104</f>
        <v>0.39140161629281445</v>
      </c>
      <c r="AP111" s="169">
        <f t="shared" si="289"/>
        <v>0.38839943498848944</v>
      </c>
      <c r="AQ111" s="169">
        <f t="shared" si="289"/>
        <v>0.39283253474442481</v>
      </c>
      <c r="AR111" s="169">
        <f t="shared" si="289"/>
        <v>0.39165407537701902</v>
      </c>
      <c r="AS111" s="169">
        <f t="shared" si="289"/>
        <v>0.41285816117787932</v>
      </c>
      <c r="AT111" s="48">
        <f t="shared" si="289"/>
        <v>0.40166185366552976</v>
      </c>
      <c r="AU111" s="169">
        <f t="shared" ref="AU111" si="290">-AU106/AU104</f>
        <v>0.38248957629347302</v>
      </c>
      <c r="AV111" s="169">
        <f>-AV106/AV104</f>
        <v>0.4007697371788202</v>
      </c>
      <c r="AW111" s="169">
        <f t="shared" ref="AW111:AX111" si="291">-AW106/AW104</f>
        <v>0.38959488133635939</v>
      </c>
      <c r="AX111" s="169">
        <f t="shared" si="291"/>
        <v>0.40180385855635331</v>
      </c>
      <c r="AY111" s="48">
        <f>-AY106/AY104</f>
        <v>0.39347793923067809</v>
      </c>
      <c r="AZ111" s="169">
        <f t="shared" ref="AZ111" si="292">-AZ106/AZ104</f>
        <v>0.3930058777992832</v>
      </c>
    </row>
    <row r="112" spans="1:52" ht="30.75" thickBot="1">
      <c r="A112" s="787" t="s">
        <v>725</v>
      </c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69"/>
      <c r="AD112" s="18"/>
      <c r="AE112" s="18"/>
      <c r="AF112" s="18"/>
      <c r="AG112" s="18"/>
      <c r="AH112" s="169"/>
      <c r="AI112" s="169"/>
      <c r="AJ112" s="18"/>
      <c r="AK112" s="18"/>
      <c r="AL112" s="18"/>
      <c r="AM112" s="169"/>
      <c r="AN112" s="169"/>
      <c r="AO112" s="18"/>
      <c r="AP112" s="18"/>
      <c r="AQ112" s="18"/>
      <c r="AR112" s="169"/>
      <c r="AS112" s="169"/>
      <c r="AT112" s="18"/>
      <c r="AU112" s="18"/>
      <c r="AV112" s="18"/>
      <c r="AW112" s="18"/>
      <c r="AX112" s="18"/>
      <c r="AY112" s="18"/>
      <c r="AZ112" s="18"/>
    </row>
    <row r="113" spans="1:52" ht="14.85" customHeight="1">
      <c r="A113" s="179" t="s">
        <v>726</v>
      </c>
      <c r="B113" s="180" t="s">
        <v>224</v>
      </c>
      <c r="C113" s="180" t="s">
        <v>225</v>
      </c>
      <c r="D113" s="180" t="s">
        <v>226</v>
      </c>
      <c r="E113" s="180" t="s">
        <v>227</v>
      </c>
      <c r="F113" s="181">
        <v>2016</v>
      </c>
      <c r="G113" s="180" t="s">
        <v>228</v>
      </c>
      <c r="H113" s="180" t="s">
        <v>229</v>
      </c>
      <c r="I113" s="180" t="s">
        <v>230</v>
      </c>
      <c r="J113" s="180" t="s">
        <v>231</v>
      </c>
      <c r="K113" s="181">
        <v>2017</v>
      </c>
      <c r="L113" s="180" t="s">
        <v>232</v>
      </c>
      <c r="M113" s="180" t="s">
        <v>233</v>
      </c>
      <c r="N113" s="180" t="s">
        <v>234</v>
      </c>
      <c r="O113" s="180" t="s">
        <v>235</v>
      </c>
      <c r="P113" s="181">
        <v>2018</v>
      </c>
      <c r="Q113" s="180" t="s">
        <v>236</v>
      </c>
      <c r="R113" s="180" t="s">
        <v>237</v>
      </c>
      <c r="S113" s="180" t="s">
        <v>238</v>
      </c>
      <c r="T113" s="180" t="s">
        <v>239</v>
      </c>
      <c r="U113" s="181">
        <v>2019</v>
      </c>
      <c r="V113" s="180" t="s">
        <v>240</v>
      </c>
      <c r="W113" s="180" t="s">
        <v>241</v>
      </c>
      <c r="X113" s="180" t="s">
        <v>242</v>
      </c>
      <c r="Y113" s="180" t="s">
        <v>243</v>
      </c>
      <c r="Z113" s="181">
        <v>2020</v>
      </c>
      <c r="AA113" s="180" t="s">
        <v>244</v>
      </c>
      <c r="AB113" s="180" t="s">
        <v>245</v>
      </c>
      <c r="AC113" s="180" t="s">
        <v>246</v>
      </c>
      <c r="AD113" s="180" t="s">
        <v>247</v>
      </c>
      <c r="AE113" s="181">
        <v>2021</v>
      </c>
      <c r="AF113" s="180" t="s">
        <v>248</v>
      </c>
      <c r="AG113" s="180" t="s">
        <v>249</v>
      </c>
      <c r="AH113" s="180" t="s">
        <v>250</v>
      </c>
      <c r="AI113" s="180" t="s">
        <v>215</v>
      </c>
      <c r="AJ113" s="181">
        <v>2022</v>
      </c>
      <c r="AK113" s="180" t="s">
        <v>252</v>
      </c>
      <c r="AL113" s="180" t="s">
        <v>253</v>
      </c>
      <c r="AM113" s="180" t="s">
        <v>254</v>
      </c>
      <c r="AN113" s="180" t="s">
        <v>219</v>
      </c>
      <c r="AO113" s="181">
        <v>2023</v>
      </c>
      <c r="AP113" s="180" t="s">
        <v>223</v>
      </c>
      <c r="AQ113" s="180" t="s">
        <v>256</v>
      </c>
      <c r="AR113" s="180" t="s">
        <v>357</v>
      </c>
      <c r="AS113" s="180" t="s">
        <v>358</v>
      </c>
      <c r="AT113" s="181">
        <v>2024</v>
      </c>
      <c r="AU113" s="180" t="s">
        <v>359</v>
      </c>
      <c r="AV113" s="180" t="s">
        <v>1115</v>
      </c>
      <c r="AW113" s="180" t="s">
        <v>1116</v>
      </c>
      <c r="AX113" s="180" t="s">
        <v>1117</v>
      </c>
      <c r="AY113" s="181" t="s">
        <v>1118</v>
      </c>
      <c r="AZ113" s="180" t="s">
        <v>1124</v>
      </c>
    </row>
    <row r="114" spans="1:52" ht="14.85" customHeight="1">
      <c r="A114" s="54" t="s">
        <v>707</v>
      </c>
      <c r="Q114" s="76">
        <v>434537.92297999992</v>
      </c>
      <c r="R114" s="76">
        <v>468538.89335000003</v>
      </c>
      <c r="S114" s="76">
        <v>466960.75356999994</v>
      </c>
      <c r="T114" s="76">
        <v>472349.20726</v>
      </c>
      <c r="U114" s="39">
        <v>1842386.7771600001</v>
      </c>
      <c r="V114" s="76">
        <v>451798.50277999998</v>
      </c>
      <c r="W114" s="76">
        <v>380721.10884999996</v>
      </c>
      <c r="X114" s="62"/>
      <c r="Y114" s="62"/>
      <c r="Z114" s="39">
        <v>832519.61162999994</v>
      </c>
      <c r="AA114" s="76"/>
      <c r="AB114" s="76"/>
      <c r="AC114" s="76"/>
      <c r="AD114" s="76"/>
      <c r="AE114" s="39"/>
      <c r="AF114" s="76"/>
      <c r="AG114" s="76"/>
      <c r="AH114" s="76"/>
      <c r="AI114" s="76"/>
      <c r="AJ114" s="39">
        <f>SUM(AF114:AI114)</f>
        <v>0</v>
      </c>
      <c r="AK114" s="76">
        <v>0</v>
      </c>
      <c r="AL114" s="76">
        <v>0</v>
      </c>
      <c r="AM114" s="76">
        <v>0</v>
      </c>
      <c r="AN114" s="76">
        <v>0</v>
      </c>
      <c r="AO114" s="39">
        <f>SUM(AK114:AN114)</f>
        <v>0</v>
      </c>
      <c r="AP114" s="76">
        <v>0</v>
      </c>
      <c r="AQ114" s="76">
        <v>0</v>
      </c>
      <c r="AR114" s="76">
        <v>0</v>
      </c>
      <c r="AS114" s="76">
        <v>0</v>
      </c>
      <c r="AT114" s="39">
        <f>SUM(AP114:AS114)</f>
        <v>0</v>
      </c>
      <c r="AU114" s="76">
        <v>0</v>
      </c>
      <c r="AV114" s="76">
        <v>0</v>
      </c>
      <c r="AW114" s="76">
        <v>0</v>
      </c>
      <c r="AX114" s="76">
        <v>0</v>
      </c>
      <c r="AY114" s="39">
        <f t="shared" ref="AY114:AY121" si="293">SUM(AU114:AX114)</f>
        <v>0</v>
      </c>
      <c r="AZ114" s="10"/>
    </row>
    <row r="115" spans="1:52" ht="14.85" customHeight="1">
      <c r="A115" s="56" t="s">
        <v>443</v>
      </c>
      <c r="Q115" s="1">
        <v>-198409.43701999998</v>
      </c>
      <c r="R115" s="1">
        <v>-219348.53878</v>
      </c>
      <c r="S115" s="1">
        <v>-200937.99531</v>
      </c>
      <c r="T115" s="1">
        <v>-196752.49403</v>
      </c>
      <c r="U115" s="40">
        <v>-815448.46513999999</v>
      </c>
      <c r="V115" s="1">
        <v>-165543.84591</v>
      </c>
      <c r="W115" s="1">
        <v>-89682.801020000014</v>
      </c>
      <c r="X115" s="239"/>
      <c r="Y115" s="239"/>
      <c r="Z115" s="40">
        <v>-255226.64693000002</v>
      </c>
      <c r="AA115" s="1"/>
      <c r="AB115" s="1"/>
      <c r="AC115" s="1"/>
      <c r="AD115" s="1"/>
      <c r="AE115" s="40"/>
      <c r="AF115" s="1"/>
      <c r="AG115" s="1"/>
      <c r="AH115" s="1"/>
      <c r="AI115" s="1"/>
      <c r="AJ115" s="40">
        <f t="shared" ref="AJ115:AJ123" si="294">SUM(AF115:AI115)</f>
        <v>0</v>
      </c>
      <c r="AK115" s="1">
        <v>0</v>
      </c>
      <c r="AL115" s="1">
        <v>0</v>
      </c>
      <c r="AM115" s="1">
        <v>0</v>
      </c>
      <c r="AN115" s="1">
        <v>0</v>
      </c>
      <c r="AO115" s="40">
        <f t="shared" ref="AO115:AO123" si="295">SUM(AK115:AN115)</f>
        <v>0</v>
      </c>
      <c r="AP115" s="1">
        <v>0</v>
      </c>
      <c r="AQ115" s="1">
        <v>0</v>
      </c>
      <c r="AR115" s="1">
        <v>0</v>
      </c>
      <c r="AS115" s="1">
        <v>0</v>
      </c>
      <c r="AT115" s="40">
        <f t="shared" ref="AT115:AT121" si="296">SUM(AP115:AS115)</f>
        <v>0</v>
      </c>
      <c r="AU115" s="1">
        <v>0</v>
      </c>
      <c r="AV115" s="1">
        <v>0</v>
      </c>
      <c r="AW115" s="1">
        <v>0</v>
      </c>
      <c r="AX115" s="1">
        <v>0</v>
      </c>
      <c r="AY115" s="40">
        <f t="shared" si="293"/>
        <v>0</v>
      </c>
      <c r="AZ115" s="8"/>
    </row>
    <row r="116" spans="1:52" ht="14.85" customHeight="1">
      <c r="A116" s="54" t="s">
        <v>708</v>
      </c>
      <c r="Q116" s="76">
        <v>236128.48595999993</v>
      </c>
      <c r="R116" s="76">
        <v>249190.35457000002</v>
      </c>
      <c r="S116" s="76">
        <v>266022.75825999992</v>
      </c>
      <c r="T116" s="76">
        <v>275596.71322999999</v>
      </c>
      <c r="U116" s="39">
        <v>1026938.3120199998</v>
      </c>
      <c r="V116" s="76">
        <v>286254.65686999995</v>
      </c>
      <c r="W116" s="76">
        <v>291038.30782999995</v>
      </c>
      <c r="X116" s="76">
        <v>0</v>
      </c>
      <c r="Y116" s="76">
        <v>0</v>
      </c>
      <c r="Z116" s="39">
        <v>577292.96469999989</v>
      </c>
      <c r="AA116" s="76">
        <v>0</v>
      </c>
      <c r="AB116" s="76">
        <v>0</v>
      </c>
      <c r="AC116" s="76">
        <v>0</v>
      </c>
      <c r="AD116" s="76">
        <v>0</v>
      </c>
      <c r="AE116" s="39">
        <v>0</v>
      </c>
      <c r="AF116" s="76">
        <f t="shared" ref="AF116:AN116" si="297">SUM(AF114:AF115)</f>
        <v>0</v>
      </c>
      <c r="AG116" s="76">
        <f t="shared" si="297"/>
        <v>0</v>
      </c>
      <c r="AH116" s="76">
        <f t="shared" si="297"/>
        <v>0</v>
      </c>
      <c r="AI116" s="76">
        <f t="shared" si="297"/>
        <v>0</v>
      </c>
      <c r="AJ116" s="39">
        <f t="shared" si="294"/>
        <v>0</v>
      </c>
      <c r="AK116" s="76">
        <v>0</v>
      </c>
      <c r="AL116" s="76">
        <f t="shared" si="297"/>
        <v>0</v>
      </c>
      <c r="AM116" s="76">
        <f t="shared" si="297"/>
        <v>0</v>
      </c>
      <c r="AN116" s="76">
        <f t="shared" si="297"/>
        <v>0</v>
      </c>
      <c r="AO116" s="39">
        <f t="shared" si="295"/>
        <v>0</v>
      </c>
      <c r="AP116" s="76">
        <v>0</v>
      </c>
      <c r="AQ116" s="76">
        <v>0</v>
      </c>
      <c r="AR116" s="76">
        <v>0</v>
      </c>
      <c r="AS116" s="76">
        <v>0</v>
      </c>
      <c r="AT116" s="39">
        <f t="shared" si="296"/>
        <v>0</v>
      </c>
      <c r="AU116" s="76">
        <v>0</v>
      </c>
      <c r="AV116" s="76">
        <v>0</v>
      </c>
      <c r="AW116" s="76">
        <v>0</v>
      </c>
      <c r="AX116" s="76">
        <v>0</v>
      </c>
      <c r="AY116" s="39">
        <f t="shared" si="293"/>
        <v>0</v>
      </c>
      <c r="AZ116" s="10"/>
    </row>
    <row r="117" spans="1:52" ht="14.85" customHeight="1">
      <c r="A117" s="56" t="s">
        <v>477</v>
      </c>
      <c r="Q117" s="1">
        <v>-46327.93333</v>
      </c>
      <c r="R117" s="1">
        <v>-57451.459060000001</v>
      </c>
      <c r="S117" s="1">
        <v>-54800.751320000003</v>
      </c>
      <c r="T117" s="1">
        <v>-59187.472529999999</v>
      </c>
      <c r="U117" s="40">
        <v>-217767.61624</v>
      </c>
      <c r="V117" s="1">
        <v>-52799.603739999991</v>
      </c>
      <c r="W117" s="1">
        <v>-61709.894189999999</v>
      </c>
      <c r="X117" s="1">
        <v>0</v>
      </c>
      <c r="Y117" s="1">
        <v>0</v>
      </c>
      <c r="Z117" s="40">
        <v>-114509.49792999998</v>
      </c>
      <c r="AA117" s="1">
        <v>0</v>
      </c>
      <c r="AB117" s="1">
        <v>0</v>
      </c>
      <c r="AC117" s="1">
        <v>0</v>
      </c>
      <c r="AD117" s="1">
        <v>0</v>
      </c>
      <c r="AE117" s="40">
        <v>0</v>
      </c>
      <c r="AF117" s="1">
        <v>0</v>
      </c>
      <c r="AG117" s="1">
        <v>0</v>
      </c>
      <c r="AH117" s="1">
        <v>0</v>
      </c>
      <c r="AI117" s="1">
        <v>0</v>
      </c>
      <c r="AJ117" s="40">
        <f t="shared" si="294"/>
        <v>0</v>
      </c>
      <c r="AK117" s="1">
        <v>0</v>
      </c>
      <c r="AL117" s="1">
        <v>0</v>
      </c>
      <c r="AM117" s="1">
        <v>0</v>
      </c>
      <c r="AN117" s="1">
        <v>0</v>
      </c>
      <c r="AO117" s="40">
        <f t="shared" si="295"/>
        <v>0</v>
      </c>
      <c r="AP117" s="1">
        <v>0</v>
      </c>
      <c r="AQ117" s="1">
        <v>0</v>
      </c>
      <c r="AR117" s="1">
        <v>0</v>
      </c>
      <c r="AS117" s="1">
        <v>0</v>
      </c>
      <c r="AT117" s="40">
        <f t="shared" si="296"/>
        <v>0</v>
      </c>
      <c r="AU117" s="1">
        <v>0</v>
      </c>
      <c r="AV117" s="1">
        <v>0</v>
      </c>
      <c r="AW117" s="1">
        <v>0</v>
      </c>
      <c r="AX117" s="1">
        <v>0</v>
      </c>
      <c r="AY117" s="40">
        <f t="shared" si="293"/>
        <v>0</v>
      </c>
      <c r="AZ117" s="8"/>
    </row>
    <row r="118" spans="1:52" ht="14.85" customHeight="1">
      <c r="A118" s="56" t="s">
        <v>478</v>
      </c>
      <c r="Q118" s="1">
        <v>-96759.509539999985</v>
      </c>
      <c r="R118" s="1">
        <v>-101469.45927999998</v>
      </c>
      <c r="S118" s="1">
        <v>-111210.05182999998</v>
      </c>
      <c r="T118" s="1">
        <v>-115929.87113000001</v>
      </c>
      <c r="U118" s="40">
        <v>-425368.89177999995</v>
      </c>
      <c r="V118" s="1">
        <v>-119168.20505</v>
      </c>
      <c r="W118" s="1">
        <v>-114567.80733999998</v>
      </c>
      <c r="X118" s="1">
        <v>-31.527330000000003</v>
      </c>
      <c r="Y118" s="1">
        <v>37.720839999999995</v>
      </c>
      <c r="Z118" s="40">
        <v>-233729.81888000001</v>
      </c>
      <c r="AA118" s="1">
        <v>0</v>
      </c>
      <c r="AB118" s="1">
        <v>0</v>
      </c>
      <c r="AC118" s="1">
        <v>0</v>
      </c>
      <c r="AD118" s="1">
        <v>-53.600439999999999</v>
      </c>
      <c r="AE118" s="40">
        <v>-53.600439999999999</v>
      </c>
      <c r="AF118" s="1">
        <v>-17.115310000000001</v>
      </c>
      <c r="AG118" s="1">
        <v>0</v>
      </c>
      <c r="AH118" s="1">
        <v>0</v>
      </c>
      <c r="AI118" s="1">
        <v>0</v>
      </c>
      <c r="AJ118" s="40">
        <f t="shared" si="294"/>
        <v>-17.115310000000001</v>
      </c>
      <c r="AK118" s="1">
        <v>0</v>
      </c>
      <c r="AL118" s="1">
        <v>0</v>
      </c>
      <c r="AM118" s="1">
        <v>0</v>
      </c>
      <c r="AN118" s="1">
        <v>0</v>
      </c>
      <c r="AO118" s="40">
        <f t="shared" si="295"/>
        <v>0</v>
      </c>
      <c r="AP118" s="1">
        <v>0</v>
      </c>
      <c r="AQ118" s="1">
        <v>0</v>
      </c>
      <c r="AR118" s="1">
        <v>0</v>
      </c>
      <c r="AS118" s="1">
        <v>0</v>
      </c>
      <c r="AT118" s="40">
        <f t="shared" si="296"/>
        <v>0</v>
      </c>
      <c r="AU118" s="1">
        <v>0</v>
      </c>
      <c r="AV118" s="1">
        <v>0</v>
      </c>
      <c r="AW118" s="1">
        <v>0</v>
      </c>
      <c r="AX118" s="1">
        <v>0</v>
      </c>
      <c r="AY118" s="40">
        <f t="shared" si="293"/>
        <v>0</v>
      </c>
      <c r="AZ118" s="8"/>
    </row>
    <row r="119" spans="1:52" ht="14.85" customHeight="1">
      <c r="A119" s="56" t="s">
        <v>479</v>
      </c>
      <c r="Q119" s="1">
        <v>-3663.2148199999997</v>
      </c>
      <c r="R119" s="1">
        <v>-4677.6036300000005</v>
      </c>
      <c r="S119" s="1">
        <v>-6629.2118800000007</v>
      </c>
      <c r="T119" s="1">
        <v>-5313.1055600000009</v>
      </c>
      <c r="U119" s="40">
        <v>-20283.135890000001</v>
      </c>
      <c r="V119" s="1">
        <v>-18195.691910000001</v>
      </c>
      <c r="W119" s="1">
        <v>-3734.6724099999997</v>
      </c>
      <c r="X119" s="1">
        <v>-405.76103000000001</v>
      </c>
      <c r="Y119" s="1">
        <v>85.200149999999994</v>
      </c>
      <c r="Z119" s="40">
        <v>-22250.925200000001</v>
      </c>
      <c r="AA119" s="1">
        <v>-1.0692600000000001</v>
      </c>
      <c r="AB119" s="1">
        <v>0.32834000000000002</v>
      </c>
      <c r="AC119" s="1">
        <v>0</v>
      </c>
      <c r="AD119" s="1">
        <v>-16.571390000000001</v>
      </c>
      <c r="AE119" s="40">
        <v>-17.31231</v>
      </c>
      <c r="AF119" s="1">
        <v>-1.7769699999999997</v>
      </c>
      <c r="AG119" s="1">
        <v>0.30508999999999992</v>
      </c>
      <c r="AH119" s="1">
        <v>-32.970239999999997</v>
      </c>
      <c r="AI119" s="1">
        <v>-2.0101300000000002</v>
      </c>
      <c r="AJ119" s="40">
        <f t="shared" si="294"/>
        <v>-36.452249999999992</v>
      </c>
      <c r="AK119" s="1">
        <v>7.0000000000000007E-5</v>
      </c>
      <c r="AL119" s="1">
        <v>0</v>
      </c>
      <c r="AM119" s="1">
        <v>-0.43339999999999995</v>
      </c>
      <c r="AN119" s="1">
        <v>-0.89736000000000005</v>
      </c>
      <c r="AO119" s="40">
        <f t="shared" si="295"/>
        <v>-1.3306899999999999</v>
      </c>
      <c r="AP119" s="1">
        <v>0</v>
      </c>
      <c r="AQ119" s="1">
        <v>-1.22434</v>
      </c>
      <c r="AR119" s="1">
        <v>0</v>
      </c>
      <c r="AS119" s="1">
        <v>0</v>
      </c>
      <c r="AT119" s="40">
        <f t="shared" si="296"/>
        <v>-1.22434</v>
      </c>
      <c r="AU119" s="1">
        <v>0</v>
      </c>
      <c r="AV119" s="1">
        <v>0</v>
      </c>
      <c r="AW119" s="1">
        <v>0</v>
      </c>
      <c r="AX119" s="1">
        <v>0</v>
      </c>
      <c r="AY119" s="40">
        <f t="shared" si="293"/>
        <v>0</v>
      </c>
      <c r="AZ119" s="8"/>
    </row>
    <row r="120" spans="1:52" ht="14.85" customHeight="1">
      <c r="A120" s="56" t="s">
        <v>709</v>
      </c>
      <c r="Q120" s="1">
        <v>-12844.88399</v>
      </c>
      <c r="R120" s="1">
        <v>-983.04862000000014</v>
      </c>
      <c r="S120" s="1">
        <v>-130.13472000000004</v>
      </c>
      <c r="T120" s="1">
        <v>-1008.6321499999999</v>
      </c>
      <c r="U120" s="40">
        <v>-14966.699479999999</v>
      </c>
      <c r="V120" s="1">
        <v>1211.74251</v>
      </c>
      <c r="W120" s="1">
        <v>-1339.4821799999997</v>
      </c>
      <c r="X120" s="1">
        <v>0</v>
      </c>
      <c r="Y120" s="1">
        <v>0</v>
      </c>
      <c r="Z120" s="40">
        <v>-127.73966999999971</v>
      </c>
      <c r="AA120" s="1">
        <v>0</v>
      </c>
      <c r="AB120" s="1">
        <v>0</v>
      </c>
      <c r="AC120" s="1">
        <v>0</v>
      </c>
      <c r="AD120" s="1">
        <v>0</v>
      </c>
      <c r="AE120" s="40">
        <v>0</v>
      </c>
      <c r="AF120" s="1">
        <v>0</v>
      </c>
      <c r="AG120" s="1">
        <v>0</v>
      </c>
      <c r="AH120" s="1">
        <v>0</v>
      </c>
      <c r="AI120" s="1">
        <v>0</v>
      </c>
      <c r="AJ120" s="40">
        <f t="shared" si="294"/>
        <v>0</v>
      </c>
      <c r="AK120" s="1">
        <v>0</v>
      </c>
      <c r="AL120" s="1">
        <v>0</v>
      </c>
      <c r="AM120" s="1">
        <v>0</v>
      </c>
      <c r="AN120" s="1">
        <v>0</v>
      </c>
      <c r="AO120" s="40">
        <f t="shared" si="295"/>
        <v>0</v>
      </c>
      <c r="AP120" s="1">
        <v>0</v>
      </c>
      <c r="AQ120" s="1">
        <v>0</v>
      </c>
      <c r="AR120" s="1">
        <v>0</v>
      </c>
      <c r="AS120" s="1">
        <v>0</v>
      </c>
      <c r="AT120" s="40">
        <f t="shared" si="296"/>
        <v>0</v>
      </c>
      <c r="AU120" s="1">
        <v>0</v>
      </c>
      <c r="AV120" s="1">
        <v>0</v>
      </c>
      <c r="AW120" s="1">
        <v>0</v>
      </c>
      <c r="AX120" s="1">
        <v>0</v>
      </c>
      <c r="AY120" s="40">
        <f t="shared" si="293"/>
        <v>0</v>
      </c>
      <c r="AZ120" s="8"/>
    </row>
    <row r="121" spans="1:52" ht="14.85" customHeight="1">
      <c r="A121" s="54" t="s">
        <v>710</v>
      </c>
      <c r="Q121" s="76">
        <v>76532.944279999952</v>
      </c>
      <c r="R121" s="76">
        <v>84608.783980000051</v>
      </c>
      <c r="S121" s="76">
        <v>93252.608509999918</v>
      </c>
      <c r="T121" s="76">
        <v>94157.631859999979</v>
      </c>
      <c r="U121" s="39">
        <v>348551.9686299999</v>
      </c>
      <c r="V121" s="76">
        <v>97302.89867999994</v>
      </c>
      <c r="W121" s="76">
        <v>109686.45170999996</v>
      </c>
      <c r="X121" s="76">
        <v>-437.28836000000001</v>
      </c>
      <c r="Y121" s="76">
        <v>122.92098999999999</v>
      </c>
      <c r="Z121" s="39">
        <v>206674.98301999993</v>
      </c>
      <c r="AA121" s="76">
        <v>-1.0692600000000001</v>
      </c>
      <c r="AB121" s="76">
        <v>0.32834000000000002</v>
      </c>
      <c r="AC121" s="76">
        <v>0</v>
      </c>
      <c r="AD121" s="76">
        <v>-70.17183</v>
      </c>
      <c r="AE121" s="39">
        <v>-70.912750000000003</v>
      </c>
      <c r="AF121" s="76">
        <f t="shared" ref="AF121:AI121" si="298">SUM(AF116:AF120)</f>
        <v>-18.89228</v>
      </c>
      <c r="AG121" s="76">
        <f t="shared" si="298"/>
        <v>0.30508999999999992</v>
      </c>
      <c r="AH121" s="76">
        <f t="shared" si="298"/>
        <v>-32.970239999999997</v>
      </c>
      <c r="AI121" s="76">
        <f t="shared" si="298"/>
        <v>-2.0101300000000002</v>
      </c>
      <c r="AJ121" s="39">
        <f t="shared" si="294"/>
        <v>-53.56756</v>
      </c>
      <c r="AK121" s="76">
        <f t="shared" ref="AK121:AN121" si="299">SUM(AK116:AK120)</f>
        <v>7.0000000000000007E-5</v>
      </c>
      <c r="AL121" s="76">
        <f t="shared" si="299"/>
        <v>0</v>
      </c>
      <c r="AM121" s="76">
        <f t="shared" si="299"/>
        <v>-0.43339999999999995</v>
      </c>
      <c r="AN121" s="76">
        <f t="shared" si="299"/>
        <v>-0.89736000000000005</v>
      </c>
      <c r="AO121" s="39">
        <f t="shared" si="295"/>
        <v>-1.3306899999999999</v>
      </c>
      <c r="AP121" s="76">
        <f t="shared" ref="AP121" si="300">SUM(AP116:AP120)</f>
        <v>0</v>
      </c>
      <c r="AQ121" s="76">
        <v>-1.22434</v>
      </c>
      <c r="AR121" s="76">
        <v>0</v>
      </c>
      <c r="AS121" s="76">
        <v>0</v>
      </c>
      <c r="AT121" s="39">
        <f t="shared" si="296"/>
        <v>-1.22434</v>
      </c>
      <c r="AU121" s="76">
        <v>0</v>
      </c>
      <c r="AV121" s="76">
        <v>0</v>
      </c>
      <c r="AW121" s="76">
        <v>0</v>
      </c>
      <c r="AX121" s="76">
        <v>0</v>
      </c>
      <c r="AY121" s="39">
        <f t="shared" si="293"/>
        <v>0</v>
      </c>
      <c r="AZ121" s="76"/>
    </row>
    <row r="122" spans="1:52" ht="14.85" customHeight="1">
      <c r="A122" s="17" t="s">
        <v>711</v>
      </c>
      <c r="Q122" s="18">
        <v>0.19619798577731928</v>
      </c>
      <c r="R122" s="18">
        <v>0.23055249934989486</v>
      </c>
      <c r="S122" s="18">
        <v>0.20600023726706856</v>
      </c>
      <c r="T122" s="18">
        <v>0.21476116981338936</v>
      </c>
      <c r="U122" s="46">
        <v>0.21205520691077201</v>
      </c>
      <c r="V122" s="18">
        <v>0.18444976342857705</v>
      </c>
      <c r="W122" s="18">
        <v>0.21203357953154991</v>
      </c>
      <c r="X122" s="18"/>
      <c r="Y122" s="18"/>
      <c r="Z122" s="46"/>
      <c r="AA122" s="18"/>
      <c r="AB122" s="18"/>
      <c r="AC122" s="169"/>
      <c r="AD122" s="169"/>
      <c r="AE122" s="46"/>
      <c r="AF122" s="18"/>
      <c r="AG122" s="18"/>
      <c r="AH122" s="169"/>
      <c r="AI122" s="169"/>
      <c r="AJ122" s="46">
        <f t="shared" si="294"/>
        <v>0</v>
      </c>
      <c r="AK122" s="169"/>
      <c r="AL122" s="169"/>
      <c r="AM122" s="169"/>
      <c r="AN122" s="169"/>
      <c r="AO122" s="46">
        <f t="shared" si="295"/>
        <v>0</v>
      </c>
      <c r="AP122" s="169"/>
      <c r="AQ122" s="169"/>
      <c r="AR122" s="169"/>
      <c r="AS122" s="169"/>
      <c r="AT122" s="46"/>
      <c r="AU122" s="169"/>
      <c r="AV122" s="169"/>
      <c r="AW122" s="169"/>
      <c r="AX122" s="169"/>
      <c r="AY122" s="46"/>
      <c r="AZ122" s="18"/>
    </row>
    <row r="123" spans="1:52" ht="14.85" customHeight="1" thickBot="1">
      <c r="A123" s="17" t="s">
        <v>712</v>
      </c>
      <c r="Q123" s="18">
        <v>0.40977482723702807</v>
      </c>
      <c r="R123" s="18">
        <v>0.40719657650912894</v>
      </c>
      <c r="S123" s="18">
        <v>0.41804713460382875</v>
      </c>
      <c r="T123" s="18">
        <v>0.42065041259490793</v>
      </c>
      <c r="U123" s="48">
        <v>0.41421075326646867</v>
      </c>
      <c r="V123" s="18">
        <v>0.41630136729659983</v>
      </c>
      <c r="W123" s="18">
        <v>0.39365198414677716</v>
      </c>
      <c r="X123" s="18"/>
      <c r="Y123" s="18"/>
      <c r="Z123" s="48"/>
      <c r="AA123" s="18"/>
      <c r="AB123" s="18"/>
      <c r="AC123" s="169"/>
      <c r="AD123" s="169"/>
      <c r="AE123" s="48"/>
      <c r="AF123" s="18"/>
      <c r="AG123" s="18"/>
      <c r="AH123" s="169"/>
      <c r="AI123" s="169"/>
      <c r="AJ123" s="48">
        <f t="shared" si="294"/>
        <v>0</v>
      </c>
      <c r="AK123" s="169"/>
      <c r="AL123" s="169"/>
      <c r="AM123" s="169"/>
      <c r="AN123" s="169"/>
      <c r="AO123" s="48">
        <f t="shared" si="295"/>
        <v>0</v>
      </c>
      <c r="AP123" s="169"/>
      <c r="AQ123" s="169"/>
      <c r="AR123" s="169"/>
      <c r="AS123" s="169"/>
      <c r="AT123" s="48"/>
      <c r="AU123" s="169"/>
      <c r="AV123" s="169"/>
      <c r="AW123" s="169"/>
      <c r="AX123" s="169"/>
      <c r="AY123" s="48"/>
      <c r="AZ123" s="18"/>
    </row>
    <row r="124" spans="1:52" ht="45.75" thickBot="1">
      <c r="A124" s="787" t="s">
        <v>727</v>
      </c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4.85" customHeight="1">
      <c r="A125" s="179" t="s">
        <v>728</v>
      </c>
      <c r="B125" s="180" t="s">
        <v>224</v>
      </c>
      <c r="C125" s="180" t="s">
        <v>225</v>
      </c>
      <c r="D125" s="180" t="s">
        <v>226</v>
      </c>
      <c r="E125" s="180" t="s">
        <v>227</v>
      </c>
      <c r="F125" s="181">
        <v>2016</v>
      </c>
      <c r="G125" s="180" t="s">
        <v>228</v>
      </c>
      <c r="H125" s="180" t="s">
        <v>229</v>
      </c>
      <c r="I125" s="180" t="s">
        <v>230</v>
      </c>
      <c r="J125" s="180" t="s">
        <v>231</v>
      </c>
      <c r="K125" s="181">
        <v>2017</v>
      </c>
      <c r="L125" s="180" t="s">
        <v>232</v>
      </c>
      <c r="M125" s="180" t="s">
        <v>233</v>
      </c>
      <c r="N125" s="180" t="s">
        <v>234</v>
      </c>
      <c r="O125" s="180" t="s">
        <v>235</v>
      </c>
      <c r="P125" s="181">
        <v>2018</v>
      </c>
      <c r="Q125" s="180" t="s">
        <v>236</v>
      </c>
      <c r="R125" s="180" t="s">
        <v>237</v>
      </c>
      <c r="S125" s="180" t="s">
        <v>238</v>
      </c>
      <c r="T125" s="180" t="s">
        <v>239</v>
      </c>
      <c r="U125" s="181">
        <v>2019</v>
      </c>
      <c r="V125" s="180" t="s">
        <v>240</v>
      </c>
      <c r="W125" s="180" t="s">
        <v>241</v>
      </c>
      <c r="X125" s="180" t="s">
        <v>242</v>
      </c>
      <c r="Y125" s="180" t="s">
        <v>243</v>
      </c>
      <c r="Z125" s="181">
        <v>2020</v>
      </c>
      <c r="AA125" s="180" t="s">
        <v>244</v>
      </c>
      <c r="AB125" s="180" t="s">
        <v>245</v>
      </c>
      <c r="AC125" s="180" t="s">
        <v>246</v>
      </c>
      <c r="AD125" s="180" t="s">
        <v>247</v>
      </c>
      <c r="AE125" s="181">
        <v>2021</v>
      </c>
      <c r="AF125" s="180" t="s">
        <v>248</v>
      </c>
      <c r="AG125" s="180" t="s">
        <v>249</v>
      </c>
      <c r="AH125" s="180" t="s">
        <v>250</v>
      </c>
      <c r="AI125" s="180" t="s">
        <v>215</v>
      </c>
      <c r="AJ125" s="181">
        <v>2022</v>
      </c>
      <c r="AK125" s="180" t="s">
        <v>252</v>
      </c>
      <c r="AL125" s="180" t="s">
        <v>253</v>
      </c>
      <c r="AM125" s="180" t="s">
        <v>254</v>
      </c>
      <c r="AN125" s="180" t="s">
        <v>219</v>
      </c>
      <c r="AO125" s="181">
        <v>2023</v>
      </c>
      <c r="AP125" s="180" t="s">
        <v>223</v>
      </c>
      <c r="AQ125" s="180" t="s">
        <v>256</v>
      </c>
      <c r="AR125" s="180" t="s">
        <v>357</v>
      </c>
      <c r="AS125" s="180" t="s">
        <v>358</v>
      </c>
      <c r="AT125" s="181">
        <v>2024</v>
      </c>
      <c r="AU125" s="180" t="s">
        <v>359</v>
      </c>
      <c r="AV125" s="180" t="s">
        <v>1115</v>
      </c>
      <c r="AW125" s="180" t="s">
        <v>1116</v>
      </c>
      <c r="AX125" s="180" t="s">
        <v>1117</v>
      </c>
      <c r="AY125" s="181" t="s">
        <v>1118</v>
      </c>
      <c r="AZ125" s="180" t="s">
        <v>1124</v>
      </c>
    </row>
    <row r="126" spans="1:52" ht="14.85" customHeight="1">
      <c r="A126" s="54" t="s">
        <v>707</v>
      </c>
      <c r="Q126" s="62"/>
      <c r="R126" s="62"/>
      <c r="S126" s="62"/>
      <c r="T126" s="62"/>
      <c r="U126" s="39"/>
      <c r="V126" s="62"/>
      <c r="W126" s="62"/>
      <c r="X126" s="62"/>
      <c r="Y126" s="62"/>
      <c r="Z126" s="39"/>
      <c r="AA126" s="76">
        <v>489909.61861</v>
      </c>
      <c r="AB126" s="76">
        <v>502908.06847000006</v>
      </c>
      <c r="AC126" s="76">
        <v>733824.24049</v>
      </c>
      <c r="AD126" s="76">
        <v>623947.28350999998</v>
      </c>
      <c r="AE126" s="39">
        <v>2350589.2110799998</v>
      </c>
      <c r="AF126" s="76">
        <v>471628.09183999995</v>
      </c>
      <c r="AG126" s="76">
        <v>650908.32926000014</v>
      </c>
      <c r="AH126" s="76">
        <v>804337.88849000016</v>
      </c>
      <c r="AI126" s="76">
        <v>352330.62292999995</v>
      </c>
      <c r="AJ126" s="39">
        <f>SUM(AF126:AI126)</f>
        <v>2279204.9325200003</v>
      </c>
      <c r="AK126" s="76">
        <v>576327.24041000009</v>
      </c>
      <c r="AL126" s="76">
        <v>540419.37689000007</v>
      </c>
      <c r="AM126" s="76">
        <v>545210.47421999997</v>
      </c>
      <c r="AN126" s="76">
        <v>570462.44377000001</v>
      </c>
      <c r="AO126" s="39">
        <f>SUM(AK126:AN126)</f>
        <v>2232419.53529</v>
      </c>
      <c r="AP126" s="76">
        <v>567627.78234000003</v>
      </c>
      <c r="AQ126" s="76">
        <v>580403.52081999998</v>
      </c>
      <c r="AR126" s="76">
        <v>393222.01745000004</v>
      </c>
      <c r="AS126" s="76">
        <v>0</v>
      </c>
      <c r="AT126" s="39">
        <f>SUM(AP126:AS126)</f>
        <v>1541253.3206100003</v>
      </c>
      <c r="AU126" s="76">
        <v>0</v>
      </c>
      <c r="AV126" s="76">
        <v>0</v>
      </c>
      <c r="AW126" s="76">
        <v>0</v>
      </c>
      <c r="AX126" s="76">
        <v>0</v>
      </c>
      <c r="AY126" s="39">
        <f t="shared" ref="AY126:AY133" si="301">SUM(AU126:AX126)</f>
        <v>0</v>
      </c>
      <c r="AZ126" s="76"/>
    </row>
    <row r="127" spans="1:52" ht="14.85" customHeight="1">
      <c r="A127" s="56" t="s">
        <v>443</v>
      </c>
      <c r="Q127" s="239"/>
      <c r="R127" s="239"/>
      <c r="S127" s="239"/>
      <c r="T127" s="239"/>
      <c r="U127" s="40"/>
      <c r="V127" s="239"/>
      <c r="W127" s="239"/>
      <c r="X127" s="239"/>
      <c r="Y127" s="239"/>
      <c r="Z127" s="40"/>
      <c r="AA127" s="1">
        <v>-475618.89085000003</v>
      </c>
      <c r="AB127" s="1">
        <v>-464415.20977000002</v>
      </c>
      <c r="AC127" s="1">
        <v>-660423.81359000003</v>
      </c>
      <c r="AD127" s="1">
        <v>-519768.36799</v>
      </c>
      <c r="AE127" s="40">
        <v>-2120226.2822000002</v>
      </c>
      <c r="AF127" s="1">
        <v>-339781.00983999996</v>
      </c>
      <c r="AG127" s="1">
        <v>-490547.90662999998</v>
      </c>
      <c r="AH127" s="1">
        <v>-601319.09378</v>
      </c>
      <c r="AI127" s="1">
        <v>-119111.01115000001</v>
      </c>
      <c r="AJ127" s="40">
        <f t="shared" ref="AJ127:AJ133" si="302">SUM(AF127:AI127)</f>
        <v>-1550759.0213999997</v>
      </c>
      <c r="AK127" s="1">
        <v>-326309.10131</v>
      </c>
      <c r="AL127" s="1">
        <v>-261826.84764000002</v>
      </c>
      <c r="AM127" s="1">
        <v>-243846.20945999998</v>
      </c>
      <c r="AN127" s="1">
        <v>-242125.65951999999</v>
      </c>
      <c r="AO127" s="40">
        <f t="shared" ref="AO127:AO133" si="303">SUM(AK127:AN127)</f>
        <v>-1074107.8179299999</v>
      </c>
      <c r="AP127" s="1">
        <v>-220565.81741000002</v>
      </c>
      <c r="AQ127" s="1">
        <v>-213000.95955999999</v>
      </c>
      <c r="AR127" s="1">
        <v>-134087.44979000001</v>
      </c>
      <c r="AS127" s="1">
        <v>0</v>
      </c>
      <c r="AT127" s="40">
        <f t="shared" ref="AT127:AT133" si="304">SUM(AP127:AS127)</f>
        <v>-567654.22675999999</v>
      </c>
      <c r="AU127" s="1">
        <v>0</v>
      </c>
      <c r="AV127" s="1">
        <v>0</v>
      </c>
      <c r="AW127" s="1">
        <v>0</v>
      </c>
      <c r="AX127" s="1">
        <v>0</v>
      </c>
      <c r="AY127" s="40">
        <f t="shared" si="301"/>
        <v>0</v>
      </c>
      <c r="AZ127" s="1"/>
    </row>
    <row r="128" spans="1:52" ht="14.85" customHeight="1">
      <c r="A128" s="54" t="s">
        <v>708</v>
      </c>
      <c r="Q128" s="76"/>
      <c r="R128" s="76"/>
      <c r="S128" s="76"/>
      <c r="T128" s="76"/>
      <c r="U128" s="39"/>
      <c r="V128" s="76"/>
      <c r="W128" s="76"/>
      <c r="X128" s="76"/>
      <c r="Y128" s="76"/>
      <c r="Z128" s="39"/>
      <c r="AA128" s="76">
        <v>14290.72775999998</v>
      </c>
      <c r="AB128" s="76">
        <v>38492.858700000041</v>
      </c>
      <c r="AC128" s="76">
        <v>73400.426899999962</v>
      </c>
      <c r="AD128" s="76">
        <v>104178.91551999998</v>
      </c>
      <c r="AE128" s="39">
        <v>230362.92887999996</v>
      </c>
      <c r="AF128" s="76">
        <f t="shared" ref="AF128:AN128" si="305">SUM(AF126:AF127)</f>
        <v>131847.08199999999</v>
      </c>
      <c r="AG128" s="76">
        <f t="shared" si="305"/>
        <v>160360.42263000016</v>
      </c>
      <c r="AH128" s="76">
        <f t="shared" si="305"/>
        <v>203018.79471000016</v>
      </c>
      <c r="AI128" s="76">
        <f t="shared" si="305"/>
        <v>233219.61177999995</v>
      </c>
      <c r="AJ128" s="39">
        <f t="shared" si="302"/>
        <v>728445.9111200003</v>
      </c>
      <c r="AK128" s="76">
        <f t="shared" si="305"/>
        <v>250018.13910000009</v>
      </c>
      <c r="AL128" s="76">
        <f t="shared" si="305"/>
        <v>278592.52925000002</v>
      </c>
      <c r="AM128" s="76">
        <f t="shared" si="305"/>
        <v>301364.26475999999</v>
      </c>
      <c r="AN128" s="76">
        <f t="shared" si="305"/>
        <v>328336.78425000003</v>
      </c>
      <c r="AO128" s="39">
        <f t="shared" si="303"/>
        <v>1158311.7173600001</v>
      </c>
      <c r="AP128" s="76">
        <f>SUM(AP126:AP127)</f>
        <v>347061.96493000002</v>
      </c>
      <c r="AQ128" s="76">
        <f>SUM(AQ126:AQ127)</f>
        <v>367402.56125999999</v>
      </c>
      <c r="AR128" s="76">
        <f>SUM(AR126:AR127)</f>
        <v>259134.56766000003</v>
      </c>
      <c r="AS128" s="76">
        <v>0</v>
      </c>
      <c r="AT128" s="39">
        <f t="shared" si="304"/>
        <v>973599.09385000006</v>
      </c>
      <c r="AU128" s="76">
        <v>0</v>
      </c>
      <c r="AV128" s="76">
        <v>0</v>
      </c>
      <c r="AW128" s="76">
        <v>0</v>
      </c>
      <c r="AX128" s="76">
        <v>0</v>
      </c>
      <c r="AY128" s="39">
        <f t="shared" si="301"/>
        <v>0</v>
      </c>
      <c r="AZ128" s="76"/>
    </row>
    <row r="129" spans="1:52" ht="14.85" customHeight="1">
      <c r="A129" s="56" t="s">
        <v>477</v>
      </c>
      <c r="U129" s="40"/>
      <c r="Z129" s="40"/>
      <c r="AA129" s="1">
        <v>-872.10314000000005</v>
      </c>
      <c r="AB129" s="1">
        <v>-4655.7350400000005</v>
      </c>
      <c r="AC129" s="1">
        <v>-4572.5443700000005</v>
      </c>
      <c r="AD129" s="1">
        <v>-10296.2436</v>
      </c>
      <c r="AE129" s="40">
        <v>-20396.626150000004</v>
      </c>
      <c r="AF129" s="1">
        <v>-19653.441280000003</v>
      </c>
      <c r="AG129" s="1">
        <v>-13302.24438</v>
      </c>
      <c r="AH129" s="1">
        <v>-20952.938539999999</v>
      </c>
      <c r="AI129" s="1">
        <v>-34459.311679999999</v>
      </c>
      <c r="AJ129" s="40">
        <f t="shared" si="302"/>
        <v>-88367.935880000005</v>
      </c>
      <c r="AK129" s="1">
        <v>-28397.44354</v>
      </c>
      <c r="AL129" s="1">
        <v>-49558.834600000002</v>
      </c>
      <c r="AM129" s="1">
        <v>-41730.946309999999</v>
      </c>
      <c r="AN129" s="1">
        <v>-44497.951959999991</v>
      </c>
      <c r="AO129" s="40">
        <f t="shared" si="303"/>
        <v>-164185.17641000001</v>
      </c>
      <c r="AP129" s="1">
        <v>-42994.112599999993</v>
      </c>
      <c r="AQ129" s="1">
        <v>-130864.41309999999</v>
      </c>
      <c r="AR129" s="1">
        <v>-40833.452589999994</v>
      </c>
      <c r="AS129" s="1">
        <v>0</v>
      </c>
      <c r="AT129" s="40">
        <f t="shared" si="304"/>
        <v>-214691.97829</v>
      </c>
      <c r="AU129" s="1">
        <v>0</v>
      </c>
      <c r="AV129" s="1">
        <v>0</v>
      </c>
      <c r="AW129" s="1">
        <v>0</v>
      </c>
      <c r="AX129" s="1">
        <v>0</v>
      </c>
      <c r="AY129" s="40">
        <f t="shared" si="301"/>
        <v>0</v>
      </c>
      <c r="AZ129" s="1"/>
    </row>
    <row r="130" spans="1:52" ht="14.85" customHeight="1">
      <c r="A130" s="56" t="s">
        <v>478</v>
      </c>
      <c r="U130" s="40"/>
      <c r="Z130" s="40"/>
      <c r="AA130" s="1">
        <v>-9723.5786700000008</v>
      </c>
      <c r="AB130" s="1">
        <v>-15889.602700000001</v>
      </c>
      <c r="AC130" s="1">
        <v>-32455.409250000001</v>
      </c>
      <c r="AD130" s="1">
        <v>-42148.238239999999</v>
      </c>
      <c r="AE130" s="40">
        <v>-100216.82886000001</v>
      </c>
      <c r="AF130" s="1">
        <v>-49939.04282000001</v>
      </c>
      <c r="AG130" s="1">
        <v>-62408.586579999988</v>
      </c>
      <c r="AH130" s="1">
        <v>-78193.552760000006</v>
      </c>
      <c r="AI130" s="1">
        <v>-86150.086789999987</v>
      </c>
      <c r="AJ130" s="40">
        <f t="shared" si="302"/>
        <v>-276691.26895</v>
      </c>
      <c r="AK130" s="1">
        <v>-93478.462719999981</v>
      </c>
      <c r="AL130" s="1">
        <v>-143064.40179</v>
      </c>
      <c r="AM130" s="1">
        <v>-118594.12207000001</v>
      </c>
      <c r="AN130" s="1">
        <v>-156603.5839</v>
      </c>
      <c r="AO130" s="40">
        <f t="shared" si="303"/>
        <v>-511740.57047999999</v>
      </c>
      <c r="AP130" s="1">
        <v>-134777.44602</v>
      </c>
      <c r="AQ130" s="1">
        <v>-145928.96713999999</v>
      </c>
      <c r="AR130" s="1">
        <v>-101195.85094000002</v>
      </c>
      <c r="AS130" s="1">
        <v>0</v>
      </c>
      <c r="AT130" s="40">
        <f t="shared" si="304"/>
        <v>-381902.26410000003</v>
      </c>
      <c r="AU130" s="1">
        <v>0</v>
      </c>
      <c r="AV130" s="1">
        <v>0</v>
      </c>
      <c r="AW130" s="1">
        <v>0</v>
      </c>
      <c r="AX130" s="1">
        <v>0</v>
      </c>
      <c r="AY130" s="40">
        <f t="shared" si="301"/>
        <v>0</v>
      </c>
      <c r="AZ130" s="1"/>
    </row>
    <row r="131" spans="1:52" ht="14.85" customHeight="1">
      <c r="A131" s="56" t="s">
        <v>479</v>
      </c>
      <c r="U131" s="40"/>
      <c r="Z131" s="40"/>
      <c r="AA131" s="1">
        <v>-462.07850000000002</v>
      </c>
      <c r="AB131" s="1">
        <v>6877.1785999999993</v>
      </c>
      <c r="AC131" s="1">
        <v>-9164.426660000001</v>
      </c>
      <c r="AD131" s="1">
        <v>-2685.3618000000006</v>
      </c>
      <c r="AE131" s="40">
        <v>-5434.6883600000019</v>
      </c>
      <c r="AF131" s="1">
        <v>-6559.2284200000013</v>
      </c>
      <c r="AG131" s="1">
        <v>-16196.290830000002</v>
      </c>
      <c r="AH131" s="1">
        <v>15247.06366</v>
      </c>
      <c r="AI131" s="1">
        <v>-3915.84647</v>
      </c>
      <c r="AJ131" s="40">
        <f t="shared" si="302"/>
        <v>-11424.302060000005</v>
      </c>
      <c r="AK131" s="345">
        <v>-3783.1458400000006</v>
      </c>
      <c r="AL131" s="1">
        <v>-4708.2266000000009</v>
      </c>
      <c r="AM131" s="1">
        <v>-4916.7480500000001</v>
      </c>
      <c r="AN131" s="1">
        <v>-6104.3117200000006</v>
      </c>
      <c r="AO131" s="40">
        <f t="shared" si="303"/>
        <v>-19512.432210000003</v>
      </c>
      <c r="AP131" s="1">
        <v>-4407.2041400000007</v>
      </c>
      <c r="AQ131" s="1">
        <v>-8081.2421599999998</v>
      </c>
      <c r="AR131" s="1">
        <v>-4290.3988300000001</v>
      </c>
      <c r="AS131" s="1">
        <v>0</v>
      </c>
      <c r="AT131" s="40">
        <f t="shared" si="304"/>
        <v>-16778.845130000002</v>
      </c>
      <c r="AU131" s="1">
        <v>0</v>
      </c>
      <c r="AV131" s="1">
        <v>0</v>
      </c>
      <c r="AW131" s="1">
        <v>-15.39137</v>
      </c>
      <c r="AX131" s="1">
        <v>15.39137</v>
      </c>
      <c r="AY131" s="40">
        <f t="shared" si="301"/>
        <v>0</v>
      </c>
      <c r="AZ131" s="1"/>
    </row>
    <row r="132" spans="1:52" ht="14.85" customHeight="1">
      <c r="A132" s="56" t="s">
        <v>709</v>
      </c>
      <c r="U132" s="40"/>
      <c r="Z132" s="40"/>
      <c r="AA132" s="1">
        <v>-169.97514999999999</v>
      </c>
      <c r="AB132" s="1">
        <v>-53.73216</v>
      </c>
      <c r="AC132" s="1">
        <v>-218.75013999999999</v>
      </c>
      <c r="AD132" s="1">
        <v>-164.24497</v>
      </c>
      <c r="AE132" s="40">
        <v>-606.70241999999996</v>
      </c>
      <c r="AF132" s="1">
        <v>-7.6108500000000001</v>
      </c>
      <c r="AG132" s="1">
        <v>-529.15604999999982</v>
      </c>
      <c r="AH132" s="1">
        <v>-931.56531000000007</v>
      </c>
      <c r="AI132" s="1">
        <v>-596.01950999999997</v>
      </c>
      <c r="AJ132" s="40">
        <f t="shared" si="302"/>
        <v>-2064.3517200000001</v>
      </c>
      <c r="AK132" s="1">
        <v>-1278.74938</v>
      </c>
      <c r="AL132" s="1">
        <v>-1231.3679599999998</v>
      </c>
      <c r="AM132" s="1">
        <v>-1247.9002799999998</v>
      </c>
      <c r="AN132" s="1">
        <v>3497.9013600000003</v>
      </c>
      <c r="AO132" s="40">
        <f t="shared" si="303"/>
        <v>-260.11625999999933</v>
      </c>
      <c r="AP132" s="1">
        <v>0</v>
      </c>
      <c r="AQ132" s="1">
        <v>-4680.8564800000004</v>
      </c>
      <c r="AR132" s="1">
        <v>0</v>
      </c>
      <c r="AS132" s="1">
        <v>0</v>
      </c>
      <c r="AT132" s="40">
        <f t="shared" si="304"/>
        <v>-4680.8564800000004</v>
      </c>
      <c r="AU132" s="1">
        <v>0</v>
      </c>
      <c r="AV132" s="1">
        <v>0</v>
      </c>
      <c r="AW132" s="1">
        <v>0</v>
      </c>
      <c r="AX132" s="1">
        <v>0</v>
      </c>
      <c r="AY132" s="40">
        <f t="shared" si="301"/>
        <v>0</v>
      </c>
      <c r="AZ132" s="1"/>
    </row>
    <row r="133" spans="1:52" ht="14.85" customHeight="1">
      <c r="A133" s="54" t="s">
        <v>710</v>
      </c>
      <c r="Q133" s="76"/>
      <c r="R133" s="76"/>
      <c r="S133" s="76"/>
      <c r="T133" s="76"/>
      <c r="U133" s="39"/>
      <c r="V133" s="76"/>
      <c r="W133" s="76"/>
      <c r="X133" s="76"/>
      <c r="Y133" s="76"/>
      <c r="Z133" s="39"/>
      <c r="AA133" s="76">
        <v>3062.9922999999799</v>
      </c>
      <c r="AB133" s="76">
        <v>24770.967400000038</v>
      </c>
      <c r="AC133" s="76">
        <v>26989.296479999961</v>
      </c>
      <c r="AD133" s="76">
        <v>48884.826909999982</v>
      </c>
      <c r="AE133" s="39">
        <v>103708.08308999996</v>
      </c>
      <c r="AF133" s="76">
        <f>SUM(AF128:AF132)</f>
        <v>55687.758629999989</v>
      </c>
      <c r="AG133" s="76">
        <f>SUM(AG128:AG132)</f>
        <v>67924.14479000018</v>
      </c>
      <c r="AH133" s="76">
        <f>SUM(AH128:AH132)</f>
        <v>118187.80176000015</v>
      </c>
      <c r="AI133" s="76">
        <f>SUM(AI128:AI132)</f>
        <v>108098.34732999995</v>
      </c>
      <c r="AJ133" s="39">
        <f t="shared" si="302"/>
        <v>349898.05251000024</v>
      </c>
      <c r="AK133" s="76">
        <f>SUM(AK128:AK132)</f>
        <v>123080.33762000011</v>
      </c>
      <c r="AL133" s="76">
        <f t="shared" ref="AL133:AN133" si="306">SUM(AL128:AL132)</f>
        <v>80029.698300000018</v>
      </c>
      <c r="AM133" s="76">
        <f t="shared" si="306"/>
        <v>134874.54804999998</v>
      </c>
      <c r="AN133" s="76">
        <f t="shared" si="306"/>
        <v>124628.83803000006</v>
      </c>
      <c r="AO133" s="39">
        <f t="shared" si="303"/>
        <v>462613.42200000014</v>
      </c>
      <c r="AP133" s="76">
        <f>SUM(AP128:AP132)</f>
        <v>164883.20217000003</v>
      </c>
      <c r="AQ133" s="76">
        <f>SUM(AQ128:AQ132)</f>
        <v>77847.082379999993</v>
      </c>
      <c r="AR133" s="76">
        <f>SUM(AR128:AR132)</f>
        <v>112814.8653</v>
      </c>
      <c r="AS133" s="76">
        <v>0</v>
      </c>
      <c r="AT133" s="39">
        <f t="shared" si="304"/>
        <v>355545.14985000005</v>
      </c>
      <c r="AU133" s="76">
        <v>0</v>
      </c>
      <c r="AV133" s="76">
        <v>0</v>
      </c>
      <c r="AW133" s="76">
        <v>0</v>
      </c>
      <c r="AX133" s="76">
        <v>0</v>
      </c>
      <c r="AY133" s="39">
        <f t="shared" si="301"/>
        <v>0</v>
      </c>
      <c r="AZ133" s="76"/>
    </row>
    <row r="134" spans="1:52" ht="14.85" customHeight="1">
      <c r="A134" s="17" t="s">
        <v>711</v>
      </c>
      <c r="Q134" s="18"/>
      <c r="R134" s="18"/>
      <c r="S134" s="18"/>
      <c r="T134" s="18"/>
      <c r="U134" s="46"/>
      <c r="V134" s="18"/>
      <c r="W134" s="18"/>
      <c r="X134" s="18"/>
      <c r="Y134" s="18"/>
      <c r="Z134" s="46"/>
      <c r="AA134" s="18">
        <v>6.1025803209339237E-2</v>
      </c>
      <c r="AB134" s="18">
        <v>0.12095061778303297</v>
      </c>
      <c r="AC134" s="169">
        <v>6.2295882505282854E-2</v>
      </c>
      <c r="AD134" s="169">
        <v>9.8832316967470787E-2</v>
      </c>
      <c r="AE134" s="46">
        <v>8.8541269418505084E-2</v>
      </c>
      <c r="AF134" s="18">
        <f t="shared" ref="AF134" si="307">-AF129/AF128</f>
        <v>0.1490623909295164</v>
      </c>
      <c r="AG134" s="169">
        <f>-AG129/AG128</f>
        <v>8.2952165888788454E-2</v>
      </c>
      <c r="AH134" s="169">
        <f>-AH129/AH128</f>
        <v>0.1032068906227622</v>
      </c>
      <c r="AI134" s="169">
        <f>-AI129/AI128</f>
        <v>0.14775477678312088</v>
      </c>
      <c r="AJ134" s="46">
        <f>-AJ129/AJ128</f>
        <v>0.12131022294315925</v>
      </c>
      <c r="AK134" s="169">
        <f>-AK129/AK128</f>
        <v>0.11358153309285227</v>
      </c>
      <c r="AL134" s="169">
        <f t="shared" ref="AL134:AN134" si="308">-AL129/AL128</f>
        <v>0.1778900343574091</v>
      </c>
      <c r="AM134" s="169">
        <f t="shared" si="308"/>
        <v>0.13847343958725042</v>
      </c>
      <c r="AN134" s="169">
        <f t="shared" si="308"/>
        <v>0.13552533281229512</v>
      </c>
      <c r="AO134" s="46">
        <f>-AO129/AO128</f>
        <v>0.14174524348610359</v>
      </c>
      <c r="AP134" s="169">
        <f>-AP129/AP128</f>
        <v>0.12388022008885821</v>
      </c>
      <c r="AQ134" s="169">
        <f>-AQ129/AQ128</f>
        <v>0.35618808059258761</v>
      </c>
      <c r="AR134" s="169">
        <f>-AR129/AR128</f>
        <v>0.1575762468077046</v>
      </c>
      <c r="AS134" s="169"/>
      <c r="AT134" s="46">
        <f>-AT129/AT128</f>
        <v>0.22051374086742634</v>
      </c>
      <c r="AU134" s="169"/>
      <c r="AV134" s="169"/>
      <c r="AW134" s="169"/>
      <c r="AX134" s="169"/>
      <c r="AY134" s="46"/>
      <c r="AZ134" s="18"/>
    </row>
    <row r="135" spans="1:52" ht="14.85" customHeight="1" thickBot="1">
      <c r="A135" s="17" t="s">
        <v>712</v>
      </c>
      <c r="Q135" s="18"/>
      <c r="R135" s="18"/>
      <c r="S135" s="18"/>
      <c r="T135" s="18"/>
      <c r="U135" s="48"/>
      <c r="V135" s="18"/>
      <c r="W135" s="18"/>
      <c r="X135" s="18"/>
      <c r="Y135" s="18"/>
      <c r="Z135" s="48"/>
      <c r="AA135" s="18">
        <v>0.68041172103330405</v>
      </c>
      <c r="AB135" s="18">
        <v>0.41279352162015404</v>
      </c>
      <c r="AC135" s="169">
        <v>0.44216921645724133</v>
      </c>
      <c r="AD135" s="169">
        <v>0.4045755134771824</v>
      </c>
      <c r="AE135" s="48">
        <v>0.43503887256184648</v>
      </c>
      <c r="AF135" s="18">
        <f t="shared" ref="AF135" si="309">-AF130/AF128</f>
        <v>0.37876486959339767</v>
      </c>
      <c r="AG135" s="169">
        <f>-AG130/AG128</f>
        <v>0.38917698991100447</v>
      </c>
      <c r="AH135" s="169">
        <f>-AH130/AH128</f>
        <v>0.38515425565251077</v>
      </c>
      <c r="AI135" s="169">
        <f>-AI130/AI128</f>
        <v>0.36939469254955642</v>
      </c>
      <c r="AJ135" s="48">
        <f>-AJ130/AJ128</f>
        <v>0.37983776794708285</v>
      </c>
      <c r="AK135" s="169">
        <f>-AK130/AK128</f>
        <v>0.37388672300537074</v>
      </c>
      <c r="AL135" s="169">
        <f t="shared" ref="AL135:AN135" si="310">-AL130/AL128</f>
        <v>0.51352562172124361</v>
      </c>
      <c r="AM135" s="169">
        <f t="shared" si="310"/>
        <v>0.39352416971018717</v>
      </c>
      <c r="AN135" s="169">
        <f t="shared" si="310"/>
        <v>0.47696021710671299</v>
      </c>
      <c r="AO135" s="48">
        <f>-AO130/AO128</f>
        <v>0.44179866508330629</v>
      </c>
      <c r="AP135" s="169">
        <f>-AP130/AP128</f>
        <v>0.3883382785756534</v>
      </c>
      <c r="AQ135" s="169">
        <f>-AQ130/AQ128</f>
        <v>0.39719093584851289</v>
      </c>
      <c r="AR135" s="169">
        <f>-AR130/AR128</f>
        <v>0.39051467295083148</v>
      </c>
      <c r="AS135" s="169"/>
      <c r="AT135" s="48">
        <f>-AT130/AT128</f>
        <v>0.39225823700164492</v>
      </c>
      <c r="AU135" s="169"/>
      <c r="AV135" s="169"/>
      <c r="AW135" s="169"/>
      <c r="AX135" s="169"/>
      <c r="AY135" s="48"/>
      <c r="AZ135" s="18"/>
    </row>
    <row r="136" spans="1:52" ht="30.75" thickBot="1">
      <c r="A136" s="787" t="s">
        <v>729</v>
      </c>
      <c r="Q136" s="18"/>
      <c r="R136" s="18"/>
      <c r="S136" s="18"/>
      <c r="T136" s="18"/>
      <c r="U136" s="18"/>
      <c r="V136" s="18"/>
      <c r="W136" s="18"/>
      <c r="X136" s="18"/>
      <c r="Y136" s="18"/>
      <c r="Z136"/>
      <c r="AA136" s="18"/>
      <c r="AB136" s="18"/>
      <c r="AC136" s="18"/>
      <c r="AD136" s="18"/>
      <c r="AE136"/>
      <c r="AF136" s="18"/>
      <c r="AG136" s="18"/>
      <c r="AH136" s="18"/>
      <c r="AI136" s="18"/>
      <c r="AJ136"/>
      <c r="AK136" s="18"/>
      <c r="AL136" s="18"/>
      <c r="AM136" s="18"/>
      <c r="AN136" s="18"/>
      <c r="AO136"/>
      <c r="AP136" s="18"/>
      <c r="AQ136" s="18"/>
      <c r="AR136" s="18"/>
      <c r="AS136" s="18"/>
      <c r="AT136"/>
      <c r="AU136" s="799"/>
      <c r="AV136" s="799"/>
      <c r="AW136" s="799"/>
      <c r="AX136" s="799"/>
      <c r="AY136"/>
      <c r="AZ136"/>
    </row>
    <row r="137" spans="1:52" s="30" customFormat="1" ht="24.4" customHeight="1">
      <c r="A137" s="625" t="s">
        <v>730</v>
      </c>
      <c r="B137" s="626" t="s">
        <v>224</v>
      </c>
      <c r="C137" s="626" t="s">
        <v>225</v>
      </c>
      <c r="D137" s="626" t="s">
        <v>226</v>
      </c>
      <c r="E137" s="626" t="s">
        <v>227</v>
      </c>
      <c r="F137" s="652">
        <v>2016</v>
      </c>
      <c r="G137" s="626" t="s">
        <v>228</v>
      </c>
      <c r="H137" s="626" t="s">
        <v>229</v>
      </c>
      <c r="I137" s="626" t="s">
        <v>230</v>
      </c>
      <c r="J137" s="626" t="s">
        <v>231</v>
      </c>
      <c r="K137" s="652">
        <v>2017</v>
      </c>
      <c r="L137" s="626" t="s">
        <v>232</v>
      </c>
      <c r="M137" s="626" t="s">
        <v>233</v>
      </c>
      <c r="N137" s="626" t="s">
        <v>234</v>
      </c>
      <c r="O137" s="626" t="s">
        <v>235</v>
      </c>
      <c r="P137" s="652">
        <v>2018</v>
      </c>
      <c r="Q137" s="626" t="s">
        <v>236</v>
      </c>
      <c r="R137" s="626" t="s">
        <v>237</v>
      </c>
      <c r="S137" s="626" t="s">
        <v>238</v>
      </c>
      <c r="T137" s="626" t="s">
        <v>239</v>
      </c>
      <c r="U137" s="652">
        <v>2019</v>
      </c>
      <c r="V137" s="626" t="s">
        <v>240</v>
      </c>
      <c r="W137" s="626" t="s">
        <v>241</v>
      </c>
      <c r="X137" s="626" t="s">
        <v>242</v>
      </c>
      <c r="Y137" s="626" t="s">
        <v>243</v>
      </c>
      <c r="Z137" s="652">
        <v>2020</v>
      </c>
      <c r="AA137" s="626" t="s">
        <v>244</v>
      </c>
      <c r="AB137" s="626" t="s">
        <v>245</v>
      </c>
      <c r="AC137" s="626" t="s">
        <v>246</v>
      </c>
      <c r="AD137" s="626" t="s">
        <v>247</v>
      </c>
      <c r="AE137" s="652">
        <v>2021</v>
      </c>
      <c r="AF137" s="626" t="s">
        <v>248</v>
      </c>
      <c r="AG137" s="626" t="s">
        <v>249</v>
      </c>
      <c r="AH137" s="626" t="s">
        <v>250</v>
      </c>
      <c r="AI137" s="626" t="s">
        <v>215</v>
      </c>
      <c r="AJ137" s="652">
        <v>2022</v>
      </c>
      <c r="AK137" s="626" t="s">
        <v>252</v>
      </c>
      <c r="AL137" s="626" t="s">
        <v>253</v>
      </c>
      <c r="AM137" s="626" t="s">
        <v>254</v>
      </c>
      <c r="AN137" s="626" t="s">
        <v>219</v>
      </c>
      <c r="AO137" s="652">
        <v>2023</v>
      </c>
      <c r="AP137" s="626" t="s">
        <v>223</v>
      </c>
      <c r="AQ137" s="626" t="s">
        <v>256</v>
      </c>
      <c r="AR137" s="626" t="s">
        <v>357</v>
      </c>
      <c r="AS137" s="626" t="s">
        <v>358</v>
      </c>
      <c r="AT137" s="652">
        <v>2024</v>
      </c>
      <c r="AU137" s="626" t="s">
        <v>359</v>
      </c>
      <c r="AV137" s="626" t="s">
        <v>1115</v>
      </c>
      <c r="AW137" s="626" t="s">
        <v>1116</v>
      </c>
      <c r="AX137" s="626" t="s">
        <v>1117</v>
      </c>
      <c r="AY137" s="653" t="s">
        <v>1118</v>
      </c>
      <c r="AZ137" s="645" t="s">
        <v>1124</v>
      </c>
    </row>
    <row r="138" spans="1:52" ht="14.85" customHeight="1">
      <c r="A138" s="54" t="s">
        <v>707</v>
      </c>
      <c r="B138" s="76"/>
      <c r="C138" s="76"/>
      <c r="D138" s="76"/>
      <c r="E138" s="76"/>
      <c r="F138" s="39"/>
      <c r="G138" s="76">
        <v>292817.92835</v>
      </c>
      <c r="H138" s="76">
        <v>343271.88003000012</v>
      </c>
      <c r="I138" s="76">
        <v>338200.88736000005</v>
      </c>
      <c r="J138" s="76">
        <v>347191.28774</v>
      </c>
      <c r="K138" s="39">
        <f>SUM(G138:J138)</f>
        <v>1321481.9834800002</v>
      </c>
      <c r="L138" s="76">
        <v>324612.88141999999</v>
      </c>
      <c r="M138" s="76">
        <v>353901.60060000006</v>
      </c>
      <c r="N138" s="76">
        <v>348257.21578000003</v>
      </c>
      <c r="O138" s="76">
        <v>380296.59577999992</v>
      </c>
      <c r="P138" s="39">
        <f>SUM(L138:O138)</f>
        <v>1407068.2935799998</v>
      </c>
      <c r="Q138" s="76">
        <v>376073.20525999996</v>
      </c>
      <c r="R138" s="76">
        <v>415504.66990000004</v>
      </c>
      <c r="S138" s="76">
        <v>419398.50891000009</v>
      </c>
      <c r="T138" s="76">
        <v>496871.26712999982</v>
      </c>
      <c r="U138" s="39">
        <v>1707847.6512</v>
      </c>
      <c r="V138" s="76">
        <v>454307.4857299999</v>
      </c>
      <c r="W138" s="76">
        <v>406366.28362</v>
      </c>
      <c r="X138" s="76">
        <v>578611.40074000007</v>
      </c>
      <c r="Y138" s="76">
        <v>488764.80851999996</v>
      </c>
      <c r="Z138" s="39">
        <v>1928049.9786100001</v>
      </c>
      <c r="AA138" s="76">
        <v>469124.96639999992</v>
      </c>
      <c r="AB138" s="76">
        <v>500429.43481000012</v>
      </c>
      <c r="AC138" s="76">
        <v>514362.10989000008</v>
      </c>
      <c r="AD138" s="76">
        <v>536480.23226999992</v>
      </c>
      <c r="AE138" s="39">
        <v>2020396.7433700003</v>
      </c>
      <c r="AF138" s="76">
        <f t="shared" ref="AF138:AI139" si="311">AF150+AF162+AF174</f>
        <v>496178.70576000004</v>
      </c>
      <c r="AG138" s="76">
        <f t="shared" si="311"/>
        <v>505759.78264000005</v>
      </c>
      <c r="AH138" s="76">
        <f t="shared" si="311"/>
        <v>574983.73546999996</v>
      </c>
      <c r="AI138" s="76">
        <f t="shared" si="311"/>
        <v>555931.78888999997</v>
      </c>
      <c r="AJ138" s="39">
        <f>SUM(AF138:AI138)</f>
        <v>2132854.0127600003</v>
      </c>
      <c r="AK138" s="76">
        <f>AK150+AK162+AK174</f>
        <v>568161.24448999995</v>
      </c>
      <c r="AL138" s="76">
        <v>586804.81395999994</v>
      </c>
      <c r="AM138" s="76">
        <v>607966.24141999986</v>
      </c>
      <c r="AN138" s="76">
        <v>636312.27737000003</v>
      </c>
      <c r="AO138" s="39">
        <f>SUM(AK138:AN138)</f>
        <v>2399244.5772399995</v>
      </c>
      <c r="AP138" s="76">
        <f t="shared" ref="AP138:AS139" si="312">AP150+AP162+AP174</f>
        <v>558173.02398000006</v>
      </c>
      <c r="AQ138" s="76">
        <f t="shared" si="312"/>
        <v>589982.05826000008</v>
      </c>
      <c r="AR138" s="76">
        <f t="shared" si="312"/>
        <v>580437.34102000005</v>
      </c>
      <c r="AS138" s="76">
        <f t="shared" si="312"/>
        <v>585428.67000000004</v>
      </c>
      <c r="AT138" s="39">
        <f>SUM(AP138:AS138)</f>
        <v>2314021.09326</v>
      </c>
      <c r="AU138" s="76">
        <f t="shared" ref="AU138:AX139" si="313">AU150+AU162+AU174</f>
        <v>557391.83071000013</v>
      </c>
      <c r="AV138" s="76">
        <f t="shared" si="313"/>
        <v>596405.81059000001</v>
      </c>
      <c r="AW138" s="76">
        <f t="shared" si="313"/>
        <v>595664.76727000007</v>
      </c>
      <c r="AX138" s="76">
        <f t="shared" si="313"/>
        <v>591276.2203599998</v>
      </c>
      <c r="AY138" s="39">
        <f t="shared" ref="AY138:AY145" si="314">SUM(AU138:AX138)</f>
        <v>2340738.6289300001</v>
      </c>
      <c r="AZ138" s="76">
        <f>AZ150+AZ162+AZ174</f>
        <v>551846.93056000001</v>
      </c>
    </row>
    <row r="139" spans="1:52" ht="14.85" customHeight="1">
      <c r="A139" s="56" t="s">
        <v>443</v>
      </c>
      <c r="B139" s="8"/>
      <c r="C139" s="8"/>
      <c r="D139" s="8"/>
      <c r="E139" s="8"/>
      <c r="F139" s="40"/>
      <c r="G139" s="8">
        <v>216.53485000001638</v>
      </c>
      <c r="H139" s="8">
        <v>-29541.487239999966</v>
      </c>
      <c r="I139" s="8">
        <v>-16940.656259999971</v>
      </c>
      <c r="J139" s="8">
        <v>-21303.0801499999</v>
      </c>
      <c r="K139" s="40">
        <f t="shared" ref="K139:K144" si="315">SUM(G139:J139)</f>
        <v>-67568.688799999829</v>
      </c>
      <c r="L139" s="8">
        <v>21781.594740000099</v>
      </c>
      <c r="M139" s="8">
        <v>-10369.028840000065</v>
      </c>
      <c r="N139" s="8">
        <v>13054.940310000056</v>
      </c>
      <c r="O139" s="8">
        <v>-7572.5243499999988</v>
      </c>
      <c r="P139" s="40">
        <f t="shared" ref="P139:P144" si="316">SUM(L139:O139)</f>
        <v>16894.981860000091</v>
      </c>
      <c r="Q139" s="1">
        <v>24088.996220000005</v>
      </c>
      <c r="R139" s="1">
        <v>-17206.098679999999</v>
      </c>
      <c r="S139" s="1">
        <v>25710.920889999998</v>
      </c>
      <c r="T139" s="1">
        <v>-69010.433900000018</v>
      </c>
      <c r="U139" s="40">
        <v>-36416.615470000019</v>
      </c>
      <c r="V139" s="1">
        <v>16685.85701</v>
      </c>
      <c r="W139" s="1">
        <v>48580.886449999984</v>
      </c>
      <c r="X139" s="1">
        <v>-108396.12227000002</v>
      </c>
      <c r="Y139" s="1">
        <v>8048.636889999997</v>
      </c>
      <c r="Z139" s="40">
        <v>-35080.741920000044</v>
      </c>
      <c r="AA139" s="1">
        <v>33085.589210000006</v>
      </c>
      <c r="AB139" s="1">
        <v>11521.575650000013</v>
      </c>
      <c r="AC139" s="1">
        <v>18763.736119999987</v>
      </c>
      <c r="AD139" s="1">
        <v>5409.0183400000024</v>
      </c>
      <c r="AE139" s="40">
        <v>68779.919320000015</v>
      </c>
      <c r="AF139" s="1">
        <f t="shared" si="311"/>
        <v>42270.980989999982</v>
      </c>
      <c r="AG139" s="1">
        <f t="shared" si="311"/>
        <v>40389.218130000008</v>
      </c>
      <c r="AH139" s="1">
        <f t="shared" si="311"/>
        <v>-24578.02896</v>
      </c>
      <c r="AI139" s="1">
        <f t="shared" si="311"/>
        <v>-2778.8778100000018</v>
      </c>
      <c r="AJ139" s="40">
        <f t="shared" ref="AJ139:AJ145" si="317">SUM(AF139:AI139)</f>
        <v>55303.292349999989</v>
      </c>
      <c r="AK139" s="1">
        <f>AK151+AK163+AK175</f>
        <v>-8084.672209999997</v>
      </c>
      <c r="AL139" s="1">
        <v>2336.2386599999954</v>
      </c>
      <c r="AM139" s="1">
        <v>-51220.985130000001</v>
      </c>
      <c r="AN139" s="1">
        <f>SUM(AN151,AN163,AN175)</f>
        <v>-79977.445099999997</v>
      </c>
      <c r="AO139" s="40">
        <f t="shared" ref="AO139:AO145" si="318">SUM(AK139:AN139)</f>
        <v>-136946.86378000001</v>
      </c>
      <c r="AP139" s="1">
        <f t="shared" si="312"/>
        <v>-9677.2008999999998</v>
      </c>
      <c r="AQ139" s="1">
        <f t="shared" si="312"/>
        <v>-47038.031429999995</v>
      </c>
      <c r="AR139" s="1">
        <f t="shared" si="312"/>
        <v>-38984.035250000001</v>
      </c>
      <c r="AS139" s="1">
        <f t="shared" si="312"/>
        <v>-40792.870999999999</v>
      </c>
      <c r="AT139" s="40">
        <f t="shared" ref="AT139:AT145" si="319">SUM(AP139:AS139)</f>
        <v>-136492.13858</v>
      </c>
      <c r="AU139" s="1">
        <f t="shared" si="313"/>
        <v>-12774.171539999996</v>
      </c>
      <c r="AV139" s="1">
        <f t="shared" si="313"/>
        <v>-39290.154690000003</v>
      </c>
      <c r="AW139" s="1">
        <f t="shared" si="313"/>
        <v>-33704.777930000004</v>
      </c>
      <c r="AX139" s="1">
        <f t="shared" si="313"/>
        <v>-17437.062649999993</v>
      </c>
      <c r="AY139" s="40">
        <f t="shared" si="314"/>
        <v>-103206.16681</v>
      </c>
      <c r="AZ139" s="1">
        <f>AZ151+AZ163+AZ175</f>
        <v>15087.358360000011</v>
      </c>
    </row>
    <row r="140" spans="1:52" ht="14.85" customHeight="1">
      <c r="A140" s="54" t="s">
        <v>708</v>
      </c>
      <c r="B140" s="76"/>
      <c r="C140" s="76"/>
      <c r="D140" s="76"/>
      <c r="E140" s="76"/>
      <c r="F140" s="39"/>
      <c r="G140" s="76">
        <f t="shared" ref="G140" si="320">SUM(G138:G139)</f>
        <v>293034.4632</v>
      </c>
      <c r="H140" s="76">
        <f t="shared" ref="H140" si="321">SUM(H138:H139)</f>
        <v>313730.39279000013</v>
      </c>
      <c r="I140" s="76">
        <f t="shared" ref="I140" si="322">SUM(I138:I139)</f>
        <v>321260.23110000009</v>
      </c>
      <c r="J140" s="76">
        <f t="shared" ref="J140" si="323">SUM(J138:J139)</f>
        <v>325888.20759000012</v>
      </c>
      <c r="K140" s="39">
        <f t="shared" si="315"/>
        <v>1253913.2946800003</v>
      </c>
      <c r="L140" s="76">
        <f t="shared" ref="L140" si="324">SUM(L138:L139)</f>
        <v>346394.47616000008</v>
      </c>
      <c r="M140" s="76">
        <f t="shared" ref="M140" si="325">SUM(M138:M139)</f>
        <v>343532.57176000002</v>
      </c>
      <c r="N140" s="76">
        <f t="shared" ref="N140" si="326">SUM(N138:N139)</f>
        <v>361312.15609000006</v>
      </c>
      <c r="O140" s="76">
        <f t="shared" ref="O140" si="327">SUM(O138:O139)</f>
        <v>372724.07142999989</v>
      </c>
      <c r="P140" s="39">
        <f t="shared" si="316"/>
        <v>1423963.27544</v>
      </c>
      <c r="Q140" s="76">
        <v>400162.20147999999</v>
      </c>
      <c r="R140" s="76">
        <v>398298.57122000004</v>
      </c>
      <c r="S140" s="76">
        <v>445109.4298000001</v>
      </c>
      <c r="T140" s="76">
        <v>427860.83322999981</v>
      </c>
      <c r="U140" s="39">
        <v>1671431.0357299999</v>
      </c>
      <c r="V140" s="76">
        <v>470993.34273999988</v>
      </c>
      <c r="W140" s="76">
        <v>454947.17006999999</v>
      </c>
      <c r="X140" s="76">
        <v>470215.27847000002</v>
      </c>
      <c r="Y140" s="76">
        <v>496813.44540999999</v>
      </c>
      <c r="Z140" s="39">
        <v>1892969.2366899999</v>
      </c>
      <c r="AA140" s="76">
        <v>502210.55560999992</v>
      </c>
      <c r="AB140" s="76">
        <v>511951.01046000014</v>
      </c>
      <c r="AC140" s="76">
        <v>533125.8460100001</v>
      </c>
      <c r="AD140" s="76">
        <v>541889.25060999987</v>
      </c>
      <c r="AE140" s="39">
        <v>2089176.6626900001</v>
      </c>
      <c r="AF140" s="76">
        <f>SUM(AF138:AF139)</f>
        <v>538449.68674999999</v>
      </c>
      <c r="AG140" s="76">
        <f>SUM(AG138:AG139)</f>
        <v>546149.00077000004</v>
      </c>
      <c r="AH140" s="76">
        <f>SUM(AH138:AH139)</f>
        <v>550405.70650999993</v>
      </c>
      <c r="AI140" s="76">
        <f>SUM(AI138:AI139)</f>
        <v>553152.91107999999</v>
      </c>
      <c r="AJ140" s="39">
        <f t="shared" si="317"/>
        <v>2188157.3051100001</v>
      </c>
      <c r="AK140" s="76">
        <f>SUM(AK138:AK139)</f>
        <v>560076.57227999996</v>
      </c>
      <c r="AL140" s="76">
        <f t="shared" ref="AL140:AN140" si="328">SUM(AL138:AL139)</f>
        <v>589141.05261999997</v>
      </c>
      <c r="AM140" s="76">
        <f t="shared" si="328"/>
        <v>556745.25628999982</v>
      </c>
      <c r="AN140" s="76">
        <f t="shared" si="328"/>
        <v>556334.83227000001</v>
      </c>
      <c r="AO140" s="39">
        <f t="shared" si="318"/>
        <v>2262297.7134599998</v>
      </c>
      <c r="AP140" s="76">
        <f>SUM(AP138:AP139)</f>
        <v>548495.82308</v>
      </c>
      <c r="AQ140" s="76">
        <f>SUM(AQ138:AQ139)</f>
        <v>542944.0268300001</v>
      </c>
      <c r="AR140" s="76">
        <f>SUM(AR138:AR139)</f>
        <v>541453.30577000009</v>
      </c>
      <c r="AS140" s="76">
        <f>SUM(AS138:AS139)</f>
        <v>544635.799</v>
      </c>
      <c r="AT140" s="39">
        <f t="shared" si="319"/>
        <v>2177528.9546800004</v>
      </c>
      <c r="AU140" s="76">
        <f>SUM(AU138:AU139)</f>
        <v>544617.65917000012</v>
      </c>
      <c r="AV140" s="76">
        <f>SUM(AV138:AV139)</f>
        <v>557115.65590000001</v>
      </c>
      <c r="AW140" s="76">
        <f>SUM(AW138:AW139)</f>
        <v>561959.98934000009</v>
      </c>
      <c r="AX140" s="76">
        <f>SUM(AX138:AX139)</f>
        <v>573839.15770999982</v>
      </c>
      <c r="AY140" s="39">
        <f t="shared" si="314"/>
        <v>2237532.4621199998</v>
      </c>
      <c r="AZ140" s="76">
        <f>SUM(AZ138:AZ139)</f>
        <v>566934.28891999996</v>
      </c>
    </row>
    <row r="141" spans="1:52" ht="14.85" customHeight="1">
      <c r="A141" s="56" t="s">
        <v>477</v>
      </c>
      <c r="B141" s="8"/>
      <c r="C141" s="8"/>
      <c r="D141" s="8"/>
      <c r="E141" s="8"/>
      <c r="F141" s="40"/>
      <c r="G141" s="8">
        <v>-67985.238670000021</v>
      </c>
      <c r="H141" s="8">
        <v>-68031.385040000008</v>
      </c>
      <c r="I141" s="8">
        <v>-101493.81909000002</v>
      </c>
      <c r="J141" s="8">
        <v>-53857.009979999981</v>
      </c>
      <c r="K141" s="40">
        <f t="shared" si="315"/>
        <v>-291367.45277999999</v>
      </c>
      <c r="L141" s="8">
        <v>-59701.02310000002</v>
      </c>
      <c r="M141" s="8">
        <v>-100773.73054999999</v>
      </c>
      <c r="N141" s="8">
        <v>-87380.660969999997</v>
      </c>
      <c r="O141" s="8">
        <v>-63064.431260000005</v>
      </c>
      <c r="P141" s="40">
        <f t="shared" si="316"/>
        <v>-310919.84588000004</v>
      </c>
      <c r="Q141" s="1">
        <v>-81125.952929999985</v>
      </c>
      <c r="R141" s="1">
        <v>-74851.964460000003</v>
      </c>
      <c r="S141" s="1">
        <v>-71454.64052000003</v>
      </c>
      <c r="T141" s="1">
        <v>-46487.504829999998</v>
      </c>
      <c r="U141" s="40">
        <v>-273920.06274000002</v>
      </c>
      <c r="V141" s="1">
        <v>-78556.900240000017</v>
      </c>
      <c r="W141" s="1">
        <v>-89586.394499999995</v>
      </c>
      <c r="X141" s="1">
        <v>-98846.312799999971</v>
      </c>
      <c r="Y141" s="1">
        <v>-95386.367260000028</v>
      </c>
      <c r="Z141" s="40">
        <v>-362375.97480000003</v>
      </c>
      <c r="AA141" s="1">
        <v>-111979.12433999999</v>
      </c>
      <c r="AB141" s="1">
        <v>-148171.08517000001</v>
      </c>
      <c r="AC141" s="1">
        <v>-137239.45262000003</v>
      </c>
      <c r="AD141" s="1">
        <v>-109639.07872</v>
      </c>
      <c r="AE141" s="40">
        <v>-507028.74085000006</v>
      </c>
      <c r="AF141" s="1">
        <f t="shared" ref="AF141:AI144" si="329">AF153+AF165+AF177</f>
        <v>-109104.37472999998</v>
      </c>
      <c r="AG141" s="1">
        <f t="shared" si="329"/>
        <v>-107826.95388</v>
      </c>
      <c r="AH141" s="1">
        <f t="shared" si="329"/>
        <v>-111649.91955999999</v>
      </c>
      <c r="AI141" s="1">
        <f t="shared" si="329"/>
        <v>-122737.78876000002</v>
      </c>
      <c r="AJ141" s="40">
        <f t="shared" si="317"/>
        <v>-451319.03693</v>
      </c>
      <c r="AK141" s="1">
        <f>AK153+AK165+AK177</f>
        <v>-125280.45961999998</v>
      </c>
      <c r="AL141" s="1">
        <v>-121470.71164000001</v>
      </c>
      <c r="AM141" s="1">
        <v>-121601.79983</v>
      </c>
      <c r="AN141" s="1">
        <f>SUM(AN153,AN165,AN177)</f>
        <v>-103691.07111</v>
      </c>
      <c r="AO141" s="40">
        <f t="shared" si="318"/>
        <v>-472044.04220000003</v>
      </c>
      <c r="AP141" s="1">
        <f t="shared" ref="AP141:AS144" si="330">AP153+AP165+AP177</f>
        <v>-111888.35144</v>
      </c>
      <c r="AQ141" s="1">
        <f t="shared" si="330"/>
        <v>-111419.99137</v>
      </c>
      <c r="AR141" s="1">
        <f t="shared" si="330"/>
        <v>-108874.22635</v>
      </c>
      <c r="AS141" s="1">
        <f t="shared" si="330"/>
        <v>-101262.04865999999</v>
      </c>
      <c r="AT141" s="40">
        <f t="shared" si="319"/>
        <v>-433444.61781999998</v>
      </c>
      <c r="AU141" s="1">
        <f t="shared" ref="AU141:AX144" si="331">AU153+AU165+AU177</f>
        <v>-117109.33146</v>
      </c>
      <c r="AV141" s="1">
        <f t="shared" si="331"/>
        <v>-120584.22055000001</v>
      </c>
      <c r="AW141" s="1">
        <f t="shared" si="331"/>
        <v>-115165.54528999998</v>
      </c>
      <c r="AX141" s="1">
        <f t="shared" si="331"/>
        <v>-108144.48136000001</v>
      </c>
      <c r="AY141" s="40">
        <f t="shared" si="314"/>
        <v>-461003.57866</v>
      </c>
      <c r="AZ141" s="1">
        <f>AZ153+AZ165+AZ177</f>
        <v>-115551.60693000002</v>
      </c>
    </row>
    <row r="142" spans="1:52" ht="14.85" customHeight="1">
      <c r="A142" s="56" t="s">
        <v>478</v>
      </c>
      <c r="B142" s="8"/>
      <c r="C142" s="8"/>
      <c r="D142" s="8"/>
      <c r="E142" s="8"/>
      <c r="F142" s="40"/>
      <c r="G142" s="8">
        <v>-50964.392619999999</v>
      </c>
      <c r="H142" s="8">
        <v>-58180.144740000011</v>
      </c>
      <c r="I142" s="8">
        <v>-58939.010560000002</v>
      </c>
      <c r="J142" s="8">
        <v>-68122.378839999976</v>
      </c>
      <c r="K142" s="40">
        <f t="shared" si="315"/>
        <v>-236205.92676</v>
      </c>
      <c r="L142" s="8">
        <v>-68650.175790000008</v>
      </c>
      <c r="M142" s="8">
        <v>-63822.80144000001</v>
      </c>
      <c r="N142" s="8">
        <v>-81024.510020000002</v>
      </c>
      <c r="O142" s="8">
        <v>-74166.745609999984</v>
      </c>
      <c r="P142" s="40">
        <f t="shared" si="316"/>
        <v>-287664.23285999999</v>
      </c>
      <c r="Q142" s="1">
        <v>-76888.903560000006</v>
      </c>
      <c r="R142" s="1">
        <v>-79716.358359999998</v>
      </c>
      <c r="S142" s="1">
        <v>-87001.486770000018</v>
      </c>
      <c r="T142" s="1">
        <v>-90273.18028</v>
      </c>
      <c r="U142" s="40">
        <v>-333879.92897000001</v>
      </c>
      <c r="V142" s="1">
        <v>-93962.191310000009</v>
      </c>
      <c r="W142" s="1">
        <v>-85741.045140000002</v>
      </c>
      <c r="X142" s="1">
        <v>-88012.961550000007</v>
      </c>
      <c r="Y142" s="1">
        <v>-106281.24545000002</v>
      </c>
      <c r="Z142" s="40">
        <v>-373997.44345000002</v>
      </c>
      <c r="AA142" s="1">
        <v>-97003.906340000016</v>
      </c>
      <c r="AB142" s="1">
        <v>-93530.169280000016</v>
      </c>
      <c r="AC142" s="1">
        <v>-99542.832790000015</v>
      </c>
      <c r="AD142" s="1">
        <v>-101781.97352</v>
      </c>
      <c r="AE142" s="40">
        <v>-391858.88193000003</v>
      </c>
      <c r="AF142" s="1">
        <f t="shared" si="329"/>
        <v>-110492.03774999999</v>
      </c>
      <c r="AG142" s="1">
        <f t="shared" si="329"/>
        <v>-98706.916490000003</v>
      </c>
      <c r="AH142" s="1">
        <f t="shared" si="329"/>
        <v>-106292.21272000001</v>
      </c>
      <c r="AI142" s="1">
        <f t="shared" si="329"/>
        <v>-98172.273199999996</v>
      </c>
      <c r="AJ142" s="40">
        <f t="shared" si="317"/>
        <v>-413663.44016</v>
      </c>
      <c r="AK142" s="1">
        <f>AK154+AK166+AK178</f>
        <v>-97985.705570000006</v>
      </c>
      <c r="AL142" s="1">
        <v>-88096.17816000001</v>
      </c>
      <c r="AM142" s="1">
        <v>-97376.551810000004</v>
      </c>
      <c r="AN142" s="1">
        <v>-100433.47597999999</v>
      </c>
      <c r="AO142" s="40">
        <f t="shared" si="318"/>
        <v>-383891.91151999997</v>
      </c>
      <c r="AP142" s="1">
        <f t="shared" si="330"/>
        <v>-93191.753550000009</v>
      </c>
      <c r="AQ142" s="1">
        <f t="shared" si="330"/>
        <v>-89611.071960000001</v>
      </c>
      <c r="AR142" s="1">
        <f t="shared" si="330"/>
        <v>-91867.106899999984</v>
      </c>
      <c r="AS142" s="1">
        <f t="shared" si="330"/>
        <v>-94192.797000000006</v>
      </c>
      <c r="AT142" s="40">
        <f t="shared" si="319"/>
        <v>-368862.72941000003</v>
      </c>
      <c r="AU142" s="1">
        <f t="shared" si="331"/>
        <v>-87260.42409</v>
      </c>
      <c r="AV142" s="1">
        <f t="shared" si="331"/>
        <v>-91460.160699999979</v>
      </c>
      <c r="AW142" s="1">
        <f t="shared" si="331"/>
        <v>-119460.90570000006</v>
      </c>
      <c r="AX142" s="1">
        <f t="shared" si="331"/>
        <v>-102286.15957000002</v>
      </c>
      <c r="AY142" s="40">
        <f t="shared" si="314"/>
        <v>-400467.65006000007</v>
      </c>
      <c r="AZ142" s="1">
        <f>AZ154+AZ166+AZ178</f>
        <v>-100122.43238000001</v>
      </c>
    </row>
    <row r="143" spans="1:52" ht="14.85" customHeight="1">
      <c r="A143" s="56" t="s">
        <v>479</v>
      </c>
      <c r="B143" s="8"/>
      <c r="C143" s="8"/>
      <c r="D143" s="8"/>
      <c r="E143" s="8"/>
      <c r="F143" s="40"/>
      <c r="G143" s="8">
        <v>-20548.639249999997</v>
      </c>
      <c r="H143" s="8">
        <v>-19353.414479999996</v>
      </c>
      <c r="I143" s="8">
        <v>-18931.052259999993</v>
      </c>
      <c r="J143" s="8">
        <v>-21463.092110000009</v>
      </c>
      <c r="K143" s="40">
        <f t="shared" si="315"/>
        <v>-80296.198099999994</v>
      </c>
      <c r="L143" s="8">
        <v>-22315.637220000004</v>
      </c>
      <c r="M143" s="8">
        <v>-28912.738329999993</v>
      </c>
      <c r="N143" s="8">
        <v>-25594.657769999994</v>
      </c>
      <c r="O143" s="8">
        <v>-21695.203440000005</v>
      </c>
      <c r="P143" s="40">
        <f t="shared" si="316"/>
        <v>-98518.23676</v>
      </c>
      <c r="Q143" s="1">
        <v>-26178.481729999996</v>
      </c>
      <c r="R143" s="1">
        <v>-23405.869839999999</v>
      </c>
      <c r="S143" s="1">
        <v>-30442.196870000003</v>
      </c>
      <c r="T143" s="1">
        <v>-32101.280609999998</v>
      </c>
      <c r="U143" s="40">
        <v>-112127.82905</v>
      </c>
      <c r="V143" s="1">
        <v>-50128.523409999994</v>
      </c>
      <c r="W143" s="1">
        <v>-30618.285989999993</v>
      </c>
      <c r="X143" s="1">
        <v>-35479.150179999997</v>
      </c>
      <c r="Y143" s="1">
        <v>-37033.757080000003</v>
      </c>
      <c r="Z143" s="40">
        <v>-153259.71665999998</v>
      </c>
      <c r="AA143" s="1">
        <v>-28458.668239999995</v>
      </c>
      <c r="AB143" s="1">
        <v>-26533.684979999995</v>
      </c>
      <c r="AC143" s="1">
        <v>-33595.242010000002</v>
      </c>
      <c r="AD143" s="1">
        <v>-30747.634840000002</v>
      </c>
      <c r="AE143" s="40">
        <v>-119335.23006999999</v>
      </c>
      <c r="AF143" s="1">
        <f t="shared" si="329"/>
        <v>-35191.386960000003</v>
      </c>
      <c r="AG143" s="1">
        <f t="shared" si="329"/>
        <v>-28500.494419999995</v>
      </c>
      <c r="AH143" s="1">
        <f t="shared" si="329"/>
        <v>-33361.493280000002</v>
      </c>
      <c r="AI143" s="1">
        <f t="shared" si="329"/>
        <v>-32640.881629999996</v>
      </c>
      <c r="AJ143" s="40">
        <f t="shared" si="317"/>
        <v>-129694.25628999999</v>
      </c>
      <c r="AK143" s="1">
        <f>AK155+AK167+AK179</f>
        <v>-29573.855820000001</v>
      </c>
      <c r="AL143" s="1">
        <v>-28669.870949999997</v>
      </c>
      <c r="AM143" s="1">
        <v>-31979.490809999988</v>
      </c>
      <c r="AN143" s="1">
        <v>-38215.618260000003</v>
      </c>
      <c r="AO143" s="40">
        <f t="shared" si="318"/>
        <v>-128438.83583999999</v>
      </c>
      <c r="AP143" s="1">
        <f t="shared" si="330"/>
        <v>-28478.804719999993</v>
      </c>
      <c r="AQ143" s="1">
        <f t="shared" si="330"/>
        <v>-26764.91359</v>
      </c>
      <c r="AR143" s="1">
        <f t="shared" si="330"/>
        <v>-34478.669669999996</v>
      </c>
      <c r="AS143" s="1">
        <f t="shared" si="330"/>
        <v>-29693.762999999999</v>
      </c>
      <c r="AT143" s="40">
        <f t="shared" si="319"/>
        <v>-119416.15098000001</v>
      </c>
      <c r="AU143" s="1">
        <f t="shared" si="331"/>
        <v>-28471.334349999983</v>
      </c>
      <c r="AV143" s="1">
        <f t="shared" si="331"/>
        <v>-30357.975829999999</v>
      </c>
      <c r="AW143" s="1">
        <f t="shared" si="331"/>
        <v>-31231.656389999993</v>
      </c>
      <c r="AX143" s="1">
        <f t="shared" si="331"/>
        <v>-34395.414800000006</v>
      </c>
      <c r="AY143" s="40">
        <f t="shared" si="314"/>
        <v>-124456.38136999999</v>
      </c>
      <c r="AZ143" s="1">
        <f>AZ155+AZ167+AZ179</f>
        <v>-21325.970089999995</v>
      </c>
    </row>
    <row r="144" spans="1:52" ht="14.85" customHeight="1">
      <c r="A144" s="56" t="s">
        <v>709</v>
      </c>
      <c r="B144" s="8"/>
      <c r="C144" s="8"/>
      <c r="D144" s="8"/>
      <c r="E144" s="8"/>
      <c r="F144" s="40"/>
      <c r="G144" s="8">
        <v>-40607.358650000009</v>
      </c>
      <c r="H144" s="8">
        <v>-54943.253990000027</v>
      </c>
      <c r="I144" s="8">
        <v>-51350.443290000003</v>
      </c>
      <c r="J144" s="8">
        <v>-69519.63188999999</v>
      </c>
      <c r="K144" s="40">
        <f t="shared" si="315"/>
        <v>-216420.68782000002</v>
      </c>
      <c r="L144" s="8">
        <v>-47210.615789999996</v>
      </c>
      <c r="M144" s="8">
        <v>-7482.2153600000111</v>
      </c>
      <c r="N144" s="8">
        <v>-46146.508360000022</v>
      </c>
      <c r="O144" s="8">
        <v>-3750.0969199999981</v>
      </c>
      <c r="P144" s="40">
        <f t="shared" si="316"/>
        <v>-104589.43643000002</v>
      </c>
      <c r="Q144" s="1">
        <v>-49741.671669999996</v>
      </c>
      <c r="R144" s="1">
        <v>25692.109249999998</v>
      </c>
      <c r="S144" s="1">
        <v>-15681.799299999999</v>
      </c>
      <c r="T144" s="1">
        <v>1162.195030000004</v>
      </c>
      <c r="U144" s="40">
        <v>-38569.166689999998</v>
      </c>
      <c r="V144" s="1">
        <v>-2318.086330000001</v>
      </c>
      <c r="W144" s="1">
        <v>-2806.9274300000002</v>
      </c>
      <c r="X144" s="1">
        <v>-1778.5846000000004</v>
      </c>
      <c r="Y144" s="1">
        <v>-664.1046</v>
      </c>
      <c r="Z144" s="40">
        <v>-7567.7029600000014</v>
      </c>
      <c r="AA144" s="1">
        <v>-1032.0169099999998</v>
      </c>
      <c r="AB144" s="1">
        <v>-3201.4690400000009</v>
      </c>
      <c r="AC144" s="1">
        <v>-506.75300000000004</v>
      </c>
      <c r="AD144" s="1">
        <v>-1188.85311</v>
      </c>
      <c r="AE144" s="40">
        <v>-5929.0920599999999</v>
      </c>
      <c r="AF144" s="1">
        <f t="shared" si="329"/>
        <v>-414.10009000000002</v>
      </c>
      <c r="AG144" s="1">
        <f t="shared" si="329"/>
        <v>-465.92937000000006</v>
      </c>
      <c r="AH144" s="1">
        <f t="shared" si="329"/>
        <v>233.05408000000011</v>
      </c>
      <c r="AI144" s="1">
        <f t="shared" si="329"/>
        <v>28.372270000000015</v>
      </c>
      <c r="AJ144" s="40">
        <f t="shared" si="317"/>
        <v>-618.60311000000002</v>
      </c>
      <c r="AK144" s="1">
        <f>AK156+AK168+AK180</f>
        <v>156.53319999999997</v>
      </c>
      <c r="AL144" s="1">
        <v>-147.03424000000001</v>
      </c>
      <c r="AM144" s="1">
        <v>1076.2739800000002</v>
      </c>
      <c r="AN144" s="1">
        <v>-431.44727000000006</v>
      </c>
      <c r="AO144" s="40">
        <f t="shared" si="318"/>
        <v>654.32566999999995</v>
      </c>
      <c r="AP144" s="1">
        <f t="shared" si="330"/>
        <v>-1.4317499999999999</v>
      </c>
      <c r="AQ144" s="1">
        <f t="shared" si="330"/>
        <v>-174.40243000000001</v>
      </c>
      <c r="AR144" s="1">
        <f t="shared" si="330"/>
        <v>-2.1631499999999999</v>
      </c>
      <c r="AS144" s="1">
        <f t="shared" si="330"/>
        <v>-1.5760000000000001</v>
      </c>
      <c r="AT144" s="40">
        <f t="shared" si="319"/>
        <v>-179.57333</v>
      </c>
      <c r="AU144" s="1">
        <f t="shared" si="331"/>
        <v>9.5777200000000011</v>
      </c>
      <c r="AV144" s="1">
        <f t="shared" si="331"/>
        <v>-19.085619999999999</v>
      </c>
      <c r="AW144" s="1">
        <f t="shared" si="331"/>
        <v>-1.6475500000000003</v>
      </c>
      <c r="AX144" s="1">
        <f t="shared" si="331"/>
        <v>-1.6475500000000003</v>
      </c>
      <c r="AY144" s="40">
        <f t="shared" si="314"/>
        <v>-12.802999999999999</v>
      </c>
      <c r="AZ144" s="1">
        <f>AZ156+AZ168+AZ180</f>
        <v>-1.6117300000000001</v>
      </c>
    </row>
    <row r="145" spans="1:52" ht="14.85" customHeight="1">
      <c r="A145" s="54" t="s">
        <v>710</v>
      </c>
      <c r="B145" s="76"/>
      <c r="C145" s="76"/>
      <c r="D145" s="76"/>
      <c r="E145" s="76"/>
      <c r="F145" s="39"/>
      <c r="G145" s="76">
        <f t="shared" ref="G145" si="332">SUM(G140:G144)</f>
        <v>112928.83400999996</v>
      </c>
      <c r="H145" s="76">
        <f t="shared" ref="H145" si="333">SUM(H140:H144)</f>
        <v>113222.19454000005</v>
      </c>
      <c r="I145" s="76">
        <f t="shared" ref="I145" si="334">SUM(I140:I144)</f>
        <v>90545.9059000001</v>
      </c>
      <c r="J145" s="76">
        <f t="shared" ref="J145" si="335">SUM(J140:J144)</f>
        <v>112926.0947700002</v>
      </c>
      <c r="K145" s="39">
        <f t="shared" ref="K145" si="336">SUM(K140:K144)</f>
        <v>429623.02922000038</v>
      </c>
      <c r="L145" s="76">
        <f t="shared" ref="L145" si="337">SUM(L140:L144)</f>
        <v>148517.02426000009</v>
      </c>
      <c r="M145" s="76">
        <f t="shared" ref="M145" si="338">SUM(M140:M144)</f>
        <v>142541.08608000004</v>
      </c>
      <c r="N145" s="76">
        <f t="shared" ref="N145" si="339">SUM(N140:N144)</f>
        <v>121165.81897000009</v>
      </c>
      <c r="O145" s="76">
        <f t="shared" ref="O145" si="340">SUM(O140:O144)</f>
        <v>210047.5941999999</v>
      </c>
      <c r="P145" s="39">
        <f t="shared" ref="P145" si="341">SUM(P140:P144)</f>
        <v>622271.52351000009</v>
      </c>
      <c r="Q145" s="76">
        <v>166227.19159</v>
      </c>
      <c r="R145" s="76">
        <v>246016.48781000005</v>
      </c>
      <c r="S145" s="76">
        <v>240529.30634000007</v>
      </c>
      <c r="T145" s="76">
        <v>260161.06253999981</v>
      </c>
      <c r="U145" s="39">
        <v>912934.04827999987</v>
      </c>
      <c r="V145" s="76">
        <v>246027.64144999988</v>
      </c>
      <c r="W145" s="76">
        <v>246194.51700999998</v>
      </c>
      <c r="X145" s="76">
        <v>246098.26934000006</v>
      </c>
      <c r="Y145" s="76">
        <v>257447.97101999991</v>
      </c>
      <c r="Z145" s="39">
        <v>995768.39882000012</v>
      </c>
      <c r="AA145" s="76">
        <v>263736.83977999998</v>
      </c>
      <c r="AB145" s="76">
        <v>240514.60199000014</v>
      </c>
      <c r="AC145" s="76">
        <v>262241.56559000007</v>
      </c>
      <c r="AD145" s="76">
        <v>298531.71041999984</v>
      </c>
      <c r="AE145" s="39">
        <v>1065024.7177799998</v>
      </c>
      <c r="AF145" s="76">
        <f>SUM(AF140:AF144)</f>
        <v>283247.78722</v>
      </c>
      <c r="AG145" s="76">
        <f>SUM(AG140:AG144)</f>
        <v>310648.70660999999</v>
      </c>
      <c r="AH145" s="76">
        <f>SUM(AH140:AH144)</f>
        <v>299335.13502999989</v>
      </c>
      <c r="AI145" s="76">
        <f>SUM(AI140:AI144)</f>
        <v>299630.33975999994</v>
      </c>
      <c r="AJ145" s="39">
        <f t="shared" si="317"/>
        <v>1192861.9686199999</v>
      </c>
      <c r="AK145" s="76">
        <f>SUM(AK140:AK144)</f>
        <v>307393.08447</v>
      </c>
      <c r="AL145" s="76">
        <f t="shared" ref="AL145:AN145" si="342">SUM(AL140:AL144)</f>
        <v>350757.25762999995</v>
      </c>
      <c r="AM145" s="76">
        <f t="shared" si="342"/>
        <v>306863.68781999982</v>
      </c>
      <c r="AN145" s="76">
        <f t="shared" si="342"/>
        <v>313563.21964999998</v>
      </c>
      <c r="AO145" s="39">
        <f t="shared" si="318"/>
        <v>1278577.24957</v>
      </c>
      <c r="AP145" s="76">
        <f>SUM(AP140:AP144)</f>
        <v>314935.48161999998</v>
      </c>
      <c r="AQ145" s="76">
        <f>SUM(AQ140:AQ144)</f>
        <v>314973.64748000004</v>
      </c>
      <c r="AR145" s="76">
        <f>SUM(AR140:AR144)</f>
        <v>306231.13970000012</v>
      </c>
      <c r="AS145" s="76">
        <f>SUM(AS140:AS144)</f>
        <v>319485.61434000003</v>
      </c>
      <c r="AT145" s="39">
        <f t="shared" si="319"/>
        <v>1255625.8831400003</v>
      </c>
      <c r="AU145" s="76">
        <f>SUM(AU140:AU144)</f>
        <v>311786.14699000015</v>
      </c>
      <c r="AV145" s="76">
        <f>SUM(AV140:AV144)</f>
        <v>314694.2132</v>
      </c>
      <c r="AW145" s="76">
        <f>SUM(AW140:AW144)</f>
        <v>296100.23441000003</v>
      </c>
      <c r="AX145" s="76">
        <f>SUM(AX140:AX144)</f>
        <v>329011.45442999981</v>
      </c>
      <c r="AY145" s="39">
        <f t="shared" si="314"/>
        <v>1251592.0490299999</v>
      </c>
      <c r="AZ145" s="76">
        <f>SUM(AZ140:AZ144)</f>
        <v>329932.66778999992</v>
      </c>
    </row>
    <row r="146" spans="1:52" ht="14.85" customHeight="1">
      <c r="A146" s="17" t="s">
        <v>711</v>
      </c>
      <c r="B146" s="18"/>
      <c r="C146" s="18"/>
      <c r="D146" s="18"/>
      <c r="E146" s="18"/>
      <c r="F146" s="46"/>
      <c r="G146" s="18">
        <f t="shared" ref="G146:J146" si="343">-G141/G140</f>
        <v>0.23200424253033736</v>
      </c>
      <c r="H146" s="18">
        <f t="shared" si="343"/>
        <v>0.21684665114845209</v>
      </c>
      <c r="I146" s="18">
        <f t="shared" si="343"/>
        <v>0.3159240057273307</v>
      </c>
      <c r="J146" s="18">
        <f t="shared" si="343"/>
        <v>0.16526222405616306</v>
      </c>
      <c r="K146" s="46">
        <f t="shared" ref="K146:P146" si="344">-K141/K140</f>
        <v>0.23236650733044281</v>
      </c>
      <c r="L146" s="18">
        <f t="shared" si="344"/>
        <v>0.17234981273900002</v>
      </c>
      <c r="M146" s="18">
        <f t="shared" si="344"/>
        <v>0.2933454898722177</v>
      </c>
      <c r="N146" s="18">
        <f t="shared" si="344"/>
        <v>0.24184257157468611</v>
      </c>
      <c r="O146" s="18">
        <f t="shared" si="344"/>
        <v>0.16919870782170271</v>
      </c>
      <c r="P146" s="46">
        <f t="shared" si="344"/>
        <v>0.21834821953812455</v>
      </c>
      <c r="Q146" s="18">
        <v>0.20273267347579463</v>
      </c>
      <c r="R146" s="18">
        <v>0.18792928187195418</v>
      </c>
      <c r="S146" s="18">
        <v>0.16053274933336409</v>
      </c>
      <c r="T146" s="18">
        <v>0.1086509940137715</v>
      </c>
      <c r="U146" s="46">
        <v>0.16388355659577963</v>
      </c>
      <c r="V146" s="18">
        <v>0.16678983142945483</v>
      </c>
      <c r="W146" s="18">
        <v>0.19691603859458204</v>
      </c>
      <c r="X146" s="18">
        <v>0.21021501709095661</v>
      </c>
      <c r="Y146" s="18">
        <v>0.19199634820929923</v>
      </c>
      <c r="Z146" s="46">
        <v>0.1914325746960589</v>
      </c>
      <c r="AA146" s="18">
        <v>0.22297246262374315</v>
      </c>
      <c r="AB146" s="18">
        <v>0.28942434362394315</v>
      </c>
      <c r="AC146" s="169">
        <v>0.25742412161616668</v>
      </c>
      <c r="AD146" s="169">
        <v>0.20232746561512391</v>
      </c>
      <c r="AE146" s="46">
        <v>0.24269309049104332</v>
      </c>
      <c r="AF146" s="169">
        <f t="shared" ref="AF146:AJ146" si="345">-AF141/AF140</f>
        <v>0.20262687009539798</v>
      </c>
      <c r="AG146" s="169">
        <f t="shared" si="345"/>
        <v>0.19743138544239361</v>
      </c>
      <c r="AH146" s="169">
        <f t="shared" si="345"/>
        <v>0.20285022164458882</v>
      </c>
      <c r="AI146" s="169">
        <f t="shared" si="345"/>
        <v>0.22188763052943422</v>
      </c>
      <c r="AJ146" s="46">
        <f t="shared" si="345"/>
        <v>0.20625529795140204</v>
      </c>
      <c r="AK146" s="169">
        <f t="shared" ref="AK146:AN146" si="346">-AK141/AK140</f>
        <v>0.22368452068973227</v>
      </c>
      <c r="AL146" s="169">
        <f t="shared" si="346"/>
        <v>0.20618273179198982</v>
      </c>
      <c r="AM146" s="169">
        <f t="shared" si="346"/>
        <v>0.21841551132437409</v>
      </c>
      <c r="AN146" s="169">
        <f t="shared" si="346"/>
        <v>0.18638248963652293</v>
      </c>
      <c r="AO146" s="46">
        <f>-AO141/AO140</f>
        <v>0.20865690637950882</v>
      </c>
      <c r="AP146" s="169">
        <f t="shared" ref="AP146" si="347">-AP141/AP140</f>
        <v>0.20399125523273257</v>
      </c>
      <c r="AQ146" s="169">
        <f t="shared" ref="AQ146:AY146" si="348">-AQ141/AQ140</f>
        <v>0.20521450805993754</v>
      </c>
      <c r="AR146" s="169">
        <f t="shared" si="348"/>
        <v>0.20107777566372062</v>
      </c>
      <c r="AS146" s="169">
        <f t="shared" si="348"/>
        <v>0.18592617093097105</v>
      </c>
      <c r="AT146" s="46">
        <f t="shared" si="348"/>
        <v>0.19905343480665541</v>
      </c>
      <c r="AU146" s="169">
        <f t="shared" si="348"/>
        <v>0.2150303602686611</v>
      </c>
      <c r="AV146" s="169">
        <f t="shared" si="348"/>
        <v>0.21644378375115056</v>
      </c>
      <c r="AW146" s="169">
        <f t="shared" si="348"/>
        <v>0.20493548913554752</v>
      </c>
      <c r="AX146" s="169">
        <f t="shared" si="348"/>
        <v>0.18845782813352868</v>
      </c>
      <c r="AY146" s="46">
        <f t="shared" si="348"/>
        <v>0.2060321297967726</v>
      </c>
      <c r="AZ146" s="169">
        <f t="shared" ref="AZ146" si="349">-AZ141/AZ140</f>
        <v>0.20381834224584272</v>
      </c>
    </row>
    <row r="147" spans="1:52" ht="14.85" customHeight="1" thickBot="1">
      <c r="A147" s="17" t="s">
        <v>712</v>
      </c>
      <c r="B147" s="18"/>
      <c r="C147" s="18"/>
      <c r="D147" s="18"/>
      <c r="E147" s="18"/>
      <c r="F147" s="48"/>
      <c r="G147" s="18">
        <f t="shared" ref="G147:J147" si="350">-G142/G140</f>
        <v>0.17391944982667826</v>
      </c>
      <c r="H147" s="18">
        <f t="shared" si="350"/>
        <v>0.18544631338584947</v>
      </c>
      <c r="I147" s="18">
        <f t="shared" si="350"/>
        <v>0.18346189429731749</v>
      </c>
      <c r="J147" s="18">
        <f t="shared" si="350"/>
        <v>0.20903603522133188</v>
      </c>
      <c r="K147" s="48">
        <f t="shared" ref="K147:P147" si="351">-K142/K140</f>
        <v>0.18837500787506997</v>
      </c>
      <c r="L147" s="18">
        <f t="shared" si="351"/>
        <v>0.1981849611201375</v>
      </c>
      <c r="M147" s="18">
        <f t="shared" si="351"/>
        <v>0.18578384318267244</v>
      </c>
      <c r="N147" s="18">
        <f t="shared" si="351"/>
        <v>0.22425071687822598</v>
      </c>
      <c r="O147" s="18">
        <f t="shared" si="351"/>
        <v>0.19898566069384924</v>
      </c>
      <c r="P147" s="48">
        <f t="shared" si="351"/>
        <v>0.20201660943194807</v>
      </c>
      <c r="Q147" s="18">
        <v>0.19214434365771274</v>
      </c>
      <c r="R147" s="18">
        <v>0.20014221521263931</v>
      </c>
      <c r="S147" s="18">
        <v>0.19546089331131936</v>
      </c>
      <c r="T147" s="18">
        <v>0.21098724928503323</v>
      </c>
      <c r="U147" s="48">
        <v>0.19975692794538633</v>
      </c>
      <c r="V147" s="18">
        <v>0.19949791808813208</v>
      </c>
      <c r="W147" s="18">
        <v>0.18846373992568752</v>
      </c>
      <c r="X147" s="18">
        <v>0.18717588640756019</v>
      </c>
      <c r="Y147" s="18">
        <v>0.21392586378633616</v>
      </c>
      <c r="Z147" s="48">
        <v>0.1975718549467623</v>
      </c>
      <c r="AA147" s="18">
        <v>0.19315385799124868</v>
      </c>
      <c r="AB147" s="18">
        <v>0.18269359249034578</v>
      </c>
      <c r="AC147" s="169">
        <v>0.18671545102342091</v>
      </c>
      <c r="AD147" s="169">
        <v>0.18782799881234946</v>
      </c>
      <c r="AE147" s="48">
        <v>0.18756617806818068</v>
      </c>
      <c r="AF147" s="169">
        <f t="shared" ref="AF147:AJ147" si="352">-AF142/AF140</f>
        <v>0.20520401528490625</v>
      </c>
      <c r="AG147" s="169">
        <f t="shared" si="352"/>
        <v>0.18073257728355432</v>
      </c>
      <c r="AH147" s="169">
        <f t="shared" si="352"/>
        <v>0.19311611682585064</v>
      </c>
      <c r="AI147" s="169">
        <f t="shared" si="352"/>
        <v>0.17747763996816748</v>
      </c>
      <c r="AJ147" s="48">
        <f t="shared" si="352"/>
        <v>0.18904648180182132</v>
      </c>
      <c r="AK147" s="169">
        <f t="shared" ref="AK147:AN147" si="353">-AK142/AK140</f>
        <v>0.17495055215595387</v>
      </c>
      <c r="AL147" s="169">
        <f t="shared" si="353"/>
        <v>0.14953325314578383</v>
      </c>
      <c r="AM147" s="169">
        <f t="shared" si="353"/>
        <v>0.17490324472433061</v>
      </c>
      <c r="AN147" s="169">
        <f t="shared" si="353"/>
        <v>0.180527031841964</v>
      </c>
      <c r="AO147" s="48">
        <f>-AO142/AO140</f>
        <v>0.16969115480953592</v>
      </c>
      <c r="AP147" s="169">
        <f t="shared" ref="AP147" si="354">-AP142/AP140</f>
        <v>0.16990421736795555</v>
      </c>
      <c r="AQ147" s="169">
        <f t="shared" ref="AQ147:AY147" si="355">-AQ142/AQ140</f>
        <v>0.16504661167965645</v>
      </c>
      <c r="AR147" s="169">
        <f t="shared" si="355"/>
        <v>0.16966764432134343</v>
      </c>
      <c r="AS147" s="169">
        <f t="shared" si="355"/>
        <v>0.17294639311801832</v>
      </c>
      <c r="AT147" s="48">
        <f t="shared" si="355"/>
        <v>0.16939509741867309</v>
      </c>
      <c r="AU147" s="169">
        <f t="shared" si="355"/>
        <v>0.16022327337491277</v>
      </c>
      <c r="AV147" s="169">
        <f t="shared" si="355"/>
        <v>0.16416727789178609</v>
      </c>
      <c r="AW147" s="169">
        <f t="shared" si="355"/>
        <v>0.21257902335769882</v>
      </c>
      <c r="AX147" s="169">
        <f t="shared" si="355"/>
        <v>0.17824883191692578</v>
      </c>
      <c r="AY147" s="48">
        <f t="shared" si="355"/>
        <v>0.17897735869296311</v>
      </c>
      <c r="AZ147" s="169">
        <f t="shared" ref="AZ147" si="356">-AZ142/AZ140</f>
        <v>0.17660324015809931</v>
      </c>
    </row>
    <row r="148" spans="1:52" ht="30.75" thickBot="1">
      <c r="A148" s="787" t="s">
        <v>731</v>
      </c>
      <c r="AM148" s="8"/>
      <c r="AQ148" s="8"/>
      <c r="AR148" s="8"/>
    </row>
    <row r="149" spans="1:52" ht="14.85" customHeight="1">
      <c r="A149" s="179" t="s">
        <v>732</v>
      </c>
      <c r="B149" s="180" t="s">
        <v>224</v>
      </c>
      <c r="C149" s="180" t="s">
        <v>225</v>
      </c>
      <c r="D149" s="180" t="s">
        <v>226</v>
      </c>
      <c r="E149" s="180" t="s">
        <v>227</v>
      </c>
      <c r="F149" s="181">
        <v>2016</v>
      </c>
      <c r="G149" s="180" t="s">
        <v>228</v>
      </c>
      <c r="H149" s="180" t="s">
        <v>229</v>
      </c>
      <c r="I149" s="180" t="s">
        <v>230</v>
      </c>
      <c r="J149" s="180" t="s">
        <v>231</v>
      </c>
      <c r="K149" s="181">
        <v>2017</v>
      </c>
      <c r="L149" s="180" t="s">
        <v>232</v>
      </c>
      <c r="M149" s="180" t="s">
        <v>233</v>
      </c>
      <c r="N149" s="180" t="s">
        <v>234</v>
      </c>
      <c r="O149" s="180" t="s">
        <v>235</v>
      </c>
      <c r="P149" s="181">
        <v>2018</v>
      </c>
      <c r="Q149" s="180" t="s">
        <v>236</v>
      </c>
      <c r="R149" s="180" t="s">
        <v>237</v>
      </c>
      <c r="S149" s="180" t="s">
        <v>238</v>
      </c>
      <c r="T149" s="180" t="s">
        <v>239</v>
      </c>
      <c r="U149" s="181">
        <v>2019</v>
      </c>
      <c r="V149" s="180" t="s">
        <v>240</v>
      </c>
      <c r="W149" s="180" t="s">
        <v>241</v>
      </c>
      <c r="X149" s="180" t="s">
        <v>242</v>
      </c>
      <c r="Y149" s="180" t="s">
        <v>243</v>
      </c>
      <c r="Z149" s="181">
        <v>2020</v>
      </c>
      <c r="AA149" s="180" t="s">
        <v>244</v>
      </c>
      <c r="AB149" s="180" t="s">
        <v>245</v>
      </c>
      <c r="AC149" s="180" t="s">
        <v>246</v>
      </c>
      <c r="AD149" s="180" t="s">
        <v>247</v>
      </c>
      <c r="AE149" s="181">
        <v>2021</v>
      </c>
      <c r="AF149" s="180" t="s">
        <v>248</v>
      </c>
      <c r="AG149" s="180" t="s">
        <v>249</v>
      </c>
      <c r="AH149" s="180" t="s">
        <v>250</v>
      </c>
      <c r="AI149" s="180" t="s">
        <v>215</v>
      </c>
      <c r="AJ149" s="181">
        <v>2022</v>
      </c>
      <c r="AK149" s="180" t="s">
        <v>252</v>
      </c>
      <c r="AL149" s="180" t="s">
        <v>253</v>
      </c>
      <c r="AM149" s="180" t="s">
        <v>254</v>
      </c>
      <c r="AN149" s="180" t="s">
        <v>219</v>
      </c>
      <c r="AO149" s="181">
        <v>2023</v>
      </c>
      <c r="AP149" s="180" t="s">
        <v>223</v>
      </c>
      <c r="AQ149" s="180" t="s">
        <v>256</v>
      </c>
      <c r="AR149" s="180" t="s">
        <v>357</v>
      </c>
      <c r="AS149" s="180" t="s">
        <v>358</v>
      </c>
      <c r="AT149" s="181">
        <v>2024</v>
      </c>
      <c r="AU149" s="180" t="s">
        <v>359</v>
      </c>
      <c r="AV149" s="180" t="s">
        <v>1115</v>
      </c>
      <c r="AW149" s="180" t="s">
        <v>1116</v>
      </c>
      <c r="AX149" s="180" t="s">
        <v>1117</v>
      </c>
      <c r="AY149" s="181" t="s">
        <v>1118</v>
      </c>
      <c r="AZ149" s="180" t="s">
        <v>1124</v>
      </c>
    </row>
    <row r="150" spans="1:52" ht="14.85" customHeight="1">
      <c r="A150" s="54" t="s">
        <v>707</v>
      </c>
      <c r="Q150" s="76">
        <v>37801.073920000003</v>
      </c>
      <c r="R150" s="76">
        <v>37881.648930000003</v>
      </c>
      <c r="S150" s="76">
        <v>41077.520549999994</v>
      </c>
      <c r="T150" s="76">
        <v>38657.851659999993</v>
      </c>
      <c r="U150" s="39">
        <v>155418.09505999999</v>
      </c>
      <c r="V150" s="76">
        <v>40407.585189999998</v>
      </c>
      <c r="W150" s="76">
        <v>38570.5962</v>
      </c>
      <c r="X150" s="76">
        <v>576626.45145000005</v>
      </c>
      <c r="Y150" s="76">
        <v>486668.07796999998</v>
      </c>
      <c r="Z150" s="39">
        <v>1142272.7108100001</v>
      </c>
      <c r="AA150" s="76">
        <v>365034.99146999995</v>
      </c>
      <c r="AB150" s="76">
        <v>344418.39720000012</v>
      </c>
      <c r="AC150" s="76">
        <v>354929.23779000004</v>
      </c>
      <c r="AD150" s="76">
        <v>367874.13267999992</v>
      </c>
      <c r="AE150" s="39">
        <v>1432256.7591399997</v>
      </c>
      <c r="AF150" s="76">
        <v>353051.43636000005</v>
      </c>
      <c r="AG150" s="76">
        <v>352645.81985000009</v>
      </c>
      <c r="AH150" s="76">
        <v>342395.45072999998</v>
      </c>
      <c r="AI150" s="76">
        <v>331628.08710000006</v>
      </c>
      <c r="AJ150" s="39">
        <f>SUM(AF150:AI150)</f>
        <v>1379720.7940400003</v>
      </c>
      <c r="AK150" s="76">
        <v>331595.59177999996</v>
      </c>
      <c r="AL150" s="76">
        <v>318356.48999000003</v>
      </c>
      <c r="AM150" s="76">
        <v>340359.52053999988</v>
      </c>
      <c r="AN150" s="76">
        <v>332224.19436000002</v>
      </c>
      <c r="AO150" s="39">
        <f>SUM(AK150:AN150)</f>
        <v>1322535.7966700001</v>
      </c>
      <c r="AP150" s="76">
        <v>291963.56267000001</v>
      </c>
      <c r="AQ150" s="76">
        <v>297260.54584999999</v>
      </c>
      <c r="AR150" s="76">
        <v>383042.27233000001</v>
      </c>
      <c r="AS150" s="76">
        <v>583139.36499999999</v>
      </c>
      <c r="AT150" s="39">
        <f>SUM(AP150:AS150)</f>
        <v>1555405.7458500001</v>
      </c>
      <c r="AU150" s="76">
        <v>555008.03175000008</v>
      </c>
      <c r="AV150" s="76">
        <v>593942.21692000004</v>
      </c>
      <c r="AW150" s="76">
        <v>593099.66046000004</v>
      </c>
      <c r="AX150" s="76">
        <v>588678.13962999976</v>
      </c>
      <c r="AY150" s="39">
        <f t="shared" ref="AY150:AY157" si="357">SUM(AU150:AX150)</f>
        <v>2330728.0487599997</v>
      </c>
      <c r="AZ150" s="10">
        <v>549244.25193999999</v>
      </c>
    </row>
    <row r="151" spans="1:52" ht="14.85" customHeight="1">
      <c r="A151" s="56" t="s">
        <v>443</v>
      </c>
      <c r="Q151" s="1">
        <v>2966.9882900000002</v>
      </c>
      <c r="R151" s="1">
        <v>2885.5713899999996</v>
      </c>
      <c r="S151" s="1">
        <v>238.41422999999998</v>
      </c>
      <c r="T151" s="1">
        <v>3028.4252199999996</v>
      </c>
      <c r="U151" s="40">
        <v>9119.3991299999998</v>
      </c>
      <c r="V151" s="1">
        <v>1372.5840600000001</v>
      </c>
      <c r="W151" s="1">
        <v>2323.80438</v>
      </c>
      <c r="X151" s="1">
        <v>-108360.40120000002</v>
      </c>
      <c r="Y151" s="1">
        <v>8054.0266299999967</v>
      </c>
      <c r="Z151" s="40">
        <v>-96609.986130000034</v>
      </c>
      <c r="AA151" s="1">
        <v>118739.86895000002</v>
      </c>
      <c r="AB151" s="1">
        <v>117156.99817000002</v>
      </c>
      <c r="AC151" s="1">
        <v>90574.823340000003</v>
      </c>
      <c r="AD151" s="1">
        <v>54108.016020000003</v>
      </c>
      <c r="AE151" s="40">
        <v>380579.70648000005</v>
      </c>
      <c r="AF151" s="1">
        <v>45219.046579999987</v>
      </c>
      <c r="AG151" s="1">
        <v>33645.902160000005</v>
      </c>
      <c r="AH151" s="1">
        <v>32360.38912</v>
      </c>
      <c r="AI151" s="1">
        <v>30061.643830000001</v>
      </c>
      <c r="AJ151" s="40">
        <f t="shared" ref="AJ151:AJ157" si="358">SUM(AF151:AI151)</f>
        <v>141286.98168999999</v>
      </c>
      <c r="AK151" s="1">
        <v>22164.967840000005</v>
      </c>
      <c r="AL151" s="1">
        <v>43592.888169999998</v>
      </c>
      <c r="AM151" s="77">
        <v>-19658.397890000004</v>
      </c>
      <c r="AN151" s="77">
        <v>-22646.63595</v>
      </c>
      <c r="AO151" s="40">
        <f t="shared" ref="AO151:AO157" si="359">SUM(AK151:AN151)</f>
        <v>23452.822169999996</v>
      </c>
      <c r="AP151" s="1">
        <v>5389.7645600000014</v>
      </c>
      <c r="AQ151" s="1">
        <v>-5589.4742200000001</v>
      </c>
      <c r="AR151" s="1">
        <v>-13037.717730000002</v>
      </c>
      <c r="AS151" s="718">
        <v>-40777.413999999997</v>
      </c>
      <c r="AT151" s="40">
        <f t="shared" ref="AT151:AT157" si="360">SUM(AP151:AS151)</f>
        <v>-54014.841390000001</v>
      </c>
      <c r="AU151" s="1">
        <v>-12472.253699999996</v>
      </c>
      <c r="AV151" s="1">
        <v>-39578.90451</v>
      </c>
      <c r="AW151" s="1">
        <v>-33669.240020000005</v>
      </c>
      <c r="AX151" s="1">
        <v>-17445.768669999994</v>
      </c>
      <c r="AY151" s="40">
        <f t="shared" si="357"/>
        <v>-103166.16689999998</v>
      </c>
      <c r="AZ151" s="8">
        <v>15098.422510000011</v>
      </c>
    </row>
    <row r="152" spans="1:52" ht="14.85" customHeight="1">
      <c r="A152" s="54" t="s">
        <v>708</v>
      </c>
      <c r="Q152" s="76">
        <v>40768.062210000004</v>
      </c>
      <c r="R152" s="76">
        <v>40767.22032</v>
      </c>
      <c r="S152" s="76">
        <v>41315.934779999996</v>
      </c>
      <c r="T152" s="76">
        <v>41686.27687999999</v>
      </c>
      <c r="U152" s="39">
        <v>164537.49419</v>
      </c>
      <c r="V152" s="76">
        <v>41780.169249999999</v>
      </c>
      <c r="W152" s="76">
        <v>40894.400580000001</v>
      </c>
      <c r="X152" s="76">
        <v>468266.05025000003</v>
      </c>
      <c r="Y152" s="76">
        <v>494722.10459999996</v>
      </c>
      <c r="Z152" s="39">
        <v>1045662.72468</v>
      </c>
      <c r="AA152" s="76">
        <v>483774.86041999998</v>
      </c>
      <c r="AB152" s="76">
        <v>461575.39537000016</v>
      </c>
      <c r="AC152" s="76">
        <v>445504.06113000005</v>
      </c>
      <c r="AD152" s="76">
        <v>421982.1486999999</v>
      </c>
      <c r="AE152" s="39">
        <v>1812836.4656199999</v>
      </c>
      <c r="AF152" s="76">
        <f t="shared" ref="AF152:AM152" si="361">SUM(AF150:AF151)</f>
        <v>398270.48294000002</v>
      </c>
      <c r="AG152" s="76">
        <f t="shared" si="361"/>
        <v>386291.72201000008</v>
      </c>
      <c r="AH152" s="76">
        <f t="shared" si="361"/>
        <v>374755.83984999999</v>
      </c>
      <c r="AI152" s="76">
        <f t="shared" si="361"/>
        <v>361689.73093000008</v>
      </c>
      <c r="AJ152" s="39">
        <f t="shared" si="358"/>
        <v>1521007.7757300003</v>
      </c>
      <c r="AK152" s="76">
        <f t="shared" si="361"/>
        <v>353760.55961999996</v>
      </c>
      <c r="AL152" s="76">
        <f t="shared" si="361"/>
        <v>361949.37816000002</v>
      </c>
      <c r="AM152" s="76">
        <f t="shared" si="361"/>
        <v>320701.12264999986</v>
      </c>
      <c r="AN152" s="76">
        <f>SUM(AN150:AN151)</f>
        <v>309577.55841</v>
      </c>
      <c r="AO152" s="39">
        <f t="shared" si="359"/>
        <v>1345988.6188399999</v>
      </c>
      <c r="AP152" s="76">
        <f>SUM(AP150:AP151)</f>
        <v>297353.32723</v>
      </c>
      <c r="AQ152" s="76">
        <f>SUM(AQ150:AQ151)</f>
        <v>291671.07163000002</v>
      </c>
      <c r="AR152" s="76">
        <f>SUM(AR150:AR151)</f>
        <v>370004.55460000003</v>
      </c>
      <c r="AS152" s="76">
        <f>SUM(AS150:AS151)</f>
        <v>542361.951</v>
      </c>
      <c r="AT152" s="39">
        <f t="shared" si="360"/>
        <v>1501390.9044600001</v>
      </c>
      <c r="AU152" s="76">
        <f>SUM(AU150:AU151)</f>
        <v>542535.77805000008</v>
      </c>
      <c r="AV152" s="76">
        <f>SUM(AV150:AV151)</f>
        <v>554363.31241000001</v>
      </c>
      <c r="AW152" s="76">
        <f t="shared" ref="AW152:AZ152" si="362">SUM(AW150:AW151)</f>
        <v>559430.42044000002</v>
      </c>
      <c r="AX152" s="76">
        <f t="shared" si="362"/>
        <v>571232.37095999974</v>
      </c>
      <c r="AY152" s="39">
        <f t="shared" si="357"/>
        <v>2227561.8818600001</v>
      </c>
      <c r="AZ152" s="76">
        <f t="shared" si="362"/>
        <v>564342.67445000005</v>
      </c>
    </row>
    <row r="153" spans="1:52" ht="14.85" customHeight="1">
      <c r="A153" s="56" t="s">
        <v>477</v>
      </c>
      <c r="Q153" s="1">
        <v>-3584.0027799999993</v>
      </c>
      <c r="R153" s="1">
        <v>-3173.4881399999995</v>
      </c>
      <c r="S153" s="1">
        <v>-3756.9468299999999</v>
      </c>
      <c r="T153" s="1">
        <v>-2955.4332899999999</v>
      </c>
      <c r="U153" s="40">
        <v>-13469.871039999998</v>
      </c>
      <c r="V153" s="1">
        <v>-4135.2276099999999</v>
      </c>
      <c r="W153" s="1">
        <v>-2494.3320099999996</v>
      </c>
      <c r="X153" s="1">
        <v>-98516.760669999974</v>
      </c>
      <c r="Y153" s="1">
        <v>-95059.891150000025</v>
      </c>
      <c r="Z153" s="40">
        <v>-200206.21143999998</v>
      </c>
      <c r="AA153" s="1">
        <v>-110337.25997</v>
      </c>
      <c r="AB153" s="1">
        <v>-142875.04146000001</v>
      </c>
      <c r="AC153" s="1">
        <v>-134682.74858000004</v>
      </c>
      <c r="AD153" s="1">
        <v>-101862.99541999999</v>
      </c>
      <c r="AE153" s="40">
        <v>-489758.04543</v>
      </c>
      <c r="AF153" s="1">
        <v>-99234.162779999984</v>
      </c>
      <c r="AG153" s="1">
        <v>-95864.809779999996</v>
      </c>
      <c r="AH153" s="1">
        <v>-89746.436539999995</v>
      </c>
      <c r="AI153" s="1">
        <v>-102314.68545000002</v>
      </c>
      <c r="AJ153" s="40">
        <f t="shared" si="358"/>
        <v>-387160.09454999992</v>
      </c>
      <c r="AK153" s="1">
        <v>-101362.69655999998</v>
      </c>
      <c r="AL153" s="1">
        <v>-94474.179349999991</v>
      </c>
      <c r="AM153" s="77">
        <v>-95955.492110000007</v>
      </c>
      <c r="AN153" s="1">
        <v>-74559.428670000008</v>
      </c>
      <c r="AO153" s="40">
        <f t="shared" si="359"/>
        <v>-366351.79668999999</v>
      </c>
      <c r="AP153" s="1">
        <v>-80192.710120000003</v>
      </c>
      <c r="AQ153" s="1">
        <v>-83434.922309999994</v>
      </c>
      <c r="AR153" s="1">
        <v>-90018.077359999996</v>
      </c>
      <c r="AS153" s="1">
        <v>-98855.874659999987</v>
      </c>
      <c r="AT153" s="40">
        <f t="shared" si="360"/>
        <v>-352501.58444999997</v>
      </c>
      <c r="AU153" s="1">
        <v>-115705.76846000001</v>
      </c>
      <c r="AV153" s="1">
        <v>-117739.07469000001</v>
      </c>
      <c r="AW153" s="1">
        <v>-112717.86757999998</v>
      </c>
      <c r="AX153" s="1">
        <v>-106079.79513</v>
      </c>
      <c r="AY153" s="40">
        <f t="shared" si="357"/>
        <v>-452242.50585999998</v>
      </c>
      <c r="AZ153" s="8">
        <v>-116402.96689000003</v>
      </c>
    </row>
    <row r="154" spans="1:52" ht="14.85" customHeight="1">
      <c r="A154" s="56" t="s">
        <v>478</v>
      </c>
      <c r="Q154" s="1">
        <v>-8227.0490599999994</v>
      </c>
      <c r="R154" s="1">
        <v>-6010.86499</v>
      </c>
      <c r="S154" s="1">
        <v>-7208.7661400000006</v>
      </c>
      <c r="T154" s="1">
        <v>-8579.2419399999999</v>
      </c>
      <c r="U154" s="40">
        <v>-30025.922129999999</v>
      </c>
      <c r="V154" s="1">
        <v>-7107.7159700000011</v>
      </c>
      <c r="W154" s="1">
        <v>-7412.369529999999</v>
      </c>
      <c r="X154" s="1">
        <v>-87751.529410000003</v>
      </c>
      <c r="Y154" s="1">
        <v>-106675.55713000002</v>
      </c>
      <c r="Z154" s="40">
        <v>-208947.17204000003</v>
      </c>
      <c r="AA154" s="1">
        <v>-85673.709260000018</v>
      </c>
      <c r="AB154" s="1">
        <v>-75626.60070000001</v>
      </c>
      <c r="AC154" s="1">
        <v>-69519.309280000001</v>
      </c>
      <c r="AD154" s="1">
        <v>-63422.598489999997</v>
      </c>
      <c r="AE154" s="40">
        <v>-294242.21773000003</v>
      </c>
      <c r="AF154" s="1">
        <v>-61249.954639999996</v>
      </c>
      <c r="AG154" s="1">
        <v>-50597.095710000001</v>
      </c>
      <c r="AH154" s="1">
        <v>-53046.504289999997</v>
      </c>
      <c r="AI154" s="1">
        <v>-51343.022859999997</v>
      </c>
      <c r="AJ154" s="40">
        <f t="shared" si="358"/>
        <v>-216236.57749999998</v>
      </c>
      <c r="AK154" s="1">
        <v>-49086.691160000002</v>
      </c>
      <c r="AL154" s="1">
        <v>-50333.459470000009</v>
      </c>
      <c r="AM154" s="77">
        <v>-45859.071760000006</v>
      </c>
      <c r="AN154" s="1">
        <v>-46072.900110000002</v>
      </c>
      <c r="AO154" s="40">
        <f t="shared" si="359"/>
        <v>-191352.1225</v>
      </c>
      <c r="AP154" s="1">
        <v>-41647.159990000007</v>
      </c>
      <c r="AQ154" s="1">
        <v>-40847.869920000005</v>
      </c>
      <c r="AR154" s="1">
        <v>-56002.424729999984</v>
      </c>
      <c r="AS154" s="1">
        <v>-93898.784</v>
      </c>
      <c r="AT154" s="40">
        <f t="shared" si="360"/>
        <v>-232396.23864</v>
      </c>
      <c r="AU154" s="1">
        <v>-87007.497520000004</v>
      </c>
      <c r="AV154" s="1">
        <v>-91149.515049999973</v>
      </c>
      <c r="AW154" s="1">
        <v>-119051.86403000006</v>
      </c>
      <c r="AX154" s="1">
        <v>-102053.91234000002</v>
      </c>
      <c r="AY154" s="40">
        <f t="shared" si="357"/>
        <v>-399262.78894000006</v>
      </c>
      <c r="AZ154" s="8">
        <v>-99867.151850000009</v>
      </c>
    </row>
    <row r="155" spans="1:52" ht="14.85" customHeight="1">
      <c r="A155" s="56" t="s">
        <v>479</v>
      </c>
      <c r="Q155" s="1">
        <v>-52.798880000000004</v>
      </c>
      <c r="R155" s="1">
        <v>-81.060690000000008</v>
      </c>
      <c r="S155" s="1">
        <v>-39.060639999999999</v>
      </c>
      <c r="T155" s="1">
        <v>-124.91193</v>
      </c>
      <c r="U155" s="40">
        <v>-297.83214000000004</v>
      </c>
      <c r="V155" s="1">
        <v>-28.210529999999999</v>
      </c>
      <c r="W155" s="1">
        <v>-61.997999999999998</v>
      </c>
      <c r="X155" s="1">
        <v>-35211.264619999994</v>
      </c>
      <c r="Y155" s="1">
        <v>-37296.334580000002</v>
      </c>
      <c r="Z155" s="40">
        <v>-72597.80773</v>
      </c>
      <c r="AA155" s="1">
        <v>-26799.925549999996</v>
      </c>
      <c r="AB155" s="1">
        <v>-27827.405229999997</v>
      </c>
      <c r="AC155" s="1">
        <v>-22718.683120000002</v>
      </c>
      <c r="AD155" s="1">
        <v>-25515.638400000003</v>
      </c>
      <c r="AE155" s="40">
        <v>-102861.65229999999</v>
      </c>
      <c r="AF155" s="1">
        <v>-26215.671000000002</v>
      </c>
      <c r="AG155" s="1">
        <v>-18294.477139999995</v>
      </c>
      <c r="AH155" s="1">
        <v>-22382.199820000002</v>
      </c>
      <c r="AI155" s="1">
        <v>-23900.628989999997</v>
      </c>
      <c r="AJ155" s="40">
        <f t="shared" si="358"/>
        <v>-90792.976949999997</v>
      </c>
      <c r="AK155" s="1">
        <v>-20248.442879999999</v>
      </c>
      <c r="AL155" s="1">
        <v>-17624.030929999997</v>
      </c>
      <c r="AM155" s="77">
        <v>-21711.420839999992</v>
      </c>
      <c r="AN155" s="1">
        <v>-28569.535310000003</v>
      </c>
      <c r="AO155" s="40">
        <f t="shared" si="359"/>
        <v>-88153.429959999994</v>
      </c>
      <c r="AP155" s="1">
        <v>-19079.866129999995</v>
      </c>
      <c r="AQ155" s="1">
        <v>-12190.14618</v>
      </c>
      <c r="AR155" s="1">
        <v>-26913.82231</v>
      </c>
      <c r="AS155" s="1">
        <v>-29484.484</v>
      </c>
      <c r="AT155" s="40">
        <f t="shared" si="360"/>
        <v>-87668.318619999991</v>
      </c>
      <c r="AU155" s="1">
        <v>-28399.637339999983</v>
      </c>
      <c r="AV155" s="1">
        <v>-29362.530640000001</v>
      </c>
      <c r="AW155" s="1">
        <v>-30616.398269999994</v>
      </c>
      <c r="AX155" s="1">
        <v>-33493.128490000003</v>
      </c>
      <c r="AY155" s="40">
        <f t="shared" si="357"/>
        <v>-121871.69473999998</v>
      </c>
      <c r="AZ155" s="8">
        <v>-21075.935749999997</v>
      </c>
    </row>
    <row r="156" spans="1:52" ht="14.85" customHeight="1">
      <c r="A156" s="56" t="s">
        <v>709</v>
      </c>
      <c r="Q156" s="1">
        <v>0</v>
      </c>
      <c r="R156" s="1">
        <v>0</v>
      </c>
      <c r="S156" s="1">
        <v>0</v>
      </c>
      <c r="T156" s="1">
        <v>0</v>
      </c>
      <c r="U156" s="40">
        <v>0</v>
      </c>
      <c r="V156" s="1">
        <v>0</v>
      </c>
      <c r="W156" s="1">
        <v>0</v>
      </c>
      <c r="X156" s="1">
        <v>-1779.9246800000003</v>
      </c>
      <c r="Y156" s="1">
        <v>-664.12005999999997</v>
      </c>
      <c r="Z156" s="40">
        <v>-2444.0447400000003</v>
      </c>
      <c r="AA156" s="1">
        <v>-822.8512599999998</v>
      </c>
      <c r="AB156" s="1">
        <v>-2979.315540000001</v>
      </c>
      <c r="AC156" s="1">
        <v>-291.43748000000005</v>
      </c>
      <c r="AD156" s="1">
        <v>-973.34708000000001</v>
      </c>
      <c r="AE156" s="40">
        <v>-5066.9513600000009</v>
      </c>
      <c r="AF156" s="1">
        <v>-124.48925</v>
      </c>
      <c r="AG156" s="1">
        <v>-171.96326000000002</v>
      </c>
      <c r="AH156" s="1">
        <v>485.78592000000009</v>
      </c>
      <c r="AI156" s="1">
        <v>59.313400000000001</v>
      </c>
      <c r="AJ156" s="40">
        <f t="shared" si="358"/>
        <v>248.64681000000007</v>
      </c>
      <c r="AK156" s="1">
        <v>207.17718999999997</v>
      </c>
      <c r="AL156" s="1">
        <v>-103.61508000000001</v>
      </c>
      <c r="AM156" s="77">
        <v>894.31558000000007</v>
      </c>
      <c r="AN156" s="1">
        <v>-453.07019000000003</v>
      </c>
      <c r="AO156" s="40">
        <f t="shared" si="359"/>
        <v>544.8075</v>
      </c>
      <c r="AP156" s="1">
        <v>1.2225899999999998</v>
      </c>
      <c r="AQ156" s="1">
        <v>-151.53219000000001</v>
      </c>
      <c r="AR156" s="1">
        <v>0</v>
      </c>
      <c r="AS156" s="1">
        <v>0</v>
      </c>
      <c r="AT156" s="40">
        <f t="shared" si="360"/>
        <v>-150.30960000000002</v>
      </c>
      <c r="AU156" s="1">
        <v>11.230700000000001</v>
      </c>
      <c r="AV156" s="1">
        <v>0</v>
      </c>
      <c r="AW156" s="1">
        <v>0</v>
      </c>
      <c r="AX156" s="1">
        <v>0</v>
      </c>
      <c r="AY156" s="40">
        <f t="shared" si="357"/>
        <v>11.230700000000001</v>
      </c>
      <c r="AZ156" s="8">
        <v>0</v>
      </c>
    </row>
    <row r="157" spans="1:52" ht="14.85" customHeight="1">
      <c r="A157" s="54" t="s">
        <v>710</v>
      </c>
      <c r="Q157" s="76">
        <v>28904.211490000005</v>
      </c>
      <c r="R157" s="76">
        <v>31501.806499999999</v>
      </c>
      <c r="S157" s="76">
        <v>30311.161169999996</v>
      </c>
      <c r="T157" s="76">
        <v>30026.689719999991</v>
      </c>
      <c r="U157" s="39">
        <v>120743.86888000001</v>
      </c>
      <c r="V157" s="76">
        <v>30509.015139999996</v>
      </c>
      <c r="W157" s="76">
        <v>30925.701040000004</v>
      </c>
      <c r="X157" s="76">
        <v>245006.57087000003</v>
      </c>
      <c r="Y157" s="76">
        <v>255026.20167999991</v>
      </c>
      <c r="Z157" s="39">
        <v>561467.48872999987</v>
      </c>
      <c r="AA157" s="76">
        <v>260141.11437999996</v>
      </c>
      <c r="AB157" s="76">
        <v>212267.03244000016</v>
      </c>
      <c r="AC157" s="76">
        <v>218291.88267000005</v>
      </c>
      <c r="AD157" s="76">
        <v>230207.5693099999</v>
      </c>
      <c r="AE157" s="39">
        <v>920907.59880000004</v>
      </c>
      <c r="AF157" s="76">
        <f t="shared" ref="AF157:AH157" si="363">SUM(AF152:AF156)</f>
        <v>211446.20526999998</v>
      </c>
      <c r="AG157" s="76">
        <f t="shared" si="363"/>
        <v>221363.37612000009</v>
      </c>
      <c r="AH157" s="76">
        <f t="shared" si="363"/>
        <v>210066.48511999994</v>
      </c>
      <c r="AI157" s="76">
        <f t="shared" ref="AI157:AK157" si="364">SUM(AI152:AI156)</f>
        <v>184190.70703000008</v>
      </c>
      <c r="AJ157" s="39">
        <f t="shared" si="358"/>
        <v>827066.77354000008</v>
      </c>
      <c r="AK157" s="76">
        <f t="shared" si="364"/>
        <v>183269.90620999996</v>
      </c>
      <c r="AL157" s="76">
        <f t="shared" ref="AL157:AM157" si="365">SUM(AL152:AL156)</f>
        <v>199414.09333000003</v>
      </c>
      <c r="AM157" s="76">
        <f t="shared" si="365"/>
        <v>158069.45351999986</v>
      </c>
      <c r="AN157" s="76">
        <f>SUM(AN152:AN156)</f>
        <v>159922.62413000001</v>
      </c>
      <c r="AO157" s="39">
        <f t="shared" si="359"/>
        <v>700676.07718999987</v>
      </c>
      <c r="AP157" s="76">
        <f>SUM(AP152:AP156)</f>
        <v>156434.81357999999</v>
      </c>
      <c r="AQ157" s="76">
        <f>SUM(AQ152:AQ156)</f>
        <v>155046.60103000002</v>
      </c>
      <c r="AR157" s="76">
        <f>SUM(AR152:AR156)</f>
        <v>197070.23020000008</v>
      </c>
      <c r="AS157" s="76">
        <f>SUM(AS152:AS156)</f>
        <v>320122.80834000005</v>
      </c>
      <c r="AT157" s="39">
        <f t="shared" si="360"/>
        <v>828674.45315000019</v>
      </c>
      <c r="AU157" s="76">
        <f>SUM(AU152:AU156)</f>
        <v>311434.10543000011</v>
      </c>
      <c r="AV157" s="76">
        <f>SUM(AV152:AV156)</f>
        <v>316112.19202999998</v>
      </c>
      <c r="AW157" s="76">
        <f>SUM(AW152:AW156)</f>
        <v>297044.29055999999</v>
      </c>
      <c r="AX157" s="76">
        <f>SUM(AX152:AX156)</f>
        <v>329605.53499999968</v>
      </c>
      <c r="AY157" s="39">
        <f t="shared" si="357"/>
        <v>1254196.1230199998</v>
      </c>
      <c r="AZ157" s="76">
        <f>SUM(AZ152:AZ156)</f>
        <v>326996.61995999998</v>
      </c>
    </row>
    <row r="158" spans="1:52" ht="14.85" customHeight="1">
      <c r="A158" s="17" t="s">
        <v>711</v>
      </c>
      <c r="Q158" s="18">
        <v>8.791202195332401E-2</v>
      </c>
      <c r="R158" s="18">
        <v>7.7844113851518029E-2</v>
      </c>
      <c r="S158" s="18">
        <v>9.0932151239106015E-2</v>
      </c>
      <c r="T158" s="18">
        <v>7.0897031618046502E-2</v>
      </c>
      <c r="U158" s="46">
        <v>8.1865055173659315E-2</v>
      </c>
      <c r="V158" s="18">
        <v>9.8975846298181278E-2</v>
      </c>
      <c r="W158" s="18">
        <v>6.099446316911878E-2</v>
      </c>
      <c r="X158" s="18">
        <v>0.21038629774121653</v>
      </c>
      <c r="Y158" s="18">
        <v>0.19214805699223658</v>
      </c>
      <c r="Z158" s="46">
        <v>0.19146346782254126</v>
      </c>
      <c r="AA158" s="18">
        <v>0.22807563806479783</v>
      </c>
      <c r="AB158" s="18">
        <v>0.30953781959168547</v>
      </c>
      <c r="AC158" s="18">
        <v>0.30231542275593087</v>
      </c>
      <c r="AD158" s="18">
        <v>0.24139171700463929</v>
      </c>
      <c r="AE158" s="46">
        <v>0.27016118371300529</v>
      </c>
      <c r="AF158" s="18">
        <f t="shared" ref="AF158:AH158" si="366">-AF153/AF152</f>
        <v>0.24916273495203947</v>
      </c>
      <c r="AG158" s="18">
        <f t="shared" si="366"/>
        <v>0.2481668757517882</v>
      </c>
      <c r="AH158" s="18">
        <f t="shared" si="366"/>
        <v>0.23947975454077502</v>
      </c>
      <c r="AI158" s="18">
        <f t="shared" ref="AI158:AK158" si="367">-AI153/AI152</f>
        <v>0.28287970793896156</v>
      </c>
      <c r="AJ158" s="46">
        <f>-AJ153/AJ152</f>
        <v>0.25454182465581698</v>
      </c>
      <c r="AK158" s="18">
        <f t="shared" si="367"/>
        <v>0.28652910507853407</v>
      </c>
      <c r="AL158" s="18">
        <f t="shared" ref="AL158:AN158" si="368">-AL153/AL152</f>
        <v>0.26101489614450341</v>
      </c>
      <c r="AM158" s="18">
        <f t="shared" si="368"/>
        <v>0.29920535144094873</v>
      </c>
      <c r="AN158" s="18">
        <f t="shared" si="368"/>
        <v>0.24084248565348071</v>
      </c>
      <c r="AO158" s="46">
        <f>-AO153/AO152</f>
        <v>0.27218045647795253</v>
      </c>
      <c r="AP158" s="18">
        <f t="shared" ref="AP158" si="369">-AP153/AP152</f>
        <v>0.26968828923838373</v>
      </c>
      <c r="AQ158" s="18">
        <f t="shared" ref="AQ158:AT158" si="370">-AQ153/AQ152</f>
        <v>0.28605827051591032</v>
      </c>
      <c r="AR158" s="18">
        <f t="shared" si="370"/>
        <v>0.24328910614983004</v>
      </c>
      <c r="AS158" s="18">
        <f t="shared" si="370"/>
        <v>0.18226919214692475</v>
      </c>
      <c r="AT158" s="46">
        <f t="shared" si="370"/>
        <v>0.23478334882865362</v>
      </c>
      <c r="AU158" s="18">
        <f t="shared" ref="AU158" si="371">-AU153/AU152</f>
        <v>0.21326845738335171</v>
      </c>
      <c r="AV158" s="18">
        <f>-AV153/AV152</f>
        <v>0.21238612306097504</v>
      </c>
      <c r="AW158" s="18">
        <f>-AW153/AW152</f>
        <v>0.20148683993863931</v>
      </c>
      <c r="AX158" s="18">
        <f>-AX153/AX152</f>
        <v>0.18570340289316023</v>
      </c>
      <c r="AY158" s="46">
        <f>-AY153/AY152</f>
        <v>0.20302129855193085</v>
      </c>
      <c r="AZ158" s="18">
        <f>-AZ153/AZ152</f>
        <v>0.20626291818786274</v>
      </c>
    </row>
    <row r="159" spans="1:52" ht="14.85" customHeight="1" thickBot="1">
      <c r="A159" s="17" t="s">
        <v>712</v>
      </c>
      <c r="Q159" s="18">
        <v>0.20180132716688176</v>
      </c>
      <c r="R159" s="18">
        <v>0.14744358194691848</v>
      </c>
      <c r="S159" s="18">
        <v>0.17447907637538393</v>
      </c>
      <c r="T159" s="18">
        <v>0.20580494546674424</v>
      </c>
      <c r="U159" s="48">
        <v>0.18248680811516133</v>
      </c>
      <c r="V159" s="18">
        <v>0.17012176105533611</v>
      </c>
      <c r="W159" s="18">
        <v>0.18125634377497454</v>
      </c>
      <c r="X159" s="18">
        <v>0.18739673602891094</v>
      </c>
      <c r="Y159" s="18">
        <v>0.21562723019269761</v>
      </c>
      <c r="Z159" s="48">
        <v>0.1998227220961169</v>
      </c>
      <c r="AA159" s="18">
        <v>0.17709417390068691</v>
      </c>
      <c r="AB159" s="18">
        <v>0.16384452347027187</v>
      </c>
      <c r="AC159" s="18">
        <v>0.1560464097760805</v>
      </c>
      <c r="AD159" s="18">
        <v>0.15029687555595883</v>
      </c>
      <c r="AE159" s="48">
        <v>0.16231040323285179</v>
      </c>
      <c r="AF159" s="18">
        <f t="shared" ref="AF159:AH159" si="372">-AF154/AF152</f>
        <v>0.15378984198843423</v>
      </c>
      <c r="AG159" s="18">
        <f t="shared" si="372"/>
        <v>0.13098156866196106</v>
      </c>
      <c r="AH159" s="18">
        <f t="shared" si="372"/>
        <v>0.1415495067701478</v>
      </c>
      <c r="AI159" s="18">
        <f t="shared" ref="AI159:AK159" si="373">-AI154/AI152</f>
        <v>0.14195322252579162</v>
      </c>
      <c r="AJ159" s="48">
        <f>-AJ154/AJ152</f>
        <v>0.1421666482909453</v>
      </c>
      <c r="AK159" s="18">
        <f t="shared" si="373"/>
        <v>0.13875682244715917</v>
      </c>
      <c r="AL159" s="18">
        <f t="shared" ref="AL159:AN159" si="374">-AL154/AL152</f>
        <v>0.13906215207738265</v>
      </c>
      <c r="AM159" s="18">
        <f t="shared" si="374"/>
        <v>0.14299629318743834</v>
      </c>
      <c r="AN159" s="18">
        <f t="shared" si="374"/>
        <v>0.14882506453837241</v>
      </c>
      <c r="AO159" s="48">
        <f>-AO154/AO152</f>
        <v>0.14216474034149792</v>
      </c>
      <c r="AP159" s="18">
        <f t="shared" ref="AP159" si="375">-AP154/AP152</f>
        <v>0.14005950556519692</v>
      </c>
      <c r="AQ159" s="18">
        <f t="shared" ref="AQ159:AT159" si="376">-AQ154/AQ152</f>
        <v>0.14004772462254214</v>
      </c>
      <c r="AR159" s="18">
        <f t="shared" si="376"/>
        <v>0.15135604152371149</v>
      </c>
      <c r="AS159" s="18">
        <f t="shared" si="376"/>
        <v>0.17312937204918344</v>
      </c>
      <c r="AT159" s="48">
        <f t="shared" si="376"/>
        <v>0.15478729619957643</v>
      </c>
      <c r="AU159" s="18">
        <f t="shared" ref="AU159" si="377">-AU154/AU152</f>
        <v>0.16037190732881287</v>
      </c>
      <c r="AV159" s="18">
        <f>-AV154/AV152</f>
        <v>0.16442198285767323</v>
      </c>
      <c r="AW159" s="18">
        <f>-AW154/AW152</f>
        <v>0.21280906379092518</v>
      </c>
      <c r="AX159" s="18">
        <f>-AX154/AX152</f>
        <v>0.17865568817203165</v>
      </c>
      <c r="AY159" s="48">
        <f>-AY154/AY152</f>
        <v>0.17923757458383968</v>
      </c>
      <c r="AZ159" s="18">
        <f>-AZ154/AZ152</f>
        <v>0.17696189987285482</v>
      </c>
    </row>
    <row r="160" spans="1:52" ht="30.75" thickBot="1">
      <c r="A160" s="787" t="s">
        <v>733</v>
      </c>
    </row>
    <row r="161" spans="1:52" ht="14.85" customHeight="1">
      <c r="A161" s="179" t="s">
        <v>734</v>
      </c>
      <c r="B161" s="180" t="s">
        <v>224</v>
      </c>
      <c r="C161" s="180" t="s">
        <v>225</v>
      </c>
      <c r="D161" s="180" t="s">
        <v>226</v>
      </c>
      <c r="E161" s="180" t="s">
        <v>227</v>
      </c>
      <c r="F161" s="181">
        <v>2016</v>
      </c>
      <c r="G161" s="180" t="s">
        <v>228</v>
      </c>
      <c r="H161" s="180" t="s">
        <v>229</v>
      </c>
      <c r="I161" s="180" t="s">
        <v>230</v>
      </c>
      <c r="J161" s="180" t="s">
        <v>231</v>
      </c>
      <c r="K161" s="181">
        <v>2017</v>
      </c>
      <c r="L161" s="180" t="s">
        <v>232</v>
      </c>
      <c r="M161" s="180" t="s">
        <v>233</v>
      </c>
      <c r="N161" s="180" t="s">
        <v>234</v>
      </c>
      <c r="O161" s="180" t="s">
        <v>235</v>
      </c>
      <c r="P161" s="181">
        <v>2018</v>
      </c>
      <c r="Q161" s="180" t="s">
        <v>236</v>
      </c>
      <c r="R161" s="180" t="s">
        <v>237</v>
      </c>
      <c r="S161" s="180" t="s">
        <v>238</v>
      </c>
      <c r="T161" s="180" t="s">
        <v>239</v>
      </c>
      <c r="U161" s="181">
        <v>2019</v>
      </c>
      <c r="V161" s="180" t="s">
        <v>240</v>
      </c>
      <c r="W161" s="180" t="s">
        <v>241</v>
      </c>
      <c r="X161" s="180" t="s">
        <v>242</v>
      </c>
      <c r="Y161" s="180" t="s">
        <v>243</v>
      </c>
      <c r="Z161" s="181">
        <v>2020</v>
      </c>
      <c r="AA161" s="180" t="s">
        <v>244</v>
      </c>
      <c r="AB161" s="180" t="s">
        <v>245</v>
      </c>
      <c r="AC161" s="180" t="s">
        <v>246</v>
      </c>
      <c r="AD161" s="180" t="s">
        <v>247</v>
      </c>
      <c r="AE161" s="181">
        <v>2021</v>
      </c>
      <c r="AF161" s="180" t="s">
        <v>248</v>
      </c>
      <c r="AG161" s="180" t="s">
        <v>249</v>
      </c>
      <c r="AH161" s="180" t="s">
        <v>250</v>
      </c>
      <c r="AI161" s="180" t="s">
        <v>215</v>
      </c>
      <c r="AJ161" s="181">
        <v>2022</v>
      </c>
      <c r="AK161" s="180" t="s">
        <v>252</v>
      </c>
      <c r="AL161" s="180" t="s">
        <v>253</v>
      </c>
      <c r="AM161" s="180" t="s">
        <v>254</v>
      </c>
      <c r="AN161" s="180" t="s">
        <v>219</v>
      </c>
      <c r="AO161" s="181">
        <v>2023</v>
      </c>
      <c r="AP161" s="180" t="s">
        <v>223</v>
      </c>
      <c r="AQ161" s="180" t="s">
        <v>256</v>
      </c>
      <c r="AR161" s="180" t="s">
        <v>357</v>
      </c>
      <c r="AS161" s="180" t="s">
        <v>358</v>
      </c>
      <c r="AT161" s="181">
        <v>2024</v>
      </c>
      <c r="AU161" s="180" t="s">
        <v>359</v>
      </c>
      <c r="AV161" s="180" t="s">
        <v>1115</v>
      </c>
      <c r="AW161" s="180" t="s">
        <v>1116</v>
      </c>
      <c r="AX161" s="180" t="s">
        <v>1117</v>
      </c>
      <c r="AY161" s="181" t="s">
        <v>1118</v>
      </c>
      <c r="AZ161" s="180" t="s">
        <v>1124</v>
      </c>
    </row>
    <row r="162" spans="1:52" ht="14.85" customHeight="1">
      <c r="A162" s="54" t="s">
        <v>707</v>
      </c>
      <c r="Q162" s="76">
        <v>338272.13133999996</v>
      </c>
      <c r="R162" s="76">
        <v>377623.02097000001</v>
      </c>
      <c r="S162" s="76">
        <v>378320.98836000008</v>
      </c>
      <c r="T162" s="76">
        <v>458213.41546999983</v>
      </c>
      <c r="U162" s="39">
        <v>1552429.55614</v>
      </c>
      <c r="V162" s="76">
        <v>413899.90053999989</v>
      </c>
      <c r="W162" s="76">
        <v>367795.68741999997</v>
      </c>
      <c r="X162" s="76">
        <v>1984.9492900000002</v>
      </c>
      <c r="Y162" s="76">
        <v>2096.7305500000002</v>
      </c>
      <c r="Z162" s="39">
        <v>785777.26779999991</v>
      </c>
      <c r="AA162" s="76">
        <v>2108.0113300000003</v>
      </c>
      <c r="AB162" s="76">
        <v>2150.6321399999997</v>
      </c>
      <c r="AC162" s="76">
        <v>2172.6544100000001</v>
      </c>
      <c r="AD162" s="76">
        <v>2133.2520900000004</v>
      </c>
      <c r="AE162" s="39">
        <v>8564.54997</v>
      </c>
      <c r="AF162" s="76">
        <v>2090.4154200000003</v>
      </c>
      <c r="AG162" s="76">
        <v>2042.3219600000004</v>
      </c>
      <c r="AH162" s="76">
        <v>2108.4171399999996</v>
      </c>
      <c r="AI162" s="76">
        <v>2113.2251000000001</v>
      </c>
      <c r="AJ162" s="39">
        <f>SUM(AF162:AI162)</f>
        <v>8354.3796199999997</v>
      </c>
      <c r="AK162" s="76">
        <v>2108.5533700000001</v>
      </c>
      <c r="AL162" s="76">
        <v>2092.5440100000001</v>
      </c>
      <c r="AM162" s="76">
        <v>2071.9197299999996</v>
      </c>
      <c r="AN162" s="76">
        <v>2108.1187099999997</v>
      </c>
      <c r="AO162" s="39">
        <f>SUM(AK162:AN162)</f>
        <v>8381.1358199999995</v>
      </c>
      <c r="AP162" s="76">
        <v>2147.1017500000003</v>
      </c>
      <c r="AQ162" s="76">
        <v>2159.9178700000002</v>
      </c>
      <c r="AR162" s="76">
        <v>2232.7863900000002</v>
      </c>
      <c r="AS162" s="76">
        <v>2289.3049999999998</v>
      </c>
      <c r="AT162" s="39">
        <f>SUM(AP162:AS162)</f>
        <v>8829.1110100000005</v>
      </c>
      <c r="AU162" s="76">
        <v>2383.7989600000005</v>
      </c>
      <c r="AV162" s="76">
        <v>2463.5936699999997</v>
      </c>
      <c r="AW162" s="76">
        <v>2565.1068099999998</v>
      </c>
      <c r="AX162" s="76">
        <v>2598.0807299999997</v>
      </c>
      <c r="AY162" s="39">
        <f t="shared" ref="AY162:AY169" si="378">SUM(AU162:AX162)</f>
        <v>10010.580169999999</v>
      </c>
      <c r="AZ162" s="10">
        <v>2602.6786200000006</v>
      </c>
    </row>
    <row r="163" spans="1:52" ht="14.85" customHeight="1">
      <c r="A163" s="56" t="s">
        <v>443</v>
      </c>
      <c r="Q163" s="1">
        <v>21122.007930000003</v>
      </c>
      <c r="R163" s="1">
        <v>-20091.67007</v>
      </c>
      <c r="S163" s="1">
        <v>25472.506659999999</v>
      </c>
      <c r="T163" s="1">
        <v>-72038.859120000023</v>
      </c>
      <c r="U163" s="40">
        <v>-45536.014600000024</v>
      </c>
      <c r="V163" s="1">
        <v>15313.27295</v>
      </c>
      <c r="W163" s="1">
        <v>46257.082069999982</v>
      </c>
      <c r="X163" s="1">
        <v>-35.721069999999997</v>
      </c>
      <c r="Y163" s="1">
        <v>-5.3897400000000006</v>
      </c>
      <c r="Z163" s="40">
        <v>61529.244209999983</v>
      </c>
      <c r="AA163" s="1">
        <v>-0.64805999999999764</v>
      </c>
      <c r="AB163" s="1">
        <v>-21.508290000000002</v>
      </c>
      <c r="AC163" s="1">
        <v>-5.7649300000000032</v>
      </c>
      <c r="AD163" s="1">
        <v>17.715730000000004</v>
      </c>
      <c r="AE163" s="40">
        <v>-10.205549999999999</v>
      </c>
      <c r="AF163" s="1">
        <v>3.4252200000000022</v>
      </c>
      <c r="AG163" s="1">
        <v>-7.3637299999999986</v>
      </c>
      <c r="AH163" s="1">
        <v>-30.698359999999997</v>
      </c>
      <c r="AI163" s="1">
        <v>-2.0610900000000001</v>
      </c>
      <c r="AJ163" s="40">
        <f t="shared" ref="AJ163:AJ169" si="379">SUM(AF163:AI163)</f>
        <v>-36.697959999999995</v>
      </c>
      <c r="AK163" s="1">
        <v>-3.9964300000000055</v>
      </c>
      <c r="AL163" s="1">
        <v>-17.091390000000001</v>
      </c>
      <c r="AM163" s="1">
        <v>-4.1412599999999991</v>
      </c>
      <c r="AN163" s="1">
        <v>-5.96258</v>
      </c>
      <c r="AO163" s="40">
        <f t="shared" ref="AO163:AO169" si="380">SUM(AK163:AN163)</f>
        <v>-31.191660000000006</v>
      </c>
      <c r="AP163" s="1">
        <v>-12.542119999999999</v>
      </c>
      <c r="AQ163" s="1">
        <v>-19.918449999999996</v>
      </c>
      <c r="AR163" s="1">
        <v>-19.778830000000003</v>
      </c>
      <c r="AS163" s="1">
        <v>-15.457000000000001</v>
      </c>
      <c r="AT163" s="40">
        <f t="shared" ref="AT163:AT169" si="381">SUM(AP163:AS163)</f>
        <v>-67.696400000000011</v>
      </c>
      <c r="AU163" s="1">
        <v>-301.91783999999996</v>
      </c>
      <c r="AV163" s="1">
        <v>288.74982</v>
      </c>
      <c r="AW163" s="1">
        <v>-35.537910000000004</v>
      </c>
      <c r="AX163" s="1">
        <v>8.7060200000000005</v>
      </c>
      <c r="AY163" s="40">
        <f t="shared" si="378"/>
        <v>-39.999909999999957</v>
      </c>
      <c r="AZ163" s="8">
        <v>-11.064149999999998</v>
      </c>
    </row>
    <row r="164" spans="1:52" ht="14.85" customHeight="1">
      <c r="A164" s="54" t="s">
        <v>708</v>
      </c>
      <c r="Q164" s="76">
        <v>359394.13926999999</v>
      </c>
      <c r="R164" s="76">
        <v>357531.35090000002</v>
      </c>
      <c r="S164" s="76">
        <v>403793.49502000009</v>
      </c>
      <c r="T164" s="76">
        <v>386174.5563499998</v>
      </c>
      <c r="U164" s="39">
        <v>1506893.5415399999</v>
      </c>
      <c r="V164" s="76">
        <v>429213.1734899999</v>
      </c>
      <c r="W164" s="76">
        <v>414052.76948999998</v>
      </c>
      <c r="X164" s="76">
        <v>1949.2282200000002</v>
      </c>
      <c r="Y164" s="76">
        <v>2091.3408100000001</v>
      </c>
      <c r="Z164" s="39">
        <v>847306.51200999983</v>
      </c>
      <c r="AA164" s="76">
        <v>2107.3632700000003</v>
      </c>
      <c r="AB164" s="76">
        <v>2129.1238499999995</v>
      </c>
      <c r="AC164" s="76">
        <v>2166.8894800000003</v>
      </c>
      <c r="AD164" s="76">
        <v>2150.9678200000003</v>
      </c>
      <c r="AE164" s="39">
        <v>8554.3444199999994</v>
      </c>
      <c r="AF164" s="76">
        <f t="shared" ref="AF164:AN164" si="382">SUM(AF162:AF163)</f>
        <v>2093.8406400000003</v>
      </c>
      <c r="AG164" s="76">
        <f t="shared" si="382"/>
        <v>2034.9582300000004</v>
      </c>
      <c r="AH164" s="76">
        <f t="shared" si="382"/>
        <v>2077.7187799999997</v>
      </c>
      <c r="AI164" s="76">
        <f t="shared" si="382"/>
        <v>2111.16401</v>
      </c>
      <c r="AJ164" s="39">
        <f t="shared" si="379"/>
        <v>8317.6816600000002</v>
      </c>
      <c r="AK164" s="76">
        <f t="shared" si="382"/>
        <v>2104.5569399999999</v>
      </c>
      <c r="AL164" s="76">
        <f t="shared" si="382"/>
        <v>2075.45262</v>
      </c>
      <c r="AM164" s="76">
        <f t="shared" si="382"/>
        <v>2067.7784699999997</v>
      </c>
      <c r="AN164" s="76">
        <f t="shared" si="382"/>
        <v>2102.1561299999998</v>
      </c>
      <c r="AO164" s="39">
        <f t="shared" si="380"/>
        <v>8349.9441599999991</v>
      </c>
      <c r="AP164" s="76">
        <f>SUM(AP162:AP163)</f>
        <v>2134.5596300000002</v>
      </c>
      <c r="AQ164" s="76">
        <f>SUM(AQ162:AQ163)</f>
        <v>2139.9994200000001</v>
      </c>
      <c r="AR164" s="76">
        <f>SUM(AR162:AR163)</f>
        <v>2213.00756</v>
      </c>
      <c r="AS164" s="76">
        <f>SUM(AS162:AS163)</f>
        <v>2273.848</v>
      </c>
      <c r="AT164" s="39">
        <f t="shared" si="381"/>
        <v>8761.4146099999998</v>
      </c>
      <c r="AU164" s="76">
        <f>SUM(AU162:AU163)</f>
        <v>2081.8811200000005</v>
      </c>
      <c r="AV164" s="76">
        <f>SUM(AV162:AV163)</f>
        <v>2752.3434899999997</v>
      </c>
      <c r="AW164" s="76">
        <f t="shared" ref="AW164:AZ164" si="383">SUM(AW162:AW163)</f>
        <v>2529.5688999999998</v>
      </c>
      <c r="AX164" s="76">
        <f t="shared" si="383"/>
        <v>2606.7867499999998</v>
      </c>
      <c r="AY164" s="39">
        <f t="shared" si="378"/>
        <v>9970.5802599999988</v>
      </c>
      <c r="AZ164" s="76">
        <f t="shared" si="383"/>
        <v>2591.6144700000004</v>
      </c>
    </row>
    <row r="165" spans="1:52" ht="14.85" customHeight="1">
      <c r="A165" s="56" t="s">
        <v>477</v>
      </c>
      <c r="Q165" s="1">
        <v>-77541.95014999999</v>
      </c>
      <c r="R165" s="1">
        <v>-71678.476320000002</v>
      </c>
      <c r="S165" s="1">
        <v>-67697.693690000029</v>
      </c>
      <c r="T165" s="1">
        <v>-43532.071539999997</v>
      </c>
      <c r="U165" s="40">
        <v>-260450.19170000005</v>
      </c>
      <c r="V165" s="1">
        <v>-74421.672630000015</v>
      </c>
      <c r="W165" s="1">
        <v>-87092.062489999997</v>
      </c>
      <c r="X165" s="1">
        <v>-329.55212999999998</v>
      </c>
      <c r="Y165" s="1">
        <v>-326.47611000000001</v>
      </c>
      <c r="Z165" s="40">
        <v>-162169.76336000001</v>
      </c>
      <c r="AA165" s="1">
        <v>-832.25686000000007</v>
      </c>
      <c r="AB165" s="1">
        <v>-1962.81898</v>
      </c>
      <c r="AC165" s="1">
        <v>609.47922000000028</v>
      </c>
      <c r="AD165" s="1">
        <v>-2089.5349700000006</v>
      </c>
      <c r="AE165" s="40">
        <v>-4275.1315900000009</v>
      </c>
      <c r="AF165" s="1">
        <v>-1304.3533</v>
      </c>
      <c r="AG165" s="1">
        <v>-2173.1483800000001</v>
      </c>
      <c r="AH165" s="1">
        <v>-1533.2580700000001</v>
      </c>
      <c r="AI165" s="1">
        <v>396.77708000000001</v>
      </c>
      <c r="AJ165" s="40">
        <f t="shared" si="379"/>
        <v>-4613.9826700000003</v>
      </c>
      <c r="AK165" s="1">
        <v>-1240.2329</v>
      </c>
      <c r="AL165" s="1">
        <v>-1231.3209399999998</v>
      </c>
      <c r="AM165" s="1">
        <v>-690.03902999999991</v>
      </c>
      <c r="AN165" s="1">
        <v>-884.15450999999985</v>
      </c>
      <c r="AO165" s="40">
        <f t="shared" si="380"/>
        <v>-4045.7473799999993</v>
      </c>
      <c r="AP165" s="1">
        <v>-794.19784000000016</v>
      </c>
      <c r="AQ165" s="1">
        <v>-1669.9120300000002</v>
      </c>
      <c r="AR165" s="1">
        <v>-105.5420300000002</v>
      </c>
      <c r="AS165" s="1">
        <v>-2406.174</v>
      </c>
      <c r="AT165" s="40">
        <f t="shared" si="381"/>
        <v>-4975.8258999999998</v>
      </c>
      <c r="AU165" s="1">
        <v>-1403.5630000000001</v>
      </c>
      <c r="AV165" s="1">
        <v>-2845.145860000001</v>
      </c>
      <c r="AW165" s="1">
        <v>-2447.6777099999999</v>
      </c>
      <c r="AX165" s="1">
        <v>-2064.6862299999993</v>
      </c>
      <c r="AY165" s="40">
        <f t="shared" si="378"/>
        <v>-8761.0727999999999</v>
      </c>
      <c r="AZ165" s="8">
        <v>851.35996000000011</v>
      </c>
    </row>
    <row r="166" spans="1:52" ht="14.85" customHeight="1">
      <c r="A166" s="56" t="s">
        <v>478</v>
      </c>
      <c r="Q166" s="1">
        <v>-68661.854500000001</v>
      </c>
      <c r="R166" s="1">
        <v>-73705.493369999997</v>
      </c>
      <c r="S166" s="1">
        <v>-79792.720630000011</v>
      </c>
      <c r="T166" s="1">
        <v>-81693.938340000008</v>
      </c>
      <c r="U166" s="40">
        <v>-303854.00683999999</v>
      </c>
      <c r="V166" s="1">
        <v>-86854.475340000005</v>
      </c>
      <c r="W166" s="1">
        <v>-78328.675610000006</v>
      </c>
      <c r="X166" s="1">
        <v>-261.43213999999995</v>
      </c>
      <c r="Y166" s="1">
        <v>394.31167999999997</v>
      </c>
      <c r="Z166" s="40">
        <v>-165050.27140999999</v>
      </c>
      <c r="AA166" s="1">
        <v>-41.463429999999995</v>
      </c>
      <c r="AB166" s="1">
        <v>-195.66773999999998</v>
      </c>
      <c r="AC166" s="1">
        <v>-101.19215999999999</v>
      </c>
      <c r="AD166" s="1">
        <v>-105.5432</v>
      </c>
      <c r="AE166" s="40">
        <v>-443.86652999999995</v>
      </c>
      <c r="AF166" s="1">
        <v>-150.52688999999998</v>
      </c>
      <c r="AG166" s="1">
        <v>-163.73675</v>
      </c>
      <c r="AH166" s="1">
        <v>-155.57558</v>
      </c>
      <c r="AI166" s="1">
        <v>-207.00512999999998</v>
      </c>
      <c r="AJ166" s="40">
        <f t="shared" si="379"/>
        <v>-676.84434999999996</v>
      </c>
      <c r="AK166" s="1">
        <v>-158.61015000000003</v>
      </c>
      <c r="AL166" s="1">
        <v>-170.91244</v>
      </c>
      <c r="AM166" s="1">
        <v>-375.05071999999996</v>
      </c>
      <c r="AN166" s="1">
        <v>-184.55997000000002</v>
      </c>
      <c r="AO166" s="40">
        <f t="shared" si="380"/>
        <v>-889.13328000000001</v>
      </c>
      <c r="AP166" s="1">
        <v>-219.64908000000003</v>
      </c>
      <c r="AQ166" s="1">
        <v>-235.65903999999998</v>
      </c>
      <c r="AR166" s="1">
        <v>-331.24133000000006</v>
      </c>
      <c r="AS166" s="1">
        <v>-294.01299999999998</v>
      </c>
      <c r="AT166" s="40">
        <f t="shared" si="381"/>
        <v>-1080.5624500000001</v>
      </c>
      <c r="AU166" s="1">
        <v>-252.92657</v>
      </c>
      <c r="AV166" s="1">
        <v>-310.64565000000005</v>
      </c>
      <c r="AW166" s="1">
        <v>-409.04167000000018</v>
      </c>
      <c r="AX166" s="1">
        <v>-232.24723</v>
      </c>
      <c r="AY166" s="40">
        <f t="shared" si="378"/>
        <v>-1204.8611200000003</v>
      </c>
      <c r="AZ166" s="8">
        <v>-255.28053</v>
      </c>
    </row>
    <row r="167" spans="1:52" ht="14.85" customHeight="1">
      <c r="A167" s="56" t="s">
        <v>479</v>
      </c>
      <c r="Q167" s="1">
        <v>-26125.682849999997</v>
      </c>
      <c r="R167" s="1">
        <v>-23324.809150000001</v>
      </c>
      <c r="S167" s="1">
        <v>-30403.136230000004</v>
      </c>
      <c r="T167" s="1">
        <v>-31976.36868</v>
      </c>
      <c r="U167" s="40">
        <v>-111829.99691</v>
      </c>
      <c r="V167" s="1">
        <v>-50100.312879999998</v>
      </c>
      <c r="W167" s="1">
        <v>-30556.287989999993</v>
      </c>
      <c r="X167" s="1">
        <v>-267.88556</v>
      </c>
      <c r="Y167" s="1">
        <v>262.57749999999999</v>
      </c>
      <c r="Z167" s="40">
        <v>-80661.908929999991</v>
      </c>
      <c r="AA167" s="1">
        <v>-433.45826999999997</v>
      </c>
      <c r="AB167" s="1">
        <v>172.09560999999999</v>
      </c>
      <c r="AC167" s="1">
        <v>-210.59344999999999</v>
      </c>
      <c r="AD167" s="1">
        <v>278.92427000000004</v>
      </c>
      <c r="AE167" s="40">
        <v>-193.03183999999993</v>
      </c>
      <c r="AF167" s="1">
        <v>-107.28595999999999</v>
      </c>
      <c r="AG167" s="1">
        <v>-80.684100000000001</v>
      </c>
      <c r="AH167" s="1">
        <v>123.65094999999998</v>
      </c>
      <c r="AI167" s="1">
        <v>-56.981919999999995</v>
      </c>
      <c r="AJ167" s="40">
        <f t="shared" si="379"/>
        <v>-121.30103</v>
      </c>
      <c r="AK167" s="1">
        <v>-171.39662000000001</v>
      </c>
      <c r="AL167" s="1">
        <v>-722.01951999999994</v>
      </c>
      <c r="AM167" s="1">
        <v>-321.46501999999998</v>
      </c>
      <c r="AN167" s="1">
        <v>-179.74232000000003</v>
      </c>
      <c r="AO167" s="40">
        <f t="shared" si="380"/>
        <v>-1394.62348</v>
      </c>
      <c r="AP167" s="1">
        <v>-204.64062000000001</v>
      </c>
      <c r="AQ167" s="1">
        <v>-914.44745</v>
      </c>
      <c r="AR167" s="1">
        <v>-264.5445400000001</v>
      </c>
      <c r="AS167" s="1">
        <v>-209.279</v>
      </c>
      <c r="AT167" s="40">
        <f t="shared" si="381"/>
        <v>-1592.9116100000001</v>
      </c>
      <c r="AU167" s="1">
        <v>-71.697009999999963</v>
      </c>
      <c r="AV167" s="1">
        <v>-995.4451899999998</v>
      </c>
      <c r="AW167" s="1">
        <v>-615.25811999999996</v>
      </c>
      <c r="AX167" s="1">
        <v>-902.28630999999996</v>
      </c>
      <c r="AY167" s="40">
        <f t="shared" si="378"/>
        <v>-2584.6866299999997</v>
      </c>
      <c r="AZ167" s="8">
        <v>-250.03434000000001</v>
      </c>
    </row>
    <row r="168" spans="1:52" ht="14.85" customHeight="1">
      <c r="A168" s="56" t="s">
        <v>709</v>
      </c>
      <c r="Q168" s="1">
        <v>-49741.671669999996</v>
      </c>
      <c r="R168" s="1">
        <v>25692.109249999998</v>
      </c>
      <c r="S168" s="1">
        <v>-15681.799299999999</v>
      </c>
      <c r="T168" s="1">
        <v>1162.195030000004</v>
      </c>
      <c r="U168" s="40">
        <v>-38569.166689999998</v>
      </c>
      <c r="V168" s="1">
        <v>-2318.086330000001</v>
      </c>
      <c r="W168" s="1">
        <v>-2806.9274300000002</v>
      </c>
      <c r="X168" s="1">
        <v>1.3400800000000004</v>
      </c>
      <c r="Y168" s="1">
        <v>1.5459999999999986E-2</v>
      </c>
      <c r="Z168" s="40">
        <v>-5123.6582200000021</v>
      </c>
      <c r="AA168" s="1">
        <v>-14.651699999999998</v>
      </c>
      <c r="AB168" s="1">
        <v>-24.649299999999997</v>
      </c>
      <c r="AC168" s="1">
        <v>-16.057670000000002</v>
      </c>
      <c r="AD168" s="1">
        <v>-16.066249999999997</v>
      </c>
      <c r="AE168" s="40">
        <v>-71.424919999999986</v>
      </c>
      <c r="AF168" s="1">
        <v>-31.012090000000025</v>
      </c>
      <c r="AG168" s="1">
        <v>-10.491209999999992</v>
      </c>
      <c r="AH168" s="1">
        <v>-10.599770000000001</v>
      </c>
      <c r="AI168" s="1">
        <v>229.40023000000002</v>
      </c>
      <c r="AJ168" s="40">
        <f t="shared" si="379"/>
        <v>177.29716000000002</v>
      </c>
      <c r="AK168" s="1">
        <v>-10.35219</v>
      </c>
      <c r="AL168" s="1">
        <v>-2.6799200000000001</v>
      </c>
      <c r="AM168" s="1">
        <v>-0.65937000000000023</v>
      </c>
      <c r="AN168" s="1">
        <v>34.945749999999997</v>
      </c>
      <c r="AO168" s="40">
        <f t="shared" si="380"/>
        <v>21.254269999999998</v>
      </c>
      <c r="AP168" s="1">
        <v>-1.4317499999999999</v>
      </c>
      <c r="AQ168" s="1">
        <v>-22.870240000000003</v>
      </c>
      <c r="AR168" s="1">
        <v>-2.1631499999999999</v>
      </c>
      <c r="AS168" s="1">
        <v>-1.5760000000000001</v>
      </c>
      <c r="AT168" s="40">
        <f t="shared" si="381"/>
        <v>-28.041140000000006</v>
      </c>
      <c r="AU168" s="1">
        <v>-1.6529800000000001</v>
      </c>
      <c r="AV168" s="1">
        <v>-19.085619999999999</v>
      </c>
      <c r="AW168" s="1">
        <v>-1.6475500000000003</v>
      </c>
      <c r="AX168" s="1">
        <v>-1.6475500000000003</v>
      </c>
      <c r="AY168" s="40">
        <f t="shared" si="378"/>
        <v>-24.033699999999996</v>
      </c>
      <c r="AZ168" s="8">
        <v>-1.6117300000000001</v>
      </c>
    </row>
    <row r="169" spans="1:52" ht="14.85" customHeight="1">
      <c r="A169" s="54" t="s">
        <v>710</v>
      </c>
      <c r="Q169" s="76">
        <v>137322.98009999999</v>
      </c>
      <c r="R169" s="76">
        <v>214514.68131000004</v>
      </c>
      <c r="S169" s="76">
        <v>210218.14517000003</v>
      </c>
      <c r="T169" s="76">
        <v>230134.37281999981</v>
      </c>
      <c r="U169" s="39">
        <v>792190.17939999991</v>
      </c>
      <c r="V169" s="76">
        <v>215518.62630999993</v>
      </c>
      <c r="W169" s="76">
        <v>215268.81597</v>
      </c>
      <c r="X169" s="76">
        <v>1091.6984700000003</v>
      </c>
      <c r="Y169" s="76">
        <v>2421.7693399999998</v>
      </c>
      <c r="Z169" s="39">
        <v>434300.9100899999</v>
      </c>
      <c r="AA169" s="76">
        <v>785.53301000000033</v>
      </c>
      <c r="AB169" s="76">
        <v>118.0834399999995</v>
      </c>
      <c r="AC169" s="76">
        <v>2448.5254200000004</v>
      </c>
      <c r="AD169" s="76">
        <v>218.74766999999972</v>
      </c>
      <c r="AE169" s="39">
        <v>3570.8895399999988</v>
      </c>
      <c r="AF169" s="76">
        <f t="shared" ref="AF169:AH169" si="384">SUM(AF164:AF168)</f>
        <v>500.66240000000033</v>
      </c>
      <c r="AG169" s="76">
        <f t="shared" si="384"/>
        <v>-393.10220999999967</v>
      </c>
      <c r="AH169" s="76">
        <f t="shared" si="384"/>
        <v>501.93630999999965</v>
      </c>
      <c r="AI169" s="76">
        <f t="shared" ref="AI169:AK169" si="385">SUM(AI164:AI168)</f>
        <v>2473.3542699999998</v>
      </c>
      <c r="AJ169" s="39">
        <f t="shared" si="379"/>
        <v>3082.85077</v>
      </c>
      <c r="AK169" s="76">
        <f t="shared" si="385"/>
        <v>523.96508000000006</v>
      </c>
      <c r="AL169" s="76">
        <f t="shared" ref="AL169:AN169" si="386">SUM(AL164:AL168)</f>
        <v>-51.480199999999819</v>
      </c>
      <c r="AM169" s="76">
        <f t="shared" si="386"/>
        <v>680.56432999999993</v>
      </c>
      <c r="AN169" s="76">
        <f t="shared" si="386"/>
        <v>888.64507999999989</v>
      </c>
      <c r="AO169" s="39">
        <f t="shared" si="380"/>
        <v>2041.6942899999999</v>
      </c>
      <c r="AP169" s="76">
        <f>SUM(AP164:AP168)</f>
        <v>914.64033999999981</v>
      </c>
      <c r="AQ169" s="76">
        <f>SUM(AQ164:AQ168)</f>
        <v>-702.88934000000006</v>
      </c>
      <c r="AR169" s="76">
        <f>SUM(AR164:AR168)</f>
        <v>1509.5165099999997</v>
      </c>
      <c r="AS169" s="76">
        <f>SUM(AS164:AS168)</f>
        <v>-637.19399999999996</v>
      </c>
      <c r="AT169" s="39">
        <f t="shared" si="381"/>
        <v>1084.0735099999995</v>
      </c>
      <c r="AU169" s="76">
        <f>SUM(AU164:AU168)</f>
        <v>352.0415600000004</v>
      </c>
      <c r="AV169" s="76">
        <f>SUM(AV164:AV168)</f>
        <v>-1417.9788300000012</v>
      </c>
      <c r="AW169" s="76">
        <f t="shared" ref="AW169:AX169" si="387">SUM(AW164:AW168)</f>
        <v>-944.05615000000034</v>
      </c>
      <c r="AX169" s="76">
        <f t="shared" si="387"/>
        <v>-594.08056999999951</v>
      </c>
      <c r="AY169" s="39">
        <f t="shared" si="378"/>
        <v>-2604.0739900000008</v>
      </c>
      <c r="AZ169" s="76">
        <f t="shared" ref="AZ169" si="388">SUM(AZ164:AZ168)</f>
        <v>2936.0478300000004</v>
      </c>
    </row>
    <row r="170" spans="1:52" ht="14.85" customHeight="1">
      <c r="A170" s="17" t="s">
        <v>711</v>
      </c>
      <c r="Q170" s="18">
        <v>0.21575741415122379</v>
      </c>
      <c r="R170" s="18">
        <v>0.20048165325800524</v>
      </c>
      <c r="S170" s="18">
        <v>0.1676542453628356</v>
      </c>
      <c r="T170" s="18">
        <v>0.11272641043845928</v>
      </c>
      <c r="U170" s="46">
        <v>0.17283914524832841</v>
      </c>
      <c r="V170" s="18">
        <v>0.17339093305283637</v>
      </c>
      <c r="W170" s="18">
        <v>0.210340490168134</v>
      </c>
      <c r="X170" s="18">
        <v>0.16906800682374687</v>
      </c>
      <c r="Y170" s="18">
        <v>0.15610851585686791</v>
      </c>
      <c r="Z170" s="46">
        <v>0.19139444942456207</v>
      </c>
      <c r="AA170" s="18">
        <v>0.39492804674345489</v>
      </c>
      <c r="AB170" s="18">
        <v>0.92189046682277331</v>
      </c>
      <c r="AC170" s="18">
        <v>-0.28126917668177531</v>
      </c>
      <c r="AD170" s="18">
        <v>0.97143943789916876</v>
      </c>
      <c r="AE170" s="46">
        <v>0.49976145220489043</v>
      </c>
      <c r="AF170" s="18">
        <f t="shared" ref="AF170:AH170" si="389">-AF165/AF164</f>
        <v>0.62294774257509866</v>
      </c>
      <c r="AG170" s="18">
        <f t="shared" si="389"/>
        <v>1.0679081014847167</v>
      </c>
      <c r="AH170" s="18">
        <f t="shared" si="389"/>
        <v>0.73795264535270766</v>
      </c>
      <c r="AI170" s="18">
        <f t="shared" ref="AI170:AK170" si="390">-AI165/AI164</f>
        <v>-0.18794232855456836</v>
      </c>
      <c r="AJ170" s="46">
        <f>-AJ165/AJ164</f>
        <v>0.5547197955638038</v>
      </c>
      <c r="AK170" s="18">
        <f t="shared" si="390"/>
        <v>0.58930831303618714</v>
      </c>
      <c r="AL170" s="18">
        <f t="shared" ref="AL170:AN170" si="391">-AL165/AL164</f>
        <v>0.5932782700671817</v>
      </c>
      <c r="AM170" s="18">
        <f t="shared" si="391"/>
        <v>0.33371032729632782</v>
      </c>
      <c r="AN170" s="18">
        <f t="shared" si="391"/>
        <v>0.42059412114170602</v>
      </c>
      <c r="AO170" s="46">
        <f>-AO165/AO164</f>
        <v>0.48452388452858824</v>
      </c>
      <c r="AP170" s="18">
        <f t="shared" ref="AP170" si="392">-AP165/AP164</f>
        <v>0.3720663638710342</v>
      </c>
      <c r="AQ170" s="18">
        <f t="shared" ref="AQ170:AV170" si="393">-AQ165/AQ164</f>
        <v>0.78033293579116958</v>
      </c>
      <c r="AR170" s="18">
        <f t="shared" si="393"/>
        <v>4.7691671690448356E-2</v>
      </c>
      <c r="AS170" s="18">
        <f t="shared" si="393"/>
        <v>1.0581947430083278</v>
      </c>
      <c r="AT170" s="46">
        <f t="shared" si="393"/>
        <v>0.56792494380082759</v>
      </c>
      <c r="AU170" s="18">
        <f t="shared" si="393"/>
        <v>0.67418018565824733</v>
      </c>
      <c r="AV170" s="18">
        <f t="shared" si="393"/>
        <v>1.0337175829750818</v>
      </c>
      <c r="AW170" s="18">
        <f t="shared" ref="AW170:AX170" si="394">-AW165/AW164</f>
        <v>0.96762642440773217</v>
      </c>
      <c r="AX170" s="18">
        <f t="shared" si="394"/>
        <v>0.79204262872672637</v>
      </c>
      <c r="AY170" s="46">
        <f>-AY165/AY164</f>
        <v>0.87869237010685286</v>
      </c>
      <c r="AZ170" s="169">
        <f t="shared" ref="AZ170" si="395">-AZ165/AZ164</f>
        <v>-0.32850563610257971</v>
      </c>
    </row>
    <row r="171" spans="1:52" ht="14.85" customHeight="1" thickBot="1">
      <c r="A171" s="17" t="s">
        <v>712</v>
      </c>
      <c r="Q171" s="18">
        <v>0.19104889868116853</v>
      </c>
      <c r="R171" s="18">
        <v>0.20615113383613484</v>
      </c>
      <c r="S171" s="18">
        <v>0.19760774161566877</v>
      </c>
      <c r="T171" s="18">
        <v>0.2115466619866036</v>
      </c>
      <c r="U171" s="48">
        <v>0.20164264990443209</v>
      </c>
      <c r="V171" s="18">
        <v>0.20235743146877946</v>
      </c>
      <c r="W171" s="18">
        <v>0.18917558674098367</v>
      </c>
      <c r="X171" s="18">
        <v>0.13412084707043689</v>
      </c>
      <c r="Y171" s="18">
        <v>-0.18854491726769293</v>
      </c>
      <c r="Z171" s="48">
        <v>0.19479405512706843</v>
      </c>
      <c r="AA171" s="18">
        <v>1.9675501889145096E-2</v>
      </c>
      <c r="AB171" s="18">
        <v>9.1900590940259319E-2</v>
      </c>
      <c r="AC171" s="18">
        <v>4.6699271436769343E-2</v>
      </c>
      <c r="AD171" s="18">
        <v>4.906777266430698E-2</v>
      </c>
      <c r="AE171" s="48">
        <v>5.1887848817758965E-2</v>
      </c>
      <c r="AF171" s="18">
        <f t="shared" ref="AF171:AH171" si="396">-AF166/AF164</f>
        <v>7.1890327814059407E-2</v>
      </c>
      <c r="AG171" s="18">
        <f t="shared" si="396"/>
        <v>8.0461970956524242E-2</v>
      </c>
      <c r="AH171" s="18">
        <f t="shared" si="396"/>
        <v>7.4878073730459335E-2</v>
      </c>
      <c r="AI171" s="18">
        <f t="shared" ref="AI171:AK171" si="397">-AI166/AI164</f>
        <v>9.8052604638708282E-2</v>
      </c>
      <c r="AJ171" s="48">
        <f>-AJ166/AJ164</f>
        <v>8.1374159010552935E-2</v>
      </c>
      <c r="AK171" s="18">
        <f t="shared" si="397"/>
        <v>7.5365102737491169E-2</v>
      </c>
      <c r="AL171" s="18">
        <f t="shared" ref="AL171:AN171" si="398">-AL166/AL164</f>
        <v>8.2349478062284071E-2</v>
      </c>
      <c r="AM171" s="18">
        <f t="shared" si="398"/>
        <v>0.18137857872173319</v>
      </c>
      <c r="AN171" s="18">
        <f t="shared" si="398"/>
        <v>8.7795557792370083E-2</v>
      </c>
      <c r="AO171" s="48">
        <f>-AO166/AO164</f>
        <v>0.10648373964694874</v>
      </c>
      <c r="AP171" s="18">
        <f t="shared" ref="AP171" si="399">-AP166/AP164</f>
        <v>0.10290135581735892</v>
      </c>
      <c r="AQ171" s="18">
        <f t="shared" ref="AQ171:AV171" si="400">-AQ166/AQ164</f>
        <v>0.1101210765748712</v>
      </c>
      <c r="AR171" s="18">
        <f t="shared" si="400"/>
        <v>0.1496792582127465</v>
      </c>
      <c r="AS171" s="18">
        <f t="shared" si="400"/>
        <v>0.12930195861816621</v>
      </c>
      <c r="AT171" s="48">
        <f t="shared" si="400"/>
        <v>0.12333196157235619</v>
      </c>
      <c r="AU171" s="18">
        <f t="shared" si="400"/>
        <v>0.12148943932014712</v>
      </c>
      <c r="AV171" s="18">
        <f t="shared" si="400"/>
        <v>0.11286587271125817</v>
      </c>
      <c r="AW171" s="18">
        <f t="shared" ref="AW171:AX171" si="401">-AW166/AW164</f>
        <v>0.16170410301929322</v>
      </c>
      <c r="AX171" s="18">
        <f t="shared" si="401"/>
        <v>8.9093298483276406E-2</v>
      </c>
      <c r="AY171" s="48">
        <f>-AY166/AY164</f>
        <v>0.12084162491862839</v>
      </c>
      <c r="AZ171" s="169">
        <f t="shared" ref="AZ171" si="402">-AZ166/AZ164</f>
        <v>9.8502509904569241E-2</v>
      </c>
    </row>
    <row r="172" spans="1:52" ht="45.75" thickBot="1">
      <c r="A172" s="787" t="s">
        <v>735</v>
      </c>
    </row>
    <row r="173" spans="1:52" ht="14.85" customHeight="1">
      <c r="A173" s="179" t="s">
        <v>736</v>
      </c>
      <c r="B173" s="180" t="s">
        <v>224</v>
      </c>
      <c r="C173" s="180" t="s">
        <v>225</v>
      </c>
      <c r="D173" s="180" t="s">
        <v>226</v>
      </c>
      <c r="E173" s="180" t="s">
        <v>227</v>
      </c>
      <c r="F173" s="181">
        <v>2016</v>
      </c>
      <c r="G173" s="180" t="s">
        <v>228</v>
      </c>
      <c r="H173" s="180" t="s">
        <v>229</v>
      </c>
      <c r="I173" s="180" t="s">
        <v>230</v>
      </c>
      <c r="J173" s="180" t="s">
        <v>231</v>
      </c>
      <c r="K173" s="181">
        <v>2017</v>
      </c>
      <c r="L173" s="180" t="s">
        <v>232</v>
      </c>
      <c r="M173" s="180" t="s">
        <v>233</v>
      </c>
      <c r="N173" s="180" t="s">
        <v>234</v>
      </c>
      <c r="O173" s="180" t="s">
        <v>235</v>
      </c>
      <c r="P173" s="181">
        <v>2018</v>
      </c>
      <c r="Q173" s="180" t="s">
        <v>236</v>
      </c>
      <c r="R173" s="180" t="s">
        <v>237</v>
      </c>
      <c r="S173" s="180" t="s">
        <v>238</v>
      </c>
      <c r="T173" s="180" t="s">
        <v>239</v>
      </c>
      <c r="U173" s="181">
        <v>2019</v>
      </c>
      <c r="V173" s="180" t="s">
        <v>240</v>
      </c>
      <c r="W173" s="180" t="s">
        <v>241</v>
      </c>
      <c r="X173" s="180" t="s">
        <v>242</v>
      </c>
      <c r="Y173" s="180" t="s">
        <v>243</v>
      </c>
      <c r="Z173" s="181">
        <v>2020</v>
      </c>
      <c r="AA173" s="180" t="s">
        <v>244</v>
      </c>
      <c r="AB173" s="180" t="s">
        <v>245</v>
      </c>
      <c r="AC173" s="180" t="s">
        <v>246</v>
      </c>
      <c r="AD173" s="180" t="s">
        <v>247</v>
      </c>
      <c r="AE173" s="181">
        <v>2021</v>
      </c>
      <c r="AF173" s="180" t="s">
        <v>248</v>
      </c>
      <c r="AG173" s="180" t="s">
        <v>249</v>
      </c>
      <c r="AH173" s="180" t="s">
        <v>250</v>
      </c>
      <c r="AI173" s="180" t="s">
        <v>215</v>
      </c>
      <c r="AJ173" s="181">
        <v>2022</v>
      </c>
      <c r="AK173" s="180" t="s">
        <v>252</v>
      </c>
      <c r="AL173" s="180" t="s">
        <v>253</v>
      </c>
      <c r="AM173" s="180" t="s">
        <v>254</v>
      </c>
      <c r="AN173" s="180" t="s">
        <v>219</v>
      </c>
      <c r="AO173" s="181">
        <v>2023</v>
      </c>
      <c r="AP173" s="180" t="s">
        <v>223</v>
      </c>
      <c r="AQ173" s="180" t="s">
        <v>256</v>
      </c>
      <c r="AR173" s="180" t="s">
        <v>357</v>
      </c>
      <c r="AS173" s="180" t="s">
        <v>358</v>
      </c>
      <c r="AT173" s="181">
        <v>2024</v>
      </c>
      <c r="AU173" s="180" t="s">
        <v>359</v>
      </c>
      <c r="AV173" s="180" t="s">
        <v>1115</v>
      </c>
      <c r="AW173" s="180" t="s">
        <v>1116</v>
      </c>
      <c r="AX173" s="180" t="s">
        <v>1117</v>
      </c>
      <c r="AY173" s="181" t="s">
        <v>1118</v>
      </c>
      <c r="AZ173" s="180" t="s">
        <v>1124</v>
      </c>
    </row>
    <row r="174" spans="1:52" ht="14.85" customHeight="1">
      <c r="A174" s="54" t="s">
        <v>707</v>
      </c>
      <c r="Q174" s="76"/>
      <c r="R174" s="76"/>
      <c r="S174" s="76"/>
      <c r="T174" s="76"/>
      <c r="U174" s="39">
        <v>0</v>
      </c>
      <c r="V174" s="76"/>
      <c r="W174" s="76"/>
      <c r="X174" s="76"/>
      <c r="Y174" s="76"/>
      <c r="Z174" s="39"/>
      <c r="AA174" s="76">
        <v>101981.96359999999</v>
      </c>
      <c r="AB174" s="76">
        <v>153860.40546999997</v>
      </c>
      <c r="AC174" s="76">
        <v>157260.21769000002</v>
      </c>
      <c r="AD174" s="76">
        <v>166472.8475</v>
      </c>
      <c r="AE174" s="39">
        <v>579575.43426000001</v>
      </c>
      <c r="AF174" s="76">
        <v>141036.85398000001</v>
      </c>
      <c r="AG174" s="76">
        <v>151071.64082999999</v>
      </c>
      <c r="AH174" s="76">
        <v>230479.86760000003</v>
      </c>
      <c r="AI174" s="76">
        <v>222190.47668999998</v>
      </c>
      <c r="AJ174" s="39">
        <f>SUM(AF174:AI174)</f>
        <v>744778.83909999998</v>
      </c>
      <c r="AK174" s="76">
        <v>234457.09933999999</v>
      </c>
      <c r="AL174" s="76">
        <v>266355.77995999996</v>
      </c>
      <c r="AM174" s="76">
        <v>265534.80115000001</v>
      </c>
      <c r="AN174" s="76">
        <v>301979.96429999999</v>
      </c>
      <c r="AO174" s="39">
        <f>SUM(AK174:AN174)</f>
        <v>1068327.64475</v>
      </c>
      <c r="AP174" s="76">
        <v>264062.35956000001</v>
      </c>
      <c r="AQ174" s="76">
        <v>290561.59454000002</v>
      </c>
      <c r="AR174" s="76">
        <v>195162.28230000002</v>
      </c>
      <c r="AS174" s="76">
        <v>0</v>
      </c>
      <c r="AT174" s="39">
        <f>SUM(AP174:AS174)</f>
        <v>749786.23640000005</v>
      </c>
      <c r="AU174" s="76">
        <v>0</v>
      </c>
      <c r="AV174" s="76">
        <v>0</v>
      </c>
      <c r="AW174" s="76">
        <v>0</v>
      </c>
      <c r="AX174" s="76">
        <v>0</v>
      </c>
      <c r="AY174" s="39">
        <f t="shared" ref="AY174:AY181" si="403">SUM(AU174:AX174)</f>
        <v>0</v>
      </c>
      <c r="AZ174" s="76"/>
    </row>
    <row r="175" spans="1:52" ht="14.85" customHeight="1">
      <c r="A175" s="56" t="s">
        <v>443</v>
      </c>
      <c r="Q175" s="1"/>
      <c r="R175" s="1"/>
      <c r="S175" s="1"/>
      <c r="T175" s="1"/>
      <c r="U175" s="40">
        <v>0</v>
      </c>
      <c r="V175" s="1"/>
      <c r="W175" s="1"/>
      <c r="X175" s="1"/>
      <c r="Y175" s="1"/>
      <c r="Z175" s="40"/>
      <c r="AA175" s="1">
        <v>-85653.631680000006</v>
      </c>
      <c r="AB175" s="1">
        <v>-105613.91423000001</v>
      </c>
      <c r="AC175" s="1">
        <v>-71805.322290000011</v>
      </c>
      <c r="AD175" s="1">
        <v>-48716.713410000004</v>
      </c>
      <c r="AE175" s="40">
        <v>-311789.58161000005</v>
      </c>
      <c r="AF175" s="1">
        <v>-2951.4908099999993</v>
      </c>
      <c r="AG175" s="1">
        <v>6750.6797000000015</v>
      </c>
      <c r="AH175" s="1">
        <v>-56907.719720000001</v>
      </c>
      <c r="AI175" s="1">
        <v>-32838.460550000003</v>
      </c>
      <c r="AJ175" s="40">
        <f t="shared" ref="AJ175:AJ181" si="404">SUM(AF175:AI175)</f>
        <v>-85946.991379999992</v>
      </c>
      <c r="AK175" s="1">
        <v>-30245.643620000003</v>
      </c>
      <c r="AL175" s="1">
        <v>-41239.558120000002</v>
      </c>
      <c r="AM175" s="1">
        <v>-31558.44598</v>
      </c>
      <c r="AN175" s="1">
        <v>-57324.846570000002</v>
      </c>
      <c r="AO175" s="40">
        <f t="shared" ref="AO175:AO181" si="405">SUM(AK175:AN175)</f>
        <v>-160368.49429</v>
      </c>
      <c r="AP175" s="1">
        <v>-15054.423340000001</v>
      </c>
      <c r="AQ175" s="1">
        <v>-41428.638759999994</v>
      </c>
      <c r="AR175" s="1">
        <v>-25926.538690000001</v>
      </c>
      <c r="AS175" s="1">
        <v>0</v>
      </c>
      <c r="AT175" s="40">
        <f t="shared" ref="AT175:AT181" si="406">SUM(AP175:AS175)</f>
        <v>-82409.600789999997</v>
      </c>
      <c r="AU175" s="1">
        <v>0</v>
      </c>
      <c r="AV175" s="1">
        <v>0</v>
      </c>
      <c r="AW175" s="1">
        <v>0</v>
      </c>
      <c r="AX175" s="1">
        <v>0</v>
      </c>
      <c r="AY175" s="40">
        <f t="shared" si="403"/>
        <v>0</v>
      </c>
      <c r="AZ175" s="1"/>
    </row>
    <row r="176" spans="1:52" ht="14.85" customHeight="1">
      <c r="A176" s="54" t="s">
        <v>708</v>
      </c>
      <c r="Q176" s="76"/>
      <c r="R176" s="76"/>
      <c r="S176" s="76"/>
      <c r="T176" s="76"/>
      <c r="U176" s="39">
        <v>0</v>
      </c>
      <c r="V176" s="76"/>
      <c r="W176" s="76"/>
      <c r="X176" s="76"/>
      <c r="Y176" s="76"/>
      <c r="Z176" s="39"/>
      <c r="AA176" s="76">
        <v>16328.331919999982</v>
      </c>
      <c r="AB176" s="76">
        <v>48246.491239999959</v>
      </c>
      <c r="AC176" s="76">
        <v>85454.895400000009</v>
      </c>
      <c r="AD176" s="76">
        <v>117756.13409000001</v>
      </c>
      <c r="AE176" s="39">
        <v>267785.85264999996</v>
      </c>
      <c r="AF176" s="76">
        <f t="shared" ref="AF176:AN176" si="407">SUM(AF174:AF175)</f>
        <v>138085.36317000003</v>
      </c>
      <c r="AG176" s="76">
        <f t="shared" si="407"/>
        <v>157822.32053</v>
      </c>
      <c r="AH176" s="76">
        <f t="shared" si="407"/>
        <v>173572.14788000003</v>
      </c>
      <c r="AI176" s="76">
        <f t="shared" si="407"/>
        <v>189352.01613999996</v>
      </c>
      <c r="AJ176" s="39">
        <f t="shared" si="404"/>
        <v>658831.84772000008</v>
      </c>
      <c r="AK176" s="76">
        <f t="shared" si="407"/>
        <v>204211.45571999997</v>
      </c>
      <c r="AL176" s="76">
        <f t="shared" si="407"/>
        <v>225116.22183999995</v>
      </c>
      <c r="AM176" s="76">
        <f t="shared" si="407"/>
        <v>233976.35517000002</v>
      </c>
      <c r="AN176" s="76">
        <f t="shared" si="407"/>
        <v>244655.11773</v>
      </c>
      <c r="AO176" s="39">
        <f t="shared" si="405"/>
        <v>907959.15045999992</v>
      </c>
      <c r="AP176" s="76">
        <f>SUM(AP174:AP175)</f>
        <v>249007.93622</v>
      </c>
      <c r="AQ176" s="76">
        <f>SUM(AQ174:AQ175)</f>
        <v>249132.95578000002</v>
      </c>
      <c r="AR176" s="76">
        <f>SUM(AR174:AR175)</f>
        <v>169235.74361</v>
      </c>
      <c r="AS176" s="76">
        <v>0</v>
      </c>
      <c r="AT176" s="39">
        <f t="shared" si="406"/>
        <v>667376.63561</v>
      </c>
      <c r="AU176" s="76">
        <v>0</v>
      </c>
      <c r="AV176" s="76">
        <v>0</v>
      </c>
      <c r="AW176" s="76">
        <v>0</v>
      </c>
      <c r="AX176" s="76">
        <v>0</v>
      </c>
      <c r="AY176" s="39">
        <f t="shared" si="403"/>
        <v>0</v>
      </c>
      <c r="AZ176" s="76"/>
    </row>
    <row r="177" spans="1:52" ht="14.85" customHeight="1">
      <c r="A177" s="56" t="s">
        <v>477</v>
      </c>
      <c r="Q177" s="1"/>
      <c r="R177" s="1"/>
      <c r="S177" s="1"/>
      <c r="T177" s="1"/>
      <c r="U177" s="40">
        <v>0</v>
      </c>
      <c r="V177" s="1"/>
      <c r="W177" s="1"/>
      <c r="X177" s="1"/>
      <c r="Y177" s="1"/>
      <c r="Z177" s="40"/>
      <c r="AA177" s="1">
        <v>-809.60751000000005</v>
      </c>
      <c r="AB177" s="1">
        <v>-3333.2247300000004</v>
      </c>
      <c r="AC177" s="1">
        <v>-3166.1832600000002</v>
      </c>
      <c r="AD177" s="1">
        <v>-5686.5483299999996</v>
      </c>
      <c r="AE177" s="40">
        <v>-12995.563830000001</v>
      </c>
      <c r="AF177" s="1">
        <v>-8565.8586500000001</v>
      </c>
      <c r="AG177" s="1">
        <v>-9788.9957200000008</v>
      </c>
      <c r="AH177" s="1">
        <v>-20370.22495</v>
      </c>
      <c r="AI177" s="1">
        <v>-20819.880389999998</v>
      </c>
      <c r="AJ177" s="40">
        <f t="shared" si="404"/>
        <v>-59544.959710000003</v>
      </c>
      <c r="AK177" s="1">
        <v>-22677.530159999995</v>
      </c>
      <c r="AL177" s="1">
        <v>-25765.211350000009</v>
      </c>
      <c r="AM177" s="1">
        <v>-24956.268690000001</v>
      </c>
      <c r="AN177" s="1">
        <v>-28247.487930000003</v>
      </c>
      <c r="AO177" s="40">
        <f t="shared" si="405"/>
        <v>-101646.49813000001</v>
      </c>
      <c r="AP177" s="1">
        <v>-30901.443479999998</v>
      </c>
      <c r="AQ177" s="1">
        <v>-26315.157030000006</v>
      </c>
      <c r="AR177" s="1">
        <v>-18750.606960000001</v>
      </c>
      <c r="AS177" s="1">
        <v>0</v>
      </c>
      <c r="AT177" s="40">
        <f t="shared" si="406"/>
        <v>-75967.207470000008</v>
      </c>
      <c r="AU177" s="1">
        <v>0</v>
      </c>
      <c r="AV177" s="1">
        <v>0</v>
      </c>
      <c r="AW177" s="1">
        <v>0</v>
      </c>
      <c r="AX177" s="1">
        <v>0</v>
      </c>
      <c r="AY177" s="40">
        <f t="shared" si="403"/>
        <v>0</v>
      </c>
      <c r="AZ177" s="1"/>
    </row>
    <row r="178" spans="1:52" ht="14.85" customHeight="1">
      <c r="A178" s="56" t="s">
        <v>478</v>
      </c>
      <c r="Q178" s="1"/>
      <c r="R178" s="1"/>
      <c r="S178" s="1"/>
      <c r="T178" s="1"/>
      <c r="U178" s="40">
        <v>0</v>
      </c>
      <c r="V178" s="1"/>
      <c r="W178" s="1"/>
      <c r="X178" s="1"/>
      <c r="Y178" s="1"/>
      <c r="Z178" s="40"/>
      <c r="AA178" s="1">
        <v>-11288.73365</v>
      </c>
      <c r="AB178" s="1">
        <v>-17707.900839999998</v>
      </c>
      <c r="AC178" s="1">
        <v>-29922.33135</v>
      </c>
      <c r="AD178" s="1">
        <v>-38253.831829999996</v>
      </c>
      <c r="AE178" s="40">
        <v>-97172.79767</v>
      </c>
      <c r="AF178" s="1">
        <v>-49091.556219999999</v>
      </c>
      <c r="AG178" s="1">
        <v>-47946.084030000005</v>
      </c>
      <c r="AH178" s="1">
        <v>-53090.132850000009</v>
      </c>
      <c r="AI178" s="1">
        <v>-46622.245209999994</v>
      </c>
      <c r="AJ178" s="40">
        <f t="shared" si="404"/>
        <v>-196750.01830999998</v>
      </c>
      <c r="AK178" s="1">
        <v>-48740.404260000003</v>
      </c>
      <c r="AL178" s="1">
        <v>-37591.806250000001</v>
      </c>
      <c r="AM178" s="1">
        <v>-51142.429329999999</v>
      </c>
      <c r="AN178" s="1">
        <v>-54176.015899999991</v>
      </c>
      <c r="AO178" s="40">
        <f t="shared" si="405"/>
        <v>-191650.65574000002</v>
      </c>
      <c r="AP178" s="1">
        <v>-51324.944479999998</v>
      </c>
      <c r="AQ178" s="1">
        <v>-48527.542999999998</v>
      </c>
      <c r="AR178" s="1">
        <v>-35533.440839999996</v>
      </c>
      <c r="AS178" s="1">
        <v>0</v>
      </c>
      <c r="AT178" s="40">
        <f t="shared" si="406"/>
        <v>-135385.92832000001</v>
      </c>
      <c r="AU178" s="1">
        <v>0</v>
      </c>
      <c r="AV178" s="1">
        <v>0</v>
      </c>
      <c r="AW178" s="1">
        <v>0</v>
      </c>
      <c r="AX178" s="1">
        <v>0</v>
      </c>
      <c r="AY178" s="40">
        <f t="shared" si="403"/>
        <v>0</v>
      </c>
      <c r="AZ178" s="1"/>
    </row>
    <row r="179" spans="1:52" ht="14.85" customHeight="1">
      <c r="A179" s="56" t="s">
        <v>479</v>
      </c>
      <c r="Q179" s="1"/>
      <c r="R179" s="1"/>
      <c r="S179" s="1"/>
      <c r="T179" s="1"/>
      <c r="U179" s="40">
        <v>0</v>
      </c>
      <c r="V179" s="1"/>
      <c r="W179" s="1"/>
      <c r="X179" s="1"/>
      <c r="Y179" s="1"/>
      <c r="Z179" s="40"/>
      <c r="AA179" s="1">
        <v>-1225.28442</v>
      </c>
      <c r="AB179" s="1">
        <v>1121.6246400000002</v>
      </c>
      <c r="AC179" s="1">
        <v>-10665.965440000002</v>
      </c>
      <c r="AD179" s="1">
        <v>-5510.9207099999994</v>
      </c>
      <c r="AE179" s="40">
        <v>-16280.54593</v>
      </c>
      <c r="AF179" s="1">
        <v>-8868.43</v>
      </c>
      <c r="AG179" s="1">
        <v>-10125.33318</v>
      </c>
      <c r="AH179" s="1">
        <v>-11102.944410000002</v>
      </c>
      <c r="AI179" s="1">
        <v>-8683.2707199999986</v>
      </c>
      <c r="AJ179" s="40">
        <f t="shared" si="404"/>
        <v>-38779.978310000006</v>
      </c>
      <c r="AK179" s="346">
        <v>-9154.0163200000025</v>
      </c>
      <c r="AL179" s="1">
        <v>-10323.8205</v>
      </c>
      <c r="AM179" s="1">
        <v>-9946.604949999999</v>
      </c>
      <c r="AN179" s="1">
        <v>-9466.3406300000006</v>
      </c>
      <c r="AO179" s="40">
        <f t="shared" si="405"/>
        <v>-38890.782400000004</v>
      </c>
      <c r="AP179" s="1">
        <v>-9194.2979700000014</v>
      </c>
      <c r="AQ179" s="1">
        <v>-13660.319960000001</v>
      </c>
      <c r="AR179" s="1">
        <v>-7300.3028199999999</v>
      </c>
      <c r="AS179" s="1">
        <v>0</v>
      </c>
      <c r="AT179" s="40">
        <f t="shared" si="406"/>
        <v>-30154.920750000001</v>
      </c>
      <c r="AU179" s="1">
        <v>0</v>
      </c>
      <c r="AV179" s="1">
        <v>0</v>
      </c>
      <c r="AW179" s="1">
        <v>0</v>
      </c>
      <c r="AX179" s="1">
        <v>0</v>
      </c>
      <c r="AY179" s="40">
        <f t="shared" si="403"/>
        <v>0</v>
      </c>
      <c r="AZ179" s="1"/>
    </row>
    <row r="180" spans="1:52" ht="14.85" customHeight="1">
      <c r="A180" s="56" t="s">
        <v>709</v>
      </c>
      <c r="Q180" s="1"/>
      <c r="R180" s="1"/>
      <c r="S180" s="1"/>
      <c r="T180" s="1"/>
      <c r="U180" s="40">
        <v>0</v>
      </c>
      <c r="V180" s="1"/>
      <c r="W180" s="1"/>
      <c r="X180" s="1"/>
      <c r="Y180" s="1"/>
      <c r="Z180" s="40"/>
      <c r="AA180" s="1">
        <v>-194.51395000000002</v>
      </c>
      <c r="AB180" s="1">
        <v>-197.50419999999997</v>
      </c>
      <c r="AC180" s="1">
        <v>-199.25784999999999</v>
      </c>
      <c r="AD180" s="1">
        <v>-199.43977999999996</v>
      </c>
      <c r="AE180" s="40">
        <v>-790.71577999999988</v>
      </c>
      <c r="AF180" s="1">
        <v>-258.59875</v>
      </c>
      <c r="AG180" s="1">
        <v>-283.47490000000005</v>
      </c>
      <c r="AH180" s="1">
        <v>-242.13207</v>
      </c>
      <c r="AI180" s="1">
        <v>-260.34136000000001</v>
      </c>
      <c r="AJ180" s="40">
        <f t="shared" si="404"/>
        <v>-1044.5470800000001</v>
      </c>
      <c r="AK180" s="1">
        <v>-40.291800000000002</v>
      </c>
      <c r="AL180" s="1">
        <v>-40.739240000000002</v>
      </c>
      <c r="AM180" s="1">
        <v>182.61776999999998</v>
      </c>
      <c r="AN180" s="1">
        <v>-13.322830000000003</v>
      </c>
      <c r="AO180" s="40">
        <f t="shared" si="405"/>
        <v>88.263899999999978</v>
      </c>
      <c r="AP180" s="1">
        <v>-1.2225899999999998</v>
      </c>
      <c r="AQ180" s="1">
        <v>0</v>
      </c>
      <c r="AR180" s="1">
        <v>0</v>
      </c>
      <c r="AS180" s="1">
        <v>0</v>
      </c>
      <c r="AT180" s="40">
        <f t="shared" si="406"/>
        <v>-1.2225899999999998</v>
      </c>
      <c r="AU180" s="1">
        <v>0</v>
      </c>
      <c r="AV180" s="1">
        <v>0</v>
      </c>
      <c r="AW180" s="1">
        <v>0</v>
      </c>
      <c r="AX180" s="1">
        <v>0</v>
      </c>
      <c r="AY180" s="40">
        <f t="shared" si="403"/>
        <v>0</v>
      </c>
      <c r="AZ180" s="1"/>
    </row>
    <row r="181" spans="1:52" ht="14.85" customHeight="1">
      <c r="A181" s="54" t="s">
        <v>710</v>
      </c>
      <c r="Q181" s="76"/>
      <c r="R181" s="76"/>
      <c r="S181" s="76"/>
      <c r="T181" s="76"/>
      <c r="U181" s="39">
        <v>0</v>
      </c>
      <c r="V181" s="76"/>
      <c r="W181" s="76"/>
      <c r="X181" s="76"/>
      <c r="Y181" s="76"/>
      <c r="Z181" s="39"/>
      <c r="AA181" s="76">
        <v>2810.1923899999824</v>
      </c>
      <c r="AB181" s="76">
        <v>28129.486109999962</v>
      </c>
      <c r="AC181" s="76">
        <v>41501.157500000001</v>
      </c>
      <c r="AD181" s="76">
        <v>68105.39344</v>
      </c>
      <c r="AE181" s="39">
        <v>140546.22943999997</v>
      </c>
      <c r="AF181" s="76">
        <f t="shared" ref="AF181:AH181" si="408">SUM(AF176:AF180)</f>
        <v>71300.919550000021</v>
      </c>
      <c r="AG181" s="76">
        <f t="shared" si="408"/>
        <v>89678.43269999999</v>
      </c>
      <c r="AH181" s="76">
        <f t="shared" si="408"/>
        <v>88766.713600000017</v>
      </c>
      <c r="AI181" s="76">
        <f t="shared" ref="AI181:AK181" si="409">SUM(AI176:AI180)</f>
        <v>112966.27845999996</v>
      </c>
      <c r="AJ181" s="39">
        <f t="shared" si="404"/>
        <v>362712.34430999996</v>
      </c>
      <c r="AK181" s="76">
        <f t="shared" si="409"/>
        <v>123599.21317999996</v>
      </c>
      <c r="AL181" s="76">
        <f t="shared" ref="AL181:AN181" si="410">SUM(AL176:AL180)</f>
        <v>151394.64449999997</v>
      </c>
      <c r="AM181" s="76">
        <f t="shared" si="410"/>
        <v>148113.66997000005</v>
      </c>
      <c r="AN181" s="76">
        <f t="shared" si="410"/>
        <v>152751.95044000002</v>
      </c>
      <c r="AO181" s="39">
        <f t="shared" si="405"/>
        <v>575859.47808999999</v>
      </c>
      <c r="AP181" s="76">
        <f t="shared" ref="AP181" si="411">SUM(AP176:AP180)</f>
        <v>157586.02770000001</v>
      </c>
      <c r="AQ181" s="76">
        <f>SUM(AQ176:AQ180)</f>
        <v>160629.93579000002</v>
      </c>
      <c r="AR181" s="76">
        <f>SUM(AR176:AR180)</f>
        <v>107651.39299000001</v>
      </c>
      <c r="AS181" s="76">
        <v>0</v>
      </c>
      <c r="AT181" s="39">
        <f t="shared" si="406"/>
        <v>425867.35648000002</v>
      </c>
      <c r="AU181" s="76">
        <v>0</v>
      </c>
      <c r="AV181" s="76">
        <v>0</v>
      </c>
      <c r="AW181" s="76">
        <v>0</v>
      </c>
      <c r="AX181" s="76">
        <v>0</v>
      </c>
      <c r="AY181" s="39">
        <f t="shared" si="403"/>
        <v>0</v>
      </c>
      <c r="AZ181" s="76"/>
    </row>
    <row r="182" spans="1:52" ht="14.85" customHeight="1">
      <c r="A182" s="17" t="s">
        <v>711</v>
      </c>
      <c r="Q182" s="18"/>
      <c r="R182" s="18"/>
      <c r="S182" s="18"/>
      <c r="T182" s="18"/>
      <c r="U182" s="46"/>
      <c r="V182" s="18"/>
      <c r="W182" s="18"/>
      <c r="X182" s="18"/>
      <c r="Y182" s="18"/>
      <c r="Z182" s="46"/>
      <c r="AA182" s="18">
        <v>4.958298949131118E-2</v>
      </c>
      <c r="AB182" s="18">
        <v>6.9087401888336841E-2</v>
      </c>
      <c r="AC182" s="18">
        <v>3.7050928974631921E-2</v>
      </c>
      <c r="AD182" s="18">
        <v>4.8290888402075252E-2</v>
      </c>
      <c r="AE182" s="46">
        <v>4.8529687813588095E-2</v>
      </c>
      <c r="AF182" s="18">
        <f t="shared" ref="AF182:AH182" si="412">-AF177/AF176</f>
        <v>6.2033067468956697E-2</v>
      </c>
      <c r="AG182" s="18">
        <f t="shared" si="412"/>
        <v>6.2025420023774383E-2</v>
      </c>
      <c r="AH182" s="18">
        <f t="shared" si="412"/>
        <v>0.11735883434526061</v>
      </c>
      <c r="AI182" s="18">
        <f t="shared" ref="AI182:AK182" si="413">-AI177/AI176</f>
        <v>0.10995330714940231</v>
      </c>
      <c r="AJ182" s="46">
        <f>-AJ177/AJ176</f>
        <v>9.0379601283795685E-2</v>
      </c>
      <c r="AK182" s="18">
        <f t="shared" si="413"/>
        <v>0.11104925568472412</v>
      </c>
      <c r="AL182" s="18">
        <f t="shared" ref="AL182:AN182" si="414">-AL177/AL176</f>
        <v>0.11445293075464141</v>
      </c>
      <c r="AM182" s="18">
        <f t="shared" si="414"/>
        <v>0.10666149864531202</v>
      </c>
      <c r="AN182" s="18">
        <f t="shared" si="414"/>
        <v>0.11545839789533351</v>
      </c>
      <c r="AO182" s="46">
        <f>-AO177/AO176</f>
        <v>0.11195051900573146</v>
      </c>
      <c r="AP182" s="18">
        <f t="shared" ref="AP182" si="415">-AP177/AP176</f>
        <v>0.12409822734604888</v>
      </c>
      <c r="AQ182" s="18">
        <f>-AQ177/AQ176</f>
        <v>0.10562696110440697</v>
      </c>
      <c r="AR182" s="18">
        <f>-AR177/AR176</f>
        <v>0.11079578438943936</v>
      </c>
      <c r="AS182" s="18"/>
      <c r="AT182" s="46">
        <f>-AT177/AT176</f>
        <v>0.11382958799653506</v>
      </c>
      <c r="AU182" s="18"/>
      <c r="AV182" s="18"/>
      <c r="AW182" s="18"/>
      <c r="AX182" s="18"/>
      <c r="AY182" s="46"/>
      <c r="AZ182" s="18"/>
    </row>
    <row r="183" spans="1:52" ht="14.85" customHeight="1" thickBot="1">
      <c r="A183" s="17" t="s">
        <v>712</v>
      </c>
      <c r="Q183" s="18"/>
      <c r="R183" s="18"/>
      <c r="S183" s="18"/>
      <c r="T183" s="18"/>
      <c r="U183" s="48"/>
      <c r="V183" s="18"/>
      <c r="W183" s="18"/>
      <c r="X183" s="18"/>
      <c r="Y183" s="18"/>
      <c r="Z183" s="48"/>
      <c r="AA183" s="18">
        <v>0.69135865839258448</v>
      </c>
      <c r="AB183" s="18">
        <v>0.36702981677802965</v>
      </c>
      <c r="AC183" s="18">
        <v>0.35015350741392398</v>
      </c>
      <c r="AD183" s="18">
        <v>0.32485638328414312</v>
      </c>
      <c r="AE183" s="48">
        <v>0.36287502386097398</v>
      </c>
      <c r="AF183" s="18">
        <f t="shared" ref="AF183:AH183" si="416">-AF178/AF176</f>
        <v>0.35551600179059001</v>
      </c>
      <c r="AG183" s="18">
        <f t="shared" si="416"/>
        <v>0.30379786502306605</v>
      </c>
      <c r="AH183" s="18">
        <f t="shared" si="416"/>
        <v>0.30586781058159246</v>
      </c>
      <c r="AI183" s="18">
        <f t="shared" ref="AI183:AK183" si="417">-AI178/AI176</f>
        <v>0.24621995667333801</v>
      </c>
      <c r="AJ183" s="48">
        <f>-AJ178/AJ176</f>
        <v>0.29863465008694856</v>
      </c>
      <c r="AK183" s="18">
        <f t="shared" si="417"/>
        <v>0.23867615109129495</v>
      </c>
      <c r="AL183" s="18">
        <f t="shared" ref="AL183:AN183" si="418">-AL178/AL176</f>
        <v>0.16698843798434995</v>
      </c>
      <c r="AM183" s="18">
        <f t="shared" si="418"/>
        <v>0.21857947694262303</v>
      </c>
      <c r="AN183" s="18">
        <f t="shared" si="418"/>
        <v>0.22143831039654904</v>
      </c>
      <c r="AO183" s="48">
        <f>-AO178/AO176</f>
        <v>0.21107850021986554</v>
      </c>
      <c r="AP183" s="18">
        <f t="shared" ref="AP183" si="419">-AP178/AP176</f>
        <v>0.20611770556041276</v>
      </c>
      <c r="AQ183" s="18">
        <f>-AQ178/AQ176</f>
        <v>0.19478572334224964</v>
      </c>
      <c r="AR183" s="18">
        <f>-AR178/AR176</f>
        <v>0.20996416053742178</v>
      </c>
      <c r="AS183" s="18"/>
      <c r="AT183" s="48">
        <f>-AT178/AT176</f>
        <v>0.2028628529919296</v>
      </c>
      <c r="AU183" s="18"/>
      <c r="AV183" s="18"/>
      <c r="AW183" s="18"/>
      <c r="AX183" s="18"/>
      <c r="AY183" s="48"/>
      <c r="AZ183" s="18"/>
    </row>
    <row r="184" spans="1:52" ht="30">
      <c r="A184" s="787" t="s">
        <v>729</v>
      </c>
    </row>
    <row r="185" spans="1:52" ht="14.85" customHeight="1" thickBot="1">
      <c r="A185" s="17"/>
      <c r="B185" s="18"/>
      <c r="C185" s="18"/>
      <c r="D185" s="18"/>
      <c r="E185" s="18"/>
      <c r="F185" s="46"/>
      <c r="G185" s="18"/>
      <c r="H185" s="18"/>
      <c r="I185" s="18"/>
      <c r="J185" s="18"/>
      <c r="K185" s="46"/>
      <c r="L185" s="18"/>
      <c r="M185" s="18"/>
      <c r="N185" s="18"/>
      <c r="O185" s="18"/>
      <c r="P185" s="46"/>
      <c r="Q185" s="18"/>
      <c r="R185" s="18"/>
      <c r="S185" s="18"/>
      <c r="T185" s="18"/>
      <c r="U185" s="18"/>
      <c r="V185" s="18"/>
      <c r="W185" s="18"/>
      <c r="X185" s="18"/>
      <c r="Y185" s="18"/>
      <c r="Z185"/>
      <c r="AA185"/>
      <c r="AB185"/>
      <c r="AE185"/>
      <c r="AJ185"/>
      <c r="AO185"/>
      <c r="AT185"/>
      <c r="AY185"/>
      <c r="AZ185"/>
    </row>
    <row r="186" spans="1:52" ht="24.4" customHeight="1">
      <c r="A186" s="625" t="s">
        <v>737</v>
      </c>
      <c r="B186" s="626" t="s">
        <v>224</v>
      </c>
      <c r="C186" s="626" t="s">
        <v>225</v>
      </c>
      <c r="D186" s="626" t="s">
        <v>226</v>
      </c>
      <c r="E186" s="626" t="s">
        <v>227</v>
      </c>
      <c r="F186" s="652">
        <v>2016</v>
      </c>
      <c r="G186" s="626" t="s">
        <v>228</v>
      </c>
      <c r="H186" s="626" t="s">
        <v>229</v>
      </c>
      <c r="I186" s="626" t="s">
        <v>230</v>
      </c>
      <c r="J186" s="626" t="s">
        <v>231</v>
      </c>
      <c r="K186" s="652">
        <v>2017</v>
      </c>
      <c r="L186" s="626" t="s">
        <v>232</v>
      </c>
      <c r="M186" s="626" t="s">
        <v>233</v>
      </c>
      <c r="N186" s="626" t="s">
        <v>234</v>
      </c>
      <c r="O186" s="626" t="s">
        <v>235</v>
      </c>
      <c r="P186" s="652">
        <v>2018</v>
      </c>
      <c r="Q186" s="626" t="s">
        <v>236</v>
      </c>
      <c r="R186" s="626" t="s">
        <v>237</v>
      </c>
      <c r="S186" s="626" t="s">
        <v>238</v>
      </c>
      <c r="T186" s="626" t="s">
        <v>239</v>
      </c>
      <c r="U186" s="652">
        <v>2019</v>
      </c>
      <c r="V186" s="626" t="s">
        <v>240</v>
      </c>
      <c r="W186" s="626" t="s">
        <v>241</v>
      </c>
      <c r="X186" s="626" t="s">
        <v>242</v>
      </c>
      <c r="Y186" s="626" t="s">
        <v>243</v>
      </c>
      <c r="Z186" s="652">
        <v>2020</v>
      </c>
      <c r="AA186" s="626" t="s">
        <v>244</v>
      </c>
      <c r="AB186" s="626" t="s">
        <v>245</v>
      </c>
      <c r="AC186" s="626" t="s">
        <v>246</v>
      </c>
      <c r="AD186" s="626" t="s">
        <v>247</v>
      </c>
      <c r="AE186" s="652">
        <v>2021</v>
      </c>
      <c r="AF186" s="626" t="s">
        <v>248</v>
      </c>
      <c r="AG186" s="626" t="s">
        <v>249</v>
      </c>
      <c r="AH186" s="626" t="s">
        <v>250</v>
      </c>
      <c r="AI186" s="626" t="s">
        <v>215</v>
      </c>
      <c r="AJ186" s="652">
        <v>2022</v>
      </c>
      <c r="AK186" s="626" t="s">
        <v>252</v>
      </c>
      <c r="AL186" s="626" t="s">
        <v>253</v>
      </c>
      <c r="AM186" s="626" t="s">
        <v>254</v>
      </c>
      <c r="AN186" s="626" t="s">
        <v>219</v>
      </c>
      <c r="AO186" s="652">
        <v>2023</v>
      </c>
      <c r="AP186" s="626" t="s">
        <v>223</v>
      </c>
      <c r="AQ186" s="626" t="s">
        <v>256</v>
      </c>
      <c r="AR186" s="626" t="s">
        <v>357</v>
      </c>
      <c r="AS186" s="626" t="s">
        <v>358</v>
      </c>
      <c r="AT186" s="652">
        <v>2024</v>
      </c>
      <c r="AU186" s="626" t="s">
        <v>359</v>
      </c>
      <c r="AV186" s="626" t="s">
        <v>1115</v>
      </c>
      <c r="AW186" s="626" t="s">
        <v>1116</v>
      </c>
      <c r="AX186" s="626" t="s">
        <v>1117</v>
      </c>
      <c r="AY186" s="653" t="s">
        <v>1118</v>
      </c>
      <c r="AZ186" s="645" t="s">
        <v>1124</v>
      </c>
    </row>
    <row r="187" spans="1:52" ht="14.85" customHeight="1">
      <c r="A187" s="54" t="s">
        <v>509</v>
      </c>
      <c r="B187" s="76"/>
      <c r="C187" s="76"/>
      <c r="D187" s="76"/>
      <c r="E187" s="76"/>
      <c r="F187" s="39"/>
      <c r="G187" s="76"/>
      <c r="H187" s="76"/>
      <c r="I187" s="76"/>
      <c r="J187" s="76"/>
      <c r="K187" s="39"/>
      <c r="L187" s="76"/>
      <c r="M187" s="76"/>
      <c r="N187" s="76"/>
      <c r="O187" s="76"/>
      <c r="P187" s="39"/>
      <c r="Q187" s="76"/>
      <c r="R187" s="76"/>
      <c r="S187" s="76"/>
      <c r="T187" s="76"/>
      <c r="U187" s="39"/>
      <c r="V187" s="76"/>
      <c r="W187" s="76"/>
      <c r="X187" s="76"/>
      <c r="Y187" s="76"/>
      <c r="Z187" s="39"/>
      <c r="AA187" s="76">
        <v>476</v>
      </c>
      <c r="AB187" s="76">
        <v>2759</v>
      </c>
      <c r="AC187" s="76">
        <v>4900</v>
      </c>
      <c r="AD187" s="76">
        <v>8186</v>
      </c>
      <c r="AE187" s="39">
        <v>16321</v>
      </c>
      <c r="AF187" s="76">
        <v>8655</v>
      </c>
      <c r="AG187" s="76">
        <v>12849</v>
      </c>
      <c r="AH187" s="76">
        <v>18802</v>
      </c>
      <c r="AI187" s="76">
        <v>25554</v>
      </c>
      <c r="AJ187" s="39">
        <f>SUM(AF187:AI187)</f>
        <v>65860</v>
      </c>
      <c r="AK187" s="76">
        <v>27992</v>
      </c>
      <c r="AL187" s="76">
        <v>34285</v>
      </c>
      <c r="AM187" s="76">
        <v>40593.299659999975</v>
      </c>
      <c r="AN187" s="76">
        <v>43855</v>
      </c>
      <c r="AO187" s="39">
        <f>SUM(AK187:AN187)</f>
        <v>146725.29965999996</v>
      </c>
      <c r="AP187" s="76">
        <v>44699</v>
      </c>
      <c r="AQ187" s="76">
        <v>46680</v>
      </c>
      <c r="AR187" s="76">
        <f>'DRE NOVAS PARCERIAS CAIXA'!AS206</f>
        <v>50776</v>
      </c>
      <c r="AS187" s="76">
        <f>'DRE NOVAS PARCERIAS CAIXA'!AT206</f>
        <v>66195</v>
      </c>
      <c r="AT187" s="39">
        <f>SUM(AP187:AS187)</f>
        <v>208350</v>
      </c>
      <c r="AU187" s="76">
        <f>'DRE NOVAS PARCERIAS CAIXA'!AV206</f>
        <v>68225</v>
      </c>
      <c r="AV187" s="76">
        <f>'DRE NOVAS PARCERIAS CAIXA'!AW206</f>
        <v>75464</v>
      </c>
      <c r="AW187" s="76">
        <f>'DRE NOVAS PARCERIAS CAIXA'!AX206</f>
        <v>75841</v>
      </c>
      <c r="AX187" s="76">
        <f>'DRE NOVAS PARCERIAS CAIXA'!AY206</f>
        <v>55998</v>
      </c>
      <c r="AY187" s="39">
        <f>SUM(AU187:AX187)</f>
        <v>275528</v>
      </c>
      <c r="AZ187" s="76">
        <f>'DRE NOVAS PARCERIAS CAIXA'!BA206</f>
        <v>51144</v>
      </c>
    </row>
    <row r="188" spans="1:52" ht="14.85" customHeight="1">
      <c r="A188" s="56" t="s">
        <v>510</v>
      </c>
      <c r="B188" s="8"/>
      <c r="C188" s="8"/>
      <c r="D188" s="8"/>
      <c r="E188" s="8"/>
      <c r="F188" s="40"/>
      <c r="G188" s="8"/>
      <c r="H188" s="8"/>
      <c r="I188" s="8"/>
      <c r="J188" s="8"/>
      <c r="K188" s="40"/>
      <c r="L188" s="8"/>
      <c r="M188" s="8"/>
      <c r="N188" s="8"/>
      <c r="O188" s="8"/>
      <c r="P188" s="40"/>
      <c r="Q188" s="1"/>
      <c r="R188" s="1"/>
      <c r="S188" s="1"/>
      <c r="T188" s="1"/>
      <c r="U188" s="40"/>
      <c r="V188" s="1"/>
      <c r="W188" s="1"/>
      <c r="X188" s="1"/>
      <c r="Y188" s="1"/>
      <c r="Z188" s="40"/>
      <c r="AA188" s="1">
        <v>-347.07729999999992</v>
      </c>
      <c r="AB188" s="1">
        <v>-2182.9227000000001</v>
      </c>
      <c r="AC188" s="1">
        <v>-4359</v>
      </c>
      <c r="AD188" s="1">
        <v>-6295</v>
      </c>
      <c r="AE188" s="40">
        <v>-13184</v>
      </c>
      <c r="AF188" s="1">
        <v>-5948</v>
      </c>
      <c r="AG188" s="1">
        <v>-8028</v>
      </c>
      <c r="AH188" s="1">
        <v>-10084</v>
      </c>
      <c r="AI188" s="1">
        <v>-11939</v>
      </c>
      <c r="AJ188" s="40">
        <f t="shared" ref="AJ188:AJ189" si="420">SUM(AF188:AI188)</f>
        <v>-35999</v>
      </c>
      <c r="AK188" s="1">
        <v>-13350</v>
      </c>
      <c r="AL188" s="1">
        <v>-16047</v>
      </c>
      <c r="AM188" s="1">
        <v>-19879</v>
      </c>
      <c r="AN188" s="1">
        <v>-21833</v>
      </c>
      <c r="AO188" s="40">
        <f t="shared" ref="AO188:AO189" si="421">SUM(AK188:AN188)</f>
        <v>-71109</v>
      </c>
      <c r="AP188" s="1">
        <f>'DRE NOVAS PARCERIAS CAIXA'!AQ207</f>
        <v>-22768</v>
      </c>
      <c r="AQ188" s="1">
        <f>'DRE NOVAS PARCERIAS CAIXA'!AR207</f>
        <v>-25271</v>
      </c>
      <c r="AR188" s="1">
        <f>'DRE NOVAS PARCERIAS CAIXA'!AS207</f>
        <v>-25926</v>
      </c>
      <c r="AS188" s="1">
        <f>'DRE NOVAS PARCERIAS CAIXA'!AT207</f>
        <v>-31960</v>
      </c>
      <c r="AT188" s="40">
        <f t="shared" ref="AT188:AT189" si="422">SUM(AP188:AS188)</f>
        <v>-105925</v>
      </c>
      <c r="AU188" s="1">
        <f>'DRE NOVAS PARCERIAS CAIXA'!AV207</f>
        <v>-34239</v>
      </c>
      <c r="AV188" s="1">
        <f>'DRE NOVAS PARCERIAS CAIXA'!AW207</f>
        <v>-38138</v>
      </c>
      <c r="AW188" s="1">
        <f>'DRE NOVAS PARCERIAS CAIXA'!AX207</f>
        <v>-35987</v>
      </c>
      <c r="AX188" s="1">
        <f>'DRE NOVAS PARCERIAS CAIXA'!AY207</f>
        <v>-20532.169089999989</v>
      </c>
      <c r="AY188" s="40">
        <f>SUM(AU188:AX188)</f>
        <v>-128896.16908999998</v>
      </c>
      <c r="AZ188" s="1">
        <f>'DRE NOVAS PARCERIAS CAIXA'!BA207</f>
        <v>-17680</v>
      </c>
    </row>
    <row r="189" spans="1:52" ht="14.85" customHeight="1" thickBot="1">
      <c r="A189" s="54" t="s">
        <v>412</v>
      </c>
      <c r="B189" s="76"/>
      <c r="C189" s="76"/>
      <c r="D189" s="76"/>
      <c r="E189" s="76"/>
      <c r="F189" s="178"/>
      <c r="G189" s="76"/>
      <c r="H189" s="76"/>
      <c r="I189" s="76"/>
      <c r="J189" s="76"/>
      <c r="K189" s="178"/>
      <c r="L189" s="76"/>
      <c r="M189" s="76"/>
      <c r="N189" s="76"/>
      <c r="O189" s="76"/>
      <c r="P189" s="178"/>
      <c r="Q189" s="76"/>
      <c r="R189" s="76"/>
      <c r="S189" s="76"/>
      <c r="T189" s="76"/>
      <c r="U189" s="178"/>
      <c r="V189" s="76"/>
      <c r="W189" s="76"/>
      <c r="X189" s="76"/>
      <c r="Y189" s="76"/>
      <c r="Z189" s="178"/>
      <c r="AA189" s="76">
        <v>128.92270000000008</v>
      </c>
      <c r="AB189" s="76">
        <v>576.07729999999992</v>
      </c>
      <c r="AC189" s="76">
        <v>541</v>
      </c>
      <c r="AD189" s="76">
        <v>1891</v>
      </c>
      <c r="AE189" s="178">
        <v>3137</v>
      </c>
      <c r="AF189" s="76">
        <f>SUM(AF187:AF188)</f>
        <v>2707</v>
      </c>
      <c r="AG189" s="76">
        <f>SUM(AG187:AG188)</f>
        <v>4821</v>
      </c>
      <c r="AH189" s="76">
        <f>SUM(AH187:AH188)</f>
        <v>8718</v>
      </c>
      <c r="AI189" s="76">
        <f>SUM(AI187:AI188)</f>
        <v>13615</v>
      </c>
      <c r="AJ189" s="178">
        <f t="shared" si="420"/>
        <v>29861</v>
      </c>
      <c r="AK189" s="76">
        <f>SUM(AK187:AK188)</f>
        <v>14642</v>
      </c>
      <c r="AL189" s="76">
        <f t="shared" ref="AL189:AN189" si="423">SUM(AL187:AL188)</f>
        <v>18238</v>
      </c>
      <c r="AM189" s="76">
        <f t="shared" si="423"/>
        <v>20714.299659999975</v>
      </c>
      <c r="AN189" s="76">
        <f t="shared" si="423"/>
        <v>22022</v>
      </c>
      <c r="AO189" s="178">
        <f t="shared" si="421"/>
        <v>75616.299659999975</v>
      </c>
      <c r="AP189" s="76">
        <f>SUM(AP187:AP188)</f>
        <v>21931</v>
      </c>
      <c r="AQ189" s="76">
        <f>SUM(AQ187:AQ188)</f>
        <v>21409</v>
      </c>
      <c r="AR189" s="76">
        <f>SUM(AR187:AR188)</f>
        <v>24850</v>
      </c>
      <c r="AS189" s="76">
        <f>SUM(AS187:AS188)</f>
        <v>34235</v>
      </c>
      <c r="AT189" s="178">
        <f t="shared" si="422"/>
        <v>102425</v>
      </c>
      <c r="AU189" s="76">
        <f>SUM(AU187:AU188)</f>
        <v>33986</v>
      </c>
      <c r="AV189" s="76">
        <f>SUM(AV187:AV188)</f>
        <v>37326</v>
      </c>
      <c r="AW189" s="76">
        <f>SUM(AW187:AW188)</f>
        <v>39854</v>
      </c>
      <c r="AX189" s="76">
        <f>SUM(AX187:AX188)</f>
        <v>35465.830910000011</v>
      </c>
      <c r="AY189" s="178">
        <f>SUM(AU189:AX189)</f>
        <v>146631.83091000002</v>
      </c>
      <c r="AZ189" s="76">
        <f>SUM(AZ187:AZ188)</f>
        <v>33464</v>
      </c>
    </row>
    <row r="190" spans="1:52" ht="30.75" thickBot="1">
      <c r="A190" s="787" t="s">
        <v>738</v>
      </c>
      <c r="B190" s="18"/>
      <c r="C190" s="18"/>
      <c r="D190" s="18"/>
      <c r="E190" s="18"/>
      <c r="F190" s="46"/>
      <c r="G190" s="18"/>
      <c r="H190" s="18"/>
      <c r="I190" s="18"/>
      <c r="J190" s="18"/>
      <c r="K190" s="46"/>
      <c r="L190" s="18"/>
      <c r="M190" s="18"/>
      <c r="N190" s="18"/>
      <c r="O190" s="18"/>
      <c r="P190" s="46"/>
      <c r="Q190"/>
      <c r="R190"/>
      <c r="S190"/>
      <c r="T190"/>
      <c r="U190"/>
      <c r="V190"/>
      <c r="W190"/>
      <c r="X190"/>
      <c r="Y190"/>
      <c r="Z190"/>
      <c r="AA190"/>
      <c r="AB190"/>
      <c r="AE190"/>
      <c r="AJ190"/>
      <c r="AO190"/>
      <c r="AT190"/>
      <c r="AY190"/>
      <c r="AZ190"/>
    </row>
    <row r="191" spans="1:52" ht="24.4" customHeight="1">
      <c r="A191" s="625" t="s">
        <v>739</v>
      </c>
      <c r="B191" s="626" t="s">
        <v>224</v>
      </c>
      <c r="C191" s="626" t="s">
        <v>225</v>
      </c>
      <c r="D191" s="626" t="s">
        <v>226</v>
      </c>
      <c r="E191" s="626" t="s">
        <v>227</v>
      </c>
      <c r="F191" s="652">
        <v>2016</v>
      </c>
      <c r="G191" s="626" t="s">
        <v>228</v>
      </c>
      <c r="H191" s="626" t="s">
        <v>229</v>
      </c>
      <c r="I191" s="626" t="s">
        <v>230</v>
      </c>
      <c r="J191" s="626" t="s">
        <v>231</v>
      </c>
      <c r="K191" s="652">
        <v>2017</v>
      </c>
      <c r="L191" s="626" t="s">
        <v>232</v>
      </c>
      <c r="M191" s="626" t="s">
        <v>233</v>
      </c>
      <c r="N191" s="626" t="s">
        <v>234</v>
      </c>
      <c r="O191" s="626" t="s">
        <v>235</v>
      </c>
      <c r="P191" s="652">
        <v>2018</v>
      </c>
      <c r="Q191" s="626" t="s">
        <v>236</v>
      </c>
      <c r="R191" s="626" t="s">
        <v>237</v>
      </c>
      <c r="S191" s="626" t="s">
        <v>238</v>
      </c>
      <c r="T191" s="626" t="s">
        <v>239</v>
      </c>
      <c r="U191" s="652">
        <v>2019</v>
      </c>
      <c r="V191" s="626" t="s">
        <v>240</v>
      </c>
      <c r="W191" s="626" t="s">
        <v>241</v>
      </c>
      <c r="X191" s="626" t="s">
        <v>242</v>
      </c>
      <c r="Y191" s="626" t="s">
        <v>243</v>
      </c>
      <c r="Z191" s="652">
        <v>2020</v>
      </c>
      <c r="AA191" s="626" t="s">
        <v>244</v>
      </c>
      <c r="AB191" s="626" t="s">
        <v>245</v>
      </c>
      <c r="AC191" s="626" t="s">
        <v>246</v>
      </c>
      <c r="AD191" s="626" t="s">
        <v>247</v>
      </c>
      <c r="AE191" s="652">
        <v>2021</v>
      </c>
      <c r="AF191" s="626" t="s">
        <v>248</v>
      </c>
      <c r="AG191" s="626" t="s">
        <v>249</v>
      </c>
      <c r="AH191" s="626" t="s">
        <v>250</v>
      </c>
      <c r="AI191" s="626" t="s">
        <v>215</v>
      </c>
      <c r="AJ191" s="652">
        <v>2022</v>
      </c>
      <c r="AK191" s="626" t="s">
        <v>252</v>
      </c>
      <c r="AL191" s="626" t="s">
        <v>253</v>
      </c>
      <c r="AM191" s="626" t="s">
        <v>254</v>
      </c>
      <c r="AN191" s="626" t="s">
        <v>219</v>
      </c>
      <c r="AO191" s="652">
        <v>2023</v>
      </c>
      <c r="AP191" s="626" t="s">
        <v>223</v>
      </c>
      <c r="AQ191" s="626" t="s">
        <v>256</v>
      </c>
      <c r="AR191" s="626" t="s">
        <v>357</v>
      </c>
      <c r="AS191" s="626" t="s">
        <v>358</v>
      </c>
      <c r="AT191" s="652">
        <v>2024</v>
      </c>
      <c r="AU191" s="626" t="s">
        <v>359</v>
      </c>
      <c r="AV191" s="626" t="s">
        <v>1115</v>
      </c>
      <c r="AW191" s="626" t="s">
        <v>1116</v>
      </c>
      <c r="AX191" s="626" t="s">
        <v>1117</v>
      </c>
      <c r="AY191" s="653" t="s">
        <v>1118</v>
      </c>
      <c r="AZ191" s="645" t="s">
        <v>1124</v>
      </c>
    </row>
    <row r="192" spans="1:52" ht="14.85" customHeight="1">
      <c r="A192" s="54" t="s">
        <v>707</v>
      </c>
      <c r="B192" s="76"/>
      <c r="C192" s="76"/>
      <c r="D192" s="76"/>
      <c r="E192" s="76"/>
      <c r="F192" s="39"/>
      <c r="G192" s="76">
        <v>245496.77965000004</v>
      </c>
      <c r="H192" s="76">
        <v>200829.89231000002</v>
      </c>
      <c r="I192" s="76">
        <v>195338.82043000002</v>
      </c>
      <c r="J192" s="76">
        <v>191690.34742000001</v>
      </c>
      <c r="K192" s="39">
        <f t="shared" ref="K192:K198" si="424">SUM(G192:J192)</f>
        <v>833355.83981000003</v>
      </c>
      <c r="L192" s="76">
        <v>232896.76488000003</v>
      </c>
      <c r="M192" s="76">
        <v>190220.18223999999</v>
      </c>
      <c r="N192" s="76">
        <v>180371.23611</v>
      </c>
      <c r="O192" s="76">
        <v>172211.58471</v>
      </c>
      <c r="P192" s="39">
        <f t="shared" ref="P192:P198" si="425">SUM(L192:O192)</f>
        <v>775699.76794000005</v>
      </c>
      <c r="Q192" s="76">
        <v>165295.89981000003</v>
      </c>
      <c r="R192" s="76">
        <v>142903.56851000001</v>
      </c>
      <c r="S192" s="76">
        <v>146586.47826</v>
      </c>
      <c r="T192" s="76">
        <v>153436.00950000001</v>
      </c>
      <c r="U192" s="39">
        <v>608221.95608000003</v>
      </c>
      <c r="V192" s="76">
        <v>143429.74278999999</v>
      </c>
      <c r="W192" s="76">
        <v>99059.346959999995</v>
      </c>
      <c r="X192" s="76">
        <v>126130.67081999998</v>
      </c>
      <c r="Y192" s="76">
        <v>132849.89020000002</v>
      </c>
      <c r="Z192" s="39">
        <v>501469.65077000001</v>
      </c>
      <c r="AA192" s="76">
        <v>206029.24512999997</v>
      </c>
      <c r="AB192" s="76">
        <v>114415.65535000002</v>
      </c>
      <c r="AC192" s="76">
        <v>134163.29999999999</v>
      </c>
      <c r="AD192" s="76">
        <v>125430.53379999998</v>
      </c>
      <c r="AE192" s="39">
        <v>580038.73427999998</v>
      </c>
      <c r="AF192" s="76">
        <f t="shared" ref="AF192:AI193" si="426">AF205+AF217+AF229</f>
        <v>122806.9423</v>
      </c>
      <c r="AG192" s="76">
        <f t="shared" si="426"/>
        <v>116121.79983000003</v>
      </c>
      <c r="AH192" s="76">
        <f t="shared" si="426"/>
        <v>133358.03491999998</v>
      </c>
      <c r="AI192" s="76">
        <f t="shared" si="426"/>
        <v>160064.14926000001</v>
      </c>
      <c r="AJ192" s="39">
        <f>SUM(AF192:AI192)</f>
        <v>532350.92631000001</v>
      </c>
      <c r="AK192" s="76">
        <v>99709.441419999988</v>
      </c>
      <c r="AL192" s="76">
        <v>113255.14716999998</v>
      </c>
      <c r="AM192" s="76">
        <v>122084.572</v>
      </c>
      <c r="AN192" s="76">
        <v>137950.79981</v>
      </c>
      <c r="AO192" s="39">
        <f>SUM(AK192:AN192)</f>
        <v>472999.96039999998</v>
      </c>
      <c r="AP192" s="76">
        <v>119233.05716</v>
      </c>
      <c r="AQ192" s="76">
        <f t="shared" ref="AQ192:AS193" si="427">AQ205+AQ217+AQ229</f>
        <v>113915.72484000001</v>
      </c>
      <c r="AR192" s="76">
        <f t="shared" si="427"/>
        <v>114082.20555000001</v>
      </c>
      <c r="AS192" s="76">
        <f t="shared" si="427"/>
        <v>110884.40299999999</v>
      </c>
      <c r="AT192" s="39">
        <f>SUM(AP192:AS192)</f>
        <v>458115.39055000001</v>
      </c>
      <c r="AU192" s="76">
        <f t="shared" ref="AU192:AX193" si="428">AU205+AU217+AU229</f>
        <v>94755.800579999996</v>
      </c>
      <c r="AV192" s="76">
        <f t="shared" si="428"/>
        <v>112019.81873</v>
      </c>
      <c r="AW192" s="76">
        <f t="shared" si="428"/>
        <v>148313.56938</v>
      </c>
      <c r="AX192" s="76">
        <f t="shared" si="428"/>
        <v>193250.78794000007</v>
      </c>
      <c r="AY192" s="39">
        <f t="shared" ref="AY192:AY199" si="429">SUM(AU192:AX192)</f>
        <v>548339.97663000005</v>
      </c>
      <c r="AZ192" s="76">
        <f>AZ205+AZ217+AZ229</f>
        <v>188761.39612999998</v>
      </c>
    </row>
    <row r="193" spans="1:52" ht="14.85" customHeight="1">
      <c r="A193" s="56" t="s">
        <v>443</v>
      </c>
      <c r="B193" s="8"/>
      <c r="C193" s="8"/>
      <c r="D193" s="8"/>
      <c r="E193" s="8"/>
      <c r="F193" s="40"/>
      <c r="G193" s="8">
        <v>-47568.533100000015</v>
      </c>
      <c r="H193" s="8">
        <v>-27797.22222999997</v>
      </c>
      <c r="I193" s="8">
        <v>-23805.260100000025</v>
      </c>
      <c r="J193" s="8">
        <v>-23828.154870000002</v>
      </c>
      <c r="K193" s="40">
        <f t="shared" si="424"/>
        <v>-122999.17030000001</v>
      </c>
      <c r="L193" s="8">
        <v>-38359.837530000033</v>
      </c>
      <c r="M193" s="8">
        <v>-8425.7487100000581</v>
      </c>
      <c r="N193" s="8">
        <v>1045.2773500001067</v>
      </c>
      <c r="O193" s="8">
        <v>6372.9022800000012</v>
      </c>
      <c r="P193" s="40">
        <f t="shared" si="425"/>
        <v>-39367.406609999984</v>
      </c>
      <c r="Q193" s="8">
        <v>-13163.22883</v>
      </c>
      <c r="R193" s="8">
        <v>-938.94677999999931</v>
      </c>
      <c r="S193" s="8">
        <v>-1517.9168600000012</v>
      </c>
      <c r="T193" s="8">
        <v>-7260.0677600000026</v>
      </c>
      <c r="U193" s="40">
        <v>-22880.160230000001</v>
      </c>
      <c r="V193" s="8">
        <v>-19753.751229999998</v>
      </c>
      <c r="W193" s="8">
        <v>29466.059870000001</v>
      </c>
      <c r="X193" s="8">
        <v>-494.29748999999697</v>
      </c>
      <c r="Y193" s="8">
        <v>-6186.7875700000004</v>
      </c>
      <c r="Z193" s="40">
        <v>3031.2235800000053</v>
      </c>
      <c r="AA193" s="8">
        <v>-83805.933810000002</v>
      </c>
      <c r="AB193" s="8">
        <v>5141.8077599999988</v>
      </c>
      <c r="AC193" s="8">
        <v>-16552.501859999997</v>
      </c>
      <c r="AD193" s="8">
        <v>-9725.1714899999952</v>
      </c>
      <c r="AE193" s="40">
        <v>-104941.7994</v>
      </c>
      <c r="AF193" s="8">
        <f t="shared" si="426"/>
        <v>-14265.256829999998</v>
      </c>
      <c r="AG193" s="8">
        <f t="shared" si="426"/>
        <v>-3121.5116299999991</v>
      </c>
      <c r="AH193" s="8">
        <f t="shared" si="426"/>
        <v>-13089.504700000001</v>
      </c>
      <c r="AI193" s="8">
        <f t="shared" si="426"/>
        <v>-21454.319899999995</v>
      </c>
      <c r="AJ193" s="40">
        <f t="shared" ref="AJ193:AJ199" si="430">SUM(AF193:AI193)</f>
        <v>-51930.593059999999</v>
      </c>
      <c r="AK193" s="8">
        <v>31362.053180000003</v>
      </c>
      <c r="AL193" s="8">
        <v>19081.583120000003</v>
      </c>
      <c r="AM193" s="8">
        <v>3488.7589999999982</v>
      </c>
      <c r="AN193" s="8">
        <v>-13368.273830000002</v>
      </c>
      <c r="AO193" s="40">
        <f t="shared" ref="AO193:AO199" si="431">SUM(AK193:AN193)</f>
        <v>40564.121469999998</v>
      </c>
      <c r="AP193" s="8">
        <v>4326.9471499999981</v>
      </c>
      <c r="AQ193" s="8">
        <f t="shared" si="427"/>
        <v>11635.931129999999</v>
      </c>
      <c r="AR193" s="8">
        <f t="shared" si="427"/>
        <v>11945.109369999998</v>
      </c>
      <c r="AS193" s="8">
        <f t="shared" si="427"/>
        <v>12953.713</v>
      </c>
      <c r="AT193" s="40">
        <f t="shared" ref="AT193:AT199" si="432">SUM(AP193:AS193)</f>
        <v>40861.700649999999</v>
      </c>
      <c r="AU193" s="8">
        <f t="shared" si="428"/>
        <v>28041.945610000006</v>
      </c>
      <c r="AV193" s="8">
        <f t="shared" si="428"/>
        <v>11479.117789999998</v>
      </c>
      <c r="AW193" s="8">
        <f t="shared" si="428"/>
        <v>-21472.51282</v>
      </c>
      <c r="AX193" s="8">
        <f t="shared" si="428"/>
        <v>-61325.244049999994</v>
      </c>
      <c r="AY193" s="40">
        <f t="shared" si="429"/>
        <v>-43276.693469999984</v>
      </c>
      <c r="AZ193" s="8">
        <f>AZ206+AZ218+AZ230</f>
        <v>-52515.596519999999</v>
      </c>
    </row>
    <row r="194" spans="1:52" ht="14.85" customHeight="1">
      <c r="A194" s="54" t="s">
        <v>708</v>
      </c>
      <c r="B194" s="76"/>
      <c r="C194" s="76"/>
      <c r="D194" s="76"/>
      <c r="E194" s="76"/>
      <c r="F194" s="39"/>
      <c r="G194" s="76">
        <f>SUM(G192:G193)</f>
        <v>197928.24655000004</v>
      </c>
      <c r="H194" s="76">
        <f>SUM(H192:H193)</f>
        <v>173032.67008000007</v>
      </c>
      <c r="I194" s="76">
        <f>SUM(I192:I193)</f>
        <v>171533.56033000001</v>
      </c>
      <c r="J194" s="76">
        <f>SUM(J192:J193)</f>
        <v>167862.19255000001</v>
      </c>
      <c r="K194" s="39">
        <f t="shared" si="424"/>
        <v>710356.66951000015</v>
      </c>
      <c r="L194" s="76">
        <f>SUM(L192:L193)</f>
        <v>194536.92735000001</v>
      </c>
      <c r="M194" s="76">
        <f>SUM(M192:M193)</f>
        <v>181794.43352999992</v>
      </c>
      <c r="N194" s="76">
        <f>SUM(N192:N193)</f>
        <v>181416.5134600001</v>
      </c>
      <c r="O194" s="76">
        <f>SUM(O192:O193)</f>
        <v>178584.48699</v>
      </c>
      <c r="P194" s="39">
        <f t="shared" si="425"/>
        <v>736332.3613300001</v>
      </c>
      <c r="Q194" s="76">
        <v>152132.67098000002</v>
      </c>
      <c r="R194" s="76">
        <v>141964.62173000001</v>
      </c>
      <c r="S194" s="76">
        <v>145068.56140000001</v>
      </c>
      <c r="T194" s="76">
        <v>146175.94174000001</v>
      </c>
      <c r="U194" s="39">
        <v>585341.79585000011</v>
      </c>
      <c r="V194" s="76">
        <v>123675.99155999999</v>
      </c>
      <c r="W194" s="76">
        <v>128525.40682999999</v>
      </c>
      <c r="X194" s="76">
        <v>125636.37332999999</v>
      </c>
      <c r="Y194" s="76">
        <v>126663.10263000002</v>
      </c>
      <c r="Z194" s="39">
        <v>504500.87435</v>
      </c>
      <c r="AA194" s="76">
        <v>122223.31131999996</v>
      </c>
      <c r="AB194" s="76">
        <v>119557.46311000001</v>
      </c>
      <c r="AC194" s="76">
        <v>117610.79814</v>
      </c>
      <c r="AD194" s="76">
        <v>115705.36230999998</v>
      </c>
      <c r="AE194" s="39">
        <v>475096.93487999996</v>
      </c>
      <c r="AF194" s="76">
        <f t="shared" ref="AF194" si="433">SUM(AF192:AF193)</f>
        <v>108541.68547</v>
      </c>
      <c r="AG194" s="76">
        <f t="shared" ref="AG194:AH194" si="434">SUM(AG192:AG193)</f>
        <v>113000.28820000004</v>
      </c>
      <c r="AH194" s="76">
        <f t="shared" si="434"/>
        <v>120268.53021999997</v>
      </c>
      <c r="AI194" s="76">
        <f t="shared" ref="AI194:AK194" si="435">SUM(AI192:AI193)</f>
        <v>138609.82936</v>
      </c>
      <c r="AJ194" s="39">
        <f t="shared" si="430"/>
        <v>480420.33325000003</v>
      </c>
      <c r="AK194" s="76">
        <f t="shared" si="435"/>
        <v>131071.49459999999</v>
      </c>
      <c r="AL194" s="76">
        <f t="shared" ref="AL194:AN194" si="436">SUM(AL192:AL193)</f>
        <v>132336.73028999998</v>
      </c>
      <c r="AM194" s="76">
        <f t="shared" si="436"/>
        <v>125573.33100000001</v>
      </c>
      <c r="AN194" s="76">
        <f t="shared" si="436"/>
        <v>124582.52597999999</v>
      </c>
      <c r="AO194" s="39">
        <f t="shared" si="431"/>
        <v>513564.08186999994</v>
      </c>
      <c r="AP194" s="76">
        <f>SUM(AP192:AP193)</f>
        <v>123560.00430999999</v>
      </c>
      <c r="AQ194" s="76">
        <f>SUM(AQ192:AQ193)</f>
        <v>125551.65597000001</v>
      </c>
      <c r="AR194" s="76">
        <f>SUM(AR192:AR193)</f>
        <v>126027.31492</v>
      </c>
      <c r="AS194" s="76">
        <f>SUM(AS192:AS193)</f>
        <v>123838.11599999999</v>
      </c>
      <c r="AT194" s="39">
        <f t="shared" si="432"/>
        <v>498977.09119999997</v>
      </c>
      <c r="AU194" s="76">
        <f>SUM(AU192:AU193)</f>
        <v>122797.74619000001</v>
      </c>
      <c r="AV194" s="76">
        <f>SUM(AV192:AV193)</f>
        <v>123498.93652</v>
      </c>
      <c r="AW194" s="76">
        <f>SUM(AW192:AW193)</f>
        <v>126841.05656</v>
      </c>
      <c r="AX194" s="76">
        <f>SUM(AX192:AX193)</f>
        <v>131925.54389000009</v>
      </c>
      <c r="AY194" s="39">
        <f t="shared" si="429"/>
        <v>505063.28316000011</v>
      </c>
      <c r="AZ194" s="76">
        <f>SUM(AZ192:AZ193)</f>
        <v>136245.79960999999</v>
      </c>
    </row>
    <row r="195" spans="1:52" ht="14.85" customHeight="1">
      <c r="A195" s="56" t="s">
        <v>477</v>
      </c>
      <c r="B195" s="8"/>
      <c r="C195" s="8"/>
      <c r="D195" s="8"/>
      <c r="E195" s="8"/>
      <c r="F195" s="40"/>
      <c r="G195" s="8">
        <v>-132757.08420000001</v>
      </c>
      <c r="H195" s="8">
        <v>-126227.04526999999</v>
      </c>
      <c r="I195" s="8">
        <v>-94666.511440000031</v>
      </c>
      <c r="J195" s="8">
        <v>-96484.08014999998</v>
      </c>
      <c r="K195" s="40">
        <f t="shared" si="424"/>
        <v>-450134.72106000001</v>
      </c>
      <c r="L195" s="8">
        <v>-124887.09435999999</v>
      </c>
      <c r="M195" s="8">
        <v>-85149.015909999987</v>
      </c>
      <c r="N195" s="8">
        <v>-84726.645449999982</v>
      </c>
      <c r="O195" s="8">
        <v>-72880.976819999982</v>
      </c>
      <c r="P195" s="40">
        <f t="shared" si="425"/>
        <v>-367643.73253999994</v>
      </c>
      <c r="Q195" s="8">
        <v>-84042.937239999999</v>
      </c>
      <c r="R195" s="8">
        <v>-53901.820040000006</v>
      </c>
      <c r="S195" s="8">
        <v>-69025.794079999992</v>
      </c>
      <c r="T195" s="8">
        <v>-10452.089690000008</v>
      </c>
      <c r="U195" s="40">
        <v>-217422.64105000003</v>
      </c>
      <c r="V195" s="8">
        <v>-82980.009049999993</v>
      </c>
      <c r="W195" s="8">
        <v>-39879.609310000007</v>
      </c>
      <c r="X195" s="8">
        <v>-57279.782769999998</v>
      </c>
      <c r="Y195" s="8">
        <v>-64714.658189999995</v>
      </c>
      <c r="Z195" s="40">
        <v>-244854.05931999997</v>
      </c>
      <c r="AA195" s="8">
        <v>-44277.24368</v>
      </c>
      <c r="AB195" s="8">
        <v>-46404.988190000004</v>
      </c>
      <c r="AC195" s="8">
        <v>-69377.358170000007</v>
      </c>
      <c r="AD195" s="8">
        <v>-62343.662750000003</v>
      </c>
      <c r="AE195" s="40">
        <v>-222403.25279</v>
      </c>
      <c r="AF195" s="8">
        <f t="shared" ref="AF195:AI198" si="437">AF208+AF220+AF232</f>
        <v>-75279.551779999994</v>
      </c>
      <c r="AG195" s="8">
        <f t="shared" si="437"/>
        <v>-63414.083909999987</v>
      </c>
      <c r="AH195" s="8">
        <f t="shared" si="437"/>
        <v>-72549.907869999981</v>
      </c>
      <c r="AI195" s="8">
        <f t="shared" si="437"/>
        <v>-88342.979030000002</v>
      </c>
      <c r="AJ195" s="40">
        <f t="shared" si="430"/>
        <v>-299586.52258999995</v>
      </c>
      <c r="AK195" s="8">
        <v>-71273.352220000001</v>
      </c>
      <c r="AL195" s="8">
        <v>-63690.894550000005</v>
      </c>
      <c r="AM195" s="8">
        <v>-66238.361999999994</v>
      </c>
      <c r="AN195" s="8">
        <v>-70810.972490000015</v>
      </c>
      <c r="AO195" s="40">
        <f t="shared" si="431"/>
        <v>-272013.58126000001</v>
      </c>
      <c r="AP195" s="8">
        <v>-75366.145340000003</v>
      </c>
      <c r="AQ195" s="8">
        <f t="shared" ref="AQ195:AS198" si="438">AQ208+AQ220+AQ232</f>
        <v>-87396.931270000001</v>
      </c>
      <c r="AR195" s="8">
        <f t="shared" si="438"/>
        <v>-67476.95772999998</v>
      </c>
      <c r="AS195" s="8">
        <f t="shared" si="438"/>
        <v>-77600.78</v>
      </c>
      <c r="AT195" s="40">
        <f t="shared" si="432"/>
        <v>-307840.81433999992</v>
      </c>
      <c r="AU195" s="8">
        <f t="shared" ref="AU195:AV198" si="439">AU208+AU220+AU232</f>
        <v>-72476.922959999967</v>
      </c>
      <c r="AV195" s="8">
        <f t="shared" si="439"/>
        <v>-65868.02353000002</v>
      </c>
      <c r="AW195" s="8">
        <v>-65400.76620999998</v>
      </c>
      <c r="AX195" s="8">
        <f>AX208+AX220+AX232</f>
        <v>-68725.022089999999</v>
      </c>
      <c r="AY195" s="40">
        <f t="shared" si="429"/>
        <v>-272470.73478999996</v>
      </c>
      <c r="AZ195" s="8">
        <f>AZ208+AZ220+AZ232</f>
        <v>-75019.76062999999</v>
      </c>
    </row>
    <row r="196" spans="1:52" ht="14.85" customHeight="1">
      <c r="A196" s="56" t="s">
        <v>478</v>
      </c>
      <c r="B196" s="8"/>
      <c r="C196" s="8"/>
      <c r="D196" s="8"/>
      <c r="E196" s="8"/>
      <c r="F196" s="40"/>
      <c r="G196" s="8">
        <v>-38311.535780000006</v>
      </c>
      <c r="H196" s="8">
        <v>-36902.86277</v>
      </c>
      <c r="I196" s="8">
        <v>-31734.591820000001</v>
      </c>
      <c r="J196" s="8">
        <v>-31488.82847</v>
      </c>
      <c r="K196" s="40">
        <f t="shared" si="424"/>
        <v>-138437.81884000002</v>
      </c>
      <c r="L196" s="8">
        <v>-32666.214950000005</v>
      </c>
      <c r="M196" s="8">
        <v>-29683.513870000002</v>
      </c>
      <c r="N196" s="8">
        <v>-35006.695760000002</v>
      </c>
      <c r="O196" s="8">
        <v>-32730.838240000001</v>
      </c>
      <c r="P196" s="40">
        <f t="shared" si="425"/>
        <v>-130087.26282</v>
      </c>
      <c r="Q196" s="8">
        <v>-28282.826879999997</v>
      </c>
      <c r="R196" s="8">
        <v>-26038.057879999997</v>
      </c>
      <c r="S196" s="8">
        <v>-28511.216119999997</v>
      </c>
      <c r="T196" s="8">
        <v>-28087.424720000003</v>
      </c>
      <c r="U196" s="40">
        <v>-110919.52559999999</v>
      </c>
      <c r="V196" s="8">
        <v>-26783.896359999999</v>
      </c>
      <c r="W196" s="8">
        <v>-20932.29767</v>
      </c>
      <c r="X196" s="8">
        <v>-22699.03024</v>
      </c>
      <c r="Y196" s="8">
        <v>-25140.045739999998</v>
      </c>
      <c r="Z196" s="40">
        <v>-95555.270010000007</v>
      </c>
      <c r="AA196" s="8">
        <v>-19718.627209999999</v>
      </c>
      <c r="AB196" s="8">
        <v>-15445.92225</v>
      </c>
      <c r="AC196" s="8">
        <v>-18119.229920000002</v>
      </c>
      <c r="AD196" s="8">
        <v>-16667.633719999998</v>
      </c>
      <c r="AE196" s="40">
        <v>-69951.413099999991</v>
      </c>
      <c r="AF196" s="8">
        <f t="shared" si="437"/>
        <v>-13927.388639999999</v>
      </c>
      <c r="AG196" s="8">
        <f t="shared" si="437"/>
        <v>-13477.07706</v>
      </c>
      <c r="AH196" s="8">
        <f t="shared" si="437"/>
        <v>-13131.402280000002</v>
      </c>
      <c r="AI196" s="8">
        <f t="shared" si="437"/>
        <v>-8806.8167399999984</v>
      </c>
      <c r="AJ196" s="40">
        <f t="shared" si="430"/>
        <v>-49342.684720000005</v>
      </c>
      <c r="AK196" s="8">
        <v>-17632.210140000003</v>
      </c>
      <c r="AL196" s="8">
        <v>-11225.690349999999</v>
      </c>
      <c r="AM196" s="8">
        <v>-15079.485000000001</v>
      </c>
      <c r="AN196" s="8">
        <v>-14443.972460000001</v>
      </c>
      <c r="AO196" s="40">
        <f t="shared" si="431"/>
        <v>-58381.357950000005</v>
      </c>
      <c r="AP196" s="8">
        <v>-13704.078959999999</v>
      </c>
      <c r="AQ196" s="8">
        <f t="shared" si="438"/>
        <v>-14815.528869999998</v>
      </c>
      <c r="AR196" s="8">
        <f t="shared" si="438"/>
        <v>-17450.657809999997</v>
      </c>
      <c r="AS196" s="8">
        <f t="shared" si="438"/>
        <v>-17902.862000000001</v>
      </c>
      <c r="AT196" s="40">
        <f t="shared" si="432"/>
        <v>-63873.127639999999</v>
      </c>
      <c r="AU196" s="8">
        <f t="shared" si="439"/>
        <v>-16429.359570000004</v>
      </c>
      <c r="AV196" s="8">
        <f t="shared" si="439"/>
        <v>-16486.190480000001</v>
      </c>
      <c r="AW196" s="8">
        <v>-18740.208550000003</v>
      </c>
      <c r="AX196" s="8">
        <f>AX209+AX221+AX233</f>
        <v>-20093.503819999998</v>
      </c>
      <c r="AY196" s="40">
        <f t="shared" si="429"/>
        <v>-71749.262420000014</v>
      </c>
      <c r="AZ196" s="8">
        <f>AZ209+AZ221+AZ233</f>
        <v>-21088.238889999997</v>
      </c>
    </row>
    <row r="197" spans="1:52" ht="14.85" customHeight="1">
      <c r="A197" s="56" t="s">
        <v>479</v>
      </c>
      <c r="B197" s="8"/>
      <c r="C197" s="8"/>
      <c r="D197" s="8"/>
      <c r="E197" s="8"/>
      <c r="F197" s="40"/>
      <c r="G197" s="8">
        <v>-26731.738100000006</v>
      </c>
      <c r="H197" s="8">
        <v>-33541.659059999998</v>
      </c>
      <c r="I197" s="8">
        <v>-17091.924460000002</v>
      </c>
      <c r="J197" s="8">
        <v>-35834.112229999999</v>
      </c>
      <c r="K197" s="40">
        <f t="shared" si="424"/>
        <v>-113199.43385</v>
      </c>
      <c r="L197" s="8">
        <v>-22112.357489999999</v>
      </c>
      <c r="M197" s="8">
        <v>-28175.349179999997</v>
      </c>
      <c r="N197" s="8">
        <v>-23204.946130000008</v>
      </c>
      <c r="O197" s="8">
        <v>-22820.182589999997</v>
      </c>
      <c r="P197" s="40">
        <f t="shared" si="425"/>
        <v>-96312.835390000007</v>
      </c>
      <c r="Q197" s="8">
        <v>-12491.862509999999</v>
      </c>
      <c r="R197" s="8">
        <v>-18958.177589999999</v>
      </c>
      <c r="S197" s="8">
        <v>-20534.661339999999</v>
      </c>
      <c r="T197" s="8">
        <v>-30061.942320000002</v>
      </c>
      <c r="U197" s="40">
        <v>-82046.643760000006</v>
      </c>
      <c r="V197" s="8">
        <v>-22251.957760000001</v>
      </c>
      <c r="W197" s="8">
        <v>-17697.736229999999</v>
      </c>
      <c r="X197" s="8">
        <v>-27440.649089999999</v>
      </c>
      <c r="Y197" s="8">
        <v>-37807.385269999999</v>
      </c>
      <c r="Z197" s="40">
        <v>-105197.72834999999</v>
      </c>
      <c r="AA197" s="8">
        <v>-20132.557779999996</v>
      </c>
      <c r="AB197" s="8">
        <v>-7670.734449999999</v>
      </c>
      <c r="AC197" s="8">
        <v>-14007.217390000002</v>
      </c>
      <c r="AD197" s="8">
        <v>-14385.996169999999</v>
      </c>
      <c r="AE197" s="40">
        <v>-56196.505789999996</v>
      </c>
      <c r="AF197" s="8">
        <f t="shared" si="437"/>
        <v>-12961.895250000001</v>
      </c>
      <c r="AG197" s="8">
        <f t="shared" si="437"/>
        <v>-14698.133850000002</v>
      </c>
      <c r="AH197" s="8">
        <f t="shared" si="437"/>
        <v>-22924.05025</v>
      </c>
      <c r="AI197" s="8">
        <f t="shared" si="437"/>
        <v>-15476.958859999999</v>
      </c>
      <c r="AJ197" s="40">
        <f t="shared" si="430"/>
        <v>-66061.038209999999</v>
      </c>
      <c r="AK197" s="8">
        <v>-7368.0626599999996</v>
      </c>
      <c r="AL197" s="8">
        <v>-19007.950529999998</v>
      </c>
      <c r="AM197" s="8">
        <v>-12225.916000000001</v>
      </c>
      <c r="AN197" s="8">
        <v>-14344.313290000002</v>
      </c>
      <c r="AO197" s="40">
        <f t="shared" si="431"/>
        <v>-52946.242480000001</v>
      </c>
      <c r="AP197" s="8">
        <v>-12016.329389999999</v>
      </c>
      <c r="AQ197" s="8">
        <f t="shared" si="438"/>
        <v>-13163.324579999997</v>
      </c>
      <c r="AR197" s="8">
        <f t="shared" si="438"/>
        <v>-17910.275950000003</v>
      </c>
      <c r="AS197" s="8">
        <f t="shared" si="438"/>
        <v>-13105.925999999999</v>
      </c>
      <c r="AT197" s="40">
        <f t="shared" si="432"/>
        <v>-56195.855919999995</v>
      </c>
      <c r="AU197" s="8">
        <f t="shared" si="439"/>
        <v>-15472.372379999993</v>
      </c>
      <c r="AV197" s="8">
        <f t="shared" si="439"/>
        <v>-8602.306609999996</v>
      </c>
      <c r="AW197" s="8">
        <v>-17348.228089999997</v>
      </c>
      <c r="AX197" s="8">
        <f>AX210+AX222+AX234</f>
        <v>-13039.114150000003</v>
      </c>
      <c r="AY197" s="40">
        <f t="shared" si="429"/>
        <v>-54462.021229999991</v>
      </c>
      <c r="AZ197" s="8">
        <f>AZ210+AZ222+AZ234</f>
        <v>-12728.519770000003</v>
      </c>
    </row>
    <row r="198" spans="1:52" ht="14.85" customHeight="1">
      <c r="A198" s="56" t="s">
        <v>709</v>
      </c>
      <c r="B198" s="8"/>
      <c r="C198" s="8"/>
      <c r="D198" s="8"/>
      <c r="E198" s="8"/>
      <c r="F198" s="40"/>
      <c r="G198" s="8">
        <v>-3166.6206899999993</v>
      </c>
      <c r="H198" s="8">
        <v>21682.650330000008</v>
      </c>
      <c r="I198" s="8">
        <v>-4541.9805699999997</v>
      </c>
      <c r="J198" s="8">
        <v>-12709.884129999999</v>
      </c>
      <c r="K198" s="40">
        <f t="shared" si="424"/>
        <v>1264.1649400000097</v>
      </c>
      <c r="L198" s="8">
        <v>-7553.9232000000002</v>
      </c>
      <c r="M198" s="8">
        <v>-2511.7409699999948</v>
      </c>
      <c r="N198" s="8">
        <v>689.56477999999765</v>
      </c>
      <c r="O198" s="8">
        <v>-5406.9103699999987</v>
      </c>
      <c r="P198" s="40">
        <f t="shared" si="425"/>
        <v>-14783.009759999997</v>
      </c>
      <c r="Q198" s="8">
        <v>16198.106950000001</v>
      </c>
      <c r="R198" s="8">
        <v>-17690.488149999997</v>
      </c>
      <c r="S198" s="8">
        <v>-4498.9645799999989</v>
      </c>
      <c r="T198" s="8">
        <v>-33714.927589999999</v>
      </c>
      <c r="U198" s="40">
        <v>-39706.273369999995</v>
      </c>
      <c r="V198" s="8">
        <v>9120.3627799999995</v>
      </c>
      <c r="W198" s="8">
        <v>1348.9570700000008</v>
      </c>
      <c r="X198" s="8">
        <v>332.33013000000074</v>
      </c>
      <c r="Y198" s="8">
        <v>-5392.5743000000002</v>
      </c>
      <c r="Z198" s="40">
        <v>5409.0756799999999</v>
      </c>
      <c r="AA198" s="8">
        <v>-2226.891059999999</v>
      </c>
      <c r="AB198" s="8">
        <v>-10098.868300000002</v>
      </c>
      <c r="AC198" s="8">
        <v>999.61130000000026</v>
      </c>
      <c r="AD198" s="8">
        <v>-12234.689359999998</v>
      </c>
      <c r="AE198" s="40">
        <v>-23560.837419999996</v>
      </c>
      <c r="AF198" s="8">
        <f t="shared" si="437"/>
        <v>610.39294999999993</v>
      </c>
      <c r="AG198" s="8">
        <f t="shared" si="437"/>
        <v>-8123.5814499999997</v>
      </c>
      <c r="AH198" s="8">
        <f t="shared" si="437"/>
        <v>-193.47531999999967</v>
      </c>
      <c r="AI198" s="8">
        <f t="shared" si="437"/>
        <v>728.49574999999993</v>
      </c>
      <c r="AJ198" s="40">
        <f t="shared" si="430"/>
        <v>-6978.1680699999997</v>
      </c>
      <c r="AK198" s="8">
        <v>-3723.9743400000007</v>
      </c>
      <c r="AL198" s="8">
        <v>-3619.4257600000001</v>
      </c>
      <c r="AM198" s="8">
        <v>-1352.3540000000003</v>
      </c>
      <c r="AN198" s="8">
        <v>108.48910999999976</v>
      </c>
      <c r="AO198" s="40">
        <f t="shared" si="431"/>
        <v>-8587.2649900000015</v>
      </c>
      <c r="AP198" s="8">
        <v>3182.03487</v>
      </c>
      <c r="AQ198" s="8">
        <f t="shared" si="438"/>
        <v>19434.396560000001</v>
      </c>
      <c r="AR198" s="8">
        <f t="shared" si="438"/>
        <v>-937.45528999999942</v>
      </c>
      <c r="AS198" s="8">
        <f t="shared" si="438"/>
        <v>-869.5949999999998</v>
      </c>
      <c r="AT198" s="40">
        <f t="shared" si="432"/>
        <v>20809.381140000001</v>
      </c>
      <c r="AU198" s="8">
        <f t="shared" si="439"/>
        <v>-948.08073999999965</v>
      </c>
      <c r="AV198" s="8">
        <f t="shared" si="439"/>
        <v>-1115.0396299999998</v>
      </c>
      <c r="AW198" s="8">
        <v>-1807.1204000000002</v>
      </c>
      <c r="AX198" s="8">
        <f>AX211+AX223+AX235</f>
        <v>-3670.6002600000015</v>
      </c>
      <c r="AY198" s="40">
        <f t="shared" si="429"/>
        <v>-7540.8410300000014</v>
      </c>
      <c r="AZ198" s="8">
        <f>AZ211+AZ223+AZ235</f>
        <v>-3326.6174000000001</v>
      </c>
    </row>
    <row r="199" spans="1:52" ht="14.85" customHeight="1">
      <c r="A199" s="54" t="s">
        <v>710</v>
      </c>
      <c r="B199" s="76"/>
      <c r="C199" s="76"/>
      <c r="D199" s="76"/>
      <c r="E199" s="76"/>
      <c r="F199" s="39"/>
      <c r="G199" s="76">
        <f t="shared" ref="G199:P199" si="440">SUM(G194:G198)</f>
        <v>-3038.732219999983</v>
      </c>
      <c r="H199" s="76">
        <f t="shared" si="440"/>
        <v>-1956.246689999909</v>
      </c>
      <c r="I199" s="76">
        <f t="shared" si="440"/>
        <v>23498.552039999973</v>
      </c>
      <c r="J199" s="76">
        <f t="shared" si="440"/>
        <v>-8654.7124299999705</v>
      </c>
      <c r="K199" s="39">
        <f t="shared" si="440"/>
        <v>9848.8607000001284</v>
      </c>
      <c r="L199" s="76">
        <f t="shared" si="440"/>
        <v>7317.3373500000171</v>
      </c>
      <c r="M199" s="76">
        <f t="shared" si="440"/>
        <v>36274.81359999995</v>
      </c>
      <c r="N199" s="76">
        <f t="shared" si="440"/>
        <v>39167.790900000109</v>
      </c>
      <c r="O199" s="76">
        <f t="shared" si="440"/>
        <v>44745.578970000031</v>
      </c>
      <c r="P199" s="39">
        <f t="shared" si="440"/>
        <v>127505.52082000014</v>
      </c>
      <c r="Q199" s="76">
        <v>43513.151300000034</v>
      </c>
      <c r="R199" s="76">
        <v>25376.078070000018</v>
      </c>
      <c r="S199" s="76">
        <v>22497.925280000018</v>
      </c>
      <c r="T199" s="76">
        <v>43859.557419999976</v>
      </c>
      <c r="U199" s="39">
        <v>135246.71207000007</v>
      </c>
      <c r="V199" s="76">
        <v>780.49117000000115</v>
      </c>
      <c r="W199" s="76">
        <v>51364.720690000002</v>
      </c>
      <c r="X199" s="76">
        <v>18549.241359999985</v>
      </c>
      <c r="Y199" s="76">
        <v>-6391.5608699999648</v>
      </c>
      <c r="Z199" s="39">
        <v>64302.892350000031</v>
      </c>
      <c r="AA199" s="76">
        <v>35867.991589999969</v>
      </c>
      <c r="AB199" s="76">
        <v>39936.949920000006</v>
      </c>
      <c r="AC199" s="76">
        <v>17106.603959999989</v>
      </c>
      <c r="AD199" s="76">
        <v>10073.380309999984</v>
      </c>
      <c r="AE199" s="39">
        <v>102984.92577999996</v>
      </c>
      <c r="AF199" s="76">
        <f t="shared" ref="AF199:AG199" si="441">SUM(AF194:AF198)</f>
        <v>6983.2427500000031</v>
      </c>
      <c r="AG199" s="76">
        <f t="shared" si="441"/>
        <v>13287.411930000055</v>
      </c>
      <c r="AH199" s="76">
        <f t="shared" ref="AH199:AI199" si="442">SUM(AH194:AH198)</f>
        <v>11469.694499999989</v>
      </c>
      <c r="AI199" s="76">
        <f t="shared" si="442"/>
        <v>26711.570480000006</v>
      </c>
      <c r="AJ199" s="39">
        <f t="shared" si="430"/>
        <v>58451.919660000058</v>
      </c>
      <c r="AK199" s="76">
        <f t="shared" ref="AK199:AN199" si="443">SUM(AK194:AK198)</f>
        <v>31073.895239999983</v>
      </c>
      <c r="AL199" s="76">
        <f t="shared" si="443"/>
        <v>34792.76909999999</v>
      </c>
      <c r="AM199" s="76">
        <f t="shared" si="443"/>
        <v>30677.214000000011</v>
      </c>
      <c r="AN199" s="76">
        <f t="shared" si="443"/>
        <v>25091.756849999969</v>
      </c>
      <c r="AO199" s="39">
        <f t="shared" si="431"/>
        <v>121635.63518999994</v>
      </c>
      <c r="AP199" s="76">
        <f>SUM(AP194:AP198)</f>
        <v>25655.485489999988</v>
      </c>
      <c r="AQ199" s="76">
        <f>SUM(AQ194:AQ198)</f>
        <v>29610.267810000012</v>
      </c>
      <c r="AR199" s="76">
        <f>SUM(AR194:AR198)</f>
        <v>22251.968140000026</v>
      </c>
      <c r="AS199" s="76">
        <f>SUM(AS194:AS198)</f>
        <v>14358.952999999996</v>
      </c>
      <c r="AT199" s="39">
        <f t="shared" si="432"/>
        <v>91876.674440000017</v>
      </c>
      <c r="AU199" s="76">
        <f>SUM(AU194:AU198)</f>
        <v>17471.010540000043</v>
      </c>
      <c r="AV199" s="76">
        <f>SUM(AV194:AV198)</f>
        <v>31427.376269999982</v>
      </c>
      <c r="AW199" s="76">
        <f>SUM(AW194:AW198)</f>
        <v>23544.733310000018</v>
      </c>
      <c r="AX199" s="76">
        <f>SUM(AX194:AX198)</f>
        <v>26397.303570000087</v>
      </c>
      <c r="AY199" s="39">
        <f t="shared" si="429"/>
        <v>98840.423690000127</v>
      </c>
      <c r="AZ199" s="76">
        <f>SUM(AZ194:AZ198)</f>
        <v>24082.662920000002</v>
      </c>
    </row>
    <row r="200" spans="1:52" ht="14.85" customHeight="1">
      <c r="A200" s="17" t="s">
        <v>711</v>
      </c>
      <c r="B200" s="169"/>
      <c r="C200" s="169"/>
      <c r="D200" s="169"/>
      <c r="E200" s="169"/>
      <c r="F200" s="46"/>
      <c r="G200" s="169">
        <f t="shared" ref="G200:P200" si="444">-G195/G194</f>
        <v>0.67073339209552041</v>
      </c>
      <c r="H200" s="169">
        <f t="shared" si="444"/>
        <v>0.72949833815567933</v>
      </c>
      <c r="I200" s="169">
        <f t="shared" si="444"/>
        <v>0.55188332392727424</v>
      </c>
      <c r="J200" s="169">
        <f t="shared" si="444"/>
        <v>0.57478148405133511</v>
      </c>
      <c r="K200" s="46">
        <f t="shared" si="444"/>
        <v>0.63367423771849751</v>
      </c>
      <c r="L200" s="169">
        <f t="shared" si="444"/>
        <v>0.64197114687285095</v>
      </c>
      <c r="M200" s="169">
        <f t="shared" si="444"/>
        <v>0.46838076533266682</v>
      </c>
      <c r="N200" s="169">
        <f t="shared" si="444"/>
        <v>0.46702829766751675</v>
      </c>
      <c r="O200" s="169">
        <f t="shared" si="444"/>
        <v>0.40810362673932038</v>
      </c>
      <c r="P200" s="46">
        <f t="shared" si="444"/>
        <v>0.49929047241105029</v>
      </c>
      <c r="Q200" s="169">
        <v>0.55243187869256971</v>
      </c>
      <c r="R200" s="169">
        <v>0.37968487770505893</v>
      </c>
      <c r="S200" s="169">
        <v>0.47581497613169266</v>
      </c>
      <c r="T200" s="169">
        <v>7.1503487958305162E-2</v>
      </c>
      <c r="U200" s="46">
        <v>0.37144561107971324</v>
      </c>
      <c r="V200" s="169">
        <v>0.67094678606027747</v>
      </c>
      <c r="W200" s="169">
        <v>0.31028580491286517</v>
      </c>
      <c r="X200" s="169">
        <v>0.4559171938173297</v>
      </c>
      <c r="Y200" s="169">
        <v>0.51091957204806693</v>
      </c>
      <c r="Z200" s="46">
        <v>0.48533921697454036</v>
      </c>
      <c r="AA200" s="169">
        <v>0.362265129309704</v>
      </c>
      <c r="AB200" s="169">
        <v>0.38813961908262173</v>
      </c>
      <c r="AC200" s="169">
        <v>0.58988935767118511</v>
      </c>
      <c r="AD200" s="169">
        <v>0.53881394522552628</v>
      </c>
      <c r="AE200" s="46">
        <v>0.46812184306382576</v>
      </c>
      <c r="AF200" s="169">
        <f t="shared" ref="AF200:AG200" si="445">-AF195/AF194</f>
        <v>0.69355429164407645</v>
      </c>
      <c r="AG200" s="169">
        <f t="shared" si="445"/>
        <v>0.5611851520038863</v>
      </c>
      <c r="AH200" s="169">
        <f t="shared" ref="AH200:AI200" si="446">-AH195/AH194</f>
        <v>0.6032326805465138</v>
      </c>
      <c r="AI200" s="169">
        <f t="shared" si="446"/>
        <v>0.63735003093145715</v>
      </c>
      <c r="AJ200" s="46">
        <f>-AJ195/AJ194</f>
        <v>0.62359251233877688</v>
      </c>
      <c r="AK200" s="169">
        <f t="shared" ref="AK200:AN200" si="447">-AK195/AK194</f>
        <v>0.54377462038950464</v>
      </c>
      <c r="AL200" s="169">
        <f t="shared" si="447"/>
        <v>0.48127904029689333</v>
      </c>
      <c r="AM200" s="169">
        <f t="shared" si="447"/>
        <v>0.52748749652902005</v>
      </c>
      <c r="AN200" s="169">
        <f t="shared" si="447"/>
        <v>0.56838607126466312</v>
      </c>
      <c r="AO200" s="46">
        <f>-AO195/AO194</f>
        <v>0.52965850000556625</v>
      </c>
      <c r="AP200" s="169">
        <f t="shared" ref="AP200" si="448">-AP195/AP194</f>
        <v>0.60995583288354138</v>
      </c>
      <c r="AQ200" s="169">
        <f t="shared" ref="AQ200:AZ200" si="449">-AQ195/AQ194</f>
        <v>0.69610337350614548</v>
      </c>
      <c r="AR200" s="169">
        <f t="shared" si="449"/>
        <v>0.53541534049847217</v>
      </c>
      <c r="AS200" s="169">
        <f t="shared" si="449"/>
        <v>0.6266308185760836</v>
      </c>
      <c r="AT200" s="46">
        <f t="shared" si="449"/>
        <v>0.6169437831297373</v>
      </c>
      <c r="AU200" s="169">
        <f t="shared" si="449"/>
        <v>0.59021378819004822</v>
      </c>
      <c r="AV200" s="169">
        <f t="shared" si="449"/>
        <v>0.53334891284131047</v>
      </c>
      <c r="AW200" s="169">
        <f t="shared" si="449"/>
        <v>0.51561196337924908</v>
      </c>
      <c r="AX200" s="169">
        <f t="shared" si="449"/>
        <v>0.52093794775106728</v>
      </c>
      <c r="AY200" s="46">
        <f t="shared" si="449"/>
        <v>0.53947840572620553</v>
      </c>
      <c r="AZ200" s="169">
        <f t="shared" si="449"/>
        <v>0.55062072258184902</v>
      </c>
    </row>
    <row r="201" spans="1:52" ht="14.85" customHeight="1" thickBot="1">
      <c r="A201" s="17" t="s">
        <v>712</v>
      </c>
      <c r="B201" s="169"/>
      <c r="C201" s="169"/>
      <c r="D201" s="169"/>
      <c r="E201" s="169"/>
      <c r="F201" s="48"/>
      <c r="G201" s="169">
        <f t="shared" ref="G201:P201" si="450">-G196/G194</f>
        <v>0.19356275037945056</v>
      </c>
      <c r="H201" s="169">
        <f t="shared" si="450"/>
        <v>0.21327107044547311</v>
      </c>
      <c r="I201" s="169">
        <f t="shared" si="450"/>
        <v>0.18500514860735298</v>
      </c>
      <c r="J201" s="169">
        <f t="shared" si="450"/>
        <v>0.18758737742937934</v>
      </c>
      <c r="K201" s="48">
        <f t="shared" si="450"/>
        <v>0.19488494270841944</v>
      </c>
      <c r="L201" s="169">
        <f t="shared" si="450"/>
        <v>0.16791781074669063</v>
      </c>
      <c r="M201" s="169">
        <f t="shared" si="450"/>
        <v>0.16328065328304783</v>
      </c>
      <c r="N201" s="169">
        <f t="shared" si="450"/>
        <v>0.19296311615931538</v>
      </c>
      <c r="O201" s="169">
        <f t="shared" si="450"/>
        <v>0.1832792914528617</v>
      </c>
      <c r="P201" s="48">
        <f t="shared" si="450"/>
        <v>0.17666921848311803</v>
      </c>
      <c r="Q201" s="169">
        <v>0.18590896155184294</v>
      </c>
      <c r="R201" s="169">
        <v>0.18341230063305008</v>
      </c>
      <c r="S201" s="169">
        <v>0.1965361470800385</v>
      </c>
      <c r="T201" s="169">
        <v>0.1921480674977179</v>
      </c>
      <c r="U201" s="48">
        <v>0.18949531092159405</v>
      </c>
      <c r="V201" s="169">
        <v>0.21656504243191046</v>
      </c>
      <c r="W201" s="169">
        <v>0.16286505669409831</v>
      </c>
      <c r="X201" s="169">
        <v>0.18067244093697368</v>
      </c>
      <c r="Y201" s="169">
        <v>0.19847962996325344</v>
      </c>
      <c r="Z201" s="48">
        <v>0.18940555877750187</v>
      </c>
      <c r="AA201" s="169">
        <v>0.16133278502309198</v>
      </c>
      <c r="AB201" s="169">
        <v>0.12919245564610909</v>
      </c>
      <c r="AC201" s="169">
        <v>0.15406093833689888</v>
      </c>
      <c r="AD201" s="169">
        <v>0.14405238778254512</v>
      </c>
      <c r="AE201" s="48">
        <v>0.14723608586880976</v>
      </c>
      <c r="AF201" s="169">
        <f t="shared" ref="AF201:AG201" si="451">-AF196/AF194</f>
        <v>0.12831373107661398</v>
      </c>
      <c r="AG201" s="169">
        <f t="shared" si="451"/>
        <v>0.11926586449183936</v>
      </c>
      <c r="AH201" s="169">
        <f t="shared" ref="AH201:AI201" si="452">-AH196/AH194</f>
        <v>0.1091840255799212</v>
      </c>
      <c r="AI201" s="169">
        <f t="shared" si="452"/>
        <v>6.35367403643992E-2</v>
      </c>
      <c r="AJ201" s="48">
        <f>-AJ196/AJ194</f>
        <v>0.10270731962196773</v>
      </c>
      <c r="AK201" s="169">
        <f t="shared" ref="AK201:AN201" si="453">-AK196/AK194</f>
        <v>0.13452360632500185</v>
      </c>
      <c r="AL201" s="169">
        <f t="shared" si="453"/>
        <v>8.4826716856312323E-2</v>
      </c>
      <c r="AM201" s="169">
        <f t="shared" si="453"/>
        <v>0.12008509195316321</v>
      </c>
      <c r="AN201" s="169">
        <f t="shared" si="453"/>
        <v>0.11593899181590508</v>
      </c>
      <c r="AO201" s="48">
        <f>-AO196/AO194</f>
        <v>0.11367881830329843</v>
      </c>
      <c r="AP201" s="169">
        <f t="shared" ref="AP201" si="454">-AP196/AP194</f>
        <v>0.11091031468093675</v>
      </c>
      <c r="AQ201" s="169">
        <f t="shared" ref="AQ201:AZ201" si="455">-AQ196/AQ194</f>
        <v>0.11800345248763665</v>
      </c>
      <c r="AR201" s="169">
        <f t="shared" si="455"/>
        <v>0.13846726656897657</v>
      </c>
      <c r="AS201" s="169">
        <f t="shared" si="455"/>
        <v>0.14456665345264136</v>
      </c>
      <c r="AT201" s="48">
        <f t="shared" si="455"/>
        <v>0.12800813657875604</v>
      </c>
      <c r="AU201" s="169">
        <f t="shared" si="455"/>
        <v>0.13379202859781741</v>
      </c>
      <c r="AV201" s="169">
        <f t="shared" si="455"/>
        <v>0.13349257041845172</v>
      </c>
      <c r="AW201" s="169">
        <f t="shared" si="455"/>
        <v>0.14774560428811367</v>
      </c>
      <c r="AX201" s="169">
        <f t="shared" si="455"/>
        <v>0.15230942566175071</v>
      </c>
      <c r="AY201" s="48">
        <f t="shared" si="455"/>
        <v>0.14205994538167688</v>
      </c>
      <c r="AZ201" s="169">
        <f t="shared" si="455"/>
        <v>0.15478083691654734</v>
      </c>
    </row>
    <row r="202" spans="1:52" ht="14.85" customHeight="1">
      <c r="A202" s="349"/>
    </row>
    <row r="203" spans="1:52" ht="14.85" customHeight="1" thickBot="1"/>
    <row r="204" spans="1:52" s="30" customFormat="1" ht="14.85" customHeight="1">
      <c r="A204" s="179" t="s">
        <v>740</v>
      </c>
      <c r="B204" s="180" t="s">
        <v>224</v>
      </c>
      <c r="C204" s="180" t="s">
        <v>225</v>
      </c>
      <c r="D204" s="180" t="s">
        <v>226</v>
      </c>
      <c r="E204" s="180" t="s">
        <v>227</v>
      </c>
      <c r="F204" s="181">
        <v>2016</v>
      </c>
      <c r="G204" s="180" t="s">
        <v>228</v>
      </c>
      <c r="H204" s="180" t="s">
        <v>229</v>
      </c>
      <c r="I204" s="180" t="s">
        <v>230</v>
      </c>
      <c r="J204" s="180" t="s">
        <v>231</v>
      </c>
      <c r="K204" s="181">
        <v>2017</v>
      </c>
      <c r="L204" s="180" t="s">
        <v>232</v>
      </c>
      <c r="M204" s="180" t="s">
        <v>233</v>
      </c>
      <c r="N204" s="180" t="s">
        <v>234</v>
      </c>
      <c r="O204" s="180" t="s">
        <v>235</v>
      </c>
      <c r="P204" s="181">
        <v>2018</v>
      </c>
      <c r="Q204" s="180" t="s">
        <v>236</v>
      </c>
      <c r="R204" s="180" t="s">
        <v>237</v>
      </c>
      <c r="S204" s="180" t="s">
        <v>238</v>
      </c>
      <c r="T204" s="180" t="s">
        <v>239</v>
      </c>
      <c r="U204" s="181">
        <v>2019</v>
      </c>
      <c r="V204" s="180" t="s">
        <v>240</v>
      </c>
      <c r="W204" s="180" t="s">
        <v>241</v>
      </c>
      <c r="X204" s="180" t="s">
        <v>242</v>
      </c>
      <c r="Y204" s="180" t="s">
        <v>243</v>
      </c>
      <c r="Z204" s="181">
        <v>2020</v>
      </c>
      <c r="AA204" s="180" t="s">
        <v>244</v>
      </c>
      <c r="AB204" s="180" t="s">
        <v>245</v>
      </c>
      <c r="AC204" s="180" t="s">
        <v>246</v>
      </c>
      <c r="AD204" s="180" t="s">
        <v>247</v>
      </c>
      <c r="AE204" s="181">
        <v>2021</v>
      </c>
      <c r="AF204" s="180" t="s">
        <v>248</v>
      </c>
      <c r="AG204" s="180" t="s">
        <v>249</v>
      </c>
      <c r="AH204" s="180" t="s">
        <v>250</v>
      </c>
      <c r="AI204" s="180" t="s">
        <v>215</v>
      </c>
      <c r="AJ204" s="181">
        <v>2022</v>
      </c>
      <c r="AK204" s="180" t="s">
        <v>252</v>
      </c>
      <c r="AL204" s="180" t="s">
        <v>253</v>
      </c>
      <c r="AM204" s="180" t="s">
        <v>254</v>
      </c>
      <c r="AN204" s="180" t="s">
        <v>219</v>
      </c>
      <c r="AO204" s="181">
        <v>2023</v>
      </c>
      <c r="AP204" s="180" t="s">
        <v>223</v>
      </c>
      <c r="AQ204" s="180" t="s">
        <v>256</v>
      </c>
      <c r="AR204" s="180" t="s">
        <v>357</v>
      </c>
      <c r="AS204" s="180" t="s">
        <v>358</v>
      </c>
      <c r="AT204" s="181">
        <v>2024</v>
      </c>
      <c r="AU204" s="180" t="s">
        <v>359</v>
      </c>
      <c r="AV204" s="180" t="s">
        <v>1115</v>
      </c>
      <c r="AW204" s="180" t="s">
        <v>1116</v>
      </c>
      <c r="AX204" s="180" t="s">
        <v>1117</v>
      </c>
      <c r="AY204" s="181" t="s">
        <v>1118</v>
      </c>
      <c r="AZ204" s="180" t="s">
        <v>1124</v>
      </c>
    </row>
    <row r="205" spans="1:52" ht="14.85" customHeight="1">
      <c r="A205" s="54" t="s">
        <v>707</v>
      </c>
      <c r="B205" s="76"/>
      <c r="C205" s="76"/>
      <c r="D205" s="76"/>
      <c r="E205" s="76"/>
      <c r="F205" s="39"/>
      <c r="G205" s="76">
        <v>79467.773200000025</v>
      </c>
      <c r="H205" s="76">
        <v>90068.297950000007</v>
      </c>
      <c r="I205" s="76">
        <v>96388.770389999991</v>
      </c>
      <c r="J205" s="76">
        <v>93573.709510000015</v>
      </c>
      <c r="K205" s="39">
        <f>SUM(G205:J205)</f>
        <v>359498.55105000007</v>
      </c>
      <c r="L205" s="76">
        <v>83139.980420000022</v>
      </c>
      <c r="M205" s="76">
        <v>80475.757779999985</v>
      </c>
      <c r="N205" s="76">
        <v>84663.022029999993</v>
      </c>
      <c r="O205" s="76">
        <v>82106.664019999982</v>
      </c>
      <c r="P205" s="39">
        <f>SUM(L205:O205)</f>
        <v>330385.42424999998</v>
      </c>
      <c r="Q205" s="76">
        <v>67783.074710000015</v>
      </c>
      <c r="R205" s="76">
        <v>75642.725890000002</v>
      </c>
      <c r="S205" s="76">
        <v>90214.528929999986</v>
      </c>
      <c r="T205" s="76">
        <v>93924.479489999998</v>
      </c>
      <c r="U205" s="39">
        <v>327564.80901999999</v>
      </c>
      <c r="V205" s="76">
        <v>80609.599650000004</v>
      </c>
      <c r="W205" s="76">
        <v>65692.427009999999</v>
      </c>
      <c r="X205" s="76">
        <v>89993.253019999989</v>
      </c>
      <c r="Y205" s="76">
        <v>99968.056890000007</v>
      </c>
      <c r="Z205" s="39">
        <v>336263.33656999998</v>
      </c>
      <c r="AA205" s="76">
        <v>72317.294239999974</v>
      </c>
      <c r="AB205" s="76">
        <v>72753.817500000005</v>
      </c>
      <c r="AC205" s="76">
        <v>101081.12510999999</v>
      </c>
      <c r="AD205" s="76">
        <v>119851.57890999998</v>
      </c>
      <c r="AE205" s="39">
        <v>366003.81575999991</v>
      </c>
      <c r="AF205" s="76">
        <v>108410.28653</v>
      </c>
      <c r="AG205" s="76">
        <v>83794.436690000017</v>
      </c>
      <c r="AH205" s="76">
        <v>109335.63354999998</v>
      </c>
      <c r="AI205" s="76">
        <v>111540.12586</v>
      </c>
      <c r="AJ205" s="39">
        <f>SUM(AF205:AI205)</f>
        <v>413080.48262999998</v>
      </c>
      <c r="AK205" s="76">
        <v>83863.770599999989</v>
      </c>
      <c r="AL205" s="76">
        <v>88731.538739999989</v>
      </c>
      <c r="AM205" s="76">
        <v>112308.277</v>
      </c>
      <c r="AN205" s="76">
        <v>124364.79633999999</v>
      </c>
      <c r="AO205" s="39">
        <f>SUM(AK205:AN205)</f>
        <v>409268.38267999998</v>
      </c>
      <c r="AP205" s="76">
        <v>109506.14775999999</v>
      </c>
      <c r="AQ205" s="76">
        <v>96335.582920000001</v>
      </c>
      <c r="AR205" s="76">
        <v>100208.18718000001</v>
      </c>
      <c r="AS205" s="76">
        <v>97679.548999999999</v>
      </c>
      <c r="AT205" s="39">
        <f>SUM(AP205:AS205)</f>
        <v>403729.46685999999</v>
      </c>
      <c r="AU205" s="76">
        <v>83104.972609999997</v>
      </c>
      <c r="AV205" s="76">
        <v>88582.22546999999</v>
      </c>
      <c r="AW205" s="76">
        <v>135016.34403000001</v>
      </c>
      <c r="AX205" s="76">
        <v>180867.14189000006</v>
      </c>
      <c r="AY205" s="39">
        <f t="shared" ref="AY205:AY212" si="456">SUM(AU205:AX205)</f>
        <v>487570.68400000012</v>
      </c>
      <c r="AZ205" s="10">
        <v>169560.94449999998</v>
      </c>
    </row>
    <row r="206" spans="1:52" ht="14.85" customHeight="1">
      <c r="A206" s="56" t="s">
        <v>443</v>
      </c>
      <c r="B206" s="8"/>
      <c r="C206" s="8"/>
      <c r="D206" s="8"/>
      <c r="E206" s="8"/>
      <c r="F206" s="40"/>
      <c r="G206" s="8">
        <v>-23252.962750000039</v>
      </c>
      <c r="H206" s="8">
        <v>-29422.860529999984</v>
      </c>
      <c r="I206" s="8">
        <v>-29661.151560000042</v>
      </c>
      <c r="J206" s="8">
        <v>-22999.724760000012</v>
      </c>
      <c r="K206" s="40">
        <f t="shared" ref="K206:K211" si="457">SUM(G206:J206)</f>
        <v>-105336.69960000008</v>
      </c>
      <c r="L206" s="8">
        <v>-10463.39967999994</v>
      </c>
      <c r="M206" s="8">
        <v>-4818.3296000000209</v>
      </c>
      <c r="N206" s="8">
        <v>-6288.2891000000109</v>
      </c>
      <c r="O206" s="8">
        <v>-2609.1556099999989</v>
      </c>
      <c r="P206" s="40">
        <f t="shared" ref="P206:P211" si="458">SUM(L206:O206)</f>
        <v>-24179.17398999997</v>
      </c>
      <c r="Q206" s="1">
        <v>10733.198819999998</v>
      </c>
      <c r="R206" s="1">
        <v>1726.4122800000002</v>
      </c>
      <c r="S206" s="1">
        <v>-13019.081190000001</v>
      </c>
      <c r="T206" s="1">
        <v>-16561.871530000004</v>
      </c>
      <c r="U206" s="40">
        <v>-17121.341620000007</v>
      </c>
      <c r="V206" s="1">
        <v>-3633.5622699999994</v>
      </c>
      <c r="W206" s="1">
        <v>9922.9349200000015</v>
      </c>
      <c r="X206" s="1">
        <v>-14627.634319999997</v>
      </c>
      <c r="Y206" s="1">
        <v>-21451.60412</v>
      </c>
      <c r="Z206" s="40">
        <v>-29789.865789999996</v>
      </c>
      <c r="AA206" s="1">
        <v>6272.0940299999993</v>
      </c>
      <c r="AB206" s="1">
        <v>5278.0048899999992</v>
      </c>
      <c r="AC206" s="1">
        <v>-23673.34822</v>
      </c>
      <c r="AD206" s="1">
        <v>-42444.110159999997</v>
      </c>
      <c r="AE206" s="40">
        <v>-54567.35946</v>
      </c>
      <c r="AF206" s="1">
        <v>-30460.286239999998</v>
      </c>
      <c r="AG206" s="1">
        <v>-2570.2800100000009</v>
      </c>
      <c r="AH206" s="1">
        <v>-21686.558080000003</v>
      </c>
      <c r="AI206" s="1">
        <v>-8058.3249599999981</v>
      </c>
      <c r="AJ206" s="40">
        <f t="shared" ref="AJ206:AJ212" si="459">SUM(AF206:AI206)</f>
        <v>-62775.449289999997</v>
      </c>
      <c r="AK206" s="1">
        <v>13377.843000000003</v>
      </c>
      <c r="AL206" s="1">
        <v>9790.3926900000006</v>
      </c>
      <c r="AM206" s="1">
        <v>-16129.341</v>
      </c>
      <c r="AN206" s="1">
        <v>-28225.162560000001</v>
      </c>
      <c r="AO206" s="40">
        <f t="shared" ref="AO206:AO212" si="460">SUM(AK206:AN206)</f>
        <v>-21186.26787</v>
      </c>
      <c r="AP206" s="1">
        <v>-11700.226090000002</v>
      </c>
      <c r="AQ206" s="1">
        <v>5118.2736699999987</v>
      </c>
      <c r="AR206" s="1">
        <v>2080.5746800000011</v>
      </c>
      <c r="AS206" s="1">
        <v>5837.2839999999997</v>
      </c>
      <c r="AT206" s="40">
        <f t="shared" ref="AT206:AT212" si="461">SUM(AP206:AS206)</f>
        <v>1335.9062599999979</v>
      </c>
      <c r="AU206" s="1">
        <v>20499.653210000004</v>
      </c>
      <c r="AV206" s="1">
        <v>14846.744789999999</v>
      </c>
      <c r="AW206" s="1">
        <v>-28064.026109999999</v>
      </c>
      <c r="AX206" s="1">
        <v>-68495.948359999995</v>
      </c>
      <c r="AY206" s="40">
        <f t="shared" si="456"/>
        <v>-61213.576469999993</v>
      </c>
      <c r="AZ206" s="8">
        <v>-49950.711859999996</v>
      </c>
    </row>
    <row r="207" spans="1:52" ht="14.85" customHeight="1">
      <c r="A207" s="54" t="s">
        <v>708</v>
      </c>
      <c r="B207" s="76"/>
      <c r="C207" s="76"/>
      <c r="D207" s="76"/>
      <c r="E207" s="76"/>
      <c r="F207" s="39"/>
      <c r="G207" s="76">
        <f t="shared" ref="G207" si="462">SUM(G205:G206)</f>
        <v>56214.81044999999</v>
      </c>
      <c r="H207" s="76">
        <f t="shared" ref="H207" si="463">SUM(H205:H206)</f>
        <v>60645.437420000024</v>
      </c>
      <c r="I207" s="76">
        <f t="shared" ref="I207" si="464">SUM(I205:I206)</f>
        <v>66727.618829999949</v>
      </c>
      <c r="J207" s="76">
        <f t="shared" ref="J207" si="465">SUM(J205:J206)</f>
        <v>70573.984750000003</v>
      </c>
      <c r="K207" s="39">
        <f t="shared" si="457"/>
        <v>254161.85144999996</v>
      </c>
      <c r="L207" s="76">
        <f t="shared" ref="L207" si="466">SUM(L205:L206)</f>
        <v>72676.580740000078</v>
      </c>
      <c r="M207" s="76">
        <f t="shared" ref="M207" si="467">SUM(M205:M206)</f>
        <v>75657.428179999959</v>
      </c>
      <c r="N207" s="76">
        <f t="shared" ref="N207" si="468">SUM(N205:N206)</f>
        <v>78374.732929999984</v>
      </c>
      <c r="O207" s="76">
        <f t="shared" ref="O207" si="469">SUM(O205:O206)</f>
        <v>79497.50840999998</v>
      </c>
      <c r="P207" s="39">
        <f t="shared" si="458"/>
        <v>306206.25026</v>
      </c>
      <c r="Q207" s="76">
        <v>78516.273530000006</v>
      </c>
      <c r="R207" s="76">
        <v>77369.138170000006</v>
      </c>
      <c r="S207" s="76">
        <v>77195.447739999989</v>
      </c>
      <c r="T207" s="76">
        <v>77362.607959999994</v>
      </c>
      <c r="U207" s="39">
        <v>310443.46739999996</v>
      </c>
      <c r="V207" s="76">
        <v>76976.037380000009</v>
      </c>
      <c r="W207" s="76">
        <v>75615.361929999999</v>
      </c>
      <c r="X207" s="76">
        <v>75365.618699999992</v>
      </c>
      <c r="Y207" s="76">
        <v>78516.452770000004</v>
      </c>
      <c r="Z207" s="39">
        <v>306473.47077999997</v>
      </c>
      <c r="AA207" s="76">
        <v>78589.388269999967</v>
      </c>
      <c r="AB207" s="76">
        <v>78031.822390000001</v>
      </c>
      <c r="AC207" s="76">
        <v>77407.776889999994</v>
      </c>
      <c r="AD207" s="76">
        <v>77407.468749999985</v>
      </c>
      <c r="AE207" s="39">
        <v>311436.45629999996</v>
      </c>
      <c r="AF207" s="76">
        <f>SUM(AF205:AF206)</f>
        <v>77950.000289999996</v>
      </c>
      <c r="AG207" s="76">
        <f>SUM(AG205:AG206)</f>
        <v>81224.156680000015</v>
      </c>
      <c r="AH207" s="76">
        <f>SUM(AH205:AH206)</f>
        <v>87649.075469999982</v>
      </c>
      <c r="AI207" s="76">
        <f>SUM(AI205:AI206)</f>
        <v>103481.8009</v>
      </c>
      <c r="AJ207" s="39">
        <f t="shared" si="459"/>
        <v>350305.03333999997</v>
      </c>
      <c r="AK207" s="76">
        <f>SUM(AK205:AK206)</f>
        <v>97241.613599999997</v>
      </c>
      <c r="AL207" s="76">
        <f t="shared" ref="AL207:AN207" si="470">SUM(AL205:AL206)</f>
        <v>98521.931429999997</v>
      </c>
      <c r="AM207" s="76">
        <f t="shared" si="470"/>
        <v>96178.936000000002</v>
      </c>
      <c r="AN207" s="76">
        <f t="shared" si="470"/>
        <v>96139.633779999989</v>
      </c>
      <c r="AO207" s="39">
        <f t="shared" si="460"/>
        <v>388082.11480999994</v>
      </c>
      <c r="AP207" s="76">
        <f>SUM(AP205:AP206)</f>
        <v>97805.921669999996</v>
      </c>
      <c r="AQ207" s="76">
        <f>SUM(AQ205:AQ206)</f>
        <v>101453.85659</v>
      </c>
      <c r="AR207" s="76">
        <f>SUM(AR205:AR206)</f>
        <v>102288.76186000001</v>
      </c>
      <c r="AS207" s="76">
        <f>SUM(AS205:AS206)</f>
        <v>103516.833</v>
      </c>
      <c r="AT207" s="39">
        <f t="shared" si="461"/>
        <v>405065.37312</v>
      </c>
      <c r="AU207" s="76">
        <f>SUM(AU205:AU206)</f>
        <v>103604.62582</v>
      </c>
      <c r="AV207" s="76">
        <f>SUM(AV205:AV206)</f>
        <v>103428.97025999999</v>
      </c>
      <c r="AW207" s="76">
        <f t="shared" ref="AW207:AZ207" si="471">SUM(AW205:AW206)</f>
        <v>106952.31792</v>
      </c>
      <c r="AX207" s="76">
        <f t="shared" si="471"/>
        <v>112371.19353000006</v>
      </c>
      <c r="AY207" s="39">
        <f t="shared" si="456"/>
        <v>426357.10753000004</v>
      </c>
      <c r="AZ207" s="76">
        <f t="shared" si="471"/>
        <v>119610.23263999999</v>
      </c>
    </row>
    <row r="208" spans="1:52" ht="14.85" customHeight="1">
      <c r="A208" s="56" t="s">
        <v>477</v>
      </c>
      <c r="B208" s="8"/>
      <c r="C208" s="8"/>
      <c r="D208" s="8"/>
      <c r="E208" s="8"/>
      <c r="F208" s="40"/>
      <c r="G208" s="8">
        <v>-39577.397840000005</v>
      </c>
      <c r="H208" s="8">
        <v>-40734.654479999983</v>
      </c>
      <c r="I208" s="8">
        <v>-45132.184270000027</v>
      </c>
      <c r="J208" s="8">
        <v>-46733.969829999995</v>
      </c>
      <c r="K208" s="40">
        <f t="shared" si="457"/>
        <v>-172178.20642</v>
      </c>
      <c r="L208" s="8">
        <v>-57117.337389999993</v>
      </c>
      <c r="M208" s="8">
        <v>-44292.310019999975</v>
      </c>
      <c r="N208" s="8">
        <v>-48175.77285999999</v>
      </c>
      <c r="O208" s="8">
        <v>-51128.292789999985</v>
      </c>
      <c r="P208" s="40">
        <f t="shared" si="458"/>
        <v>-200713.71305999995</v>
      </c>
      <c r="Q208" s="1">
        <v>-20195.057759999992</v>
      </c>
      <c r="R208" s="1">
        <v>-47489.809990000002</v>
      </c>
      <c r="S208" s="1">
        <v>-47541.338309999992</v>
      </c>
      <c r="T208" s="1">
        <v>-49326.665890000004</v>
      </c>
      <c r="U208" s="40">
        <v>-164552.87195</v>
      </c>
      <c r="V208" s="1">
        <v>-51208.832710000002</v>
      </c>
      <c r="W208" s="1">
        <v>-29277.453480000004</v>
      </c>
      <c r="X208" s="1">
        <v>-38474.41461</v>
      </c>
      <c r="Y208" s="1">
        <v>-53166.197559999993</v>
      </c>
      <c r="Z208" s="40">
        <v>-172126.89836000002</v>
      </c>
      <c r="AA208" s="1">
        <v>-41789.410909999999</v>
      </c>
      <c r="AB208" s="1">
        <v>-48934.866950000003</v>
      </c>
      <c r="AC208" s="1">
        <v>-52485.617970000007</v>
      </c>
      <c r="AD208" s="1">
        <v>-62548.507320000004</v>
      </c>
      <c r="AE208" s="40">
        <v>-205758.40315</v>
      </c>
      <c r="AF208" s="1">
        <v>-64686.46817</v>
      </c>
      <c r="AG208" s="1">
        <v>-61979.947289999996</v>
      </c>
      <c r="AH208" s="1">
        <v>-69627.827739999993</v>
      </c>
      <c r="AI208" s="1">
        <v>-61082.439570000002</v>
      </c>
      <c r="AJ208" s="40">
        <f t="shared" si="459"/>
        <v>-257376.68276999996</v>
      </c>
      <c r="AK208" s="1">
        <v>-60564.52736</v>
      </c>
      <c r="AL208" s="1">
        <v>-62015.178870000003</v>
      </c>
      <c r="AM208" s="1">
        <v>-60734.828000000001</v>
      </c>
      <c r="AN208" s="1">
        <v>-61592.146260000009</v>
      </c>
      <c r="AO208" s="40">
        <f t="shared" si="460"/>
        <v>-244906.68049000003</v>
      </c>
      <c r="AP208" s="1">
        <v>-60276.575490000003</v>
      </c>
      <c r="AQ208" s="1">
        <v>-61994.068479999994</v>
      </c>
      <c r="AR208" s="1">
        <v>-63724.595509999977</v>
      </c>
      <c r="AS208" s="1">
        <v>-60409.002999999997</v>
      </c>
      <c r="AT208" s="40">
        <f t="shared" si="461"/>
        <v>-246404.24247999999</v>
      </c>
      <c r="AU208" s="1">
        <v>-60278.274399999973</v>
      </c>
      <c r="AV208" s="1">
        <v>-56925.250410000022</v>
      </c>
      <c r="AW208" s="1">
        <v>-60625.85361999998</v>
      </c>
      <c r="AX208" s="1">
        <v>-63878.824889999996</v>
      </c>
      <c r="AY208" s="40">
        <f t="shared" si="456"/>
        <v>-241708.20331999997</v>
      </c>
      <c r="AZ208" s="8">
        <v>-72691.824349999995</v>
      </c>
    </row>
    <row r="209" spans="1:52" ht="14.85" customHeight="1">
      <c r="A209" s="56" t="s">
        <v>478</v>
      </c>
      <c r="B209" s="8"/>
      <c r="C209" s="8"/>
      <c r="D209" s="8"/>
      <c r="E209" s="8"/>
      <c r="F209" s="40"/>
      <c r="G209" s="8">
        <v>-20969.683780000003</v>
      </c>
      <c r="H209" s="8">
        <v>-19083.525760000004</v>
      </c>
      <c r="I209" s="8">
        <v>-13752.0846</v>
      </c>
      <c r="J209" s="8">
        <v>-13536.7407</v>
      </c>
      <c r="K209" s="40">
        <f t="shared" si="457"/>
        <v>-67342.034840000008</v>
      </c>
      <c r="L209" s="8">
        <v>-14862.152160000001</v>
      </c>
      <c r="M209" s="8">
        <v>-10723.140169999999</v>
      </c>
      <c r="N209" s="8">
        <v>-13964.545180000005</v>
      </c>
      <c r="O209" s="8">
        <v>-11922.094110000002</v>
      </c>
      <c r="P209" s="40">
        <f t="shared" si="458"/>
        <v>-51471.931620000003</v>
      </c>
      <c r="Q209" s="1">
        <v>-13759.01197</v>
      </c>
      <c r="R209" s="1">
        <v>-11529.881249999999</v>
      </c>
      <c r="S209" s="1">
        <v>-11725.84528</v>
      </c>
      <c r="T209" s="1">
        <v>-11952.81849</v>
      </c>
      <c r="U209" s="40">
        <v>-48967.556989999997</v>
      </c>
      <c r="V209" s="1">
        <v>-11860.455179999999</v>
      </c>
      <c r="W209" s="1">
        <v>-7912.8905400000003</v>
      </c>
      <c r="X209" s="1">
        <v>-8941.1645999999982</v>
      </c>
      <c r="Y209" s="1">
        <v>-10139.651479999999</v>
      </c>
      <c r="Z209" s="40">
        <v>-38854.161799999994</v>
      </c>
      <c r="AA209" s="1">
        <v>-8996.5707500000008</v>
      </c>
      <c r="AB209" s="1">
        <v>-6727.5252500000006</v>
      </c>
      <c r="AC209" s="1">
        <v>-8804.509280000002</v>
      </c>
      <c r="AD209" s="1">
        <v>-8859.3501899999992</v>
      </c>
      <c r="AE209" s="40">
        <v>-33387.955470000001</v>
      </c>
      <c r="AF209" s="1">
        <v>-9357.8773499999988</v>
      </c>
      <c r="AG209" s="1">
        <v>-8122.1445899999999</v>
      </c>
      <c r="AH209" s="1">
        <v>-7778.1147500000006</v>
      </c>
      <c r="AI209" s="1">
        <v>-9329.0789399999994</v>
      </c>
      <c r="AJ209" s="40">
        <f t="shared" si="459"/>
        <v>-34587.215629999999</v>
      </c>
      <c r="AK209" s="1">
        <v>-12575.0087</v>
      </c>
      <c r="AL209" s="1">
        <v>-8457.5454599999994</v>
      </c>
      <c r="AM209" s="1">
        <v>-10589.286</v>
      </c>
      <c r="AN209" s="1">
        <v>-10351.639130000001</v>
      </c>
      <c r="AO209" s="40">
        <f t="shared" si="460"/>
        <v>-41973.479290000003</v>
      </c>
      <c r="AP209" s="1">
        <v>-9920.6232999999993</v>
      </c>
      <c r="AQ209" s="1">
        <v>-11211.1518</v>
      </c>
      <c r="AR209" s="1">
        <v>-12862.996209999998</v>
      </c>
      <c r="AS209" s="1">
        <v>-14160.911</v>
      </c>
      <c r="AT209" s="40">
        <f t="shared" si="461"/>
        <v>-48155.682309999997</v>
      </c>
      <c r="AU209" s="1">
        <v>-12669.199560000005</v>
      </c>
      <c r="AV209" s="1">
        <v>-12833.799110000002</v>
      </c>
      <c r="AW209" s="1">
        <v>-14586.209840000001</v>
      </c>
      <c r="AX209" s="1">
        <v>-16361.577219999999</v>
      </c>
      <c r="AY209" s="40">
        <f t="shared" si="456"/>
        <v>-56450.785730000011</v>
      </c>
      <c r="AZ209" s="8">
        <v>-17673.198779999995</v>
      </c>
    </row>
    <row r="210" spans="1:52" ht="14.85" customHeight="1">
      <c r="A210" s="56" t="s">
        <v>479</v>
      </c>
      <c r="B210" s="8"/>
      <c r="C210" s="8"/>
      <c r="D210" s="8"/>
      <c r="E210" s="8"/>
      <c r="F210" s="40"/>
      <c r="G210" s="8">
        <v>-13876.394050000003</v>
      </c>
      <c r="H210" s="8">
        <v>-21081.447789999998</v>
      </c>
      <c r="I210" s="8">
        <v>-12669.638600000002</v>
      </c>
      <c r="J210" s="8">
        <v>-20953.718390000002</v>
      </c>
      <c r="K210" s="40">
        <f t="shared" si="457"/>
        <v>-68581.198830000008</v>
      </c>
      <c r="L210" s="8">
        <v>-9848.97379</v>
      </c>
      <c r="M210" s="8">
        <v>-19175.238249999999</v>
      </c>
      <c r="N210" s="8">
        <v>-19854.971560000005</v>
      </c>
      <c r="O210" s="8">
        <v>-15272.167579999998</v>
      </c>
      <c r="P210" s="40">
        <f t="shared" si="458"/>
        <v>-64151.351179999998</v>
      </c>
      <c r="Q210" s="1">
        <v>-11963.79545</v>
      </c>
      <c r="R210" s="1">
        <v>-14637.426670000001</v>
      </c>
      <c r="S210" s="1">
        <v>-13926.615119999999</v>
      </c>
      <c r="T210" s="1">
        <v>-15006.16001</v>
      </c>
      <c r="U210" s="40">
        <v>-55533.997249999993</v>
      </c>
      <c r="V210" s="1">
        <v>-13692.184720000001</v>
      </c>
      <c r="W210" s="1">
        <v>-12659.161739999998</v>
      </c>
      <c r="X210" s="1">
        <v>-14111.667670000001</v>
      </c>
      <c r="Y210" s="1">
        <v>-19189.011890000002</v>
      </c>
      <c r="Z210" s="40">
        <v>-59652.026020000005</v>
      </c>
      <c r="AA210" s="1">
        <v>-12053.149449999997</v>
      </c>
      <c r="AB210" s="1">
        <v>-4479.5045499999997</v>
      </c>
      <c r="AC210" s="1">
        <v>-12725.528470000003</v>
      </c>
      <c r="AD210" s="1">
        <v>-8906.1001399999986</v>
      </c>
      <c r="AE210" s="40">
        <v>-38164.282609999995</v>
      </c>
      <c r="AF210" s="1">
        <v>-8467.6154100000003</v>
      </c>
      <c r="AG210" s="1">
        <v>-7142.4719100000011</v>
      </c>
      <c r="AH210" s="1">
        <v>-11721.918099999999</v>
      </c>
      <c r="AI210" s="1">
        <v>-14853.4553</v>
      </c>
      <c r="AJ210" s="40">
        <f t="shared" si="459"/>
        <v>-42185.460720000003</v>
      </c>
      <c r="AK210" s="1">
        <v>-5556.3670899999997</v>
      </c>
      <c r="AL210" s="1">
        <v>-11797.469000000001</v>
      </c>
      <c r="AM210" s="1">
        <v>-5617.4350000000004</v>
      </c>
      <c r="AN210" s="1">
        <v>-5588.8767199999993</v>
      </c>
      <c r="AO210" s="40">
        <f t="shared" si="460"/>
        <v>-28560.147810000002</v>
      </c>
      <c r="AP210" s="1">
        <v>-6716.9142000000002</v>
      </c>
      <c r="AQ210" s="1">
        <v>-5950.3062599999994</v>
      </c>
      <c r="AR210" s="1">
        <v>-8567.5229600000002</v>
      </c>
      <c r="AS210" s="1">
        <v>-8463.8179999999993</v>
      </c>
      <c r="AT210" s="40">
        <f t="shared" si="461"/>
        <v>-29698.561419999998</v>
      </c>
      <c r="AU210" s="1">
        <v>-12478.490179999993</v>
      </c>
      <c r="AV210" s="1">
        <v>-5421.691179999998</v>
      </c>
      <c r="AW210" s="1">
        <v>-7914.589329999998</v>
      </c>
      <c r="AX210" s="1">
        <v>-7777.7317800000028</v>
      </c>
      <c r="AY210" s="40">
        <f t="shared" si="456"/>
        <v>-33592.502469999992</v>
      </c>
      <c r="AZ210" s="8">
        <v>-10578.652800000003</v>
      </c>
    </row>
    <row r="211" spans="1:52" ht="14.85" customHeight="1">
      <c r="A211" s="56" t="s">
        <v>709</v>
      </c>
      <c r="B211" s="8"/>
      <c r="C211" s="8"/>
      <c r="D211" s="8"/>
      <c r="E211" s="8"/>
      <c r="F211" s="40"/>
      <c r="G211" s="8">
        <v>-69.342610000000008</v>
      </c>
      <c r="H211" s="8">
        <v>-70.113119999999995</v>
      </c>
      <c r="I211" s="8">
        <v>-113.50698999999999</v>
      </c>
      <c r="J211" s="8">
        <v>-113.54792999999999</v>
      </c>
      <c r="K211" s="40">
        <f t="shared" si="457"/>
        <v>-366.51065</v>
      </c>
      <c r="L211" s="8">
        <v>-73.887070000000008</v>
      </c>
      <c r="M211" s="8">
        <v>-74.70805</v>
      </c>
      <c r="N211" s="8">
        <v>-72.197900000000061</v>
      </c>
      <c r="O211" s="8">
        <v>-107.98894</v>
      </c>
      <c r="P211" s="40">
        <f t="shared" si="458"/>
        <v>-328.78196000000008</v>
      </c>
      <c r="Q211" s="1">
        <v>-70.592579999999998</v>
      </c>
      <c r="R211" s="1">
        <v>-71.376940000000005</v>
      </c>
      <c r="S211" s="1">
        <v>-89.454570000000004</v>
      </c>
      <c r="T211" s="1">
        <v>-74.943130000000011</v>
      </c>
      <c r="U211" s="40">
        <v>-306.36721999999997</v>
      </c>
      <c r="V211" s="1">
        <v>549.13675999999998</v>
      </c>
      <c r="W211" s="1">
        <v>-279.05700000000002</v>
      </c>
      <c r="X211" s="1">
        <v>-258.59665000000001</v>
      </c>
      <c r="Y211" s="1">
        <v>-144.76004999999998</v>
      </c>
      <c r="Z211" s="40">
        <v>-133.27694000000002</v>
      </c>
      <c r="AA211" s="1">
        <v>-117.91416000000001</v>
      </c>
      <c r="AB211" s="1">
        <v>-121.69314</v>
      </c>
      <c r="AC211" s="1">
        <v>-254.69777000000002</v>
      </c>
      <c r="AD211" s="1">
        <v>-341.15143999999998</v>
      </c>
      <c r="AE211" s="40">
        <v>-835.45650999999998</v>
      </c>
      <c r="AF211" s="1">
        <v>459.9531300000001</v>
      </c>
      <c r="AG211" s="1">
        <v>-134.47890000000001</v>
      </c>
      <c r="AH211" s="1">
        <v>-222.33768000000001</v>
      </c>
      <c r="AI211" s="1">
        <v>-222.26897999999997</v>
      </c>
      <c r="AJ211" s="40">
        <f t="shared" si="459"/>
        <v>-119.13242999999989</v>
      </c>
      <c r="AK211" s="1">
        <v>-193.23313000000002</v>
      </c>
      <c r="AL211" s="1">
        <v>-652.69383000000005</v>
      </c>
      <c r="AM211" s="1">
        <v>-276.63900000000001</v>
      </c>
      <c r="AN211" s="1">
        <v>-604.66173000000003</v>
      </c>
      <c r="AO211" s="40">
        <f t="shared" si="460"/>
        <v>-1727.2276899999999</v>
      </c>
      <c r="AP211" s="1">
        <v>-602.51290000000006</v>
      </c>
      <c r="AQ211" s="1">
        <v>1264.5649299999995</v>
      </c>
      <c r="AR211" s="1">
        <v>2307.3352200000004</v>
      </c>
      <c r="AS211" s="1">
        <v>-1932.2449999999999</v>
      </c>
      <c r="AT211" s="40">
        <f t="shared" si="461"/>
        <v>1037.1422499999999</v>
      </c>
      <c r="AU211" s="1">
        <v>-110.40486999999999</v>
      </c>
      <c r="AV211" s="1">
        <v>-236.88424000000006</v>
      </c>
      <c r="AW211" s="1">
        <v>-352.05502000000007</v>
      </c>
      <c r="AX211" s="1">
        <v>-379.11084999999997</v>
      </c>
      <c r="AY211" s="40">
        <f t="shared" si="456"/>
        <v>-1078.4549800000002</v>
      </c>
      <c r="AZ211" s="8">
        <v>-362.57515999999993</v>
      </c>
    </row>
    <row r="212" spans="1:52" ht="14.85" customHeight="1">
      <c r="A212" s="54" t="s">
        <v>710</v>
      </c>
      <c r="B212" s="76"/>
      <c r="C212" s="76"/>
      <c r="D212" s="76"/>
      <c r="E212" s="76"/>
      <c r="F212" s="39"/>
      <c r="G212" s="76">
        <f t="shared" ref="G212" si="472">SUM(G207:G211)</f>
        <v>-18278.00783000002</v>
      </c>
      <c r="H212" s="76">
        <f t="shared" ref="H212" si="473">SUM(H207:H211)</f>
        <v>-20324.303729999963</v>
      </c>
      <c r="I212" s="76">
        <f t="shared" ref="I212" si="474">SUM(I207:I211)</f>
        <v>-4939.7956300000806</v>
      </c>
      <c r="J212" s="76">
        <f t="shared" ref="J212" si="475">SUM(J207:J211)</f>
        <v>-10763.992099999994</v>
      </c>
      <c r="K212" s="39">
        <f t="shared" ref="K212" si="476">SUM(K207:K211)</f>
        <v>-54306.099290000056</v>
      </c>
      <c r="L212" s="76">
        <f t="shared" ref="L212" si="477">SUM(L207:L211)</f>
        <v>-9225.7696699999178</v>
      </c>
      <c r="M212" s="76">
        <f t="shared" ref="M212" si="478">SUM(M207:M211)</f>
        <v>1392.0316899999864</v>
      </c>
      <c r="N212" s="76">
        <f t="shared" ref="N212" si="479">SUM(N207:N211)</f>
        <v>-3692.7545700000164</v>
      </c>
      <c r="O212" s="76">
        <f t="shared" ref="O212" si="480">SUM(O207:O211)</f>
        <v>1066.9649899999961</v>
      </c>
      <c r="P212" s="39">
        <f t="shared" ref="P212" si="481">SUM(P207:P211)</f>
        <v>-10459.527559999951</v>
      </c>
      <c r="Q212" s="76">
        <v>32527.815770000012</v>
      </c>
      <c r="R212" s="76">
        <v>3640.6433200000047</v>
      </c>
      <c r="S212" s="76">
        <v>3912.194459999997</v>
      </c>
      <c r="T212" s="76">
        <v>1002.0204399999908</v>
      </c>
      <c r="U212" s="39">
        <v>41082.673989999974</v>
      </c>
      <c r="V212" s="76">
        <v>763.7015300000063</v>
      </c>
      <c r="W212" s="76">
        <v>25486.799169999998</v>
      </c>
      <c r="X212" s="76">
        <v>13579.775169999995</v>
      </c>
      <c r="Y212" s="76">
        <v>-4123.1682099999898</v>
      </c>
      <c r="Z212" s="39">
        <v>35707.107659999943</v>
      </c>
      <c r="AA212" s="76">
        <v>15632.342999999972</v>
      </c>
      <c r="AB212" s="76">
        <v>17768.232500000002</v>
      </c>
      <c r="AC212" s="76">
        <v>3137.4233999999819</v>
      </c>
      <c r="AD212" s="76">
        <v>-3247.6403400000167</v>
      </c>
      <c r="AE212" s="39">
        <v>33290.358559999964</v>
      </c>
      <c r="AF212" s="76">
        <f>SUM(AF207:AF211)</f>
        <v>-4102.0075100000031</v>
      </c>
      <c r="AG212" s="76">
        <f>SUM(AG207:AG211)</f>
        <v>3845.1139900000171</v>
      </c>
      <c r="AH212" s="76">
        <f>SUM(AH207:AH211)</f>
        <v>-1701.1228000000115</v>
      </c>
      <c r="AI212" s="76">
        <f>SUM(AI207:AI211)</f>
        <v>17994.558109999998</v>
      </c>
      <c r="AJ212" s="39">
        <f t="shared" si="459"/>
        <v>16036.541790000001</v>
      </c>
      <c r="AK212" s="76">
        <f>SUM(AK207:AK211)</f>
        <v>18352.477319999998</v>
      </c>
      <c r="AL212" s="76">
        <f t="shared" ref="AL212:AN212" si="482">SUM(AL207:AL211)</f>
        <v>15599.044269999991</v>
      </c>
      <c r="AM212" s="76">
        <f t="shared" si="482"/>
        <v>18960.748</v>
      </c>
      <c r="AN212" s="76">
        <f t="shared" si="482"/>
        <v>18002.309939999977</v>
      </c>
      <c r="AO212" s="39">
        <f t="shared" si="460"/>
        <v>70914.579529999959</v>
      </c>
      <c r="AP212" s="76">
        <f>SUM(AP207:AP211)</f>
        <v>20289.295779999993</v>
      </c>
      <c r="AQ212" s="76">
        <f>SUM(AQ207:AQ211)</f>
        <v>23562.894980000005</v>
      </c>
      <c r="AR212" s="76">
        <f>SUM(AR207:AR211)</f>
        <v>19440.982400000037</v>
      </c>
      <c r="AS212" s="76">
        <f>SUM(AS207:AS211)</f>
        <v>18550.856000000003</v>
      </c>
      <c r="AT212" s="39">
        <f t="shared" si="461"/>
        <v>81844.029160000035</v>
      </c>
      <c r="AU212" s="76">
        <f>SUM(AU207:AU211)</f>
        <v>18068.256810000032</v>
      </c>
      <c r="AV212" s="76">
        <f>SUM(AV207:AV211)</f>
        <v>28011.345319999968</v>
      </c>
      <c r="AW212" s="76">
        <f t="shared" ref="AW212:AX212" si="483">SUM(AW207:AW211)</f>
        <v>23473.61011000002</v>
      </c>
      <c r="AX212" s="76">
        <f t="shared" si="483"/>
        <v>23973.948790000064</v>
      </c>
      <c r="AY212" s="39">
        <f t="shared" si="456"/>
        <v>93527.16103000009</v>
      </c>
      <c r="AZ212" s="76">
        <f t="shared" ref="AZ212" si="484">SUM(AZ207:AZ211)</f>
        <v>18303.981549999993</v>
      </c>
    </row>
    <row r="213" spans="1:52" ht="14.85" customHeight="1">
      <c r="A213" s="17" t="s">
        <v>711</v>
      </c>
      <c r="B213" s="18"/>
      <c r="C213" s="18"/>
      <c r="D213" s="18"/>
      <c r="E213" s="18"/>
      <c r="F213" s="46"/>
      <c r="G213" s="18">
        <f t="shared" ref="G213:J213" si="485">-G208/G207</f>
        <v>0.70403862475355927</v>
      </c>
      <c r="H213" s="18">
        <f t="shared" si="485"/>
        <v>0.67168539321255283</v>
      </c>
      <c r="I213" s="18">
        <f t="shared" si="485"/>
        <v>0.67636437597124521</v>
      </c>
      <c r="J213" s="18">
        <f t="shared" si="485"/>
        <v>0.66219825896964102</v>
      </c>
      <c r="K213" s="46">
        <f t="shared" ref="K213:P213" si="486">-K208/K207</f>
        <v>0.67743528557774846</v>
      </c>
      <c r="L213" s="18">
        <f t="shared" si="486"/>
        <v>0.78591118085668943</v>
      </c>
      <c r="M213" s="18">
        <f t="shared" si="486"/>
        <v>0.58543240347295666</v>
      </c>
      <c r="N213" s="18">
        <f t="shared" si="486"/>
        <v>0.61468500190013986</v>
      </c>
      <c r="O213" s="18">
        <f t="shared" si="486"/>
        <v>0.64314333634597998</v>
      </c>
      <c r="P213" s="46">
        <f t="shared" si="486"/>
        <v>0.65548535632298088</v>
      </c>
      <c r="Q213" s="18">
        <v>0.25720856138547804</v>
      </c>
      <c r="R213" s="18">
        <v>0.6138081813145263</v>
      </c>
      <c r="S213" s="18">
        <v>0.61585675971623033</v>
      </c>
      <c r="T213" s="18">
        <v>0.63760345198683255</v>
      </c>
      <c r="U213" s="46">
        <v>0.53005744758667139</v>
      </c>
      <c r="V213" s="18">
        <v>0.66525680527308018</v>
      </c>
      <c r="W213" s="18">
        <v>0.38718922627260915</v>
      </c>
      <c r="X213" s="18">
        <v>0.5105035329591211</v>
      </c>
      <c r="Y213" s="18">
        <v>0.67713448181034008</v>
      </c>
      <c r="Z213" s="46">
        <v>0.56163718811263841</v>
      </c>
      <c r="AA213" s="18">
        <v>0.53174368486530554</v>
      </c>
      <c r="AB213" s="18">
        <v>0.62711423943715483</v>
      </c>
      <c r="AC213" s="169">
        <v>0.67804063207479115</v>
      </c>
      <c r="AD213" s="169">
        <v>0.80804227718659272</v>
      </c>
      <c r="AE213" s="46">
        <v>0.6606753929661896</v>
      </c>
      <c r="AF213" s="169">
        <f t="shared" ref="AF213:AJ213" si="487">-AF208/AF207</f>
        <v>0.82984564373758518</v>
      </c>
      <c r="AG213" s="169">
        <f t="shared" si="487"/>
        <v>0.7630728323124768</v>
      </c>
      <c r="AH213" s="169">
        <f t="shared" si="487"/>
        <v>0.79439317946749821</v>
      </c>
      <c r="AI213" s="169">
        <f t="shared" si="487"/>
        <v>0.59027228980124946</v>
      </c>
      <c r="AJ213" s="46">
        <f t="shared" si="487"/>
        <v>0.73472162336929547</v>
      </c>
      <c r="AK213" s="169">
        <f t="shared" ref="AK213:AN213" si="488">-AK208/AK207</f>
        <v>0.62282519919023638</v>
      </c>
      <c r="AL213" s="169">
        <f t="shared" si="488"/>
        <v>0.62945557369692751</v>
      </c>
      <c r="AM213" s="169">
        <f t="shared" si="488"/>
        <v>0.63147743701385928</v>
      </c>
      <c r="AN213" s="169">
        <f t="shared" si="488"/>
        <v>0.640653015185638</v>
      </c>
      <c r="AO213" s="46">
        <f>-AO208/AO207</f>
        <v>0.6310692277326494</v>
      </c>
      <c r="AP213" s="169">
        <f t="shared" ref="AP213" si="489">-AP208/AP207</f>
        <v>0.61628758730350608</v>
      </c>
      <c r="AQ213" s="169">
        <f t="shared" ref="AQ213:AV213" si="490">-AQ208/AQ207</f>
        <v>0.6110567953127034</v>
      </c>
      <c r="AR213" s="169">
        <f t="shared" si="490"/>
        <v>0.62298726029373774</v>
      </c>
      <c r="AS213" s="169">
        <f t="shared" si="490"/>
        <v>0.58356695475797637</v>
      </c>
      <c r="AT213" s="46">
        <f t="shared" si="490"/>
        <v>0.60830734698965028</v>
      </c>
      <c r="AU213" s="169">
        <f t="shared" si="490"/>
        <v>0.58181064718795361</v>
      </c>
      <c r="AV213" s="169">
        <f t="shared" si="490"/>
        <v>0.5503801330217365</v>
      </c>
      <c r="AW213" s="169">
        <f t="shared" ref="AW213:AX213" si="491">-AW208/AW207</f>
        <v>0.56684936613854342</v>
      </c>
      <c r="AX213" s="169">
        <f t="shared" si="491"/>
        <v>0.56846263604867808</v>
      </c>
      <c r="AY213" s="46">
        <f>-AY208/AY207</f>
        <v>0.5669149148709629</v>
      </c>
      <c r="AZ213" s="169">
        <f t="shared" ref="AZ213" si="492">-AZ208/AZ207</f>
        <v>0.60773917703835678</v>
      </c>
    </row>
    <row r="214" spans="1:52" ht="14.85" customHeight="1" thickBot="1">
      <c r="A214" s="17" t="s">
        <v>712</v>
      </c>
      <c r="B214" s="18"/>
      <c r="C214" s="18"/>
      <c r="D214" s="18"/>
      <c r="E214" s="18"/>
      <c r="F214" s="48"/>
      <c r="G214" s="18">
        <f t="shared" ref="G214:J214" si="493">-G209/G207</f>
        <v>0.37302774148196044</v>
      </c>
      <c r="H214" s="18">
        <f t="shared" si="493"/>
        <v>0.3146737260354317</v>
      </c>
      <c r="I214" s="18">
        <f t="shared" si="493"/>
        <v>0.20609284193155153</v>
      </c>
      <c r="J214" s="18">
        <f t="shared" si="493"/>
        <v>0.19180921621405259</v>
      </c>
      <c r="K214" s="48">
        <f t="shared" ref="K214:P214" si="494">-K209/K207</f>
        <v>0.2649572878691745</v>
      </c>
      <c r="L214" s="18">
        <f t="shared" si="494"/>
        <v>0.20449712973109233</v>
      </c>
      <c r="M214" s="18">
        <f t="shared" si="494"/>
        <v>0.14173281365694981</v>
      </c>
      <c r="N214" s="18">
        <f t="shared" si="494"/>
        <v>0.1781766222090016</v>
      </c>
      <c r="O214" s="18">
        <f t="shared" si="494"/>
        <v>0.14996814803947142</v>
      </c>
      <c r="P214" s="48">
        <f t="shared" si="494"/>
        <v>0.16809562697134739</v>
      </c>
      <c r="Q214" s="18">
        <v>0.17523770998559765</v>
      </c>
      <c r="R214" s="18">
        <v>0.14902429473449566</v>
      </c>
      <c r="S214" s="18">
        <v>0.15189814455761069</v>
      </c>
      <c r="T214" s="18">
        <v>0.15450382045264235</v>
      </c>
      <c r="U214" s="48">
        <v>0.15773421615248975</v>
      </c>
      <c r="V214" s="18">
        <v>0.15407983553959345</v>
      </c>
      <c r="W214" s="18">
        <v>0.10464660008273534</v>
      </c>
      <c r="X214" s="18">
        <v>0.11863718170471278</v>
      </c>
      <c r="Y214" s="18">
        <v>0.12914046830034853</v>
      </c>
      <c r="Z214" s="48">
        <v>0.12677822227520374</v>
      </c>
      <c r="AA214" s="18">
        <v>0.1144756429340254</v>
      </c>
      <c r="AB214" s="18">
        <v>8.6215149716433528E-2</v>
      </c>
      <c r="AC214" s="169">
        <v>0.11374192146754988</v>
      </c>
      <c r="AD214" s="169">
        <v>0.11445084477071214</v>
      </c>
      <c r="AE214" s="48">
        <v>0.10720631703386102</v>
      </c>
      <c r="AF214" s="169">
        <f t="shared" ref="AF214:AJ214" si="495">-AF209/AF207</f>
        <v>0.12004974105433706</v>
      </c>
      <c r="AG214" s="169">
        <f t="shared" si="495"/>
        <v>9.9996662593850386E-2</v>
      </c>
      <c r="AH214" s="169">
        <f t="shared" si="495"/>
        <v>8.8741549278089638E-2</v>
      </c>
      <c r="AI214" s="169">
        <f t="shared" si="495"/>
        <v>9.0151880416298388E-2</v>
      </c>
      <c r="AJ214" s="48">
        <f t="shared" si="495"/>
        <v>9.8734566558255105E-2</v>
      </c>
      <c r="AK214" s="169">
        <f t="shared" ref="AK214:AN214" si="496">-AK209/AK207</f>
        <v>0.12931715378281219</v>
      </c>
      <c r="AL214" s="169">
        <f t="shared" si="496"/>
        <v>8.584429210067912E-2</v>
      </c>
      <c r="AM214" s="169">
        <f t="shared" si="496"/>
        <v>0.11009984556285796</v>
      </c>
      <c r="AN214" s="169">
        <f t="shared" si="496"/>
        <v>0.10767296195123911</v>
      </c>
      <c r="AO214" s="48">
        <f>-AO209/AO207</f>
        <v>0.10815618058191032</v>
      </c>
      <c r="AP214" s="169">
        <f t="shared" ref="AP214" si="497">-AP209/AP207</f>
        <v>0.10143172448670816</v>
      </c>
      <c r="AQ214" s="169">
        <f t="shared" ref="AQ214:AV214" si="498">-AQ209/AQ207</f>
        <v>0.11050493472423649</v>
      </c>
      <c r="AR214" s="169">
        <f t="shared" si="498"/>
        <v>0.1257518027992679</v>
      </c>
      <c r="AS214" s="169">
        <f t="shared" si="498"/>
        <v>0.13679814760175285</v>
      </c>
      <c r="AT214" s="48">
        <f t="shared" si="498"/>
        <v>0.11888372965351929</v>
      </c>
      <c r="AU214" s="169">
        <f t="shared" si="498"/>
        <v>0.12228411096248873</v>
      </c>
      <c r="AV214" s="169">
        <f t="shared" si="498"/>
        <v>0.12408321457458552</v>
      </c>
      <c r="AW214" s="169">
        <f t="shared" ref="AW214:AX214" si="499">-AW209/AW207</f>
        <v>0.13638049294930141</v>
      </c>
      <c r="AX214" s="169">
        <f t="shared" si="499"/>
        <v>0.14560294952844743</v>
      </c>
      <c r="AY214" s="48">
        <f>-AY209/AY207</f>
        <v>0.13240259100413362</v>
      </c>
      <c r="AZ214" s="169">
        <f t="shared" ref="AZ214" si="500">-AZ209/AZ207</f>
        <v>0.14775657893077063</v>
      </c>
    </row>
    <row r="215" spans="1:52" ht="45.75" thickBot="1">
      <c r="A215" s="787" t="s">
        <v>741</v>
      </c>
    </row>
    <row r="216" spans="1:52" s="30" customFormat="1" ht="14.85" customHeight="1">
      <c r="A216" s="179" t="s">
        <v>742</v>
      </c>
      <c r="B216" s="180" t="s">
        <v>224</v>
      </c>
      <c r="C216" s="180" t="s">
        <v>225</v>
      </c>
      <c r="D216" s="180" t="s">
        <v>226</v>
      </c>
      <c r="E216" s="180" t="s">
        <v>227</v>
      </c>
      <c r="F216" s="181">
        <v>2016</v>
      </c>
      <c r="G216" s="180" t="s">
        <v>228</v>
      </c>
      <c r="H216" s="180" t="s">
        <v>229</v>
      </c>
      <c r="I216" s="180" t="s">
        <v>230</v>
      </c>
      <c r="J216" s="180" t="s">
        <v>231</v>
      </c>
      <c r="K216" s="181">
        <v>2017</v>
      </c>
      <c r="L216" s="180" t="s">
        <v>232</v>
      </c>
      <c r="M216" s="180" t="s">
        <v>233</v>
      </c>
      <c r="N216" s="180" t="s">
        <v>234</v>
      </c>
      <c r="O216" s="180" t="s">
        <v>235</v>
      </c>
      <c r="P216" s="181">
        <v>2018</v>
      </c>
      <c r="Q216" s="180" t="s">
        <v>236</v>
      </c>
      <c r="R216" s="180" t="s">
        <v>237</v>
      </c>
      <c r="S216" s="180" t="s">
        <v>238</v>
      </c>
      <c r="T216" s="180" t="s">
        <v>239</v>
      </c>
      <c r="U216" s="181">
        <v>2019</v>
      </c>
      <c r="V216" s="180" t="s">
        <v>240</v>
      </c>
      <c r="W216" s="180" t="s">
        <v>241</v>
      </c>
      <c r="X216" s="180" t="s">
        <v>242</v>
      </c>
      <c r="Y216" s="180" t="s">
        <v>243</v>
      </c>
      <c r="Z216" s="181">
        <v>2020</v>
      </c>
      <c r="AA216" s="180" t="s">
        <v>244</v>
      </c>
      <c r="AB216" s="180" t="s">
        <v>245</v>
      </c>
      <c r="AC216" s="180" t="s">
        <v>246</v>
      </c>
      <c r="AD216" s="180" t="s">
        <v>247</v>
      </c>
      <c r="AE216" s="181">
        <v>2021</v>
      </c>
      <c r="AF216" s="180" t="s">
        <v>248</v>
      </c>
      <c r="AG216" s="180" t="s">
        <v>249</v>
      </c>
      <c r="AH216" s="180" t="s">
        <v>250</v>
      </c>
      <c r="AI216" s="180" t="s">
        <v>215</v>
      </c>
      <c r="AJ216" s="181">
        <v>2022</v>
      </c>
      <c r="AK216" s="180" t="s">
        <v>252</v>
      </c>
      <c r="AL216" s="180" t="s">
        <v>253</v>
      </c>
      <c r="AM216" s="180" t="s">
        <v>254</v>
      </c>
      <c r="AN216" s="180" t="s">
        <v>219</v>
      </c>
      <c r="AO216" s="181">
        <v>2023</v>
      </c>
      <c r="AP216" s="180" t="s">
        <v>223</v>
      </c>
      <c r="AQ216" s="180" t="s">
        <v>256</v>
      </c>
      <c r="AR216" s="180" t="s">
        <v>357</v>
      </c>
      <c r="AS216" s="180" t="s">
        <v>358</v>
      </c>
      <c r="AT216" s="181">
        <v>2024</v>
      </c>
      <c r="AU216" s="180" t="s">
        <v>359</v>
      </c>
      <c r="AV216" s="180" t="s">
        <v>1115</v>
      </c>
      <c r="AW216" s="180" t="s">
        <v>1116</v>
      </c>
      <c r="AX216" s="180" t="s">
        <v>1117</v>
      </c>
      <c r="AY216" s="181" t="s">
        <v>1118</v>
      </c>
      <c r="AZ216" s="180" t="s">
        <v>1124</v>
      </c>
    </row>
    <row r="217" spans="1:52" ht="14.85" customHeight="1">
      <c r="A217" s="54" t="s">
        <v>707</v>
      </c>
      <c r="B217" s="76"/>
      <c r="C217" s="76"/>
      <c r="D217" s="76"/>
      <c r="E217" s="76"/>
      <c r="F217" s="39"/>
      <c r="G217" s="76">
        <v>55693.704989999998</v>
      </c>
      <c r="H217" s="76">
        <v>30141.51741</v>
      </c>
      <c r="I217" s="76">
        <v>24724.720309999997</v>
      </c>
      <c r="J217" s="76">
        <v>32384.590800000005</v>
      </c>
      <c r="K217" s="39">
        <f>SUM(G217:J217)</f>
        <v>142944.53351000001</v>
      </c>
      <c r="L217" s="76">
        <v>56726.442329999998</v>
      </c>
      <c r="M217" s="76">
        <v>33013.254379999998</v>
      </c>
      <c r="N217" s="76">
        <v>30735.448059999995</v>
      </c>
      <c r="O217" s="76">
        <v>30121.374169999999</v>
      </c>
      <c r="P217" s="39">
        <f>SUM(L217:O217)</f>
        <v>150596.51893999998</v>
      </c>
      <c r="Q217" s="76">
        <v>59955.356670000001</v>
      </c>
      <c r="R217" s="76">
        <v>38123.653960000003</v>
      </c>
      <c r="S217" s="76">
        <v>28490.636280000002</v>
      </c>
      <c r="T217" s="76">
        <v>32379.557920000003</v>
      </c>
      <c r="U217" s="39">
        <v>158949.20483</v>
      </c>
      <c r="V217" s="76">
        <v>59656.26973</v>
      </c>
      <c r="W217" s="76">
        <v>21290.348590000001</v>
      </c>
      <c r="X217" s="76">
        <v>19631.204089999999</v>
      </c>
      <c r="Y217" s="76">
        <v>17357.307489999999</v>
      </c>
      <c r="Z217" s="39">
        <v>117935.1299</v>
      </c>
      <c r="AA217" s="76">
        <v>119846.52931</v>
      </c>
      <c r="AB217" s="76">
        <v>31390.462440000003</v>
      </c>
      <c r="AC217" s="76">
        <v>21761.78297</v>
      </c>
      <c r="AD217" s="76">
        <v>-3715.9047099999998</v>
      </c>
      <c r="AE217" s="39">
        <v>169282.87000999998</v>
      </c>
      <c r="AF217" s="76">
        <v>7283.8540900000007</v>
      </c>
      <c r="AG217" s="76">
        <v>7385.9266900000002</v>
      </c>
      <c r="AH217" s="76">
        <v>8916.9693399999996</v>
      </c>
      <c r="AI217" s="76">
        <v>7965.3925399999989</v>
      </c>
      <c r="AJ217" s="39">
        <f>SUM(AF217:AI217)</f>
        <v>31552.142659999998</v>
      </c>
      <c r="AK217" s="76">
        <v>7127.9387400000005</v>
      </c>
      <c r="AL217" s="76">
        <v>12517.941289999999</v>
      </c>
      <c r="AM217" s="76">
        <v>6554.9049999999997</v>
      </c>
      <c r="AN217" s="76">
        <v>6528.4840700000004</v>
      </c>
      <c r="AO217" s="39">
        <f>SUM(AK217:AN217)</f>
        <v>32729.269099999998</v>
      </c>
      <c r="AP217" s="76">
        <v>5123.2211299999999</v>
      </c>
      <c r="AQ217" s="76">
        <v>11710.341570000001</v>
      </c>
      <c r="AR217" s="76">
        <v>6888.1989799999992</v>
      </c>
      <c r="AS217" s="76">
        <v>6599.9759999999997</v>
      </c>
      <c r="AT217" s="39">
        <f>SUM(AP217:AS217)</f>
        <v>30321.737680000002</v>
      </c>
      <c r="AU217" s="76">
        <v>4727.454389999999</v>
      </c>
      <c r="AV217" s="76">
        <v>15470.290070000001</v>
      </c>
      <c r="AW217" s="76">
        <v>5193.0112099999997</v>
      </c>
      <c r="AX217" s="76">
        <v>4302.2352899999996</v>
      </c>
      <c r="AY217" s="39">
        <f t="shared" ref="AY217:AY224" si="501">SUM(AU217:AX217)</f>
        <v>29692.990960000003</v>
      </c>
      <c r="AZ217" s="10">
        <v>11398.553239999999</v>
      </c>
    </row>
    <row r="218" spans="1:52" ht="14.85" customHeight="1">
      <c r="A218" s="56" t="s">
        <v>443</v>
      </c>
      <c r="B218" s="8"/>
      <c r="C218" s="8"/>
      <c r="D218" s="8"/>
      <c r="E218" s="8"/>
      <c r="F218" s="40"/>
      <c r="G218" s="8">
        <v>-20833.33627999997</v>
      </c>
      <c r="H218" s="8">
        <v>4919.8438100000058</v>
      </c>
      <c r="I218" s="8">
        <v>10760.686350000014</v>
      </c>
      <c r="J218" s="8">
        <v>3607.1237200000223</v>
      </c>
      <c r="K218" s="40">
        <f t="shared" ref="K218:K223" si="502">SUM(G218:J218)</f>
        <v>-1545.6823999999278</v>
      </c>
      <c r="L218" s="8">
        <v>-21830.417390000086</v>
      </c>
      <c r="M218" s="8">
        <v>3344.6957699999566</v>
      </c>
      <c r="N218" s="8">
        <v>7016.2295500001183</v>
      </c>
      <c r="O218" s="8">
        <v>8225.4452700000002</v>
      </c>
      <c r="P218" s="40">
        <f t="shared" ref="P218:P223" si="503">SUM(L218:O218)</f>
        <v>-3244.0468000000092</v>
      </c>
      <c r="Q218" s="1">
        <v>-22726.029599999998</v>
      </c>
      <c r="R218" s="1">
        <v>1315.0604900000003</v>
      </c>
      <c r="S218" s="1">
        <v>11558.73302</v>
      </c>
      <c r="T218" s="1">
        <v>7152.5537800000011</v>
      </c>
      <c r="U218" s="40">
        <v>-2699.6823099999974</v>
      </c>
      <c r="V218" s="1">
        <v>-20855.36304</v>
      </c>
      <c r="W218" s="1">
        <v>15392.927639999998</v>
      </c>
      <c r="X218" s="1">
        <v>14794.04039</v>
      </c>
      <c r="Y218" s="1">
        <v>15664.289359999999</v>
      </c>
      <c r="Z218" s="40">
        <v>24995.894349999995</v>
      </c>
      <c r="AA218" s="1">
        <v>-91159.856249999997</v>
      </c>
      <c r="AB218" s="1">
        <v>-4787.5144199999995</v>
      </c>
      <c r="AC218" s="1">
        <v>3910.3475899999999</v>
      </c>
      <c r="AD218" s="1">
        <v>27569.715670000001</v>
      </c>
      <c r="AE218" s="40">
        <v>-64467.307409999994</v>
      </c>
      <c r="AF218" s="1">
        <v>10955.008820000001</v>
      </c>
      <c r="AG218" s="1">
        <v>10010.81134</v>
      </c>
      <c r="AH218" s="1">
        <v>7445.2034100000001</v>
      </c>
      <c r="AI218" s="1">
        <v>7520.0916799999995</v>
      </c>
      <c r="AJ218" s="40">
        <f t="shared" ref="AJ218:AJ224" si="504">SUM(AF218:AI218)</f>
        <v>35931.115250000003</v>
      </c>
      <c r="AK218" s="1">
        <v>7314.8679099999999</v>
      </c>
      <c r="AL218" s="1">
        <v>2135.5382299999997</v>
      </c>
      <c r="AM218" s="1">
        <v>6806.741</v>
      </c>
      <c r="AN218" s="1">
        <v>6929.1358399999999</v>
      </c>
      <c r="AO218" s="40">
        <f t="shared" ref="AO218:AO224" si="505">SUM(AK218:AN218)</f>
        <v>23186.28298</v>
      </c>
      <c r="AP218" s="1">
        <v>7467.361640000001</v>
      </c>
      <c r="AQ218" s="1">
        <v>271.90767000000017</v>
      </c>
      <c r="AR218" s="1">
        <v>4832.7553099999996</v>
      </c>
      <c r="AS218" s="1">
        <v>5171.1840000000002</v>
      </c>
      <c r="AT218" s="40">
        <f t="shared" ref="AT218:AT224" si="506">SUM(AP218:AS218)</f>
        <v>17743.208620000001</v>
      </c>
      <c r="AU218" s="1">
        <v>6741.203300000001</v>
      </c>
      <c r="AV218" s="1">
        <v>-3621.0384900000004</v>
      </c>
      <c r="AW218" s="1">
        <v>6289.5278899999994</v>
      </c>
      <c r="AX218" s="1">
        <v>6698.10383</v>
      </c>
      <c r="AY218" s="40">
        <f t="shared" si="501"/>
        <v>16107.79653</v>
      </c>
      <c r="AZ218" s="8">
        <v>-3034.8334</v>
      </c>
    </row>
    <row r="219" spans="1:52" ht="14.85" customHeight="1">
      <c r="A219" s="54" t="s">
        <v>708</v>
      </c>
      <c r="B219" s="76"/>
      <c r="C219" s="76"/>
      <c r="D219" s="76"/>
      <c r="E219" s="76"/>
      <c r="F219" s="39"/>
      <c r="G219" s="76">
        <f t="shared" ref="G219" si="507">SUM(G217:G218)</f>
        <v>34860.368710000024</v>
      </c>
      <c r="H219" s="76">
        <f t="shared" ref="H219" si="508">SUM(H217:H218)</f>
        <v>35061.361220000006</v>
      </c>
      <c r="I219" s="76">
        <f t="shared" ref="I219" si="509">SUM(I217:I218)</f>
        <v>35485.406660000008</v>
      </c>
      <c r="J219" s="76">
        <f t="shared" ref="J219" si="510">SUM(J217:J218)</f>
        <v>35991.71452000003</v>
      </c>
      <c r="K219" s="39">
        <f t="shared" si="502"/>
        <v>141398.85111000008</v>
      </c>
      <c r="L219" s="76">
        <f t="shared" ref="L219" si="511">SUM(L217:L218)</f>
        <v>34896.024939999916</v>
      </c>
      <c r="M219" s="76">
        <f t="shared" ref="M219" si="512">SUM(M217:M218)</f>
        <v>36357.950149999953</v>
      </c>
      <c r="N219" s="76">
        <f t="shared" ref="N219" si="513">SUM(N217:N218)</f>
        <v>37751.677610000115</v>
      </c>
      <c r="O219" s="76">
        <f t="shared" ref="O219" si="514">SUM(O217:O218)</f>
        <v>38346.819439999999</v>
      </c>
      <c r="P219" s="39">
        <f t="shared" si="503"/>
        <v>147352.47214</v>
      </c>
      <c r="Q219" s="76">
        <v>37229.327069999999</v>
      </c>
      <c r="R219" s="76">
        <v>39438.714450000007</v>
      </c>
      <c r="S219" s="76">
        <v>40049.369300000006</v>
      </c>
      <c r="T219" s="76">
        <v>39532.111700000001</v>
      </c>
      <c r="U219" s="39">
        <v>156249.52252</v>
      </c>
      <c r="V219" s="76">
        <v>38800.906690000003</v>
      </c>
      <c r="W219" s="76">
        <v>36683.276230000003</v>
      </c>
      <c r="X219" s="76">
        <v>34425.244480000001</v>
      </c>
      <c r="Y219" s="76">
        <v>33021.596850000002</v>
      </c>
      <c r="Z219" s="39">
        <v>142931.02425000002</v>
      </c>
      <c r="AA219" s="76">
        <v>28686.673060000001</v>
      </c>
      <c r="AB219" s="76">
        <v>26602.948020000003</v>
      </c>
      <c r="AC219" s="76">
        <v>25672.130560000001</v>
      </c>
      <c r="AD219" s="76">
        <v>23853.810960000003</v>
      </c>
      <c r="AE219" s="39">
        <v>104815.5626</v>
      </c>
      <c r="AF219" s="76">
        <f t="shared" ref="AF219:AK219" si="515">SUM(AF217:AF218)</f>
        <v>18238.862910000003</v>
      </c>
      <c r="AG219" s="76">
        <f t="shared" si="515"/>
        <v>17396.73803</v>
      </c>
      <c r="AH219" s="76">
        <f t="shared" si="515"/>
        <v>16362.17275</v>
      </c>
      <c r="AI219" s="76">
        <f t="shared" si="515"/>
        <v>15485.484219999998</v>
      </c>
      <c r="AJ219" s="39">
        <f t="shared" si="504"/>
        <v>67483.25791</v>
      </c>
      <c r="AK219" s="76">
        <f t="shared" si="515"/>
        <v>14442.80665</v>
      </c>
      <c r="AL219" s="76">
        <f t="shared" ref="AL219:AN219" si="516">SUM(AL217:AL218)</f>
        <v>14653.479519999999</v>
      </c>
      <c r="AM219" s="76">
        <f t="shared" si="516"/>
        <v>13361.646000000001</v>
      </c>
      <c r="AN219" s="76">
        <f t="shared" si="516"/>
        <v>13457.619910000001</v>
      </c>
      <c r="AO219" s="39">
        <f t="shared" si="505"/>
        <v>55915.552080000001</v>
      </c>
      <c r="AP219" s="76">
        <f>SUM(AP217:AP218)</f>
        <v>12590.582770000001</v>
      </c>
      <c r="AQ219" s="76">
        <f>SUM(AQ217:AQ218)</f>
        <v>11982.249240000001</v>
      </c>
      <c r="AR219" s="76">
        <f>SUM(AR217:AR218)</f>
        <v>11720.954289999998</v>
      </c>
      <c r="AS219" s="76">
        <f>SUM(AS217:AS218)</f>
        <v>11771.16</v>
      </c>
      <c r="AT219" s="39">
        <f t="shared" si="506"/>
        <v>48064.946299999996</v>
      </c>
      <c r="AU219" s="76">
        <f>SUM(AU217:AU218)</f>
        <v>11468.65769</v>
      </c>
      <c r="AV219" s="76">
        <f>SUM(AV217:AV218)</f>
        <v>11849.25158</v>
      </c>
      <c r="AW219" s="76">
        <f t="shared" ref="AW219:AZ219" si="517">SUM(AW217:AW218)</f>
        <v>11482.539099999998</v>
      </c>
      <c r="AX219" s="76">
        <f t="shared" si="517"/>
        <v>11000.339120000001</v>
      </c>
      <c r="AY219" s="39">
        <f t="shared" si="501"/>
        <v>45800.787490000002</v>
      </c>
      <c r="AZ219" s="76">
        <f t="shared" si="517"/>
        <v>8363.7198399999997</v>
      </c>
    </row>
    <row r="220" spans="1:52" ht="14.85" customHeight="1">
      <c r="A220" s="56" t="s">
        <v>477</v>
      </c>
      <c r="B220" s="8"/>
      <c r="C220" s="8"/>
      <c r="D220" s="8"/>
      <c r="E220" s="8"/>
      <c r="F220" s="40"/>
      <c r="G220" s="8">
        <v>-20116.888800000001</v>
      </c>
      <c r="H220" s="8">
        <v>-14774.2709</v>
      </c>
      <c r="I220" s="8">
        <v>-7169.8192299999973</v>
      </c>
      <c r="J220" s="8">
        <v>-12464.050239999997</v>
      </c>
      <c r="K220" s="40">
        <f t="shared" si="502"/>
        <v>-54525.029169999994</v>
      </c>
      <c r="L220" s="8">
        <v>-17287.2173</v>
      </c>
      <c r="M220" s="8">
        <v>-12107.384420000002</v>
      </c>
      <c r="N220" s="8">
        <v>-12191.47185</v>
      </c>
      <c r="O220" s="8">
        <v>-9425.4125300000014</v>
      </c>
      <c r="P220" s="40">
        <f t="shared" si="503"/>
        <v>-51011.486100000002</v>
      </c>
      <c r="Q220" s="1">
        <v>-18247.085709999999</v>
      </c>
      <c r="R220" s="1">
        <v>-8682.2245999999996</v>
      </c>
      <c r="S220" s="1">
        <v>-14435.91719</v>
      </c>
      <c r="T220" s="1">
        <v>-3798.6351999999997</v>
      </c>
      <c r="U220" s="40">
        <v>-45163.862699999998</v>
      </c>
      <c r="V220" s="1">
        <v>-20341.891080000001</v>
      </c>
      <c r="W220" s="1">
        <v>-9859.6210499999997</v>
      </c>
      <c r="X220" s="1">
        <v>-14551.881529999999</v>
      </c>
      <c r="Y220" s="1">
        <v>-4737.0052500000002</v>
      </c>
      <c r="Z220" s="40">
        <v>-49490.398910000004</v>
      </c>
      <c r="AA220" s="1">
        <v>-9236.7473100000007</v>
      </c>
      <c r="AB220" s="1">
        <v>-4825.4764499999992</v>
      </c>
      <c r="AC220" s="1">
        <v>-13433.499239999999</v>
      </c>
      <c r="AD220" s="1">
        <v>-5480.3262100000002</v>
      </c>
      <c r="AE220" s="40">
        <v>-32976.049209999997</v>
      </c>
      <c r="AF220" s="1">
        <v>-6198.4266399999997</v>
      </c>
      <c r="AG220" s="1">
        <v>-10745.405969999998</v>
      </c>
      <c r="AH220" s="1">
        <v>-3434.1248100000007</v>
      </c>
      <c r="AI220" s="1">
        <v>-12821.437910000001</v>
      </c>
      <c r="AJ220" s="40">
        <f t="shared" si="504"/>
        <v>-33199.395329999999</v>
      </c>
      <c r="AK220" s="1">
        <v>-7561.859379999999</v>
      </c>
      <c r="AL220" s="1">
        <v>-2447.9942400000004</v>
      </c>
      <c r="AM220" s="1">
        <v>-3034.6590000000001</v>
      </c>
      <c r="AN220" s="1">
        <v>-5464.9265300000006</v>
      </c>
      <c r="AO220" s="40">
        <f t="shared" si="505"/>
        <v>-18509.439149999998</v>
      </c>
      <c r="AP220" s="1">
        <v>-10180.58066</v>
      </c>
      <c r="AQ220" s="1">
        <v>-22728.533520000001</v>
      </c>
      <c r="AR220" s="1">
        <v>1674.8689100000001</v>
      </c>
      <c r="AS220" s="1">
        <v>-4514.4920000000002</v>
      </c>
      <c r="AT220" s="40">
        <f t="shared" si="506"/>
        <v>-35748.737270000005</v>
      </c>
      <c r="AU220" s="1">
        <v>-3925.0535599999998</v>
      </c>
      <c r="AV220" s="1">
        <v>-3645.1710499999999</v>
      </c>
      <c r="AW220" s="1">
        <v>-2218.8805399999992</v>
      </c>
      <c r="AX220" s="1">
        <v>-3496.4475499999999</v>
      </c>
      <c r="AY220" s="40">
        <f t="shared" si="501"/>
        <v>-13285.5527</v>
      </c>
      <c r="AZ220" s="8">
        <v>-3587.6222699999994</v>
      </c>
    </row>
    <row r="221" spans="1:52" ht="14.85" customHeight="1">
      <c r="A221" s="56" t="s">
        <v>478</v>
      </c>
      <c r="B221" s="8"/>
      <c r="C221" s="8"/>
      <c r="D221" s="8"/>
      <c r="E221" s="8"/>
      <c r="F221" s="40"/>
      <c r="G221" s="8">
        <v>-9307.9264900000016</v>
      </c>
      <c r="H221" s="8">
        <v>-9708.140919999998</v>
      </c>
      <c r="I221" s="8">
        <v>-10333.25079</v>
      </c>
      <c r="J221" s="8">
        <v>-10173.830199999997</v>
      </c>
      <c r="K221" s="40">
        <f t="shared" si="502"/>
        <v>-39523.148399999998</v>
      </c>
      <c r="L221" s="8">
        <v>-9014.2560000000012</v>
      </c>
      <c r="M221" s="8">
        <v>-9243.2993400000014</v>
      </c>
      <c r="N221" s="8">
        <v>-10837.406529999997</v>
      </c>
      <c r="O221" s="8">
        <v>-9790.6465200000002</v>
      </c>
      <c r="P221" s="40">
        <f t="shared" si="503"/>
        <v>-38885.608390000001</v>
      </c>
      <c r="Q221" s="1">
        <v>-9848.4191999999985</v>
      </c>
      <c r="R221" s="1">
        <v>-9854.1795899999997</v>
      </c>
      <c r="S221" s="1">
        <v>-11039.10887</v>
      </c>
      <c r="T221" s="1">
        <v>-10484.50117</v>
      </c>
      <c r="U221" s="40">
        <v>-41226.208829999996</v>
      </c>
      <c r="V221" s="1">
        <v>-10089.922929999999</v>
      </c>
      <c r="W221" s="1">
        <v>-8505.6894300000004</v>
      </c>
      <c r="X221" s="1">
        <v>-8417.8924000000006</v>
      </c>
      <c r="Y221" s="1">
        <v>-9786.1444800000008</v>
      </c>
      <c r="Z221" s="40">
        <v>-36799.649239999999</v>
      </c>
      <c r="AA221" s="1">
        <v>-6573.9928999999993</v>
      </c>
      <c r="AB221" s="1">
        <v>-4844.9738799999996</v>
      </c>
      <c r="AC221" s="1">
        <v>-5138.18163</v>
      </c>
      <c r="AD221" s="1">
        <v>-4079.2271100000003</v>
      </c>
      <c r="AE221" s="40">
        <v>-20636.375519999998</v>
      </c>
      <c r="AF221" s="1">
        <v>-1461.8364500000002</v>
      </c>
      <c r="AG221" s="1">
        <v>-2562.3143999999998</v>
      </c>
      <c r="AH221" s="1">
        <v>-2888.1945299999998</v>
      </c>
      <c r="AI221" s="1">
        <v>2839.7423900000003</v>
      </c>
      <c r="AJ221" s="40">
        <f t="shared" si="504"/>
        <v>-4072.6029899999994</v>
      </c>
      <c r="AK221" s="1">
        <v>-3034.4922700000006</v>
      </c>
      <c r="AL221" s="1">
        <v>-625.30154000000005</v>
      </c>
      <c r="AM221" s="1">
        <v>-2659.0990000000002</v>
      </c>
      <c r="AN221" s="1">
        <v>-2646.6545100000003</v>
      </c>
      <c r="AO221" s="40">
        <f t="shared" si="505"/>
        <v>-8965.5473200000015</v>
      </c>
      <c r="AP221" s="1">
        <v>-2296.6406000000002</v>
      </c>
      <c r="AQ221" s="1">
        <v>-1766.13555</v>
      </c>
      <c r="AR221" s="1">
        <v>-2693.3725500000005</v>
      </c>
      <c r="AS221" s="1">
        <v>-2331.9470000000001</v>
      </c>
      <c r="AT221" s="40">
        <f t="shared" si="506"/>
        <v>-9088.0957000000017</v>
      </c>
      <c r="AU221" s="1">
        <v>-2053.5977499999999</v>
      </c>
      <c r="AV221" s="1">
        <v>-1879.5888199999999</v>
      </c>
      <c r="AW221" s="1">
        <v>-1718.9730100000002</v>
      </c>
      <c r="AX221" s="1">
        <v>-1671.9082800000001</v>
      </c>
      <c r="AY221" s="40">
        <f t="shared" si="501"/>
        <v>-7324.0678599999992</v>
      </c>
      <c r="AZ221" s="8">
        <v>-1431.48425</v>
      </c>
    </row>
    <row r="222" spans="1:52" ht="14.85" customHeight="1">
      <c r="A222" s="56" t="s">
        <v>479</v>
      </c>
      <c r="B222" s="8"/>
      <c r="C222" s="8"/>
      <c r="D222" s="8"/>
      <c r="E222" s="8"/>
      <c r="F222" s="40"/>
      <c r="G222" s="8">
        <v>-4281.3679499999998</v>
      </c>
      <c r="H222" s="8">
        <v>-1543.4174599999992</v>
      </c>
      <c r="I222" s="8">
        <v>-2385.31819</v>
      </c>
      <c r="J222" s="8">
        <v>-5473.7242899999983</v>
      </c>
      <c r="K222" s="40">
        <f t="shared" si="502"/>
        <v>-13683.827889999997</v>
      </c>
      <c r="L222" s="8">
        <v>-2047.8868699999996</v>
      </c>
      <c r="M222" s="8">
        <v>-2169.9284199999993</v>
      </c>
      <c r="N222" s="8">
        <v>-789.9345900000003</v>
      </c>
      <c r="O222" s="8">
        <v>-2082.4358899999997</v>
      </c>
      <c r="P222" s="40">
        <f t="shared" si="503"/>
        <v>-7090.1857699999991</v>
      </c>
      <c r="Q222" s="1">
        <v>-1457.00593</v>
      </c>
      <c r="R222" s="1">
        <v>-548.81657999999982</v>
      </c>
      <c r="S222" s="1">
        <v>-1558.4012600000001</v>
      </c>
      <c r="T222" s="1">
        <v>-2569.8921100000002</v>
      </c>
      <c r="U222" s="40">
        <v>-6134.1158800000003</v>
      </c>
      <c r="V222" s="1">
        <v>-1675.7427800000003</v>
      </c>
      <c r="W222" s="1">
        <v>-412.18233999999995</v>
      </c>
      <c r="X222" s="1">
        <v>-1236.8292099999999</v>
      </c>
      <c r="Y222" s="1">
        <v>-11093.45759</v>
      </c>
      <c r="Z222" s="40">
        <v>-14418.21192</v>
      </c>
      <c r="AA222" s="1">
        <v>-751.15138999999999</v>
      </c>
      <c r="AB222" s="1">
        <v>-2360.1693399999999</v>
      </c>
      <c r="AC222" s="1">
        <v>3450.08583</v>
      </c>
      <c r="AD222" s="1">
        <v>-432.09239999999988</v>
      </c>
      <c r="AE222" s="40">
        <v>-93.327299999999809</v>
      </c>
      <c r="AF222" s="1">
        <v>-645.51247000000001</v>
      </c>
      <c r="AG222" s="1">
        <v>-1593.11796</v>
      </c>
      <c r="AH222" s="1">
        <v>-5431.6061500000005</v>
      </c>
      <c r="AI222" s="1">
        <v>1355.7208199999998</v>
      </c>
      <c r="AJ222" s="40">
        <f t="shared" si="504"/>
        <v>-6314.5157600000011</v>
      </c>
      <c r="AK222" s="1">
        <v>895.17966000000001</v>
      </c>
      <c r="AL222" s="1">
        <v>-2047.4374300000002</v>
      </c>
      <c r="AM222" s="1">
        <v>-1086.5930000000001</v>
      </c>
      <c r="AN222" s="1">
        <v>-1224.9998500000002</v>
      </c>
      <c r="AO222" s="40">
        <f t="shared" si="505"/>
        <v>-3463.8506200000002</v>
      </c>
      <c r="AP222" s="1">
        <v>-834.4224499999998</v>
      </c>
      <c r="AQ222" s="1">
        <v>-1011.6956300000001</v>
      </c>
      <c r="AR222" s="1">
        <v>-3675.9623999999994</v>
      </c>
      <c r="AS222" s="1">
        <v>2109.2739999999999</v>
      </c>
      <c r="AT222" s="40">
        <f t="shared" si="506"/>
        <v>-3412.8064799999988</v>
      </c>
      <c r="AU222" s="1">
        <v>563.41691000000026</v>
      </c>
      <c r="AV222" s="1">
        <v>-2711.9998999999993</v>
      </c>
      <c r="AW222" s="1">
        <v>-2006.2173399999999</v>
      </c>
      <c r="AX222" s="1">
        <v>-344.62280999999984</v>
      </c>
      <c r="AY222" s="40">
        <f t="shared" si="501"/>
        <v>-4499.423139999999</v>
      </c>
      <c r="AZ222" s="8">
        <v>-440.07634000000007</v>
      </c>
    </row>
    <row r="223" spans="1:52" ht="14.85" customHeight="1">
      <c r="A223" s="56" t="s">
        <v>709</v>
      </c>
      <c r="B223" s="8"/>
      <c r="C223" s="8"/>
      <c r="D223" s="8"/>
      <c r="E223" s="8"/>
      <c r="F223" s="40"/>
      <c r="G223" s="8">
        <v>1250.6888700000002</v>
      </c>
      <c r="H223" s="8">
        <v>742.92290999999966</v>
      </c>
      <c r="I223" s="8">
        <v>-1333.4884200000001</v>
      </c>
      <c r="J223" s="8">
        <v>-8699.3443399999996</v>
      </c>
      <c r="K223" s="40">
        <f t="shared" si="502"/>
        <v>-8039.2209800000001</v>
      </c>
      <c r="L223" s="8">
        <v>-2084.6860000000006</v>
      </c>
      <c r="M223" s="8">
        <v>891.47920999999985</v>
      </c>
      <c r="N223" s="8">
        <v>775.21494999999982</v>
      </c>
      <c r="O223" s="8">
        <v>-1306.7775900000001</v>
      </c>
      <c r="P223" s="40">
        <f t="shared" si="503"/>
        <v>-1724.769430000001</v>
      </c>
      <c r="Q223" s="1">
        <v>-4292.8797500000001</v>
      </c>
      <c r="R223" s="1">
        <v>1315.3287799999998</v>
      </c>
      <c r="S223" s="1">
        <v>-1283.5706499999999</v>
      </c>
      <c r="T223" s="1">
        <v>1201.7346700000001</v>
      </c>
      <c r="U223" s="40">
        <v>-3059.3869500000001</v>
      </c>
      <c r="V223" s="1">
        <v>3918.6704699999991</v>
      </c>
      <c r="W223" s="1">
        <v>1942.5007000000005</v>
      </c>
      <c r="X223" s="1">
        <v>1674.6169500000003</v>
      </c>
      <c r="Y223" s="1">
        <v>-5377.6617400000005</v>
      </c>
      <c r="Z223" s="40">
        <v>2158.1263799999997</v>
      </c>
      <c r="AA223" s="1">
        <v>156.12986000000009</v>
      </c>
      <c r="AB223" s="1">
        <v>-2732.2549299999996</v>
      </c>
      <c r="AC223" s="1">
        <v>-79.851900000000114</v>
      </c>
      <c r="AD223" s="1">
        <v>-3252.558860000001</v>
      </c>
      <c r="AE223" s="40">
        <v>-5908.5358300000007</v>
      </c>
      <c r="AF223" s="1">
        <v>659.65089999999987</v>
      </c>
      <c r="AG223" s="1">
        <v>-425.75038999999992</v>
      </c>
      <c r="AH223" s="1">
        <v>-589.10386999999969</v>
      </c>
      <c r="AI223" s="1">
        <v>-16.744050000000062</v>
      </c>
      <c r="AJ223" s="40">
        <f t="shared" si="504"/>
        <v>-371.94740999999982</v>
      </c>
      <c r="AK223" s="1">
        <v>-2481.2434500000004</v>
      </c>
      <c r="AL223" s="1">
        <v>-2460.2154500000001</v>
      </c>
      <c r="AM223" s="1">
        <v>-1830.962</v>
      </c>
      <c r="AN223" s="1">
        <v>-2389.8073799999997</v>
      </c>
      <c r="AO223" s="40">
        <f t="shared" si="505"/>
        <v>-9162.2282800000012</v>
      </c>
      <c r="AP223" s="1">
        <v>2998.2210500000001</v>
      </c>
      <c r="AQ223" s="1">
        <v>18919.441350000001</v>
      </c>
      <c r="AR223" s="1">
        <v>-3757.2248499999996</v>
      </c>
      <c r="AS223" s="1">
        <v>-1994.165</v>
      </c>
      <c r="AT223" s="40">
        <f t="shared" si="506"/>
        <v>16166.272550000002</v>
      </c>
      <c r="AU223" s="1">
        <v>-2417.7436899999998</v>
      </c>
      <c r="AV223" s="1">
        <v>-1931.9488399999991</v>
      </c>
      <c r="AW223" s="1">
        <v>-2044.6865900000003</v>
      </c>
      <c r="AX223" s="1">
        <v>-2735.1410800000017</v>
      </c>
      <c r="AY223" s="40">
        <f t="shared" si="501"/>
        <v>-9129.5202000000008</v>
      </c>
      <c r="AZ223" s="8">
        <v>-2170.3668900000002</v>
      </c>
    </row>
    <row r="224" spans="1:52" ht="14.85" customHeight="1">
      <c r="A224" s="54" t="s">
        <v>710</v>
      </c>
      <c r="B224" s="76"/>
      <c r="C224" s="76"/>
      <c r="D224" s="76"/>
      <c r="E224" s="76"/>
      <c r="F224" s="39"/>
      <c r="G224" s="76">
        <f t="shared" ref="G224" si="518">SUM(G219:G223)</f>
        <v>2404.8743400000221</v>
      </c>
      <c r="H224" s="76">
        <f t="shared" ref="H224" si="519">SUM(H219:H223)</f>
        <v>9778.4548500000092</v>
      </c>
      <c r="I224" s="76">
        <f t="shared" ref="I224" si="520">SUM(I219:I223)</f>
        <v>14263.530030000009</v>
      </c>
      <c r="J224" s="76">
        <f t="shared" ref="J224" si="521">SUM(J219:J223)</f>
        <v>-819.23454999996102</v>
      </c>
      <c r="K224" s="39">
        <f t="shared" ref="K224" si="522">SUM(K219:K223)</f>
        <v>25627.624670000092</v>
      </c>
      <c r="L224" s="76">
        <f t="shared" ref="L224" si="523">SUM(L219:L223)</f>
        <v>4461.9787699999142</v>
      </c>
      <c r="M224" s="76">
        <f t="shared" ref="M224" si="524">SUM(M219:M223)</f>
        <v>13728.817179999949</v>
      </c>
      <c r="N224" s="76">
        <f t="shared" ref="N224" si="525">SUM(N219:N223)</f>
        <v>14708.079590000116</v>
      </c>
      <c r="O224" s="76">
        <f t="shared" ref="O224" si="526">SUM(O219:O223)</f>
        <v>15741.546909999995</v>
      </c>
      <c r="P224" s="39">
        <f t="shared" ref="P224" si="527">SUM(P219:P223)</f>
        <v>48640.422449999991</v>
      </c>
      <c r="Q224" s="76">
        <v>3383.9364800000012</v>
      </c>
      <c r="R224" s="76">
        <v>21668.822460000007</v>
      </c>
      <c r="S224" s="76">
        <v>11732.371330000005</v>
      </c>
      <c r="T224" s="76">
        <v>23880.817890000006</v>
      </c>
      <c r="U224" s="39">
        <v>60665.948160000014</v>
      </c>
      <c r="V224" s="76">
        <v>10612.020370000002</v>
      </c>
      <c r="W224" s="76">
        <v>19848.284110000004</v>
      </c>
      <c r="X224" s="76">
        <v>11893.258290000002</v>
      </c>
      <c r="Y224" s="76">
        <v>2027.3277899999966</v>
      </c>
      <c r="Z224" s="39">
        <v>44380.890560000014</v>
      </c>
      <c r="AA224" s="76">
        <v>12280.911320000003</v>
      </c>
      <c r="AB224" s="76">
        <v>11840.073420000004</v>
      </c>
      <c r="AC224" s="76">
        <v>10470.683620000002</v>
      </c>
      <c r="AD224" s="76">
        <v>10609.606380000003</v>
      </c>
      <c r="AE224" s="39">
        <v>45201.274740000008</v>
      </c>
      <c r="AF224" s="76">
        <f>SUM(AF219:AF223)</f>
        <v>10592.738250000004</v>
      </c>
      <c r="AG224" s="76">
        <f>SUM(AG219:AG223)</f>
        <v>2070.1493100000025</v>
      </c>
      <c r="AH224" s="76">
        <f>SUM(AH219:AH223)</f>
        <v>4019.1433899999993</v>
      </c>
      <c r="AI224" s="76">
        <f>SUM(AI219:AI223)</f>
        <v>6842.7654699999975</v>
      </c>
      <c r="AJ224" s="39">
        <f t="shared" si="504"/>
        <v>23524.796420000006</v>
      </c>
      <c r="AK224" s="76">
        <f>SUM(AK219:AK223)</f>
        <v>2260.3912100000002</v>
      </c>
      <c r="AL224" s="76">
        <f t="shared" ref="AL224:AN224" si="528">SUM(AL219:AL223)</f>
        <v>7072.5308599999989</v>
      </c>
      <c r="AM224" s="76">
        <f t="shared" si="528"/>
        <v>4750.3330000000005</v>
      </c>
      <c r="AN224" s="76">
        <f t="shared" si="528"/>
        <v>1731.2316400000004</v>
      </c>
      <c r="AO224" s="39">
        <f t="shared" si="505"/>
        <v>15814.486709999999</v>
      </c>
      <c r="AP224" s="76">
        <f>SUM(AP219:AP223)</f>
        <v>2277.1601100000016</v>
      </c>
      <c r="AQ224" s="76">
        <f>SUM(AQ219:AQ223)</f>
        <v>5395.3258900000019</v>
      </c>
      <c r="AR224" s="76">
        <f>SUM(AR219:AR223)</f>
        <v>3269.2633999999998</v>
      </c>
      <c r="AS224" s="76">
        <f>SUM(AS219:AS223)</f>
        <v>5039.829999999999</v>
      </c>
      <c r="AT224" s="39">
        <f t="shared" si="506"/>
        <v>15981.579400000002</v>
      </c>
      <c r="AU224" s="76">
        <f>SUM(AU219:AU223)</f>
        <v>3635.6795999999999</v>
      </c>
      <c r="AV224" s="76">
        <f>SUM(AV219:AV223)</f>
        <v>1680.5429700000009</v>
      </c>
      <c r="AW224" s="76">
        <f>SUM(AW219:AW223)</f>
        <v>3493.7816199999997</v>
      </c>
      <c r="AX224" s="76">
        <f>SUM(AX219:AX223)</f>
        <v>2752.2193999999986</v>
      </c>
      <c r="AY224" s="39">
        <f t="shared" si="501"/>
        <v>11562.223589999998</v>
      </c>
      <c r="AZ224" s="76">
        <f>SUM(AZ219:AZ223)</f>
        <v>734.17008999999962</v>
      </c>
    </row>
    <row r="225" spans="1:52" ht="14.85" customHeight="1">
      <c r="A225" s="17" t="s">
        <v>711</v>
      </c>
      <c r="B225" s="18"/>
      <c r="C225" s="18"/>
      <c r="D225" s="18"/>
      <c r="E225" s="18"/>
      <c r="F225" s="46"/>
      <c r="G225" s="18">
        <f t="shared" ref="G225:J225" si="529">-G220/G219</f>
        <v>0.57707045405487301</v>
      </c>
      <c r="H225" s="18">
        <f t="shared" si="529"/>
        <v>0.42138326596322595</v>
      </c>
      <c r="I225" s="18">
        <f t="shared" si="529"/>
        <v>0.20204979750399726</v>
      </c>
      <c r="J225" s="18">
        <f t="shared" si="529"/>
        <v>0.34630332025649735</v>
      </c>
      <c r="K225" s="46">
        <f t="shared" ref="K225:P225" si="530">-K220/K219</f>
        <v>0.38561154310640539</v>
      </c>
      <c r="L225" s="18">
        <f t="shared" si="530"/>
        <v>0.49539216371273154</v>
      </c>
      <c r="M225" s="18">
        <f t="shared" si="530"/>
        <v>0.33300514385572472</v>
      </c>
      <c r="N225" s="18">
        <f t="shared" si="530"/>
        <v>0.3229385452997876</v>
      </c>
      <c r="O225" s="18">
        <f t="shared" si="530"/>
        <v>0.24579385377052282</v>
      </c>
      <c r="P225" s="46">
        <f t="shared" si="530"/>
        <v>0.34618683595300559</v>
      </c>
      <c r="Q225" s="18">
        <v>0.49012665943950945</v>
      </c>
      <c r="R225" s="18">
        <v>0.22014471620283754</v>
      </c>
      <c r="S225" s="18">
        <v>0.36045304688481067</v>
      </c>
      <c r="T225" s="18">
        <v>9.6089863066940576E-2</v>
      </c>
      <c r="U225" s="46">
        <v>0.28904960457859324</v>
      </c>
      <c r="V225" s="18">
        <v>0.52426329215761935</v>
      </c>
      <c r="W225" s="18">
        <v>0.26877700312756386</v>
      </c>
      <c r="X225" s="18">
        <v>0.42270960598273138</v>
      </c>
      <c r="Y225" s="18">
        <v>0.14345173165058492</v>
      </c>
      <c r="Z225" s="46">
        <v>0.34625372041997382</v>
      </c>
      <c r="AA225" s="18">
        <v>0.32198740128145065</v>
      </c>
      <c r="AB225" s="18">
        <v>0.18138878617408202</v>
      </c>
      <c r="AC225" s="169">
        <v>0.52327169373822313</v>
      </c>
      <c r="AD225" s="169">
        <v>0.22974635873445354</v>
      </c>
      <c r="AE225" s="46">
        <v>0.31461023909058328</v>
      </c>
      <c r="AF225" s="169">
        <f t="shared" ref="AF225:AJ225" si="531">-AF220/AF219</f>
        <v>0.33984720816128983</v>
      </c>
      <c r="AG225" s="169">
        <f t="shared" si="531"/>
        <v>0.61766786115132399</v>
      </c>
      <c r="AH225" s="169">
        <f t="shared" si="531"/>
        <v>0.20988195531672288</v>
      </c>
      <c r="AI225" s="169">
        <f t="shared" si="531"/>
        <v>0.82796493334323396</v>
      </c>
      <c r="AJ225" s="46">
        <f t="shared" si="531"/>
        <v>0.49196491630971406</v>
      </c>
      <c r="AK225" s="169">
        <f t="shared" ref="AK225:AN225" si="532">-AK220/AK219</f>
        <v>0.52357270738648287</v>
      </c>
      <c r="AL225" s="169">
        <f t="shared" si="532"/>
        <v>0.16705890479178154</v>
      </c>
      <c r="AM225" s="169">
        <f t="shared" si="532"/>
        <v>0.22711715308128952</v>
      </c>
      <c r="AN225" s="169">
        <f t="shared" si="532"/>
        <v>0.40608417881821424</v>
      </c>
      <c r="AO225" s="46">
        <f>-AO220/AO219</f>
        <v>0.33102488415956277</v>
      </c>
      <c r="AP225" s="169">
        <f t="shared" ref="AP225" si="533">-AP220/AP219</f>
        <v>0.8085869292927097</v>
      </c>
      <c r="AQ225" s="169">
        <f t="shared" ref="AQ225:AY225" si="534">-AQ220/AQ219</f>
        <v>1.8968503379253692</v>
      </c>
      <c r="AR225" s="169">
        <f t="shared" si="534"/>
        <v>-0.1428952684704993</v>
      </c>
      <c r="AS225" s="169">
        <f t="shared" si="534"/>
        <v>0.38352142014890633</v>
      </c>
      <c r="AT225" s="46">
        <f t="shared" si="534"/>
        <v>0.74375901820158719</v>
      </c>
      <c r="AU225" s="169">
        <f t="shared" si="534"/>
        <v>0.34224175715196536</v>
      </c>
      <c r="AV225" s="169">
        <f t="shared" si="534"/>
        <v>0.30762880046808827</v>
      </c>
      <c r="AW225" s="169">
        <f t="shared" si="534"/>
        <v>0.19323953706371438</v>
      </c>
      <c r="AX225" s="169">
        <f t="shared" si="534"/>
        <v>0.31784906918396894</v>
      </c>
      <c r="AY225" s="46">
        <f t="shared" si="534"/>
        <v>0.29007258233061439</v>
      </c>
      <c r="AZ225" s="169">
        <f t="shared" ref="AZ225" si="535">-AZ220/AZ219</f>
        <v>0.42895055533089205</v>
      </c>
    </row>
    <row r="226" spans="1:52" ht="14.85" customHeight="1" thickBot="1">
      <c r="A226" s="17" t="s">
        <v>712</v>
      </c>
      <c r="B226" s="18"/>
      <c r="C226" s="18"/>
      <c r="D226" s="18"/>
      <c r="E226" s="18"/>
      <c r="F226" s="48"/>
      <c r="G226" s="18">
        <f t="shared" ref="G226:J226" si="536">-G221/G219</f>
        <v>0.2670059679354434</v>
      </c>
      <c r="H226" s="18">
        <f t="shared" si="536"/>
        <v>0.27689001744924258</v>
      </c>
      <c r="I226" s="18">
        <f t="shared" si="536"/>
        <v>0.29119719238409869</v>
      </c>
      <c r="J226" s="18">
        <f t="shared" si="536"/>
        <v>0.28267145190725934</v>
      </c>
      <c r="K226" s="48">
        <f t="shared" ref="K226:P226" si="537">-K221/K219</f>
        <v>0.27951534322760013</v>
      </c>
      <c r="L226" s="18">
        <f t="shared" si="537"/>
        <v>0.25831755953576596</v>
      </c>
      <c r="M226" s="18">
        <f t="shared" si="537"/>
        <v>0.25423048609356247</v>
      </c>
      <c r="N226" s="18">
        <f t="shared" si="537"/>
        <v>0.28707085925975523</v>
      </c>
      <c r="O226" s="18">
        <f t="shared" si="537"/>
        <v>0.25531834616216609</v>
      </c>
      <c r="P226" s="48">
        <f t="shared" si="537"/>
        <v>0.2638951883552702</v>
      </c>
      <c r="Q226" s="18">
        <v>0.26453390311037922</v>
      </c>
      <c r="R226" s="18">
        <v>0.24986056790702513</v>
      </c>
      <c r="S226" s="18">
        <v>0.27563752096340749</v>
      </c>
      <c r="T226" s="18">
        <v>0.26521480181894758</v>
      </c>
      <c r="U226" s="48">
        <v>0.26384854279937414</v>
      </c>
      <c r="V226" s="18">
        <v>0.26004348327768417</v>
      </c>
      <c r="W226" s="18">
        <v>0.2318683145057788</v>
      </c>
      <c r="X226" s="18">
        <v>0.24452672819478552</v>
      </c>
      <c r="Y226" s="18">
        <v>0.29635588261989215</v>
      </c>
      <c r="Z226" s="48">
        <v>0.25746439188481501</v>
      </c>
      <c r="AA226" s="18">
        <v>0.22916539977466452</v>
      </c>
      <c r="AB226" s="18">
        <v>0.18212169103805959</v>
      </c>
      <c r="AC226" s="169">
        <v>0.20014628774153445</v>
      </c>
      <c r="AD226" s="169">
        <v>0.1710094507263589</v>
      </c>
      <c r="AE226" s="48">
        <v>0.19688274344100115</v>
      </c>
      <c r="AF226" s="169">
        <f t="shared" ref="AF226:AJ226" si="538">-AF221/AF219</f>
        <v>8.0149538774070425E-2</v>
      </c>
      <c r="AG226" s="169">
        <f t="shared" si="538"/>
        <v>0.14728706011330331</v>
      </c>
      <c r="AH226" s="169">
        <f t="shared" si="538"/>
        <v>0.17651656501426438</v>
      </c>
      <c r="AI226" s="169">
        <f t="shared" si="538"/>
        <v>-0.18338092304097164</v>
      </c>
      <c r="AJ226" s="48">
        <f t="shared" si="538"/>
        <v>6.0349827736999359E-2</v>
      </c>
      <c r="AK226" s="169">
        <f t="shared" ref="AK226:AN226" si="539">-AK221/AK219</f>
        <v>0.21010405688703176</v>
      </c>
      <c r="AL226" s="169">
        <f t="shared" si="539"/>
        <v>4.2672563819845577E-2</v>
      </c>
      <c r="AM226" s="169">
        <f t="shared" si="539"/>
        <v>0.19900983756043231</v>
      </c>
      <c r="AN226" s="169">
        <f t="shared" si="539"/>
        <v>0.19666586868257005</v>
      </c>
      <c r="AO226" s="48">
        <f>-AO221/AO219</f>
        <v>0.16034085306307505</v>
      </c>
      <c r="AP226" s="169">
        <f t="shared" ref="AP226" si="540">-AP221/AP219</f>
        <v>0.18240939612996165</v>
      </c>
      <c r="AQ226" s="169">
        <f t="shared" ref="AQ226:AY226" si="541">-AQ221/AQ219</f>
        <v>0.14739599507779891</v>
      </c>
      <c r="AR226" s="169">
        <f t="shared" si="541"/>
        <v>0.22979123400369486</v>
      </c>
      <c r="AS226" s="169">
        <f t="shared" si="541"/>
        <v>0.19810681360205792</v>
      </c>
      <c r="AT226" s="48">
        <f t="shared" si="541"/>
        <v>0.1890794934686113</v>
      </c>
      <c r="AU226" s="169">
        <f t="shared" si="541"/>
        <v>0.17906173551510018</v>
      </c>
      <c r="AV226" s="169">
        <f t="shared" si="541"/>
        <v>0.1586251087091865</v>
      </c>
      <c r="AW226" s="169">
        <f t="shared" si="541"/>
        <v>0.14970321416105611</v>
      </c>
      <c r="AX226" s="169">
        <f t="shared" si="541"/>
        <v>0.15198697619787563</v>
      </c>
      <c r="AY226" s="48">
        <f t="shared" si="541"/>
        <v>0.15991139588154707</v>
      </c>
      <c r="AZ226" s="169">
        <f t="shared" ref="AZ226" si="542">-AZ221/AZ219</f>
        <v>0.17115401727755625</v>
      </c>
    </row>
    <row r="227" spans="1:52" ht="45.75" thickBot="1">
      <c r="A227" s="787" t="s">
        <v>743</v>
      </c>
    </row>
    <row r="228" spans="1:52" s="30" customFormat="1" ht="14.85" customHeight="1">
      <c r="A228" s="179" t="s">
        <v>744</v>
      </c>
      <c r="B228" s="180" t="s">
        <v>224</v>
      </c>
      <c r="C228" s="180" t="s">
        <v>225</v>
      </c>
      <c r="D228" s="180" t="s">
        <v>226</v>
      </c>
      <c r="E228" s="180" t="s">
        <v>227</v>
      </c>
      <c r="F228" s="181">
        <v>2016</v>
      </c>
      <c r="G228" s="180" t="s">
        <v>228</v>
      </c>
      <c r="H228" s="180" t="s">
        <v>229</v>
      </c>
      <c r="I228" s="180" t="s">
        <v>230</v>
      </c>
      <c r="J228" s="180" t="s">
        <v>231</v>
      </c>
      <c r="K228" s="181">
        <v>2017</v>
      </c>
      <c r="L228" s="180" t="s">
        <v>232</v>
      </c>
      <c r="M228" s="180" t="s">
        <v>233</v>
      </c>
      <c r="N228" s="180" t="s">
        <v>234</v>
      </c>
      <c r="O228" s="180" t="s">
        <v>235</v>
      </c>
      <c r="P228" s="181">
        <v>2018</v>
      </c>
      <c r="Q228" s="180" t="s">
        <v>236</v>
      </c>
      <c r="R228" s="180" t="s">
        <v>237</v>
      </c>
      <c r="S228" s="180" t="s">
        <v>238</v>
      </c>
      <c r="T228" s="180" t="s">
        <v>239</v>
      </c>
      <c r="U228" s="181">
        <v>2019</v>
      </c>
      <c r="V228" s="180" t="s">
        <v>240</v>
      </c>
      <c r="W228" s="180" t="s">
        <v>241</v>
      </c>
      <c r="X228" s="180" t="s">
        <v>242</v>
      </c>
      <c r="Y228" s="180" t="s">
        <v>243</v>
      </c>
      <c r="Z228" s="181">
        <v>2020</v>
      </c>
      <c r="AA228" s="180" t="s">
        <v>244</v>
      </c>
      <c r="AB228" s="180" t="s">
        <v>245</v>
      </c>
      <c r="AC228" s="180" t="s">
        <v>246</v>
      </c>
      <c r="AD228" s="180" t="s">
        <v>247</v>
      </c>
      <c r="AE228" s="181">
        <v>2021</v>
      </c>
      <c r="AF228" s="180" t="s">
        <v>248</v>
      </c>
      <c r="AG228" s="180" t="s">
        <v>249</v>
      </c>
      <c r="AH228" s="180" t="s">
        <v>250</v>
      </c>
      <c r="AI228" s="180" t="s">
        <v>215</v>
      </c>
      <c r="AJ228" s="181">
        <v>2022</v>
      </c>
      <c r="AK228" s="180" t="s">
        <v>252</v>
      </c>
      <c r="AL228" s="180" t="s">
        <v>253</v>
      </c>
      <c r="AM228" s="180" t="s">
        <v>254</v>
      </c>
      <c r="AN228" s="180" t="s">
        <v>219</v>
      </c>
      <c r="AO228" s="181">
        <v>2023</v>
      </c>
      <c r="AP228" s="180" t="s">
        <v>223</v>
      </c>
      <c r="AQ228" s="180" t="s">
        <v>256</v>
      </c>
      <c r="AR228" s="180" t="s">
        <v>357</v>
      </c>
      <c r="AS228" s="180" t="s">
        <v>358</v>
      </c>
      <c r="AT228" s="181">
        <v>2024</v>
      </c>
      <c r="AU228" s="180" t="s">
        <v>359</v>
      </c>
      <c r="AV228" s="180" t="s">
        <v>1115</v>
      </c>
      <c r="AW228" s="180" t="s">
        <v>1116</v>
      </c>
      <c r="AX228" s="180" t="s">
        <v>1117</v>
      </c>
      <c r="AY228" s="181" t="s">
        <v>1118</v>
      </c>
      <c r="AZ228" s="180" t="s">
        <v>1124</v>
      </c>
    </row>
    <row r="229" spans="1:52" ht="14.85" customHeight="1">
      <c r="A229" s="54" t="s">
        <v>707</v>
      </c>
      <c r="B229" s="76"/>
      <c r="C229" s="76"/>
      <c r="D229" s="76"/>
      <c r="E229" s="76"/>
      <c r="F229" s="39"/>
      <c r="G229" s="76">
        <v>110335.30146000002</v>
      </c>
      <c r="H229" s="76">
        <v>80620.076950000002</v>
      </c>
      <c r="I229" s="76">
        <v>74225.329730000027</v>
      </c>
      <c r="J229" s="76">
        <v>65732.04711</v>
      </c>
      <c r="K229" s="39">
        <f>SUM(G229:J229)</f>
        <v>330912.75524999999</v>
      </c>
      <c r="L229" s="76">
        <v>93030.342130000005</v>
      </c>
      <c r="M229" s="76">
        <v>76731.170080000011</v>
      </c>
      <c r="N229" s="76">
        <v>64972.766019999995</v>
      </c>
      <c r="O229" s="76">
        <v>59983.546520000011</v>
      </c>
      <c r="P229" s="39">
        <f>SUM(L229:O229)</f>
        <v>294717.82475000003</v>
      </c>
      <c r="Q229" s="76">
        <v>37557.468430000001</v>
      </c>
      <c r="R229" s="76">
        <v>29137.188660000003</v>
      </c>
      <c r="S229" s="76">
        <v>27881.313050000004</v>
      </c>
      <c r="T229" s="76">
        <v>27131.972090000003</v>
      </c>
      <c r="U229" s="39">
        <v>121707.94223000002</v>
      </c>
      <c r="V229" s="76">
        <v>3163.8734099999988</v>
      </c>
      <c r="W229" s="76">
        <v>12076.571359999998</v>
      </c>
      <c r="X229" s="76">
        <v>16506.21371</v>
      </c>
      <c r="Y229" s="76">
        <v>15524.525820000003</v>
      </c>
      <c r="Z229" s="39">
        <v>47271.184300000001</v>
      </c>
      <c r="AA229" s="76">
        <v>13865.42158</v>
      </c>
      <c r="AB229" s="76">
        <v>10271.375410000002</v>
      </c>
      <c r="AC229" s="76">
        <v>11320.391920000002</v>
      </c>
      <c r="AD229" s="76">
        <v>9294.8596000000034</v>
      </c>
      <c r="AE229" s="39">
        <v>44752.048510000008</v>
      </c>
      <c r="AF229" s="76">
        <v>7112.8016800000005</v>
      </c>
      <c r="AG229" s="76">
        <v>24941.436450000001</v>
      </c>
      <c r="AH229" s="76">
        <v>15105.43203</v>
      </c>
      <c r="AI229" s="76">
        <v>40558.630859999997</v>
      </c>
      <c r="AJ229" s="39">
        <f>SUM(AF229:AI229)</f>
        <v>87718.301019999999</v>
      </c>
      <c r="AK229" s="76">
        <v>8717.7320799999998</v>
      </c>
      <c r="AL229" s="76">
        <v>12005.66714</v>
      </c>
      <c r="AM229" s="76">
        <v>3221.39</v>
      </c>
      <c r="AN229" s="76">
        <v>7057.5193999999983</v>
      </c>
      <c r="AO229" s="39">
        <f>SUM(AK229:AN229)</f>
        <v>31002.308619999996</v>
      </c>
      <c r="AP229" s="76">
        <v>4603.6882700000006</v>
      </c>
      <c r="AQ229" s="76">
        <v>5869.8003500000004</v>
      </c>
      <c r="AR229" s="76">
        <v>6985.8193900000006</v>
      </c>
      <c r="AS229" s="76">
        <v>6604.8779999999997</v>
      </c>
      <c r="AT229" s="39">
        <f>SUM(AP229:AS229)</f>
        <v>24064.186010000001</v>
      </c>
      <c r="AU229" s="76">
        <v>6923.3735800000013</v>
      </c>
      <c r="AV229" s="76">
        <v>7967.3031899999996</v>
      </c>
      <c r="AW229" s="76">
        <v>8104.21414</v>
      </c>
      <c r="AX229" s="76">
        <v>8081.4107599999998</v>
      </c>
      <c r="AY229" s="39">
        <f t="shared" ref="AY229:AY236" si="543">SUM(AU229:AX229)</f>
        <v>31076.301670000001</v>
      </c>
      <c r="AZ229" s="10">
        <v>7801.8983900000003</v>
      </c>
    </row>
    <row r="230" spans="1:52" ht="14.85" customHeight="1">
      <c r="A230" s="56" t="s">
        <v>443</v>
      </c>
      <c r="B230" s="8"/>
      <c r="C230" s="8"/>
      <c r="D230" s="8"/>
      <c r="E230" s="8"/>
      <c r="F230" s="40"/>
      <c r="G230" s="8">
        <v>-3482.234070000005</v>
      </c>
      <c r="H230" s="8">
        <v>-3294.2055099999943</v>
      </c>
      <c r="I230" s="8">
        <v>-4904.7948899999974</v>
      </c>
      <c r="J230" s="8">
        <v>-4435.5538300000126</v>
      </c>
      <c r="K230" s="40">
        <f t="shared" ref="K230:K235" si="544">SUM(G230:J230)</f>
        <v>-16116.788300000007</v>
      </c>
      <c r="L230" s="8">
        <v>-6066.0204600000061</v>
      </c>
      <c r="M230" s="8">
        <v>-6952.1148799999946</v>
      </c>
      <c r="N230" s="8">
        <v>317.33689999999973</v>
      </c>
      <c r="O230" s="8">
        <v>756.61262000000011</v>
      </c>
      <c r="P230" s="40">
        <f t="shared" ref="P230:P235" si="545">SUM(L230:O230)</f>
        <v>-11944.185820000001</v>
      </c>
      <c r="Q230" s="1">
        <v>-1170.3980499999996</v>
      </c>
      <c r="R230" s="1">
        <v>-3980.4195499999996</v>
      </c>
      <c r="S230" s="1">
        <v>-57.568690000000004</v>
      </c>
      <c r="T230" s="1">
        <v>2149.2499899999993</v>
      </c>
      <c r="U230" s="40">
        <v>-3059.1363000000001</v>
      </c>
      <c r="V230" s="1">
        <v>4735.1740799999998</v>
      </c>
      <c r="W230" s="1">
        <v>4150.1973100000005</v>
      </c>
      <c r="X230" s="1">
        <v>-660.7035599999997</v>
      </c>
      <c r="Y230" s="1">
        <v>-399.47280999999975</v>
      </c>
      <c r="Z230" s="40">
        <v>7825.195020000001</v>
      </c>
      <c r="AA230" s="1">
        <v>1081.8284099999996</v>
      </c>
      <c r="AB230" s="1">
        <v>4651.317289999999</v>
      </c>
      <c r="AC230" s="1">
        <v>3210.4987700000001</v>
      </c>
      <c r="AD230" s="1">
        <v>5149.223</v>
      </c>
      <c r="AE230" s="40">
        <v>14092.867469999999</v>
      </c>
      <c r="AF230" s="1">
        <v>5240.0205900000001</v>
      </c>
      <c r="AG230" s="1">
        <v>-10562.042959999999</v>
      </c>
      <c r="AH230" s="1">
        <v>1151.8499700000007</v>
      </c>
      <c r="AI230" s="1">
        <v>-20916.086619999995</v>
      </c>
      <c r="AJ230" s="40">
        <f t="shared" ref="AJ230:AJ236" si="546">SUM(AF230:AI230)</f>
        <v>-25086.25901999999</v>
      </c>
      <c r="AK230" s="1">
        <v>10669.342270000001</v>
      </c>
      <c r="AL230" s="1">
        <v>7155.6522000000014</v>
      </c>
      <c r="AM230" s="1">
        <v>12811.359</v>
      </c>
      <c r="AN230" s="1">
        <v>7927.7528899999988</v>
      </c>
      <c r="AO230" s="40">
        <f t="shared" ref="AO230:AO236" si="547">SUM(AK230:AN230)</f>
        <v>38564.106359999998</v>
      </c>
      <c r="AP230" s="1">
        <v>8559.8115999999991</v>
      </c>
      <c r="AQ230" s="1">
        <v>6245.7497899999998</v>
      </c>
      <c r="AR230" s="1">
        <v>5031.779379999999</v>
      </c>
      <c r="AS230" s="1">
        <v>1945.2449999999999</v>
      </c>
      <c r="AT230" s="40">
        <f t="shared" ref="AT230:AT236" si="548">SUM(AP230:AS230)</f>
        <v>21782.585769999998</v>
      </c>
      <c r="AU230" s="1">
        <v>801.08910000000049</v>
      </c>
      <c r="AV230" s="1">
        <v>253.41149000000004</v>
      </c>
      <c r="AW230" s="1">
        <v>301.98540000000003</v>
      </c>
      <c r="AX230" s="1">
        <v>472.60048000000023</v>
      </c>
      <c r="AY230" s="40">
        <f t="shared" si="543"/>
        <v>1829.0864700000009</v>
      </c>
      <c r="AZ230" s="8">
        <v>469.94873999999999</v>
      </c>
    </row>
    <row r="231" spans="1:52" ht="14.85" customHeight="1">
      <c r="A231" s="54" t="s">
        <v>708</v>
      </c>
      <c r="B231" s="76"/>
      <c r="C231" s="76"/>
      <c r="D231" s="76"/>
      <c r="E231" s="76"/>
      <c r="F231" s="39"/>
      <c r="G231" s="76">
        <f t="shared" ref="G231" si="549">SUM(G229:G230)</f>
        <v>106853.06739000001</v>
      </c>
      <c r="H231" s="76">
        <f t="shared" ref="H231" si="550">SUM(H229:H230)</f>
        <v>77325.871440000003</v>
      </c>
      <c r="I231" s="76">
        <f t="shared" ref="I231" si="551">SUM(I229:I230)</f>
        <v>69320.534840000037</v>
      </c>
      <c r="J231" s="76">
        <f t="shared" ref="J231" si="552">SUM(J229:J230)</f>
        <v>61296.493279999988</v>
      </c>
      <c r="K231" s="39">
        <f t="shared" si="544"/>
        <v>314795.96695000003</v>
      </c>
      <c r="L231" s="76">
        <f t="shared" ref="L231" si="553">SUM(L229:L230)</f>
        <v>86964.321670000005</v>
      </c>
      <c r="M231" s="76">
        <f t="shared" ref="M231" si="554">SUM(M229:M230)</f>
        <v>69779.055200000017</v>
      </c>
      <c r="N231" s="76">
        <f t="shared" ref="N231" si="555">SUM(N229:N230)</f>
        <v>65290.102919999998</v>
      </c>
      <c r="O231" s="76">
        <f t="shared" ref="O231" si="556">SUM(O229:O230)</f>
        <v>60740.159140000011</v>
      </c>
      <c r="P231" s="39">
        <f t="shared" si="545"/>
        <v>282773.63893000007</v>
      </c>
      <c r="Q231" s="76">
        <v>36387.070380000005</v>
      </c>
      <c r="R231" s="76">
        <v>25156.769110000005</v>
      </c>
      <c r="S231" s="76">
        <v>27823.744360000004</v>
      </c>
      <c r="T231" s="76">
        <v>29281.222080000003</v>
      </c>
      <c r="U231" s="39">
        <v>118648.80593000003</v>
      </c>
      <c r="V231" s="76">
        <v>7899.047489999999</v>
      </c>
      <c r="W231" s="76">
        <v>16226.768669999998</v>
      </c>
      <c r="X231" s="76">
        <v>15845.51015</v>
      </c>
      <c r="Y231" s="76">
        <v>15125.053010000003</v>
      </c>
      <c r="Z231" s="39">
        <v>55096.37932</v>
      </c>
      <c r="AA231" s="76">
        <v>14947.24999</v>
      </c>
      <c r="AB231" s="76">
        <v>14922.692700000001</v>
      </c>
      <c r="AC231" s="76">
        <v>14530.890690000002</v>
      </c>
      <c r="AD231" s="76">
        <v>14444.082600000003</v>
      </c>
      <c r="AE231" s="39">
        <v>58844.915980000005</v>
      </c>
      <c r="AF231" s="76">
        <f>SUM(AF229:AF230)</f>
        <v>12352.822270000001</v>
      </c>
      <c r="AG231" s="76">
        <f>SUM(AG229:AG230)</f>
        <v>14379.393490000002</v>
      </c>
      <c r="AH231" s="76">
        <f>SUM(AH229:AH230)</f>
        <v>16257.282000000001</v>
      </c>
      <c r="AI231" s="76">
        <f>SUM(AI229:AI230)</f>
        <v>19642.544240000003</v>
      </c>
      <c r="AJ231" s="39">
        <f t="shared" si="546"/>
        <v>62632.042000000009</v>
      </c>
      <c r="AK231" s="76">
        <f>SUM(AK229:AK230)</f>
        <v>19387.074350000003</v>
      </c>
      <c r="AL231" s="76">
        <f t="shared" ref="AL231:AN231" si="557">SUM(AL229:AL230)</f>
        <v>19161.319340000002</v>
      </c>
      <c r="AM231" s="76">
        <f t="shared" si="557"/>
        <v>16032.749</v>
      </c>
      <c r="AN231" s="76">
        <f t="shared" si="557"/>
        <v>14985.272289999997</v>
      </c>
      <c r="AO231" s="39">
        <f t="shared" si="547"/>
        <v>69566.414980000001</v>
      </c>
      <c r="AP231" s="76">
        <f>SUM(AP229:AP230)</f>
        <v>13163.49987</v>
      </c>
      <c r="AQ231" s="76">
        <f>SUM(AQ229:AQ230)</f>
        <v>12115.550139999999</v>
      </c>
      <c r="AR231" s="76">
        <f t="shared" ref="AR231" si="558">SUM(AR229:AR230)</f>
        <v>12017.598770000001</v>
      </c>
      <c r="AS231" s="76">
        <f>SUM(AS229:AS230)</f>
        <v>8550.1229999999996</v>
      </c>
      <c r="AT231" s="39">
        <f t="shared" si="548"/>
        <v>45846.771780000003</v>
      </c>
      <c r="AU231" s="76">
        <f>SUM(AU229:AU230)</f>
        <v>7724.4626800000015</v>
      </c>
      <c r="AV231" s="76">
        <f>SUM(AV229:AV230)</f>
        <v>8220.7146799999991</v>
      </c>
      <c r="AW231" s="76">
        <f t="shared" ref="AW231:AZ231" si="559">SUM(AW229:AW230)</f>
        <v>8406.1995399999996</v>
      </c>
      <c r="AX231" s="76">
        <f t="shared" si="559"/>
        <v>8554.0112399999998</v>
      </c>
      <c r="AY231" s="39">
        <f t="shared" si="543"/>
        <v>32905.388140000003</v>
      </c>
      <c r="AZ231" s="76">
        <f t="shared" si="559"/>
        <v>8271.8471300000001</v>
      </c>
    </row>
    <row r="232" spans="1:52" ht="14.85" customHeight="1">
      <c r="A232" s="56" t="s">
        <v>477</v>
      </c>
      <c r="B232" s="8"/>
      <c r="C232" s="8"/>
      <c r="D232" s="8"/>
      <c r="E232" s="8"/>
      <c r="F232" s="40"/>
      <c r="G232" s="8">
        <v>-73062.797560000006</v>
      </c>
      <c r="H232" s="8">
        <v>-70718.119890000002</v>
      </c>
      <c r="I232" s="8">
        <v>-42364.50794000001</v>
      </c>
      <c r="J232" s="8">
        <v>-37286.060079999988</v>
      </c>
      <c r="K232" s="40">
        <f t="shared" si="544"/>
        <v>-223431.48547000001</v>
      </c>
      <c r="L232" s="8">
        <v>-50482.539670000006</v>
      </c>
      <c r="M232" s="8">
        <v>-28749.321470000003</v>
      </c>
      <c r="N232" s="8">
        <v>-24359.400739999983</v>
      </c>
      <c r="O232" s="8">
        <v>-12327.271499999995</v>
      </c>
      <c r="P232" s="40">
        <f t="shared" si="545"/>
        <v>-115918.53337999998</v>
      </c>
      <c r="Q232" s="1">
        <v>-45600.793770000004</v>
      </c>
      <c r="R232" s="1">
        <v>2270.2145499999974</v>
      </c>
      <c r="S232" s="1">
        <v>-7048.5385800000004</v>
      </c>
      <c r="T232" s="1">
        <v>42673.211399999993</v>
      </c>
      <c r="U232" s="40">
        <v>-7705.9064000000144</v>
      </c>
      <c r="V232" s="1">
        <v>-11429.285259999997</v>
      </c>
      <c r="W232" s="1">
        <v>-742.53477999999996</v>
      </c>
      <c r="X232" s="1">
        <v>-4253.4866300000003</v>
      </c>
      <c r="Y232" s="1">
        <v>-6811.4553799999985</v>
      </c>
      <c r="Z232" s="40">
        <v>-23236.762049999998</v>
      </c>
      <c r="AA232" s="1">
        <v>6748.9145399999979</v>
      </c>
      <c r="AB232" s="1">
        <v>7355.3552100000015</v>
      </c>
      <c r="AC232" s="1">
        <v>-3458.2409599999987</v>
      </c>
      <c r="AD232" s="1">
        <v>5685.1707800000004</v>
      </c>
      <c r="AE232" s="40">
        <v>16331.199570000001</v>
      </c>
      <c r="AF232" s="1">
        <v>-4394.6569700000018</v>
      </c>
      <c r="AG232" s="1">
        <v>9311.2693500000023</v>
      </c>
      <c r="AH232" s="1">
        <v>512.04467999999974</v>
      </c>
      <c r="AI232" s="1">
        <v>-14439.101550000003</v>
      </c>
      <c r="AJ232" s="40">
        <f t="shared" si="546"/>
        <v>-9010.4444900000017</v>
      </c>
      <c r="AK232" s="1">
        <v>-3146.9654799999994</v>
      </c>
      <c r="AL232" s="1">
        <v>772.27856000000008</v>
      </c>
      <c r="AM232" s="1">
        <v>-2468.875</v>
      </c>
      <c r="AN232" s="1">
        <v>-3753.8997000000004</v>
      </c>
      <c r="AO232" s="40">
        <f t="shared" si="547"/>
        <v>-8597.46162</v>
      </c>
      <c r="AP232" s="1">
        <v>-4908.9891900000011</v>
      </c>
      <c r="AQ232" s="1">
        <v>-2674.3292699999997</v>
      </c>
      <c r="AR232" s="1">
        <v>-5427.2311300000001</v>
      </c>
      <c r="AS232" s="1">
        <v>-12677.285</v>
      </c>
      <c r="AT232" s="40">
        <f t="shared" si="548"/>
        <v>-25687.834589999999</v>
      </c>
      <c r="AU232" s="1">
        <v>-8273.5949999999993</v>
      </c>
      <c r="AV232" s="1">
        <v>-5297.6020699999999</v>
      </c>
      <c r="AW232" s="1">
        <v>-2556.0320499999998</v>
      </c>
      <c r="AX232" s="1">
        <v>-1349.7496499999991</v>
      </c>
      <c r="AY232" s="40">
        <f t="shared" si="543"/>
        <v>-17476.978769999998</v>
      </c>
      <c r="AZ232" s="8">
        <v>1259.6859899999986</v>
      </c>
    </row>
    <row r="233" spans="1:52" ht="14.85" customHeight="1">
      <c r="A233" s="56" t="s">
        <v>478</v>
      </c>
      <c r="B233" s="8"/>
      <c r="C233" s="8"/>
      <c r="D233" s="8"/>
      <c r="E233" s="8"/>
      <c r="F233" s="40"/>
      <c r="G233" s="8">
        <v>-8033.9255100000009</v>
      </c>
      <c r="H233" s="8">
        <v>-8111.1960899999985</v>
      </c>
      <c r="I233" s="8">
        <v>-7649.2564299999995</v>
      </c>
      <c r="J233" s="8">
        <v>-7778.2575700000007</v>
      </c>
      <c r="K233" s="40">
        <f t="shared" si="544"/>
        <v>-31572.635600000001</v>
      </c>
      <c r="L233" s="8">
        <v>-8789.8067900000024</v>
      </c>
      <c r="M233" s="8">
        <v>-9717.0743600000005</v>
      </c>
      <c r="N233" s="8">
        <v>-10204.744050000003</v>
      </c>
      <c r="O233" s="8">
        <v>-11018.097610000001</v>
      </c>
      <c r="P233" s="40">
        <f t="shared" si="545"/>
        <v>-39729.722810000007</v>
      </c>
      <c r="Q233" s="1">
        <v>-4675.3957099999998</v>
      </c>
      <c r="R233" s="1">
        <v>-4653.9970399999993</v>
      </c>
      <c r="S233" s="1">
        <v>-5746.2619699999977</v>
      </c>
      <c r="T233" s="1">
        <v>-5650.1050600000008</v>
      </c>
      <c r="U233" s="40">
        <v>-20725.759779999997</v>
      </c>
      <c r="V233" s="1">
        <v>-4833.5182500000019</v>
      </c>
      <c r="W233" s="1">
        <v>-4513.7177000000001</v>
      </c>
      <c r="X233" s="1">
        <v>-5339.9732400000003</v>
      </c>
      <c r="Y233" s="1">
        <v>-5214.2497799999992</v>
      </c>
      <c r="Z233" s="40">
        <v>-19901.45897</v>
      </c>
      <c r="AA233" s="1">
        <v>-4148.0635599999996</v>
      </c>
      <c r="AB233" s="1">
        <v>-3873.4231199999986</v>
      </c>
      <c r="AC233" s="1">
        <v>-4176.5390100000004</v>
      </c>
      <c r="AD233" s="1">
        <v>-3729.0564199999999</v>
      </c>
      <c r="AE233" s="40">
        <v>-15927.082109999999</v>
      </c>
      <c r="AF233" s="1">
        <v>-3107.6748400000001</v>
      </c>
      <c r="AG233" s="1">
        <v>-2792.61807</v>
      </c>
      <c r="AH233" s="1">
        <v>-2465.0929999999998</v>
      </c>
      <c r="AI233" s="1">
        <v>-2317.4801900000002</v>
      </c>
      <c r="AJ233" s="40">
        <f t="shared" si="546"/>
        <v>-10682.866100000001</v>
      </c>
      <c r="AK233" s="1">
        <v>-2022.7091700000001</v>
      </c>
      <c r="AL233" s="1">
        <v>-2142.8433499999996</v>
      </c>
      <c r="AM233" s="1">
        <v>-1831.1</v>
      </c>
      <c r="AN233" s="1">
        <v>-1445.6788200000003</v>
      </c>
      <c r="AO233" s="40">
        <f t="shared" si="547"/>
        <v>-7442.3313399999997</v>
      </c>
      <c r="AP233" s="1">
        <v>-1486.8150600000001</v>
      </c>
      <c r="AQ233" s="1">
        <v>-1838.2415199999998</v>
      </c>
      <c r="AR233" s="1">
        <v>-1894.2890499999996</v>
      </c>
      <c r="AS233" s="1">
        <v>-1410.0039999999999</v>
      </c>
      <c r="AT233" s="40">
        <f t="shared" si="548"/>
        <v>-6629.3496299999997</v>
      </c>
      <c r="AU233" s="1">
        <v>-1706.5622600000002</v>
      </c>
      <c r="AV233" s="1">
        <v>-1772.8025499999999</v>
      </c>
      <c r="AW233" s="1">
        <v>-2435.0257000000001</v>
      </c>
      <c r="AX233" s="1">
        <v>-2060.0183200000001</v>
      </c>
      <c r="AY233" s="40">
        <f t="shared" si="543"/>
        <v>-7974.4088300000003</v>
      </c>
      <c r="AZ233" s="8">
        <v>-1983.5558599999995</v>
      </c>
    </row>
    <row r="234" spans="1:52" ht="14.85" customHeight="1">
      <c r="A234" s="56" t="s">
        <v>479</v>
      </c>
      <c r="B234" s="8"/>
      <c r="C234" s="8"/>
      <c r="D234" s="8"/>
      <c r="E234" s="8"/>
      <c r="F234" s="40"/>
      <c r="G234" s="8">
        <v>-8573.9761000000035</v>
      </c>
      <c r="H234" s="8">
        <v>-10916.793809999999</v>
      </c>
      <c r="I234" s="8">
        <v>-2036.9676699999984</v>
      </c>
      <c r="J234" s="8">
        <v>-9406.6695500000005</v>
      </c>
      <c r="K234" s="40">
        <f t="shared" si="544"/>
        <v>-30934.40713</v>
      </c>
      <c r="L234" s="8">
        <v>-10215.496829999998</v>
      </c>
      <c r="M234" s="8">
        <v>-6830.1825099999987</v>
      </c>
      <c r="N234" s="8">
        <v>-2560.0399800000018</v>
      </c>
      <c r="O234" s="8">
        <v>-5465.5791200000012</v>
      </c>
      <c r="P234" s="40">
        <f t="shared" si="545"/>
        <v>-25071.298439999999</v>
      </c>
      <c r="Q234" s="1">
        <v>928.93887000000063</v>
      </c>
      <c r="R234" s="1">
        <v>-3771.9343399999998</v>
      </c>
      <c r="S234" s="1">
        <v>-5049.6449600000014</v>
      </c>
      <c r="T234" s="1">
        <v>-12485.890200000002</v>
      </c>
      <c r="U234" s="40">
        <v>-20378.530630000001</v>
      </c>
      <c r="V234" s="1">
        <v>-6884.0302599999986</v>
      </c>
      <c r="W234" s="1">
        <v>-4626.3921500000006</v>
      </c>
      <c r="X234" s="1">
        <v>-12092.152209999998</v>
      </c>
      <c r="Y234" s="1">
        <v>-7524.9157900000009</v>
      </c>
      <c r="Z234" s="40">
        <v>-31127.490409999999</v>
      </c>
      <c r="AA234" s="1">
        <v>-7328.2569400000002</v>
      </c>
      <c r="AB234" s="1">
        <v>-831.06055999999921</v>
      </c>
      <c r="AC234" s="1">
        <v>-4731.7747499999978</v>
      </c>
      <c r="AD234" s="1">
        <v>-5047.8036300000003</v>
      </c>
      <c r="AE234" s="40">
        <v>-17938.895879999996</v>
      </c>
      <c r="AF234" s="1">
        <v>-3848.7673700000009</v>
      </c>
      <c r="AG234" s="1">
        <v>-5962.5439800000004</v>
      </c>
      <c r="AH234" s="1">
        <v>-5770.5259999999998</v>
      </c>
      <c r="AI234" s="1">
        <v>-1979.2243799999992</v>
      </c>
      <c r="AJ234" s="40">
        <f t="shared" si="546"/>
        <v>-17561.061730000001</v>
      </c>
      <c r="AK234" s="1">
        <v>-2706.8752299999996</v>
      </c>
      <c r="AL234" s="1">
        <v>-5163.0440999999983</v>
      </c>
      <c r="AM234" s="1">
        <v>-5521.8879999999999</v>
      </c>
      <c r="AN234" s="1">
        <v>-7530.4367200000015</v>
      </c>
      <c r="AO234" s="40">
        <f t="shared" si="547"/>
        <v>-20922.244050000001</v>
      </c>
      <c r="AP234" s="1">
        <v>-4464.9927399999997</v>
      </c>
      <c r="AQ234" s="1">
        <v>-6201.3226899999981</v>
      </c>
      <c r="AR234" s="1">
        <v>-5666.7905900000042</v>
      </c>
      <c r="AS234" s="1">
        <v>-6751.3819999999996</v>
      </c>
      <c r="AT234" s="40">
        <f t="shared" si="548"/>
        <v>-23084.488020000004</v>
      </c>
      <c r="AU234" s="1">
        <v>-3557.2991099999995</v>
      </c>
      <c r="AV234" s="1">
        <v>-468.61552999999947</v>
      </c>
      <c r="AW234" s="1">
        <v>-7427.4214199999997</v>
      </c>
      <c r="AX234" s="1">
        <v>-4916.7595600000004</v>
      </c>
      <c r="AY234" s="40">
        <f t="shared" si="543"/>
        <v>-16370.095619999998</v>
      </c>
      <c r="AZ234" s="8">
        <v>-1709.79063</v>
      </c>
    </row>
    <row r="235" spans="1:52" ht="14.85" customHeight="1">
      <c r="A235" s="56" t="s">
        <v>709</v>
      </c>
      <c r="B235" s="8"/>
      <c r="C235" s="8"/>
      <c r="D235" s="8"/>
      <c r="E235" s="8"/>
      <c r="F235" s="40"/>
      <c r="G235" s="8">
        <v>-4347.9669499999991</v>
      </c>
      <c r="H235" s="8">
        <v>21009.840540000008</v>
      </c>
      <c r="I235" s="8">
        <v>-3094.9851599999993</v>
      </c>
      <c r="J235" s="8">
        <v>-3896.9918599999978</v>
      </c>
      <c r="K235" s="40">
        <f t="shared" si="544"/>
        <v>9669.8965700000117</v>
      </c>
      <c r="L235" s="8">
        <v>-5395.3501299999998</v>
      </c>
      <c r="M235" s="8">
        <v>-3328.5121299999946</v>
      </c>
      <c r="N235" s="8">
        <v>-13.452270000002045</v>
      </c>
      <c r="O235" s="8">
        <v>-3992.1438399999988</v>
      </c>
      <c r="P235" s="40">
        <f t="shared" si="545"/>
        <v>-12729.458369999995</v>
      </c>
      <c r="Q235" s="1">
        <v>20561.579280000002</v>
      </c>
      <c r="R235" s="1">
        <v>-18934.439989999999</v>
      </c>
      <c r="S235" s="1">
        <v>-3125.9393599999989</v>
      </c>
      <c r="T235" s="1">
        <v>-34841.719129999998</v>
      </c>
      <c r="U235" s="40">
        <v>-36340.519199999995</v>
      </c>
      <c r="V235" s="1">
        <v>4652.55555</v>
      </c>
      <c r="W235" s="1">
        <v>-314.48662999999965</v>
      </c>
      <c r="X235" s="1">
        <v>-1083.6901699999996</v>
      </c>
      <c r="Y235" s="1">
        <v>129.84749000000025</v>
      </c>
      <c r="Z235" s="40">
        <v>3384.2262400000009</v>
      </c>
      <c r="AA235" s="1">
        <v>-2265.1067599999992</v>
      </c>
      <c r="AB235" s="1">
        <v>-7244.9202300000015</v>
      </c>
      <c r="AC235" s="1">
        <v>1334.1609700000004</v>
      </c>
      <c r="AD235" s="1">
        <v>-8640.9790599999978</v>
      </c>
      <c r="AE235" s="40">
        <v>-16816.845079999999</v>
      </c>
      <c r="AF235" s="1">
        <v>-509.21107999999998</v>
      </c>
      <c r="AG235" s="1">
        <v>-7563.3521599999995</v>
      </c>
      <c r="AH235" s="1">
        <v>617.96623</v>
      </c>
      <c r="AI235" s="1">
        <v>967.50878</v>
      </c>
      <c r="AJ235" s="40">
        <f t="shared" si="546"/>
        <v>-6487.0882299999994</v>
      </c>
      <c r="AK235" s="1">
        <v>-1049.4977600000002</v>
      </c>
      <c r="AL235" s="1">
        <v>-506.51647999999994</v>
      </c>
      <c r="AM235" s="1">
        <v>755.24699999999996</v>
      </c>
      <c r="AN235" s="1">
        <v>3102.9582199999995</v>
      </c>
      <c r="AO235" s="40">
        <f t="shared" si="547"/>
        <v>2302.1909799999994</v>
      </c>
      <c r="AP235" s="1">
        <v>786.32672000000025</v>
      </c>
      <c r="AQ235" s="1">
        <v>-749.60971999999992</v>
      </c>
      <c r="AR235" s="1">
        <v>512.43433999999979</v>
      </c>
      <c r="AS235" s="1">
        <v>3056.8150000000001</v>
      </c>
      <c r="AT235" s="40">
        <f t="shared" si="548"/>
        <v>3605.9663399999999</v>
      </c>
      <c r="AU235" s="1">
        <v>1580.06782</v>
      </c>
      <c r="AV235" s="1">
        <v>1053.7934499999992</v>
      </c>
      <c r="AW235" s="1">
        <v>589.62121000000002</v>
      </c>
      <c r="AX235" s="1">
        <v>-556.34832999999981</v>
      </c>
      <c r="AY235" s="40">
        <f t="shared" si="543"/>
        <v>2667.1341499999999</v>
      </c>
      <c r="AZ235" s="8">
        <v>-793.67534999999998</v>
      </c>
    </row>
    <row r="236" spans="1:52" ht="14.85" customHeight="1">
      <c r="A236" s="54" t="s">
        <v>710</v>
      </c>
      <c r="B236" s="76"/>
      <c r="C236" s="76"/>
      <c r="D236" s="76"/>
      <c r="E236" s="76"/>
      <c r="F236" s="39"/>
      <c r="G236" s="76">
        <f t="shared" ref="G236" si="560">SUM(G231:G235)</f>
        <v>12834.401270000002</v>
      </c>
      <c r="H236" s="76">
        <f t="shared" ref="H236" si="561">SUM(H231:H235)</f>
        <v>8589.6021900000123</v>
      </c>
      <c r="I236" s="76">
        <f t="shared" ref="I236" si="562">SUM(I231:I235)</f>
        <v>14174.817640000027</v>
      </c>
      <c r="J236" s="76">
        <f t="shared" ref="J236" si="563">SUM(J231:J235)</f>
        <v>2928.5142199999996</v>
      </c>
      <c r="K236" s="39">
        <f t="shared" ref="K236" si="564">SUM(K231:K235)</f>
        <v>38527.335320000027</v>
      </c>
      <c r="L236" s="76">
        <f t="shared" ref="L236" si="565">SUM(L231:L235)</f>
        <v>12081.128250000002</v>
      </c>
      <c r="M236" s="76">
        <f t="shared" ref="M236" si="566">SUM(M231:M235)</f>
        <v>21153.964730000022</v>
      </c>
      <c r="N236" s="76">
        <f t="shared" ref="N236" si="567">SUM(N231:N235)</f>
        <v>28152.465880000011</v>
      </c>
      <c r="O236" s="76">
        <f t="shared" ref="O236" si="568">SUM(O231:O235)</f>
        <v>27937.067070000019</v>
      </c>
      <c r="P236" s="39">
        <f t="shared" ref="P236" si="569">SUM(P231:P235)</f>
        <v>89324.625930000097</v>
      </c>
      <c r="Q236" s="76">
        <v>7601.3990500000018</v>
      </c>
      <c r="R236" s="76">
        <v>66.612290000004577</v>
      </c>
      <c r="S236" s="76">
        <v>6853.3594900000062</v>
      </c>
      <c r="T236" s="76">
        <v>18976.719089999991</v>
      </c>
      <c r="U236" s="39">
        <v>33498.089920000042</v>
      </c>
      <c r="V236" s="76">
        <v>-10595.230729999999</v>
      </c>
      <c r="W236" s="76">
        <v>6029.6374099999985</v>
      </c>
      <c r="X236" s="76">
        <v>-6923.7920999999997</v>
      </c>
      <c r="Y236" s="76">
        <v>-4295.7204499999962</v>
      </c>
      <c r="Z236" s="39">
        <v>-15785.105869999996</v>
      </c>
      <c r="AA236" s="76">
        <v>7954.7372700000014</v>
      </c>
      <c r="AB236" s="76">
        <v>10328.644000000002</v>
      </c>
      <c r="AC236" s="76">
        <v>3498.496940000005</v>
      </c>
      <c r="AD236" s="76">
        <v>2711.4142700000029</v>
      </c>
      <c r="AE236" s="39">
        <v>24493.292480000004</v>
      </c>
      <c r="AF236" s="76">
        <f>SUM(AF231:AF235)</f>
        <v>492.51200999999816</v>
      </c>
      <c r="AG236" s="76">
        <f>SUM(AG231:AG235)</f>
        <v>7372.1486300000042</v>
      </c>
      <c r="AH236" s="76">
        <f>SUM(AH231:AH235)</f>
        <v>9151.6739100000013</v>
      </c>
      <c r="AI236" s="76">
        <f>SUM(AI231:AI235)</f>
        <v>1874.2469000000006</v>
      </c>
      <c r="AJ236" s="39">
        <f t="shared" si="546"/>
        <v>18890.581450000005</v>
      </c>
      <c r="AK236" s="76">
        <f>SUM(AK231:AK235)</f>
        <v>10461.026710000004</v>
      </c>
      <c r="AL236" s="76">
        <f t="shared" ref="AL236:AN236" si="570">SUM(AL231:AL235)</f>
        <v>12121.193970000002</v>
      </c>
      <c r="AM236" s="76">
        <f t="shared" si="570"/>
        <v>6966.1329999999998</v>
      </c>
      <c r="AN236" s="76">
        <f t="shared" si="570"/>
        <v>5358.2152699999942</v>
      </c>
      <c r="AO236" s="39">
        <f t="shared" si="547"/>
        <v>34906.568950000001</v>
      </c>
      <c r="AP236" s="76">
        <f>SUM(AP231:AP235)</f>
        <v>3089.0295999999998</v>
      </c>
      <c r="AQ236" s="76">
        <f>SUM(AQ231:AQ235)</f>
        <v>652.04694000000154</v>
      </c>
      <c r="AR236" s="76">
        <f>SUM(AR231:AR235)</f>
        <v>-458.27766000000338</v>
      </c>
      <c r="AS236" s="76">
        <f>SUM(AS231:AS235)</f>
        <v>-9231.7329999999984</v>
      </c>
      <c r="AT236" s="39">
        <f t="shared" si="548"/>
        <v>-5948.9341199999999</v>
      </c>
      <c r="AU236" s="76">
        <f>SUM(AU231:AU235)</f>
        <v>-4232.9258699999973</v>
      </c>
      <c r="AV236" s="76">
        <f>SUM(AV231:AV235)</f>
        <v>1735.487979999999</v>
      </c>
      <c r="AW236" s="76">
        <f t="shared" ref="AW236:AX236" si="571">SUM(AW231:AW235)</f>
        <v>-3422.6584199999998</v>
      </c>
      <c r="AX236" s="76">
        <f t="shared" si="571"/>
        <v>-328.86461999999938</v>
      </c>
      <c r="AY236" s="39">
        <f t="shared" si="543"/>
        <v>-6248.9609299999975</v>
      </c>
      <c r="AZ236" s="76">
        <f t="shared" ref="AZ236" si="572">SUM(AZ231:AZ235)</f>
        <v>5044.5112799999988</v>
      </c>
    </row>
    <row r="237" spans="1:52" ht="14.85" customHeight="1">
      <c r="A237" s="17" t="s">
        <v>711</v>
      </c>
      <c r="B237" s="18"/>
      <c r="C237" s="18"/>
      <c r="D237" s="18"/>
      <c r="E237" s="18"/>
      <c r="F237" s="46"/>
      <c r="G237" s="18">
        <f t="shared" ref="G237:J237" si="573">-G232/G231</f>
        <v>0.68376883644650233</v>
      </c>
      <c r="H237" s="18">
        <f t="shared" si="573"/>
        <v>0.9145466914637076</v>
      </c>
      <c r="I237" s="18">
        <f t="shared" si="573"/>
        <v>0.61113936927610679</v>
      </c>
      <c r="J237" s="18">
        <f t="shared" si="573"/>
        <v>0.60829026400708963</v>
      </c>
      <c r="K237" s="46">
        <f t="shared" ref="K237:P237" si="574">-K232/K231</f>
        <v>0.709766035552445</v>
      </c>
      <c r="L237" s="18">
        <f t="shared" si="574"/>
        <v>0.58049713607338949</v>
      </c>
      <c r="M237" s="18">
        <f t="shared" si="574"/>
        <v>0.41200502625893959</v>
      </c>
      <c r="N237" s="18">
        <f t="shared" si="574"/>
        <v>0.37309484363729017</v>
      </c>
      <c r="O237" s="18">
        <f t="shared" si="574"/>
        <v>0.20295092529452982</v>
      </c>
      <c r="P237" s="46">
        <f t="shared" si="574"/>
        <v>0.40993401583906247</v>
      </c>
      <c r="Q237" s="18">
        <v>1.2532142130096926</v>
      </c>
      <c r="R237" s="18">
        <v>-9.0242691343761228E-2</v>
      </c>
      <c r="S237" s="18">
        <v>0.25332818217425568</v>
      </c>
      <c r="T237" s="18">
        <v>-1.4573575953698716</v>
      </c>
      <c r="U237" s="46">
        <v>6.4947188803116285E-2</v>
      </c>
      <c r="V237" s="18">
        <v>1.4469194259775235</v>
      </c>
      <c r="W237" s="18">
        <v>4.5759867235477147E-2</v>
      </c>
      <c r="X237" s="18">
        <v>0.26843481779600514</v>
      </c>
      <c r="Y237" s="18">
        <v>0.45034257899767832</v>
      </c>
      <c r="Z237" s="46">
        <v>0.42174753290122363</v>
      </c>
      <c r="AA237" s="18">
        <v>-0.45151546568868201</v>
      </c>
      <c r="AB237" s="18">
        <v>-0.49289731805574211</v>
      </c>
      <c r="AC237" s="169">
        <v>0.23799235943464372</v>
      </c>
      <c r="AD237" s="169">
        <v>-0.3935986062555471</v>
      </c>
      <c r="AE237" s="46">
        <v>-0.27752949083231915</v>
      </c>
      <c r="AF237" s="169">
        <f t="shared" ref="AF237:AJ237" si="575">-AF232/AF231</f>
        <v>0.35576136966471561</v>
      </c>
      <c r="AG237" s="169">
        <f t="shared" si="575"/>
        <v>-0.64754256544098521</v>
      </c>
      <c r="AH237" s="169">
        <f t="shared" si="575"/>
        <v>-3.1496327614911258E-2</v>
      </c>
      <c r="AI237" s="169">
        <f t="shared" si="575"/>
        <v>0.73509324319587233</v>
      </c>
      <c r="AJ237" s="46">
        <f t="shared" si="575"/>
        <v>0.14386317613594651</v>
      </c>
      <c r="AK237" s="169">
        <f t="shared" ref="AK237:AN237" si="576">-AK232/AK231</f>
        <v>0.16232286642053337</v>
      </c>
      <c r="AL237" s="169">
        <f t="shared" si="576"/>
        <v>-4.0304038897146212E-2</v>
      </c>
      <c r="AM237" s="169">
        <f t="shared" si="576"/>
        <v>0.15398949986680388</v>
      </c>
      <c r="AN237" s="169">
        <f t="shared" si="576"/>
        <v>0.25050593858778664</v>
      </c>
      <c r="AO237" s="46">
        <f>-AO232/AO231</f>
        <v>0.1235863832062027</v>
      </c>
      <c r="AP237" s="169">
        <f t="shared" ref="AP237" si="577">-AP232/AP231</f>
        <v>0.37292431636572054</v>
      </c>
      <c r="AQ237" s="169">
        <f t="shared" ref="AQ237:AV237" si="578">-AQ232/AQ231</f>
        <v>0.22073527318999647</v>
      </c>
      <c r="AR237" s="169">
        <f t="shared" si="578"/>
        <v>0.45160695026266051</v>
      </c>
      <c r="AS237" s="169">
        <f t="shared" si="578"/>
        <v>1.4827020617130304</v>
      </c>
      <c r="AT237" s="46">
        <f t="shared" si="578"/>
        <v>0.56029756496848815</v>
      </c>
      <c r="AU237" s="169">
        <f t="shared" si="578"/>
        <v>1.0710900347051711</v>
      </c>
      <c r="AV237" s="169">
        <f t="shared" si="578"/>
        <v>0.64442110889560766</v>
      </c>
      <c r="AW237" s="169">
        <f t="shared" ref="AW237:AX237" si="579">-AW232/AW231</f>
        <v>0.30406511739786751</v>
      </c>
      <c r="AX237" s="169">
        <f t="shared" si="579"/>
        <v>0.15779142815341907</v>
      </c>
      <c r="AY237" s="46">
        <f>-AY232/AY231</f>
        <v>0.53112817559367642</v>
      </c>
      <c r="AZ237" s="169">
        <f t="shared" ref="AZ237" si="580">-AZ232/AZ231</f>
        <v>-0.15228593688964831</v>
      </c>
    </row>
    <row r="238" spans="1:52" ht="14.85" customHeight="1" thickBot="1">
      <c r="A238" s="17" t="s">
        <v>712</v>
      </c>
      <c r="B238" s="18"/>
      <c r="C238" s="18"/>
      <c r="D238" s="18"/>
      <c r="E238" s="18"/>
      <c r="F238" s="48"/>
      <c r="G238" s="18">
        <f t="shared" ref="G238:J238" si="581">-G233/G231</f>
        <v>7.5186662453752509E-2</v>
      </c>
      <c r="H238" s="18">
        <f t="shared" si="581"/>
        <v>0.10489627777804968</v>
      </c>
      <c r="I238" s="18">
        <f t="shared" si="581"/>
        <v>0.110346183099357</v>
      </c>
      <c r="J238" s="18">
        <f t="shared" si="581"/>
        <v>0.12689563715283392</v>
      </c>
      <c r="K238" s="48">
        <f t="shared" ref="K238:P238" si="582">-K233/K231</f>
        <v>0.10029555303996247</v>
      </c>
      <c r="L238" s="18">
        <f t="shared" si="582"/>
        <v>0.10107371185340037</v>
      </c>
      <c r="M238" s="18">
        <f t="shared" si="582"/>
        <v>0.13925488575546088</v>
      </c>
      <c r="N238" s="18">
        <f t="shared" si="582"/>
        <v>0.15629848313310032</v>
      </c>
      <c r="O238" s="18">
        <f t="shared" si="582"/>
        <v>0.18139724633589424</v>
      </c>
      <c r="P238" s="48">
        <f t="shared" si="582"/>
        <v>0.1405000938571753</v>
      </c>
      <c r="Q238" s="18">
        <v>0.12849057814145462</v>
      </c>
      <c r="R238" s="18">
        <v>0.1849997914934951</v>
      </c>
      <c r="S238" s="18">
        <v>0.20652367616850822</v>
      </c>
      <c r="T238" s="18">
        <v>0.19296001528089227</v>
      </c>
      <c r="U238" s="48">
        <v>0.17468157068708892</v>
      </c>
      <c r="V238" s="18">
        <v>0.61191153188015612</v>
      </c>
      <c r="W238" s="18">
        <v>0.27816491328584403</v>
      </c>
      <c r="X238" s="18">
        <v>0.33700229209723487</v>
      </c>
      <c r="Y238" s="18">
        <v>0.3447425788559268</v>
      </c>
      <c r="Z238" s="48">
        <v>0.36121173869542755</v>
      </c>
      <c r="AA238" s="18">
        <v>0.27751349330312497</v>
      </c>
      <c r="AB238" s="18">
        <v>0.25956596425791156</v>
      </c>
      <c r="AC238" s="169">
        <v>0.28742484539328678</v>
      </c>
      <c r="AD238" s="169">
        <v>0.25817191186652444</v>
      </c>
      <c r="AE238" s="48">
        <v>0.27066199084069109</v>
      </c>
      <c r="AF238" s="169">
        <f t="shared" ref="AF238:AJ238" si="583">-AF233/AF231</f>
        <v>0.25157609913544071</v>
      </c>
      <c r="AG238" s="169">
        <f t="shared" si="583"/>
        <v>0.19420972601814512</v>
      </c>
      <c r="AH238" s="169">
        <f t="shared" si="583"/>
        <v>0.1516300818304068</v>
      </c>
      <c r="AI238" s="169">
        <f t="shared" si="583"/>
        <v>0.11798268908977139</v>
      </c>
      <c r="AJ238" s="48">
        <f t="shared" si="583"/>
        <v>0.17056550862576059</v>
      </c>
      <c r="AK238" s="169">
        <f t="shared" ref="AK238:AN238" si="584">-AK233/AK231</f>
        <v>0.10433287320631748</v>
      </c>
      <c r="AL238" s="169">
        <f t="shared" si="584"/>
        <v>0.11183172264796665</v>
      </c>
      <c r="AM238" s="169">
        <f t="shared" si="584"/>
        <v>0.11420998357798777</v>
      </c>
      <c r="AN238" s="169">
        <f t="shared" si="584"/>
        <v>9.647331006222247E-2</v>
      </c>
      <c r="AO238" s="48">
        <f>-AO233/AO231</f>
        <v>0.10698167128692247</v>
      </c>
      <c r="AP238" s="169">
        <f t="shared" ref="AP238" si="585">-AP233/AP231</f>
        <v>0.11294982904876955</v>
      </c>
      <c r="AQ238" s="169">
        <f t="shared" ref="AQ238:AV238" si="586">-AQ233/AQ231</f>
        <v>0.15172579856121993</v>
      </c>
      <c r="AR238" s="169">
        <f t="shared" si="586"/>
        <v>0.1576262518206871</v>
      </c>
      <c r="AS238" s="169">
        <f t="shared" si="586"/>
        <v>0.16491037614312681</v>
      </c>
      <c r="AT238" s="48">
        <f t="shared" si="586"/>
        <v>0.14459795908448145</v>
      </c>
      <c r="AU238" s="169">
        <f t="shared" si="586"/>
        <v>0.22092957538892527</v>
      </c>
      <c r="AV238" s="169">
        <f t="shared" si="586"/>
        <v>0.21565066043625297</v>
      </c>
      <c r="AW238" s="169">
        <f t="shared" ref="AW238:AX238" si="587">-AW233/AW231</f>
        <v>0.28967022355503119</v>
      </c>
      <c r="AX238" s="169">
        <f t="shared" si="587"/>
        <v>0.2408248320234847</v>
      </c>
      <c r="AY238" s="48">
        <f>-AY233/AY231</f>
        <v>0.2423435577198452</v>
      </c>
      <c r="AZ238" s="169">
        <f t="shared" ref="AZ238" si="588">-AZ233/AZ231</f>
        <v>0.2397960006787504</v>
      </c>
    </row>
    <row r="239" spans="1:52" ht="30">
      <c r="A239" s="787" t="s">
        <v>729</v>
      </c>
    </row>
    <row r="240" spans="1:52" ht="14.85" customHeight="1">
      <c r="A240" s="350" t="s">
        <v>745</v>
      </c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E240"/>
      <c r="AJ240"/>
      <c r="AO240"/>
      <c r="AT240"/>
      <c r="AY240"/>
      <c r="AZ240"/>
    </row>
    <row r="241" spans="1:1" ht="14.85" customHeight="1">
      <c r="A241" s="414" t="s">
        <v>746</v>
      </c>
    </row>
    <row r="276" spans="8:12" ht="14.85" customHeight="1">
      <c r="H276">
        <v>0</v>
      </c>
      <c r="I276">
        <v>0</v>
      </c>
      <c r="J276">
        <v>0</v>
      </c>
      <c r="K276"/>
      <c r="L276">
        <v>0</v>
      </c>
    </row>
    <row r="277" spans="8:12" ht="14.85" customHeight="1">
      <c r="H277">
        <v>0</v>
      </c>
      <c r="I277">
        <v>0</v>
      </c>
      <c r="J277">
        <v>0</v>
      </c>
      <c r="K277"/>
      <c r="L277">
        <v>0</v>
      </c>
    </row>
    <row r="278" spans="8:12" ht="14.85" customHeight="1">
      <c r="H278">
        <v>0</v>
      </c>
      <c r="I278">
        <v>0</v>
      </c>
      <c r="J278">
        <v>0</v>
      </c>
      <c r="K278"/>
      <c r="L278">
        <v>0</v>
      </c>
    </row>
    <row r="279" spans="8:12" ht="14.85" customHeight="1">
      <c r="H279">
        <v>0</v>
      </c>
      <c r="I279">
        <v>0</v>
      </c>
      <c r="J279">
        <v>0</v>
      </c>
      <c r="K279"/>
      <c r="L279">
        <v>0</v>
      </c>
    </row>
    <row r="280" spans="8:12" ht="14.85" customHeight="1">
      <c r="H280">
        <v>0</v>
      </c>
      <c r="I280">
        <v>0</v>
      </c>
      <c r="J280">
        <v>0</v>
      </c>
      <c r="K280"/>
      <c r="L280">
        <v>0</v>
      </c>
    </row>
    <row r="281" spans="8:12" ht="14.85" customHeight="1">
      <c r="H281">
        <v>0</v>
      </c>
      <c r="I281">
        <v>0</v>
      </c>
      <c r="J281">
        <v>0</v>
      </c>
      <c r="K281"/>
      <c r="L281">
        <v>0</v>
      </c>
    </row>
    <row r="282" spans="8:12" ht="14.85" customHeight="1">
      <c r="H282">
        <v>0</v>
      </c>
      <c r="I282">
        <v>0</v>
      </c>
      <c r="J282">
        <v>0</v>
      </c>
      <c r="K282"/>
      <c r="L282">
        <v>0</v>
      </c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L92 AK92 AL140 AJ90:AJ97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2FAC-87C9-4BB8-BE90-8EFF729410A5}">
  <dimension ref="A1:BB117"/>
  <sheetViews>
    <sheetView showGridLines="0" showRowColHeaders="0" zoomScale="75" zoomScaleNormal="75" workbookViewId="0">
      <pane xSplit="1" ySplit="4" topLeftCell="AU5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14.42578125" defaultRowHeight="15" outlineLevelCol="1"/>
  <cols>
    <col min="1" max="1" width="78" style="20" bestFit="1" customWidth="1"/>
    <col min="2" max="5" width="0" style="20" hidden="1" customWidth="1" outlineLevel="1"/>
    <col min="6" max="6" width="0" style="20" hidden="1" customWidth="1" collapsed="1"/>
    <col min="7" max="10" width="0" style="20" hidden="1" customWidth="1" outlineLevel="1"/>
    <col min="11" max="11" width="0" style="20" hidden="1" customWidth="1" collapsed="1"/>
    <col min="12" max="15" width="0" style="20" hidden="1" customWidth="1" outlineLevel="1"/>
    <col min="16" max="16" width="0" style="20" hidden="1" customWidth="1" collapsed="1"/>
    <col min="17" max="20" width="14.42578125" style="20" hidden="1" customWidth="1" outlineLevel="1"/>
    <col min="21" max="21" width="14.42578125" style="20" bestFit="1" customWidth="1" collapsed="1"/>
    <col min="22" max="25" width="14.42578125" style="20" hidden="1" customWidth="1" outlineLevel="1"/>
    <col min="26" max="26" width="14.42578125" style="20" collapsed="1"/>
    <col min="27" max="28" width="14.42578125" style="20" hidden="1" customWidth="1" outlineLevel="1"/>
    <col min="29" max="30" width="14.42578125" hidden="1" customWidth="1" outlineLevel="1"/>
    <col min="31" max="31" width="14.42578125" collapsed="1"/>
    <col min="32" max="35" width="14.42578125" hidden="1" customWidth="1" outlineLevel="1"/>
    <col min="36" max="36" width="14.42578125" collapsed="1"/>
    <col min="37" max="38" width="16.42578125" hidden="1" customWidth="1" outlineLevel="1"/>
    <col min="39" max="40" width="17.42578125" hidden="1" customWidth="1" outlineLevel="1"/>
    <col min="41" max="41" width="13.42578125" bestFit="1" customWidth="1" collapsed="1"/>
    <col min="42" max="43" width="16.42578125" hidden="1" customWidth="1" outlineLevel="1"/>
    <col min="44" max="44" width="14.42578125" hidden="1" customWidth="1" outlineLevel="1"/>
    <col min="45" max="45" width="15.42578125" hidden="1" customWidth="1" outlineLevel="1"/>
    <col min="46" max="46" width="13.42578125" bestFit="1" customWidth="1" collapsed="1"/>
    <col min="47" max="50" width="15.42578125" customWidth="1" outlineLevel="1"/>
    <col min="51" max="51" width="16.42578125" bestFit="1" customWidth="1"/>
    <col min="52" max="52" width="16.42578125" customWidth="1"/>
    <col min="53" max="53" width="14.42578125" customWidth="1"/>
  </cols>
  <sheetData>
    <row r="1" spans="1:54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31"/>
      <c r="AZ1" s="630"/>
    </row>
    <row r="2" spans="1:54" ht="1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32"/>
      <c r="AZ2" s="630"/>
    </row>
    <row r="3" spans="1:54" ht="50.1" customHeight="1">
      <c r="A3" s="635" t="s">
        <v>772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31"/>
      <c r="AZ3" s="630"/>
    </row>
    <row r="4" spans="1:54" s="20" customFormat="1" ht="10.15" customHeight="1" thickBot="1">
      <c r="A4" s="50"/>
    </row>
    <row r="5" spans="1:54" s="30" customFormat="1" ht="24.4" customHeight="1">
      <c r="A5" s="625" t="s">
        <v>773</v>
      </c>
      <c r="B5" s="626" t="s">
        <v>224</v>
      </c>
      <c r="C5" s="626" t="s">
        <v>225</v>
      </c>
      <c r="D5" s="626" t="s">
        <v>226</v>
      </c>
      <c r="E5" s="626" t="s">
        <v>227</v>
      </c>
      <c r="F5" s="652">
        <v>2016</v>
      </c>
      <c r="G5" s="626" t="s">
        <v>228</v>
      </c>
      <c r="H5" s="626" t="s">
        <v>229</v>
      </c>
      <c r="I5" s="626" t="s">
        <v>230</v>
      </c>
      <c r="J5" s="626" t="s">
        <v>231</v>
      </c>
      <c r="K5" s="652">
        <v>2017</v>
      </c>
      <c r="L5" s="626" t="s">
        <v>232</v>
      </c>
      <c r="M5" s="626" t="s">
        <v>233</v>
      </c>
      <c r="N5" s="626" t="s">
        <v>234</v>
      </c>
      <c r="O5" s="626" t="s">
        <v>235</v>
      </c>
      <c r="P5" s="652">
        <v>2018</v>
      </c>
      <c r="Q5" s="626" t="s">
        <v>236</v>
      </c>
      <c r="R5" s="626" t="s">
        <v>237</v>
      </c>
      <c r="S5" s="626" t="s">
        <v>238</v>
      </c>
      <c r="T5" s="626" t="s">
        <v>239</v>
      </c>
      <c r="U5" s="652">
        <v>2019</v>
      </c>
      <c r="V5" s="626" t="s">
        <v>240</v>
      </c>
      <c r="W5" s="626" t="s">
        <v>241</v>
      </c>
      <c r="X5" s="626" t="s">
        <v>242</v>
      </c>
      <c r="Y5" s="626" t="s">
        <v>243</v>
      </c>
      <c r="Z5" s="652">
        <v>2020</v>
      </c>
      <c r="AA5" s="626" t="s">
        <v>244</v>
      </c>
      <c r="AB5" s="626" t="s">
        <v>245</v>
      </c>
      <c r="AC5" s="626" t="s">
        <v>246</v>
      </c>
      <c r="AD5" s="626" t="s">
        <v>247</v>
      </c>
      <c r="AE5" s="652">
        <v>2021</v>
      </c>
      <c r="AF5" s="626" t="s">
        <v>248</v>
      </c>
      <c r="AG5" s="626" t="s">
        <v>249</v>
      </c>
      <c r="AH5" s="626" t="s">
        <v>250</v>
      </c>
      <c r="AI5" s="626" t="s">
        <v>215</v>
      </c>
      <c r="AJ5" s="652">
        <v>2022</v>
      </c>
      <c r="AK5" s="626" t="s">
        <v>252</v>
      </c>
      <c r="AL5" s="626" t="s">
        <v>253</v>
      </c>
      <c r="AM5" s="626" t="s">
        <v>254</v>
      </c>
      <c r="AN5" s="626" t="s">
        <v>219</v>
      </c>
      <c r="AO5" s="652">
        <v>2023</v>
      </c>
      <c r="AP5" s="626" t="s">
        <v>223</v>
      </c>
      <c r="AQ5" s="626" t="s">
        <v>256</v>
      </c>
      <c r="AR5" s="626" t="s">
        <v>357</v>
      </c>
      <c r="AS5" s="626" t="s">
        <v>358</v>
      </c>
      <c r="AT5" s="652">
        <v>2024</v>
      </c>
      <c r="AU5" s="626" t="s">
        <v>359</v>
      </c>
      <c r="AV5" s="626" t="s">
        <v>1115</v>
      </c>
      <c r="AW5" s="626" t="s">
        <v>1116</v>
      </c>
      <c r="AX5" s="626" t="s">
        <v>1117</v>
      </c>
      <c r="AY5" s="653" t="s">
        <v>1118</v>
      </c>
      <c r="AZ5" s="645" t="s">
        <v>1124</v>
      </c>
    </row>
    <row r="6" spans="1:54">
      <c r="A6" s="9" t="s">
        <v>774</v>
      </c>
      <c r="B6" s="76"/>
      <c r="C6" s="76"/>
      <c r="D6" s="76"/>
      <c r="E6" s="76"/>
      <c r="F6" s="39">
        <v>0</v>
      </c>
      <c r="G6" s="76">
        <v>2612025.3624999998</v>
      </c>
      <c r="H6" s="76">
        <v>2656948.0000200006</v>
      </c>
      <c r="I6" s="76">
        <v>3285569.6003300003</v>
      </c>
      <c r="J6" s="76">
        <v>3277290.7899799999</v>
      </c>
      <c r="K6" s="39">
        <v>11831833.752830001</v>
      </c>
      <c r="L6" s="76">
        <v>3861480.2303900002</v>
      </c>
      <c r="M6" s="76">
        <v>4199345.2980500003</v>
      </c>
      <c r="N6" s="76">
        <v>3730758.7188200001</v>
      </c>
      <c r="O6" s="76">
        <v>4235656.4050099999</v>
      </c>
      <c r="P6" s="39">
        <v>16027240.65227</v>
      </c>
      <c r="Q6" s="76">
        <v>4681016.349539998</v>
      </c>
      <c r="R6" s="76">
        <v>5226553.4184999987</v>
      </c>
      <c r="S6" s="76">
        <v>5857832.6830099989</v>
      </c>
      <c r="T6" s="76">
        <v>6188679.2895699991</v>
      </c>
      <c r="U6" s="39">
        <v>21954081.740619995</v>
      </c>
      <c r="V6" s="76">
        <v>5235119.8450999996</v>
      </c>
      <c r="W6" s="76">
        <v>2801411.0165800001</v>
      </c>
      <c r="X6" s="76">
        <v>8158889.6783899991</v>
      </c>
      <c r="Y6" s="76">
        <v>8898622.9626099989</v>
      </c>
      <c r="Z6" s="39">
        <v>25094043.502679996</v>
      </c>
      <c r="AA6" s="76">
        <v>7409300.5753699997</v>
      </c>
      <c r="AB6" s="76">
        <v>7775872.8756799996</v>
      </c>
      <c r="AC6" s="76">
        <v>7910503.3983000005</v>
      </c>
      <c r="AD6" s="76">
        <v>9156501.6232499983</v>
      </c>
      <c r="AE6" s="39">
        <v>32252178.472599998</v>
      </c>
      <c r="AF6" s="76">
        <v>8482819.4517899994</v>
      </c>
      <c r="AG6" s="76">
        <v>8634567.7967400011</v>
      </c>
      <c r="AH6" s="76">
        <v>8502364.4296099991</v>
      </c>
      <c r="AI6" s="76">
        <v>5727605.234459999</v>
      </c>
      <c r="AJ6" s="39">
        <f>SUM(AF6:AI6)</f>
        <v>31347356.912599999</v>
      </c>
      <c r="AK6" s="76">
        <f t="shared" ref="AK6:AQ6" si="0">AK7+AK8</f>
        <v>6287922.2304199999</v>
      </c>
      <c r="AL6" s="76">
        <f t="shared" si="0"/>
        <v>6520233.7278999994</v>
      </c>
      <c r="AM6" s="76">
        <f t="shared" si="0"/>
        <v>6570651.2854599999</v>
      </c>
      <c r="AN6" s="76">
        <f t="shared" si="0"/>
        <v>6049293.5280400002</v>
      </c>
      <c r="AO6" s="39">
        <f>SUM(AK6:AN6)</f>
        <v>25428100.771819998</v>
      </c>
      <c r="AP6" s="76">
        <f t="shared" si="0"/>
        <v>6441987</v>
      </c>
      <c r="AQ6" s="76">
        <f t="shared" si="0"/>
        <v>6003210</v>
      </c>
      <c r="AR6" s="76">
        <f>AR7+AR8</f>
        <v>6727816</v>
      </c>
      <c r="AS6" s="76">
        <f>AS7+AS8</f>
        <v>7362720</v>
      </c>
      <c r="AT6" s="39">
        <f>SUM(AP6:AS6)</f>
        <v>26535733</v>
      </c>
      <c r="AU6" s="76">
        <f>AU7+AU8</f>
        <v>6991300</v>
      </c>
      <c r="AV6" s="76">
        <f>AV7+AV8</f>
        <v>5689475</v>
      </c>
      <c r="AW6" s="76">
        <f>AW7+AW8</f>
        <v>7088437</v>
      </c>
      <c r="AX6" s="76">
        <f>AX7+AX8</f>
        <v>6483476</v>
      </c>
      <c r="AY6" s="39">
        <f t="shared" ref="AY6:AY17" si="1">SUM(AU6:AX6)</f>
        <v>26252688</v>
      </c>
      <c r="AZ6" s="76">
        <f>AZ7+AZ8</f>
        <v>6651786</v>
      </c>
      <c r="BA6" s="114"/>
      <c r="BB6" s="525"/>
    </row>
    <row r="7" spans="1:54">
      <c r="A7" s="11" t="s">
        <v>775</v>
      </c>
      <c r="B7" s="8"/>
      <c r="C7" s="8"/>
      <c r="D7" s="8"/>
      <c r="E7" s="8"/>
      <c r="F7" s="40"/>
      <c r="G7" s="8">
        <v>2581797.6648900001</v>
      </c>
      <c r="H7" s="8">
        <v>2614161.2647799999</v>
      </c>
      <c r="I7" s="8">
        <v>3251127.2670500004</v>
      </c>
      <c r="J7" s="8">
        <v>3242016.4961799993</v>
      </c>
      <c r="K7" s="40">
        <v>11689102.6929</v>
      </c>
      <c r="L7" s="8">
        <v>3824656.9864300005</v>
      </c>
      <c r="M7" s="8">
        <v>4160659.2593499995</v>
      </c>
      <c r="N7" s="8">
        <v>3691509.6031899997</v>
      </c>
      <c r="O7" s="8">
        <v>4196901.4604500011</v>
      </c>
      <c r="P7" s="40">
        <v>15873727.309420001</v>
      </c>
      <c r="Q7" s="1">
        <v>4638144.1130400002</v>
      </c>
      <c r="R7" s="1">
        <v>5185057.1767499996</v>
      </c>
      <c r="S7" s="1">
        <v>5817083.5121399993</v>
      </c>
      <c r="T7" s="1">
        <v>6147941.0226800004</v>
      </c>
      <c r="U7" s="40">
        <v>21788225.824609999</v>
      </c>
      <c r="V7" s="1">
        <v>5195986.6523199994</v>
      </c>
      <c r="W7" s="1">
        <v>2762735.1909899996</v>
      </c>
      <c r="X7" s="1">
        <v>8120337.1197699998</v>
      </c>
      <c r="Y7" s="1">
        <v>8860662.3055299986</v>
      </c>
      <c r="Z7" s="40">
        <v>24939721.268609997</v>
      </c>
      <c r="AA7" s="1">
        <v>7371705.3895699997</v>
      </c>
      <c r="AB7" s="1">
        <v>7737737.2083199993</v>
      </c>
      <c r="AC7" s="1">
        <v>7871224.1222199993</v>
      </c>
      <c r="AD7" s="1">
        <v>9115536.4638000019</v>
      </c>
      <c r="AE7" s="40">
        <v>32096203.183910001</v>
      </c>
      <c r="AF7" s="1">
        <v>8442586.6142100003</v>
      </c>
      <c r="AG7" s="1">
        <v>8592893.4497200008</v>
      </c>
      <c r="AH7" s="1">
        <v>8460730.73594</v>
      </c>
      <c r="AI7" s="1">
        <v>5685634.1959699998</v>
      </c>
      <c r="AJ7" s="40">
        <f>SUM(AF7:AI7)</f>
        <v>31181844.995839998</v>
      </c>
      <c r="AK7" s="1">
        <v>6246809.0773299998</v>
      </c>
      <c r="AL7" s="1">
        <v>6478923.4879099997</v>
      </c>
      <c r="AM7" s="1">
        <v>6528761.69704</v>
      </c>
      <c r="AN7" s="1">
        <v>6007835.5417499999</v>
      </c>
      <c r="AO7" s="40">
        <f>SUM(AK7:AN7)</f>
        <v>25262329.804029997</v>
      </c>
      <c r="AP7" s="1">
        <f>'DRE NOVAS PARCERIAS CAIXA'!AQ30</f>
        <v>6401413</v>
      </c>
      <c r="AQ7" s="1">
        <f>'DRE NOVAS PARCERIAS CAIXA'!AR30</f>
        <v>5963198</v>
      </c>
      <c r="AR7" s="1">
        <f>'DRE NOVAS PARCERIAS CAIXA'!AS30</f>
        <v>6688094</v>
      </c>
      <c r="AS7" s="1">
        <f>'DRE NOVAS PARCERIAS CAIXA'!AT30</f>
        <v>7323617</v>
      </c>
      <c r="AT7" s="40">
        <f>SUM(AP7:AS7)</f>
        <v>26376322</v>
      </c>
      <c r="AU7" s="1">
        <f>'DRE NOVAS PARCERIAS CAIXA'!AV30</f>
        <v>6953452</v>
      </c>
      <c r="AV7" s="1">
        <f>'DRE NOVAS PARCERIAS CAIXA'!AW30</f>
        <v>5652132</v>
      </c>
      <c r="AW7" s="1">
        <f>'DRE NOVAS PARCERIAS CAIXA'!AX30</f>
        <v>7051216</v>
      </c>
      <c r="AX7" s="1">
        <f>'DRE NOVAS PARCERIAS CAIXA'!AY30</f>
        <v>6446632</v>
      </c>
      <c r="AY7" s="40">
        <f>SUM(AU7:AX7)</f>
        <v>26103432</v>
      </c>
      <c r="AZ7" s="1">
        <f>'DRE NOVAS PARCERIAS CAIXA'!BA30</f>
        <v>6616065</v>
      </c>
      <c r="BA7" s="114"/>
    </row>
    <row r="8" spans="1:54">
      <c r="A8" s="11" t="s">
        <v>776</v>
      </c>
      <c r="B8" s="8"/>
      <c r="C8" s="8"/>
      <c r="D8" s="8"/>
      <c r="E8" s="8"/>
      <c r="F8" s="40"/>
      <c r="G8" s="8">
        <v>30227.697609999999</v>
      </c>
      <c r="H8" s="8">
        <v>42786.735240000002</v>
      </c>
      <c r="I8" s="8">
        <v>34442.333279999999</v>
      </c>
      <c r="J8" s="8">
        <v>35274.293799999999</v>
      </c>
      <c r="K8" s="40">
        <v>142731.05992999999</v>
      </c>
      <c r="L8" s="8">
        <v>36823.243959999993</v>
      </c>
      <c r="M8" s="8">
        <v>38686.038699999997</v>
      </c>
      <c r="N8" s="8">
        <v>39249.115630000008</v>
      </c>
      <c r="O8" s="8">
        <v>38754.944559999989</v>
      </c>
      <c r="P8" s="40">
        <v>153513.34285000002</v>
      </c>
      <c r="Q8" s="1">
        <v>42872.236499999999</v>
      </c>
      <c r="R8" s="1">
        <v>41496.241750000001</v>
      </c>
      <c r="S8" s="1">
        <v>40749.170870000002</v>
      </c>
      <c r="T8" s="1">
        <v>40738.266889999999</v>
      </c>
      <c r="U8" s="40">
        <v>165855.91600999999</v>
      </c>
      <c r="V8" s="1">
        <v>39133.192779999998</v>
      </c>
      <c r="W8" s="1">
        <v>38675.82559</v>
      </c>
      <c r="X8" s="1">
        <v>38552.558619999996</v>
      </c>
      <c r="Y8" s="1">
        <v>37960.657079999997</v>
      </c>
      <c r="Z8" s="40">
        <v>154322.23407000001</v>
      </c>
      <c r="AA8" s="1">
        <v>37595.185799999999</v>
      </c>
      <c r="AB8" s="1">
        <v>38135.667359999999</v>
      </c>
      <c r="AC8" s="1">
        <v>39279.276079999996</v>
      </c>
      <c r="AD8" s="1">
        <v>40965.159450000006</v>
      </c>
      <c r="AE8" s="40">
        <v>155975.28869000002</v>
      </c>
      <c r="AF8" s="1">
        <v>40232.837579999999</v>
      </c>
      <c r="AG8" s="1">
        <v>41674.347020000001</v>
      </c>
      <c r="AH8" s="1">
        <v>41633.693670000001</v>
      </c>
      <c r="AI8" s="1">
        <v>41971.038489999992</v>
      </c>
      <c r="AJ8" s="40">
        <f>SUM(AF8:AI8)</f>
        <v>165511.91675999999</v>
      </c>
      <c r="AK8" s="1">
        <v>41113.153090000007</v>
      </c>
      <c r="AL8" s="1">
        <v>41310.239989999995</v>
      </c>
      <c r="AM8" s="1">
        <v>41889.58842</v>
      </c>
      <c r="AN8" s="1">
        <v>41457.986290000001</v>
      </c>
      <c r="AO8" s="40">
        <f>SUM(AK8:AN8)</f>
        <v>165770.96779000002</v>
      </c>
      <c r="AP8" s="1">
        <f>'DRE NOVAS PARCERIAS CAIXA'!AQ40</f>
        <v>40574</v>
      </c>
      <c r="AQ8" s="1">
        <f>'DRE NOVAS PARCERIAS CAIXA'!AR40</f>
        <v>40012</v>
      </c>
      <c r="AR8" s="1">
        <f>'DRE NOVAS PARCERIAS CAIXA'!AS40</f>
        <v>39722</v>
      </c>
      <c r="AS8" s="1">
        <f>'DRE NOVAS PARCERIAS CAIXA'!AT40</f>
        <v>39103</v>
      </c>
      <c r="AT8" s="40">
        <f>SUM(AP8:AS8)</f>
        <v>159411</v>
      </c>
      <c r="AU8" s="1">
        <f>'DRE NOVAS PARCERIAS CAIXA'!AV40</f>
        <v>37848</v>
      </c>
      <c r="AV8" s="1">
        <f>'DRE NOVAS PARCERIAS CAIXA'!AW40</f>
        <v>37343</v>
      </c>
      <c r="AW8" s="1">
        <f>'DRE NOVAS PARCERIAS CAIXA'!AX40</f>
        <v>37221</v>
      </c>
      <c r="AX8" s="1">
        <f>'DRE NOVAS PARCERIAS CAIXA'!AY40</f>
        <v>36844</v>
      </c>
      <c r="AY8" s="40">
        <f t="shared" si="1"/>
        <v>149256</v>
      </c>
      <c r="AZ8" s="1">
        <f>'DRE NOVAS PARCERIAS CAIXA'!BA40</f>
        <v>35721</v>
      </c>
      <c r="BA8" s="114"/>
    </row>
    <row r="9" spans="1:54">
      <c r="A9" s="11" t="s">
        <v>777</v>
      </c>
      <c r="B9" s="8"/>
      <c r="C9" s="8"/>
      <c r="D9" s="8"/>
      <c r="E9" s="8"/>
      <c r="F9" s="40">
        <v>0</v>
      </c>
      <c r="G9" s="8">
        <v>-2581213.99009</v>
      </c>
      <c r="H9" s="8">
        <v>-2614759.6452699997</v>
      </c>
      <c r="I9" s="8">
        <v>-3251154.05412</v>
      </c>
      <c r="J9" s="8">
        <v>-3241101.0647200001</v>
      </c>
      <c r="K9" s="40">
        <v>-11688228.7542</v>
      </c>
      <c r="L9" s="8">
        <v>-3824427.5806699996</v>
      </c>
      <c r="M9" s="8">
        <v>-4160541.8549500001</v>
      </c>
      <c r="N9" s="8">
        <v>-3690770.8820099994</v>
      </c>
      <c r="O9" s="8">
        <v>-4195449.1304000001</v>
      </c>
      <c r="P9" s="40">
        <v>-15871189.448029999</v>
      </c>
      <c r="Q9" s="1">
        <v>-4639330.9777300004</v>
      </c>
      <c r="R9" s="1">
        <v>-5185688.5074100001</v>
      </c>
      <c r="S9" s="1">
        <v>-5816910.3244399996</v>
      </c>
      <c r="T9" s="1">
        <v>-6147272.8960899999</v>
      </c>
      <c r="U9" s="40">
        <v>-21789202.705669999</v>
      </c>
      <c r="V9" s="1">
        <v>-5193099.7879900001</v>
      </c>
      <c r="W9" s="1">
        <v>-2761249.7902900004</v>
      </c>
      <c r="X9" s="1">
        <v>-8121466.0316699985</v>
      </c>
      <c r="Y9" s="1">
        <v>-8820830.5297099985</v>
      </c>
      <c r="Z9" s="40">
        <v>-24896646.139659997</v>
      </c>
      <c r="AA9" s="1">
        <v>-7369536.3632399989</v>
      </c>
      <c r="AB9" s="1">
        <v>-7736594.2559700012</v>
      </c>
      <c r="AC9" s="1">
        <v>-7870463.3040199988</v>
      </c>
      <c r="AD9" s="1">
        <v>-9114594.0942099988</v>
      </c>
      <c r="AE9" s="40">
        <v>-32091188.017439999</v>
      </c>
      <c r="AF9" s="1">
        <v>-8441171.8335300013</v>
      </c>
      <c r="AG9" s="1">
        <v>-8584901.9965700004</v>
      </c>
      <c r="AH9" s="1">
        <v>-8457242.4859499987</v>
      </c>
      <c r="AI9" s="1">
        <v>-5682799.7601300003</v>
      </c>
      <c r="AJ9" s="40">
        <f t="shared" ref="AJ9:AJ17" si="2">SUM(AF9:AI9)</f>
        <v>-31166116.07618</v>
      </c>
      <c r="AK9" s="1">
        <v>-6245270.1744199991</v>
      </c>
      <c r="AL9" s="1">
        <v>-6488891.1645999998</v>
      </c>
      <c r="AM9" s="1">
        <v>-6527440.0269999998</v>
      </c>
      <c r="AN9" s="1">
        <v>-6006133.8215100011</v>
      </c>
      <c r="AO9" s="40">
        <f t="shared" ref="AO9:AO10" si="3">SUM(AK9:AN9)</f>
        <v>-25267735.18753</v>
      </c>
      <c r="AP9" s="1">
        <v>-6398996.4994799998</v>
      </c>
      <c r="AQ9" s="1">
        <v>-5968769.9771699999</v>
      </c>
      <c r="AR9" s="1">
        <v>-6687272.1212199992</v>
      </c>
      <c r="AS9" s="1">
        <v>-7322306.9570000004</v>
      </c>
      <c r="AT9" s="40">
        <f t="shared" ref="AT9:AT10" si="4">SUM(AP9:AS9)</f>
        <v>-26377345.554870002</v>
      </c>
      <c r="AU9" s="1">
        <v>-6950152.6280499985</v>
      </c>
      <c r="AV9" s="1">
        <v>-5647925.9826999996</v>
      </c>
      <c r="AW9" s="1">
        <v>-7051125.6486299997</v>
      </c>
      <c r="AX9" s="1">
        <v>-6446018.1484700004</v>
      </c>
      <c r="AY9" s="40">
        <f t="shared" si="1"/>
        <v>-26095222.407849997</v>
      </c>
      <c r="AZ9" s="8">
        <v>-6613714.0324399984</v>
      </c>
      <c r="BA9" s="114"/>
    </row>
    <row r="10" spans="1:54">
      <c r="A10" s="9" t="s">
        <v>778</v>
      </c>
      <c r="B10" s="76"/>
      <c r="C10" s="76"/>
      <c r="D10" s="76"/>
      <c r="E10" s="76"/>
      <c r="F10" s="39">
        <v>0</v>
      </c>
      <c r="G10" s="76">
        <v>30811.372410000302</v>
      </c>
      <c r="H10" s="76">
        <v>42188.35474999994</v>
      </c>
      <c r="I10" s="76">
        <v>34415.546210000291</v>
      </c>
      <c r="J10" s="76">
        <v>36189.725259999279</v>
      </c>
      <c r="K10" s="39">
        <v>143604.99862999981</v>
      </c>
      <c r="L10" s="76">
        <v>37052.649720001034</v>
      </c>
      <c r="M10" s="76">
        <v>38803.443099999335</v>
      </c>
      <c r="N10" s="76">
        <v>39987.836810000241</v>
      </c>
      <c r="O10" s="76">
        <v>40207.274610000663</v>
      </c>
      <c r="P10" s="39">
        <v>156051.20424000127</v>
      </c>
      <c r="Q10" s="76">
        <v>41685.371809999458</v>
      </c>
      <c r="R10" s="76">
        <v>40864.911089999601</v>
      </c>
      <c r="S10" s="76">
        <v>40922.358569999225</v>
      </c>
      <c r="T10" s="76">
        <v>41406.393480000086</v>
      </c>
      <c r="U10" s="39">
        <v>164879.03494999837</v>
      </c>
      <c r="V10" s="76">
        <v>42020.05710999947</v>
      </c>
      <c r="W10" s="76">
        <v>40161.226289999206</v>
      </c>
      <c r="X10" s="76">
        <v>37423.646720001474</v>
      </c>
      <c r="Y10" s="76">
        <v>77792.432900000364</v>
      </c>
      <c r="Z10" s="39">
        <v>197397.36302000051</v>
      </c>
      <c r="AA10" s="76">
        <v>39764.212130000815</v>
      </c>
      <c r="AB10" s="76">
        <v>39278.619709998369</v>
      </c>
      <c r="AC10" s="76">
        <v>40040.094280000776</v>
      </c>
      <c r="AD10" s="76">
        <v>41907.529040003195</v>
      </c>
      <c r="AE10" s="39">
        <v>160990.45516000316</v>
      </c>
      <c r="AF10" s="76">
        <f>SUM(AF7:AF9)</f>
        <v>41647.618259998038</v>
      </c>
      <c r="AG10" s="76">
        <f>SUM(AG7:AG9)</f>
        <v>49665.800170000643</v>
      </c>
      <c r="AH10" s="76">
        <f>SUM(AH7:AH9)</f>
        <v>45121.943660002202</v>
      </c>
      <c r="AI10" s="76">
        <f>SUM(AI7:AI9)</f>
        <v>44805.474329999648</v>
      </c>
      <c r="AJ10" s="39">
        <f t="shared" si="2"/>
        <v>181240.83642000053</v>
      </c>
      <c r="AK10" s="76">
        <f>SUM(AK7:AK9)</f>
        <v>42652.056000000797</v>
      </c>
      <c r="AL10" s="76">
        <f t="shared" ref="AL10:AN10" si="5">SUM(AL7:AL9)</f>
        <v>31342.563299999572</v>
      </c>
      <c r="AM10" s="76">
        <f t="shared" si="5"/>
        <v>43211.258460000157</v>
      </c>
      <c r="AN10" s="76">
        <f t="shared" si="5"/>
        <v>43159.706529999152</v>
      </c>
      <c r="AO10" s="39">
        <f t="shared" si="3"/>
        <v>160365.58428999968</v>
      </c>
      <c r="AP10" s="76">
        <f>SUM(AP7:AP9)</f>
        <v>42990.500520000234</v>
      </c>
      <c r="AQ10" s="76">
        <f t="shared" ref="AQ10:AS10" si="6">SUM(AQ7:AQ9)</f>
        <v>34440.022830000147</v>
      </c>
      <c r="AR10" s="76">
        <f t="shared" si="6"/>
        <v>40543.878780000843</v>
      </c>
      <c r="AS10" s="76">
        <f t="shared" si="6"/>
        <v>40413.042999999598</v>
      </c>
      <c r="AT10" s="39">
        <f t="shared" si="4"/>
        <v>158387.44513000082</v>
      </c>
      <c r="AU10" s="76">
        <f>SUM(AU7:AU9)</f>
        <v>41147.371950001456</v>
      </c>
      <c r="AV10" s="76">
        <f t="shared" ref="AV10:AX10" si="7">SUM(AV7:AV9)</f>
        <v>41549.017300000414</v>
      </c>
      <c r="AW10" s="76">
        <f t="shared" si="7"/>
        <v>37311.35137000028</v>
      </c>
      <c r="AX10" s="76">
        <f t="shared" si="7"/>
        <v>37457.851529999636</v>
      </c>
      <c r="AY10" s="39">
        <f t="shared" si="1"/>
        <v>157465.59215000179</v>
      </c>
      <c r="AZ10" s="76">
        <f>SUM(AZ7:AZ9)</f>
        <v>38071.967560001649</v>
      </c>
      <c r="BA10" s="114"/>
    </row>
    <row r="11" spans="1:54">
      <c r="A11" s="11" t="s">
        <v>779</v>
      </c>
      <c r="B11" s="8"/>
      <c r="C11" s="8"/>
      <c r="D11" s="8"/>
      <c r="E11" s="8"/>
      <c r="F11" s="40"/>
      <c r="G11" s="8">
        <v>135580.30578</v>
      </c>
      <c r="H11" s="8">
        <v>137910.81178999998</v>
      </c>
      <c r="I11" s="8">
        <v>152261.83271000005</v>
      </c>
      <c r="J11" s="8">
        <v>153165.12448000003</v>
      </c>
      <c r="K11" s="40">
        <v>578918.07476000011</v>
      </c>
      <c r="L11" s="8">
        <v>161302.38502000002</v>
      </c>
      <c r="M11" s="8">
        <v>173725.64987999998</v>
      </c>
      <c r="N11" s="8">
        <v>183581.23886999997</v>
      </c>
      <c r="O11" s="8">
        <v>184953.42895999999</v>
      </c>
      <c r="P11" s="40">
        <v>703562.70273000002</v>
      </c>
      <c r="Q11" s="1">
        <v>192610.84964999999</v>
      </c>
      <c r="R11" s="1">
        <v>203927.13459999999</v>
      </c>
      <c r="S11" s="1">
        <v>228768.64595999999</v>
      </c>
      <c r="T11" s="1">
        <v>232862.40447000001</v>
      </c>
      <c r="U11" s="40">
        <v>858169.03468000004</v>
      </c>
      <c r="V11" s="1">
        <v>241860.15312999999</v>
      </c>
      <c r="W11" s="1">
        <v>230740.90706999999</v>
      </c>
      <c r="X11" s="1">
        <v>257458.56351000001</v>
      </c>
      <c r="Y11" s="1">
        <v>259640.47462999998</v>
      </c>
      <c r="Z11" s="40">
        <v>989700.09833999991</v>
      </c>
      <c r="AA11" s="1">
        <v>278442.37063000002</v>
      </c>
      <c r="AB11" s="1">
        <v>291308.83288</v>
      </c>
      <c r="AC11" s="1">
        <v>322219.94580999995</v>
      </c>
      <c r="AD11" s="1">
        <v>322081.65496000001</v>
      </c>
      <c r="AE11" s="40">
        <v>1214052.80428</v>
      </c>
      <c r="AF11" s="1">
        <v>334069.78087000002</v>
      </c>
      <c r="AG11" s="1">
        <v>349233.65935999999</v>
      </c>
      <c r="AH11" s="1">
        <v>384436.43377999996</v>
      </c>
      <c r="AI11" s="1">
        <v>383548.01058000006</v>
      </c>
      <c r="AJ11" s="40">
        <f>SUM(AF11:AI11)</f>
        <v>1451287.8845899999</v>
      </c>
      <c r="AK11" s="1">
        <v>394935.75427999999</v>
      </c>
      <c r="AL11" s="1">
        <v>388315.39500999998</v>
      </c>
      <c r="AM11" s="1">
        <v>418794.48100000003</v>
      </c>
      <c r="AN11" s="1">
        <v>408439.69044000003</v>
      </c>
      <c r="AO11" s="40">
        <f>SUM(AK11:AN11)</f>
        <v>1610485.32073</v>
      </c>
      <c r="AP11" s="1">
        <f>'DRE NOVAS PARCERIAS CAIXA'!AQ33</f>
        <v>419247</v>
      </c>
      <c r="AQ11" s="1">
        <f>'DRE NOVAS PARCERIAS CAIXA'!AR33</f>
        <v>440581</v>
      </c>
      <c r="AR11" s="1">
        <f>'DRE NOVAS PARCERIAS CAIXA'!AS33</f>
        <v>471062</v>
      </c>
      <c r="AS11" s="1">
        <f>'DRE NOVAS PARCERIAS CAIXA'!AT33</f>
        <v>457195</v>
      </c>
      <c r="AT11" s="40">
        <f>SUM(AP11:AS11)</f>
        <v>1788085</v>
      </c>
      <c r="AU11" s="1">
        <f>'DRE NOVAS PARCERIAS CAIXA'!AV33</f>
        <v>453046</v>
      </c>
      <c r="AV11" s="1">
        <f>'DRE NOVAS PARCERIAS CAIXA'!AW33</f>
        <v>462956</v>
      </c>
      <c r="AW11" s="1">
        <f>'DRE NOVAS PARCERIAS CAIXA'!AX33</f>
        <v>512432</v>
      </c>
      <c r="AX11" s="1">
        <f>'DRE NOVAS PARCERIAS CAIXA'!AY33</f>
        <v>508870</v>
      </c>
      <c r="AY11" s="40">
        <f t="shared" si="1"/>
        <v>1937304</v>
      </c>
      <c r="AZ11" s="1">
        <f>'DRE NOVAS PARCERIAS CAIXA'!BA33</f>
        <v>502633</v>
      </c>
      <c r="BA11" s="114"/>
    </row>
    <row r="12" spans="1:54">
      <c r="A12" s="11" t="s">
        <v>780</v>
      </c>
      <c r="B12" s="8"/>
      <c r="C12" s="8"/>
      <c r="D12" s="8"/>
      <c r="E12" s="8"/>
      <c r="F12" s="40">
        <v>0</v>
      </c>
      <c r="G12" s="8">
        <v>-10159.5538</v>
      </c>
      <c r="H12" s="8">
        <v>-5539.02891</v>
      </c>
      <c r="I12" s="8">
        <v>-7456.2494300000008</v>
      </c>
      <c r="J12" s="8">
        <v>4458.2182899999998</v>
      </c>
      <c r="K12" s="40">
        <v>-18696.613849999998</v>
      </c>
      <c r="L12" s="8">
        <v>-3786.8119800000018</v>
      </c>
      <c r="M12" s="8">
        <v>-9339.4281500000016</v>
      </c>
      <c r="N12" s="8">
        <v>-6887.3256499999979</v>
      </c>
      <c r="O12" s="8">
        <v>-10698.8547</v>
      </c>
      <c r="P12" s="40">
        <v>-30712.420480000001</v>
      </c>
      <c r="Q12" s="1">
        <v>-3202.7832000000021</v>
      </c>
      <c r="R12" s="1">
        <v>-4303.4529600000005</v>
      </c>
      <c r="S12" s="1">
        <v>-5945.32251</v>
      </c>
      <c r="T12" s="1">
        <v>-7080.4886900000001</v>
      </c>
      <c r="U12" s="40">
        <v>-20532.047360000004</v>
      </c>
      <c r="V12" s="1">
        <v>-12649.942780000001</v>
      </c>
      <c r="W12" s="1">
        <v>-6910.9880899999998</v>
      </c>
      <c r="X12" s="1">
        <v>-2788.5939500000004</v>
      </c>
      <c r="Y12" s="1">
        <v>50.348500000000001</v>
      </c>
      <c r="Z12" s="40">
        <v>-22299.176319999999</v>
      </c>
      <c r="AA12" s="1">
        <v>-10376.00145</v>
      </c>
      <c r="AB12" s="1">
        <v>-8602.8759200000004</v>
      </c>
      <c r="AC12" s="1">
        <v>-12738.797369999998</v>
      </c>
      <c r="AD12" s="1">
        <v>-6397.0826299999999</v>
      </c>
      <c r="AE12" s="40">
        <v>-38114.757369999999</v>
      </c>
      <c r="AF12" s="1">
        <v>-10840.72997</v>
      </c>
      <c r="AG12" s="1">
        <v>-7153.7171100000005</v>
      </c>
      <c r="AH12" s="1">
        <v>-9046.859910000001</v>
      </c>
      <c r="AI12" s="1">
        <v>-8834.945310000001</v>
      </c>
      <c r="AJ12" s="40">
        <f t="shared" si="2"/>
        <v>-35876.252300000007</v>
      </c>
      <c r="AK12" s="1">
        <v>-5661.7127899999987</v>
      </c>
      <c r="AL12" s="1">
        <v>-6553.0553000000009</v>
      </c>
      <c r="AM12" s="1">
        <v>-8805.3729999999996</v>
      </c>
      <c r="AN12" s="1">
        <v>-9593.593710000001</v>
      </c>
      <c r="AO12" s="40">
        <f t="shared" ref="AO12:AO16" si="8">SUM(AK12:AN12)</f>
        <v>-30613.734799999998</v>
      </c>
      <c r="AP12" s="1">
        <v>-10941.823849999999</v>
      </c>
      <c r="AQ12" s="1">
        <v>-9973.9480999999996</v>
      </c>
      <c r="AR12" s="1">
        <v>-3277.1596200000004</v>
      </c>
      <c r="AS12" s="1">
        <v>-5974.4390000000003</v>
      </c>
      <c r="AT12" s="40">
        <f t="shared" ref="AT12:AT16" si="9">SUM(AP12:AS12)</f>
        <v>-30167.370569999999</v>
      </c>
      <c r="AU12" s="1">
        <v>-5607.3640600000026</v>
      </c>
      <c r="AV12" s="1">
        <v>-7325.4419199999993</v>
      </c>
      <c r="AW12" s="1">
        <v>-6701.2761099999998</v>
      </c>
      <c r="AX12" s="1">
        <v>-3243.7641699999999</v>
      </c>
      <c r="AY12" s="40">
        <f t="shared" si="1"/>
        <v>-22877.846259999998</v>
      </c>
      <c r="AZ12" s="8">
        <v>-4541.44362</v>
      </c>
      <c r="BA12" s="114"/>
    </row>
    <row r="13" spans="1:54">
      <c r="A13" s="11" t="s">
        <v>781</v>
      </c>
      <c r="B13" s="8"/>
      <c r="C13" s="8"/>
      <c r="D13" s="8"/>
      <c r="E13" s="8"/>
      <c r="F13" s="40">
        <v>0</v>
      </c>
      <c r="G13" s="8">
        <v>-35098.909959999997</v>
      </c>
      <c r="H13" s="8">
        <v>-36199.349869999998</v>
      </c>
      <c r="I13" s="8">
        <v>-41818.786330000003</v>
      </c>
      <c r="J13" s="8">
        <v>-5204.3643499999998</v>
      </c>
      <c r="K13" s="40">
        <v>-118321.41051</v>
      </c>
      <c r="L13" s="8">
        <v>-33414.787769999988</v>
      </c>
      <c r="M13" s="8">
        <v>-37470.591629999995</v>
      </c>
      <c r="N13" s="8">
        <v>-29528.162429999993</v>
      </c>
      <c r="O13" s="8">
        <v>-39591.11075</v>
      </c>
      <c r="P13" s="40">
        <v>-140004.65257999997</v>
      </c>
      <c r="Q13" s="1">
        <v>-42646.254659999999</v>
      </c>
      <c r="R13" s="1">
        <v>-42153.797450000005</v>
      </c>
      <c r="S13" s="1">
        <v>-39592.966480000003</v>
      </c>
      <c r="T13" s="1">
        <v>-35317.130579999997</v>
      </c>
      <c r="U13" s="40">
        <v>-159710.14916999999</v>
      </c>
      <c r="V13" s="1">
        <v>-34057.055090000002</v>
      </c>
      <c r="W13" s="1">
        <v>-27273.602740000009</v>
      </c>
      <c r="X13" s="1">
        <v>-39956.998989999993</v>
      </c>
      <c r="Y13" s="1">
        <v>-45648.329859999991</v>
      </c>
      <c r="Z13" s="40">
        <v>-146935.98668</v>
      </c>
      <c r="AA13" s="1">
        <v>-69638.661899999992</v>
      </c>
      <c r="AB13" s="1">
        <v>-45785.358220000009</v>
      </c>
      <c r="AC13" s="1">
        <v>-12614.769339999997</v>
      </c>
      <c r="AD13" s="1">
        <v>-62484.658179999999</v>
      </c>
      <c r="AE13" s="40">
        <v>-190523.44764</v>
      </c>
      <c r="AF13" s="1">
        <v>-117191.82012</v>
      </c>
      <c r="AG13" s="1">
        <v>-85096.963470000017</v>
      </c>
      <c r="AH13" s="1">
        <v>-140766.52835000001</v>
      </c>
      <c r="AI13" s="1">
        <v>-34686.138639999997</v>
      </c>
      <c r="AJ13" s="40">
        <f t="shared" si="2"/>
        <v>-377741.45058000006</v>
      </c>
      <c r="AK13" s="1">
        <v>-44683.465089999991</v>
      </c>
      <c r="AL13" s="1">
        <v>12618.563940000002</v>
      </c>
      <c r="AM13" s="1">
        <v>-6153.4849999999997</v>
      </c>
      <c r="AN13" s="1">
        <v>-23469.603589999999</v>
      </c>
      <c r="AO13" s="40">
        <f t="shared" si="8"/>
        <v>-61687.98973999999</v>
      </c>
      <c r="AP13" s="1">
        <v>-41608.16663</v>
      </c>
      <c r="AQ13" s="1">
        <v>-43380.604310000002</v>
      </c>
      <c r="AR13" s="1">
        <v>-50661.692889999984</v>
      </c>
      <c r="AS13" s="1">
        <v>-49565.383000000002</v>
      </c>
      <c r="AT13" s="40">
        <f t="shared" si="9"/>
        <v>-185215.84682999999</v>
      </c>
      <c r="AU13" s="1">
        <v>-44214.652789999993</v>
      </c>
      <c r="AV13" s="1">
        <v>-45091.337790000005</v>
      </c>
      <c r="AW13" s="1">
        <v>-47208.178699999997</v>
      </c>
      <c r="AX13" s="1">
        <v>-44463.656589999999</v>
      </c>
      <c r="AY13" s="40">
        <f t="shared" si="1"/>
        <v>-180977.82587</v>
      </c>
      <c r="AZ13" s="171">
        <v>-23347.355780000002</v>
      </c>
      <c r="BA13" s="114"/>
    </row>
    <row r="14" spans="1:54">
      <c r="A14" s="11" t="s">
        <v>782</v>
      </c>
      <c r="B14" s="8"/>
      <c r="C14" s="8"/>
      <c r="D14" s="8"/>
      <c r="E14" s="8"/>
      <c r="F14" s="40">
        <v>0</v>
      </c>
      <c r="G14" s="8">
        <v>-10753.11255999998</v>
      </c>
      <c r="H14" s="8">
        <v>-9394.2332700000115</v>
      </c>
      <c r="I14" s="8">
        <v>-13400.655550000025</v>
      </c>
      <c r="J14" s="8">
        <v>-8998.6835800000408</v>
      </c>
      <c r="K14" s="40">
        <v>-42546.684960000057</v>
      </c>
      <c r="L14" s="8">
        <v>-6904.6324900000473</v>
      </c>
      <c r="M14" s="8">
        <v>-7842.5098500000022</v>
      </c>
      <c r="N14" s="8">
        <v>-13315.911339999991</v>
      </c>
      <c r="O14" s="8">
        <v>-12342.01946999997</v>
      </c>
      <c r="P14" s="40">
        <v>-40405.073150000011</v>
      </c>
      <c r="Q14" s="1">
        <v>-5667.1245299999982</v>
      </c>
      <c r="R14" s="1">
        <v>-12280.186379999999</v>
      </c>
      <c r="S14" s="1">
        <v>-19292.682319999996</v>
      </c>
      <c r="T14" s="1">
        <v>-37326.504230000006</v>
      </c>
      <c r="U14" s="40">
        <v>-74566.497459999999</v>
      </c>
      <c r="V14" s="1">
        <v>-10610.314100000001</v>
      </c>
      <c r="W14" s="1">
        <v>-4419.2159900000015</v>
      </c>
      <c r="X14" s="1">
        <v>-5401.0075400000005</v>
      </c>
      <c r="Y14" s="1">
        <v>-8503.0146600000007</v>
      </c>
      <c r="Z14" s="40">
        <v>-28933.552290000007</v>
      </c>
      <c r="AA14" s="1">
        <v>-8008.7745100000011</v>
      </c>
      <c r="AB14" s="1">
        <v>-10228.77326</v>
      </c>
      <c r="AC14" s="1">
        <v>-12339.570599999999</v>
      </c>
      <c r="AD14" s="1">
        <v>-3906.5730599999974</v>
      </c>
      <c r="AE14" s="40">
        <v>-34483.691429999999</v>
      </c>
      <c r="AF14" s="1">
        <v>-3328.2961700000014</v>
      </c>
      <c r="AG14" s="1">
        <v>-8360.0613699999976</v>
      </c>
      <c r="AH14" s="1">
        <v>-10456.936699999997</v>
      </c>
      <c r="AI14" s="1">
        <v>-14416.58844</v>
      </c>
      <c r="AJ14" s="40">
        <f t="shared" si="2"/>
        <v>-36561.882679999995</v>
      </c>
      <c r="AK14" s="1">
        <v>-9061.9812700000002</v>
      </c>
      <c r="AL14" s="1">
        <v>-12068.13701</v>
      </c>
      <c r="AM14" s="1">
        <v>-16060.449000000001</v>
      </c>
      <c r="AN14" s="1">
        <v>-13302.484240000002</v>
      </c>
      <c r="AO14" s="40">
        <f t="shared" si="8"/>
        <v>-50493.051520000008</v>
      </c>
      <c r="AP14" s="1">
        <v>-9620.6453499999989</v>
      </c>
      <c r="AQ14" s="1">
        <v>-13561.065840000001</v>
      </c>
      <c r="AR14" s="1">
        <v>-15282.594180000002</v>
      </c>
      <c r="AS14" s="1">
        <v>-20412.217000000001</v>
      </c>
      <c r="AT14" s="40">
        <f t="shared" si="9"/>
        <v>-58876.522370000006</v>
      </c>
      <c r="AU14" s="1">
        <v>-25304.313029999998</v>
      </c>
      <c r="AV14" s="1">
        <v>-10871.346649999999</v>
      </c>
      <c r="AW14" s="1">
        <v>-17352.03369</v>
      </c>
      <c r="AX14" s="1">
        <v>10650.809730000003</v>
      </c>
      <c r="AY14" s="40">
        <f t="shared" si="1"/>
        <v>-42876.883639999993</v>
      </c>
      <c r="AZ14" s="171">
        <v>-21564.132470000008</v>
      </c>
      <c r="BA14" s="114"/>
    </row>
    <row r="15" spans="1:54">
      <c r="A15" s="11" t="s">
        <v>709</v>
      </c>
      <c r="B15" s="8"/>
      <c r="C15" s="8"/>
      <c r="D15" s="8"/>
      <c r="E15" s="8"/>
      <c r="F15" s="40">
        <v>0</v>
      </c>
      <c r="G15" s="8">
        <v>0</v>
      </c>
      <c r="H15" s="8">
        <v>-80.128790000000009</v>
      </c>
      <c r="I15" s="8">
        <v>-329.53787</v>
      </c>
      <c r="J15" s="8">
        <v>-198.66177999999999</v>
      </c>
      <c r="K15" s="40">
        <v>-608.32844</v>
      </c>
      <c r="L15" s="8">
        <v>0</v>
      </c>
      <c r="M15" s="8">
        <v>-7.1003799999999995</v>
      </c>
      <c r="N15" s="8">
        <v>-570.09924999999998</v>
      </c>
      <c r="O15" s="8">
        <v>0</v>
      </c>
      <c r="P15" s="40">
        <v>-577.19962999999996</v>
      </c>
      <c r="Q15" s="1">
        <v>-195.30137999999999</v>
      </c>
      <c r="R15" s="1">
        <v>0</v>
      </c>
      <c r="S15" s="1">
        <v>-124.47409000000002</v>
      </c>
      <c r="T15" s="1">
        <v>-200.31421000000003</v>
      </c>
      <c r="U15" s="40">
        <v>-520.08968000000004</v>
      </c>
      <c r="V15" s="1">
        <v>157.78253999999998</v>
      </c>
      <c r="W15" s="1">
        <v>-208.43191000000002</v>
      </c>
      <c r="X15" s="1">
        <v>-49.090210000000006</v>
      </c>
      <c r="Y15" s="1">
        <v>-49.110209999999995</v>
      </c>
      <c r="Z15" s="40">
        <v>-148.84979000000004</v>
      </c>
      <c r="AA15" s="1">
        <v>-85.46237000000005</v>
      </c>
      <c r="AB15" s="1">
        <v>-86.411990000000003</v>
      </c>
      <c r="AC15" s="1">
        <v>-60.69117</v>
      </c>
      <c r="AD15" s="1">
        <v>-87.36160000000001</v>
      </c>
      <c r="AE15" s="40">
        <v>-319.92713000000003</v>
      </c>
      <c r="AF15" s="1">
        <v>-9.0450900000000001</v>
      </c>
      <c r="AG15" s="1">
        <v>0</v>
      </c>
      <c r="AH15" s="1">
        <v>0</v>
      </c>
      <c r="AI15" s="1">
        <v>0</v>
      </c>
      <c r="AJ15" s="40">
        <f t="shared" si="2"/>
        <v>-9.0450900000000001</v>
      </c>
      <c r="AK15" s="1">
        <v>0</v>
      </c>
      <c r="AL15" s="1">
        <v>0</v>
      </c>
      <c r="AM15" s="1">
        <v>0</v>
      </c>
      <c r="AN15" s="1">
        <v>0</v>
      </c>
      <c r="AO15" s="40">
        <f t="shared" si="8"/>
        <v>0</v>
      </c>
      <c r="AP15" s="1">
        <v>0</v>
      </c>
      <c r="AQ15" s="1">
        <v>0</v>
      </c>
      <c r="AR15" s="1">
        <v>0</v>
      </c>
      <c r="AS15" s="1">
        <v>0</v>
      </c>
      <c r="AT15" s="40">
        <f t="shared" si="9"/>
        <v>0</v>
      </c>
      <c r="AU15" s="1">
        <v>0</v>
      </c>
      <c r="AV15" s="1">
        <v>0</v>
      </c>
      <c r="AW15" s="1">
        <v>0</v>
      </c>
      <c r="AX15" s="1">
        <v>0</v>
      </c>
      <c r="AY15" s="40">
        <f t="shared" si="1"/>
        <v>0</v>
      </c>
      <c r="AZ15" s="8">
        <v>0</v>
      </c>
      <c r="BA15" s="114"/>
    </row>
    <row r="16" spans="1:54">
      <c r="A16" s="9" t="s">
        <v>710</v>
      </c>
      <c r="B16" s="76"/>
      <c r="C16" s="76"/>
      <c r="D16" s="76"/>
      <c r="E16" s="76"/>
      <c r="F16" s="39">
        <v>0</v>
      </c>
      <c r="G16" s="76">
        <v>110380.10187000033</v>
      </c>
      <c r="H16" s="76">
        <v>128886.42569999991</v>
      </c>
      <c r="I16" s="76">
        <v>123672.14974000031</v>
      </c>
      <c r="J16" s="76">
        <v>179411.35831999927</v>
      </c>
      <c r="K16" s="39">
        <v>542350.03562999982</v>
      </c>
      <c r="L16" s="76">
        <v>154248.80250000101</v>
      </c>
      <c r="M16" s="76">
        <v>157869.46296999935</v>
      </c>
      <c r="N16" s="76">
        <v>173267.57701000024</v>
      </c>
      <c r="O16" s="76">
        <v>162528.71865000069</v>
      </c>
      <c r="P16" s="39">
        <v>647914.56113000121</v>
      </c>
      <c r="Q16" s="76">
        <v>182584.75768999945</v>
      </c>
      <c r="R16" s="76">
        <v>186054.60889999958</v>
      </c>
      <c r="S16" s="76">
        <v>204735.55912999919</v>
      </c>
      <c r="T16" s="76">
        <v>194344.36024000004</v>
      </c>
      <c r="U16" s="39">
        <v>767719.28595999838</v>
      </c>
      <c r="V16" s="76">
        <v>226720.68080999947</v>
      </c>
      <c r="W16" s="76">
        <v>232089.89462999915</v>
      </c>
      <c r="X16" s="76">
        <v>246686.51954000149</v>
      </c>
      <c r="Y16" s="76">
        <v>283282.80130000034</v>
      </c>
      <c r="Z16" s="39">
        <v>988779.89628000045</v>
      </c>
      <c r="AA16" s="76">
        <v>230097.68253000086</v>
      </c>
      <c r="AB16" s="76">
        <v>265884.03319999838</v>
      </c>
      <c r="AC16" s="76">
        <v>324506.21161000076</v>
      </c>
      <c r="AD16" s="76">
        <v>291113.50853000314</v>
      </c>
      <c r="AE16" s="39">
        <v>1111601.435870003</v>
      </c>
      <c r="AF16" s="76">
        <f>SUM(AF10:AF15)</f>
        <v>244347.50777999809</v>
      </c>
      <c r="AG16" s="76">
        <f>SUM(AG10:AG15)</f>
        <v>298288.71758000058</v>
      </c>
      <c r="AH16" s="76">
        <f>SUM(AH10:AH15)</f>
        <v>269288.05248000211</v>
      </c>
      <c r="AI16" s="76">
        <f>SUM(AI10:AI15)</f>
        <v>370415.81251999969</v>
      </c>
      <c r="AJ16" s="39">
        <f t="shared" si="2"/>
        <v>1182340.0903600005</v>
      </c>
      <c r="AK16" s="76">
        <f>SUM(AK10:AK15)</f>
        <v>378180.65113000077</v>
      </c>
      <c r="AL16" s="76">
        <f t="shared" ref="AL16:AN16" si="10">SUM(AL10:AL15)</f>
        <v>413655.32993999956</v>
      </c>
      <c r="AM16" s="76">
        <f t="shared" si="10"/>
        <v>430986.43246000016</v>
      </c>
      <c r="AN16" s="76">
        <f t="shared" si="10"/>
        <v>405233.71542999917</v>
      </c>
      <c r="AO16" s="39">
        <f t="shared" si="8"/>
        <v>1628056.1289599997</v>
      </c>
      <c r="AP16" s="76">
        <f>SUM(AP10:AP15)</f>
        <v>400066.86469000025</v>
      </c>
      <c r="AQ16" s="76">
        <f t="shared" ref="AQ16:AU16" si="11">SUM(AQ10:AQ15)</f>
        <v>408105.40458000015</v>
      </c>
      <c r="AR16" s="76">
        <f t="shared" si="11"/>
        <v>442384.43209000083</v>
      </c>
      <c r="AS16" s="76">
        <f t="shared" si="11"/>
        <v>421656.00399999955</v>
      </c>
      <c r="AT16" s="39">
        <f t="shared" si="9"/>
        <v>1672212.7053600007</v>
      </c>
      <c r="AU16" s="76">
        <f t="shared" si="11"/>
        <v>419067.04207000142</v>
      </c>
      <c r="AV16" s="76">
        <f>SUM(AV10:AV15)</f>
        <v>441216.89094000036</v>
      </c>
      <c r="AW16" s="76">
        <f>SUM(AW10:AW15)</f>
        <v>478481.8628700003</v>
      </c>
      <c r="AX16" s="76">
        <f>SUM(AX10:AX15)</f>
        <v>509271.24049999961</v>
      </c>
      <c r="AY16" s="39">
        <f t="shared" si="1"/>
        <v>1848037.0363800016</v>
      </c>
      <c r="AZ16" s="76">
        <f>SUM(AZ10:AZ15)</f>
        <v>491252.03569000162</v>
      </c>
      <c r="BA16" s="114"/>
    </row>
    <row r="17" spans="1:53">
      <c r="A17" s="11" t="s">
        <v>783</v>
      </c>
      <c r="B17" s="8">
        <v>969586.69909000013</v>
      </c>
      <c r="C17" s="8">
        <v>1013141.8403</v>
      </c>
      <c r="D17" s="8">
        <v>1006053.8247100001</v>
      </c>
      <c r="E17" s="8">
        <v>1047692.7638199999</v>
      </c>
      <c r="F17" s="40">
        <v>4036475.1279199999</v>
      </c>
      <c r="G17" s="8">
        <v>1134617.5289899998</v>
      </c>
      <c r="H17" s="8">
        <v>1195190.8740899998</v>
      </c>
      <c r="I17" s="8">
        <v>1247746.9038399998</v>
      </c>
      <c r="J17" s="8">
        <v>1272112.1123400002</v>
      </c>
      <c r="K17" s="40">
        <v>4849667.4192599999</v>
      </c>
      <c r="L17" s="8">
        <v>1429758.0795999998</v>
      </c>
      <c r="M17" s="8">
        <v>1600078.43515</v>
      </c>
      <c r="N17" s="8">
        <v>1746333.98551</v>
      </c>
      <c r="O17" s="8">
        <v>1602299.0417200003</v>
      </c>
      <c r="P17" s="40">
        <v>6378469.5419800002</v>
      </c>
      <c r="Q17" s="1">
        <v>1772093.1996200001</v>
      </c>
      <c r="R17" s="1">
        <v>1881158.5829099999</v>
      </c>
      <c r="S17" s="1">
        <v>2223699.56262</v>
      </c>
      <c r="T17" s="1">
        <v>2015750.8158499999</v>
      </c>
      <c r="U17" s="40">
        <f>SUM(Q17:T17)</f>
        <v>7892702.1609999994</v>
      </c>
      <c r="V17" s="1">
        <v>2713324.7364900005</v>
      </c>
      <c r="W17" s="1">
        <v>1888410.0319899989</v>
      </c>
      <c r="X17" s="1">
        <v>2158430.3113800003</v>
      </c>
      <c r="Y17" s="1">
        <v>2758769.0842800001</v>
      </c>
      <c r="Z17" s="40">
        <f>SUM(V17:Y17)</f>
        <v>9518934.1641400009</v>
      </c>
      <c r="AA17" s="1">
        <v>2919462.7872100002</v>
      </c>
      <c r="AB17" s="1">
        <v>3486554.7064300003</v>
      </c>
      <c r="AC17" s="1">
        <v>3919548.7469299994</v>
      </c>
      <c r="AD17" s="1">
        <v>3711715.5045700003</v>
      </c>
      <c r="AE17" s="40">
        <f>SUM(AA17:AD17)</f>
        <v>14037281.745139999</v>
      </c>
      <c r="AF17" s="1">
        <v>3925211.3781899996</v>
      </c>
      <c r="AG17" s="1">
        <v>4229967.8144900007</v>
      </c>
      <c r="AH17" s="1">
        <v>4436008.5099299997</v>
      </c>
      <c r="AI17" s="1">
        <v>5017759.5021700002</v>
      </c>
      <c r="AJ17" s="40">
        <f t="shared" si="2"/>
        <v>17608947.204780001</v>
      </c>
      <c r="AK17" s="1">
        <v>5320839.0707099997</v>
      </c>
      <c r="AL17" s="1">
        <v>4721410.6133699995</v>
      </c>
      <c r="AM17" s="1">
        <v>4553763.9969100002</v>
      </c>
      <c r="AN17" s="110">
        <v>4576689.4692599997</v>
      </c>
      <c r="AO17" s="40">
        <f>SUM(AK17:AN17)</f>
        <v>19172703.150249999</v>
      </c>
      <c r="AP17" s="1">
        <v>4637037.5820300002</v>
      </c>
      <c r="AQ17" s="1">
        <v>4906205.6526499996</v>
      </c>
      <c r="AR17" s="1">
        <v>4951985.44441</v>
      </c>
      <c r="AS17" s="1">
        <v>5007779.1097099995</v>
      </c>
      <c r="AT17" s="40">
        <f>SUM(AP17:AS17)</f>
        <v>19503007.788800001</v>
      </c>
      <c r="AU17" s="1">
        <v>5463284.5037399996</v>
      </c>
      <c r="AV17" s="1">
        <v>5080501.5351</v>
      </c>
      <c r="AW17" s="1">
        <v>5481258.4055000003</v>
      </c>
      <c r="AX17" s="1">
        <v>5090921.7193400003</v>
      </c>
      <c r="AY17" s="40">
        <f t="shared" si="1"/>
        <v>21115966.163680002</v>
      </c>
      <c r="AZ17" s="8">
        <v>5147733.3575299997</v>
      </c>
      <c r="BA17" s="114"/>
    </row>
    <row r="18" spans="1:53">
      <c r="A18" s="11" t="s">
        <v>27</v>
      </c>
      <c r="B18" s="8">
        <v>0</v>
      </c>
      <c r="C18" s="8">
        <v>0</v>
      </c>
      <c r="D18" s="8">
        <v>0</v>
      </c>
      <c r="E18" s="8">
        <v>0</v>
      </c>
      <c r="F18" s="40">
        <v>0</v>
      </c>
      <c r="G18" s="8">
        <v>39736700.017329998</v>
      </c>
      <c r="H18" s="8">
        <v>41917921.979680054</v>
      </c>
      <c r="I18" s="8">
        <v>45042671.849699967</v>
      </c>
      <c r="J18" s="8">
        <v>47732463.620360151</v>
      </c>
      <c r="K18" s="40">
        <v>47732463.620360151</v>
      </c>
      <c r="L18" s="8">
        <v>50784190.847729914</v>
      </c>
      <c r="M18" s="8">
        <v>53592366.611419998</v>
      </c>
      <c r="N18" s="8">
        <v>56494119.001429997</v>
      </c>
      <c r="O18" s="8">
        <v>60017974.194710009</v>
      </c>
      <c r="P18" s="40">
        <v>60017974.194710009</v>
      </c>
      <c r="Q18" s="1">
        <v>63631238.504020065</v>
      </c>
      <c r="R18" s="1">
        <v>68005583.143270031</v>
      </c>
      <c r="S18" s="1">
        <v>72367014.031469971</v>
      </c>
      <c r="T18" s="1">
        <v>77069470.052219987</v>
      </c>
      <c r="U18" s="40">
        <f>T18</f>
        <v>77069470.052219987</v>
      </c>
      <c r="V18" s="1">
        <v>78202943.17324996</v>
      </c>
      <c r="W18" s="1">
        <v>79889843.511230052</v>
      </c>
      <c r="X18" s="1">
        <v>85233823.628579885</v>
      </c>
      <c r="Y18" s="1">
        <v>92155608.662649989</v>
      </c>
      <c r="Z18" s="40">
        <f>Y18</f>
        <v>92155608.662649989</v>
      </c>
      <c r="AA18" s="1">
        <v>95750480.424749956</v>
      </c>
      <c r="AB18" s="1">
        <v>100306180.84460995</v>
      </c>
      <c r="AC18" s="1">
        <v>103582989.75300001</v>
      </c>
      <c r="AD18" s="1">
        <v>109779115.309</v>
      </c>
      <c r="AE18" s="40">
        <f>AD18</f>
        <v>109779115.309</v>
      </c>
      <c r="AF18" s="1">
        <v>116731265.76100001</v>
      </c>
      <c r="AG18" s="1">
        <v>123026738.491</v>
      </c>
      <c r="AH18" s="1">
        <v>130103169.81</v>
      </c>
      <c r="AI18" s="1">
        <v>133758734.891</v>
      </c>
      <c r="AJ18" s="40">
        <f>AI18</f>
        <v>133758734.891</v>
      </c>
      <c r="AK18" s="1">
        <v>138331473.57100001</v>
      </c>
      <c r="AL18" s="1">
        <v>144359893.71599999</v>
      </c>
      <c r="AM18" s="1">
        <v>149810508.51199999</v>
      </c>
      <c r="AN18" s="110">
        <v>154962994.495</v>
      </c>
      <c r="AO18" s="40">
        <f>AN18</f>
        <v>154962994.495</v>
      </c>
      <c r="AP18" s="1">
        <f>'Saldo_Provisões (2)'!W7</f>
        <v>159642757.44849998</v>
      </c>
      <c r="AQ18" s="1">
        <f>'Saldo_Provisões (2)'!X7</f>
        <v>162878502.79696998</v>
      </c>
      <c r="AR18" s="1">
        <f>'Saldo_Provisões (2)'!Y7</f>
        <v>167681782.15158996</v>
      </c>
      <c r="AS18" s="1">
        <f>'Saldo_Provisões (2)'!Z7</f>
        <v>172933508.88552997</v>
      </c>
      <c r="AT18" s="40">
        <f>AS18</f>
        <v>172933508.88552997</v>
      </c>
      <c r="AU18" s="1">
        <f>'Saldo_Provisões (2)'!AA7</f>
        <v>178981500.17569</v>
      </c>
      <c r="AV18" s="1">
        <f>'Saldo_Provisões (2)'!AB7</f>
        <v>184695874.69483</v>
      </c>
      <c r="AW18" s="1">
        <f>'Saldo_Provisões (2)'!AC7</f>
        <v>191904603.61825007</v>
      </c>
      <c r="AX18" s="1">
        <v>199396937.52236998</v>
      </c>
      <c r="AY18" s="40">
        <f>AX18</f>
        <v>199396937.52236998</v>
      </c>
      <c r="AZ18" s="8">
        <v>206829437.01543999</v>
      </c>
      <c r="BA18" s="114"/>
    </row>
    <row r="19" spans="1:53">
      <c r="A19" s="17" t="s">
        <v>784</v>
      </c>
      <c r="B19" s="18"/>
      <c r="C19" s="18"/>
      <c r="D19" s="18"/>
      <c r="E19" s="18"/>
      <c r="F19" s="46">
        <v>0</v>
      </c>
      <c r="G19" s="18">
        <v>1.343743076307897E-2</v>
      </c>
      <c r="H19" s="18">
        <v>1.3624410364722042E-2</v>
      </c>
      <c r="I19" s="18">
        <v>1.2728017183321807E-2</v>
      </c>
      <c r="J19" s="18">
        <v>1.5880081089880219E-3</v>
      </c>
      <c r="K19" s="46">
        <v>1.0000259721507603E-2</v>
      </c>
      <c r="L19" s="18">
        <v>8.6533623834259988E-3</v>
      </c>
      <c r="M19" s="18">
        <v>8.9229603594159698E-3</v>
      </c>
      <c r="N19" s="18">
        <v>7.9147874884118591E-3</v>
      </c>
      <c r="O19" s="18">
        <v>9.347101597563726E-3</v>
      </c>
      <c r="P19" s="46">
        <v>8.7354183803417564E-3</v>
      </c>
      <c r="Q19" s="18">
        <v>9.1104690681524363E-3</v>
      </c>
      <c r="R19" s="18">
        <v>8.5591173310279774E-3</v>
      </c>
      <c r="S19" s="18">
        <v>7.8902532920569531E-3</v>
      </c>
      <c r="T19" s="18">
        <v>7.2747360175169718E-3</v>
      </c>
      <c r="U19" s="46">
        <f>AVERAGE(Q19:T19)</f>
        <v>8.2086439271885844E-3</v>
      </c>
      <c r="V19" s="18">
        <v>6.5054967408008698E-3</v>
      </c>
      <c r="W19" s="18">
        <v>7.0870266590676969E-3</v>
      </c>
      <c r="X19" s="18">
        <v>5.9086247192865499E-3</v>
      </c>
      <c r="Y19" s="18">
        <v>5.5539257051163355E-3</v>
      </c>
      <c r="Z19" s="46">
        <f>AVERAGE(V19:Y19)</f>
        <v>6.2637684560678634E-3</v>
      </c>
      <c r="AA19" s="169">
        <v>9.3988172286454223E-3</v>
      </c>
      <c r="AB19" s="169">
        <v>7.6010998815439186E-3</v>
      </c>
      <c r="AC19" s="169">
        <v>5.5438422651641625E-3</v>
      </c>
      <c r="AD19" s="169">
        <v>5.9073047670829479E-3</v>
      </c>
      <c r="AE19" s="46">
        <f>AVERAGE(AA19:AD19)</f>
        <v>7.1127660356091124E-3</v>
      </c>
      <c r="AF19" s="169">
        <v>1.3815196797011967E-2</v>
      </c>
      <c r="AG19" s="169">
        <v>1.1817737172907161E-2</v>
      </c>
      <c r="AH19" s="169">
        <v>1.3390266863230813E-2</v>
      </c>
      <c r="AI19" s="169">
        <v>1.2050185016656627E-2</v>
      </c>
      <c r="AJ19" s="46">
        <f>AVERAGE(AF19:AI19)</f>
        <v>1.2768346462451641E-2</v>
      </c>
      <c r="AK19" s="169">
        <v>7.1046993892314751E-3</v>
      </c>
      <c r="AL19" s="169">
        <v>2.502720406771543E-3</v>
      </c>
      <c r="AM19" s="169">
        <v>1.9716754395327305E-3</v>
      </c>
      <c r="AN19" s="169">
        <v>2.4255968793529918E-3</v>
      </c>
      <c r="AO19" s="46">
        <f>AVERAGE(AK19:AN19)</f>
        <v>3.501173028722185E-3</v>
      </c>
      <c r="AP19" s="169">
        <v>6.4589030457119301E-3</v>
      </c>
      <c r="AQ19" s="169">
        <v>6.8290420090794139E-3</v>
      </c>
      <c r="AR19" s="169">
        <v>7.0750730018801569E-3</v>
      </c>
      <c r="AS19" s="169">
        <v>6.9798655750465287E-3</v>
      </c>
      <c r="AT19" s="46">
        <f>AVERAGE(AP19:AS19)</f>
        <v>6.8357209079295076E-3</v>
      </c>
      <c r="AU19" s="169">
        <v>6.3242387431795494E-3</v>
      </c>
      <c r="AV19" s="169">
        <v>7.0426281846393208E-3</v>
      </c>
      <c r="AW19" s="169">
        <v>6.9053920843415691E-3</v>
      </c>
      <c r="AX19" s="169">
        <v>6.8579960096482257E-3</v>
      </c>
      <c r="AY19" s="46">
        <f>AVERAGE(AU19:AV19)</f>
        <v>6.6834334639094351E-3</v>
      </c>
      <c r="AZ19" s="18">
        <v>3.5099380049189201E-3</v>
      </c>
    </row>
    <row r="20" spans="1:53">
      <c r="A20" s="17" t="s">
        <v>785</v>
      </c>
      <c r="B20" s="18"/>
      <c r="C20" s="18"/>
      <c r="D20" s="18"/>
      <c r="E20" s="18"/>
      <c r="F20" s="46">
        <v>0</v>
      </c>
      <c r="G20" s="18">
        <v>1.4041536870649685E-2</v>
      </c>
      <c r="H20" s="18">
        <v>1.3507487951523345E-2</v>
      </c>
      <c r="I20" s="18">
        <v>1.3938247270590232E-2</v>
      </c>
      <c r="J20" s="18">
        <v>1.3151157045462325E-2</v>
      </c>
      <c r="K20" s="46">
        <v>1.3659607284556397E-2</v>
      </c>
      <c r="L20" s="18">
        <v>1.3048532904728072E-2</v>
      </c>
      <c r="M20" s="18">
        <v>1.3255526914756066E-2</v>
      </c>
      <c r="N20" s="18">
        <v>1.3298432032598395E-2</v>
      </c>
      <c r="O20" s="18">
        <v>1.2666397353756853E-2</v>
      </c>
      <c r="P20" s="46">
        <v>1.3067222301459847E-2</v>
      </c>
      <c r="Q20" s="18">
        <v>1.2914231928238358E-2</v>
      </c>
      <c r="R20" s="18">
        <v>1.2677626481719551E-2</v>
      </c>
      <c r="S20" s="18">
        <v>1.2639934339835115E-2</v>
      </c>
      <c r="T20" s="18">
        <v>1.2579756287920352E-2</v>
      </c>
      <c r="U20" s="46">
        <v>1.2702887259428345E-2</v>
      </c>
      <c r="V20" s="18">
        <v>1.2628420900735423E-2</v>
      </c>
      <c r="W20" s="18">
        <v>1.2438687127164953E-2</v>
      </c>
      <c r="X20" s="18">
        <v>1.2258562845767332E-2</v>
      </c>
      <c r="Y20" s="18">
        <v>1.1995101194022421E-2</v>
      </c>
      <c r="Z20" s="46">
        <v>1.2330193016922533E-2</v>
      </c>
      <c r="AA20" s="18">
        <v>1.1995101194022421E-2</v>
      </c>
      <c r="AB20" s="18">
        <v>1.1899629982118371E-2</v>
      </c>
      <c r="AC20" s="18">
        <v>1.1987467718658527E-2</v>
      </c>
      <c r="AD20" s="18">
        <v>1.2070873057898369E-2</v>
      </c>
      <c r="AE20" s="46">
        <v>1.1988267988174423E-2</v>
      </c>
      <c r="AF20" s="169">
        <v>1.2065762017268012E-2</v>
      </c>
      <c r="AG20" s="169">
        <v>1.1994416100299251E-2</v>
      </c>
      <c r="AH20" s="169">
        <v>1.1915003899171415E-2</v>
      </c>
      <c r="AI20" s="169">
        <v>1.1829884195985565E-2</v>
      </c>
      <c r="AJ20" s="46">
        <f>AVERAGE(AF20:AI20)</f>
        <v>1.195126655318106E-2</v>
      </c>
      <c r="AK20" s="169">
        <v>1.1777791116007656E-2</v>
      </c>
      <c r="AL20" s="169">
        <v>1.1583713715160598E-2</v>
      </c>
      <c r="AM20" s="169">
        <v>1.1384943059410808E-2</v>
      </c>
      <c r="AN20" s="169">
        <v>1.1165079068229361E-2</v>
      </c>
      <c r="AO20" s="46">
        <f>AVERAGE(AK20:AN20)</f>
        <v>1.1477881739702106E-2</v>
      </c>
      <c r="AP20" s="169">
        <v>1.0941459409874172E-2</v>
      </c>
      <c r="AQ20" s="169">
        <v>1.0932625533994366E-2</v>
      </c>
      <c r="AR20" s="169">
        <v>1.094002158227917E-2</v>
      </c>
      <c r="AS20" s="169">
        <v>1.0928283067317076E-2</v>
      </c>
      <c r="AT20" s="46">
        <f>AVERAGE(AP20:AS20)</f>
        <v>1.0935597398366196E-2</v>
      </c>
      <c r="AU20" s="169">
        <v>1.0817268701190064E-2</v>
      </c>
      <c r="AV20" s="169">
        <v>1.0633758105271831E-2</v>
      </c>
      <c r="AW20" s="169">
        <v>1.0520161569319888E-2</v>
      </c>
      <c r="AX20" s="169">
        <v>1.0439038596049263E-2</v>
      </c>
      <c r="AY20" s="46">
        <f>AVERAGE(AU20:AX20)</f>
        <v>1.0602556742957762E-2</v>
      </c>
      <c r="AZ20" s="18">
        <v>1.0328930996688338E-2</v>
      </c>
    </row>
    <row r="21" spans="1:53">
      <c r="A21" s="17" t="s">
        <v>786</v>
      </c>
      <c r="B21" s="18"/>
      <c r="C21" s="18"/>
      <c r="D21" s="18"/>
      <c r="E21" s="18"/>
      <c r="F21" s="46">
        <v>0</v>
      </c>
      <c r="G21" s="18">
        <v>2.8553390908031356E-2</v>
      </c>
      <c r="H21" s="18">
        <v>2.8512646086544444E-2</v>
      </c>
      <c r="I21" s="18">
        <v>2.7701440713897418E-2</v>
      </c>
      <c r="J21" s="18">
        <v>2.6650879000458386E-2</v>
      </c>
      <c r="K21" s="46">
        <v>2.7802982069590663E-2</v>
      </c>
      <c r="L21" s="18">
        <v>2.8153605595232417E-2</v>
      </c>
      <c r="M21" s="18">
        <v>2.9856461588114291E-2</v>
      </c>
      <c r="N21" s="18">
        <v>3.0911783675497202E-2</v>
      </c>
      <c r="O21" s="18">
        <v>2.6696986414800172E-2</v>
      </c>
      <c r="P21" s="46">
        <v>2.8876402309750117E-2</v>
      </c>
      <c r="Q21" s="18">
        <v>2.7849421782165117E-2</v>
      </c>
      <c r="R21" s="18">
        <v>2.7661825631976264E-2</v>
      </c>
      <c r="S21" s="18">
        <v>3.0728082295242803E-2</v>
      </c>
      <c r="T21" s="18">
        <v>2.6154984775218864E-2</v>
      </c>
      <c r="U21" s="46">
        <f>AVERAGE(Q17:T17)/AVERAGE(Q18:T18)</f>
        <v>2.8080582538685606E-2</v>
      </c>
      <c r="V21" s="18">
        <v>3.4695941436359116E-2</v>
      </c>
      <c r="W21" s="18">
        <v>2.3637673438733756E-2</v>
      </c>
      <c r="X21" s="18">
        <v>2.5326082426412926E-2</v>
      </c>
      <c r="Y21" s="18">
        <v>2.9935986797926816E-2</v>
      </c>
      <c r="Z21" s="46">
        <f>AVERAGE(V17:Y17)/AVERAGE(V18:Y18)</f>
        <v>2.8373885785074066E-2</v>
      </c>
      <c r="AA21" s="18">
        <v>3.0490319988491069E-2</v>
      </c>
      <c r="AB21" s="18">
        <v>3.4759121293357016E-2</v>
      </c>
      <c r="AC21" s="169">
        <v>3.7839695072293275E-2</v>
      </c>
      <c r="AD21" s="169">
        <v>3.3810761674681701E-2</v>
      </c>
      <c r="AE21" s="46">
        <f>AVERAGE(AA17:AD17)/AVERAGE(AA18:AD18)</f>
        <v>3.4285877686854815E-2</v>
      </c>
      <c r="AF21" s="169">
        <v>3.3626049992695403E-2</v>
      </c>
      <c r="AG21" s="169">
        <v>3.4382507952118418E-2</v>
      </c>
      <c r="AH21" s="169">
        <v>3.4096083257681237E-2</v>
      </c>
      <c r="AI21" s="169">
        <v>3.7513508977630304E-2</v>
      </c>
      <c r="AJ21" s="46">
        <f>AVERAGE(AF17:AI17)/AVERAGE(AF18:AI18)</f>
        <v>3.4964755943402037E-2</v>
      </c>
      <c r="AK21" s="169">
        <v>3.8464414014783309E-2</v>
      </c>
      <c r="AL21" s="169">
        <v>3.2706716977332191E-2</v>
      </c>
      <c r="AM21" s="169">
        <v>3.0397706283429811E-2</v>
      </c>
      <c r="AN21" s="169">
        <v>2.9534079953570269E-2</v>
      </c>
      <c r="AO21" s="46">
        <f>AVERAGE(AK17:AN17)/AVERAGE(AK18:AN18)</f>
        <v>3.2636339838763316E-2</v>
      </c>
      <c r="AP21" s="169">
        <v>2.9052594763750418E-2</v>
      </c>
      <c r="AQ21" s="169">
        <v>3.0129216888743982E-2</v>
      </c>
      <c r="AR21" s="169">
        <v>2.9538703231751402E-2</v>
      </c>
      <c r="AS21" s="169">
        <v>2.8957829757706485E-2</v>
      </c>
      <c r="AT21" s="46">
        <f>AVERAGE(AP17:AS17)/AVERAGE(AP18:AS18)</f>
        <v>2.9410244015472709E-2</v>
      </c>
      <c r="AU21" s="169">
        <v>3.0524297194834026E-2</v>
      </c>
      <c r="AV21" s="169">
        <v>2.7507390424904889E-2</v>
      </c>
      <c r="AW21" s="169">
        <v>2.8562412272316817E-2</v>
      </c>
      <c r="AX21" s="169">
        <v>2.5531594329370574E-2</v>
      </c>
      <c r="AY21" s="46">
        <f>AVERAGE(AU17:AX17)/AVERAGE(AU18:AX18)</f>
        <v>2.7968948159829709E-2</v>
      </c>
      <c r="AZ21" s="18">
        <v>2.4888784845194533E-2</v>
      </c>
    </row>
    <row r="22" spans="1:53">
      <c r="A22" s="225" t="s">
        <v>787</v>
      </c>
      <c r="F22" s="39"/>
      <c r="G22" s="334"/>
      <c r="H22" s="39"/>
      <c r="I22" s="39"/>
      <c r="J22" s="39"/>
      <c r="K22" s="39"/>
      <c r="L22" s="39"/>
      <c r="M22" s="39"/>
      <c r="N22" s="39"/>
      <c r="O22" s="39"/>
      <c r="P22" s="39"/>
      <c r="Q22" s="76"/>
      <c r="R22" s="76"/>
      <c r="S22" s="76"/>
      <c r="T22" s="76"/>
      <c r="U22" s="39"/>
      <c r="V22" s="76"/>
      <c r="W22" s="76"/>
      <c r="X22" s="76"/>
      <c r="Y22" s="76"/>
      <c r="Z22" s="39"/>
      <c r="AA22" s="76">
        <v>265951.86787000083</v>
      </c>
      <c r="AB22" s="76">
        <v>280919.79840999836</v>
      </c>
      <c r="AC22" s="76">
        <v>296873.44919000077</v>
      </c>
      <c r="AD22" s="76">
        <v>305985.79444000317</v>
      </c>
      <c r="AE22" s="39">
        <v>1149730.9099100032</v>
      </c>
      <c r="AF22" s="76">
        <f>'Earn-out e LPC'!F44</f>
        <v>331806.69124999805</v>
      </c>
      <c r="AG22" s="76">
        <f>'Earn-out e LPC'!G44</f>
        <v>343535.54890000058</v>
      </c>
      <c r="AH22" s="76">
        <f>'Earn-out e LPC'!H44</f>
        <v>364323.22171000211</v>
      </c>
      <c r="AI22" s="76">
        <f>'Earn-out e LPC'!I44</f>
        <v>360014.81251999969</v>
      </c>
      <c r="AJ22" s="39">
        <f>SUM(AF22:AI22)</f>
        <v>1399680.2743800003</v>
      </c>
      <c r="AK22" s="76">
        <f>'Earn-out e LPC'!J44</f>
        <v>380018.65113000077</v>
      </c>
      <c r="AL22" s="76">
        <f>'Earn-out e LPC'!K44</f>
        <v>355248.32993999956</v>
      </c>
      <c r="AM22" s="76">
        <f>'Earn-out e LPC'!L44</f>
        <v>393304.43246000016</v>
      </c>
      <c r="AN22" s="76">
        <f>'Earn-out e LPC'!M44</f>
        <v>384454.71542999917</v>
      </c>
      <c r="AO22" s="39">
        <f>SUM(AK22:AN22)</f>
        <v>1513026.1289599997</v>
      </c>
      <c r="AP22" s="76">
        <f>'Earn-out e LPC'!N44</f>
        <v>403461.45016251475</v>
      </c>
      <c r="AQ22" s="76">
        <f>'Earn-out e LPC'!O44</f>
        <v>411386.29605335946</v>
      </c>
      <c r="AR22" s="76">
        <f>'Earn-out e LPC'!P44</f>
        <v>444440.81151071272</v>
      </c>
      <c r="AS22" s="76">
        <f>'Earn-out e LPC'!Q44</f>
        <v>421656.00399999955</v>
      </c>
      <c r="AT22" s="39">
        <f>SUM(AP22:AS22)</f>
        <v>1680944.5617265864</v>
      </c>
      <c r="AU22" s="76">
        <f>AU16</f>
        <v>419067.04207000142</v>
      </c>
      <c r="AV22" s="76">
        <f>AV16</f>
        <v>441216.89094000036</v>
      </c>
      <c r="AW22" s="76">
        <f>AW16</f>
        <v>478481.8628700003</v>
      </c>
      <c r="AX22" s="76">
        <f>AX16</f>
        <v>509271.24049999961</v>
      </c>
      <c r="AY22" s="39">
        <f>SUM(AU22:AX22)</f>
        <v>1848037.0363800016</v>
      </c>
      <c r="AZ22" s="76">
        <f>AZ16</f>
        <v>491252.03569000162</v>
      </c>
    </row>
    <row r="23" spans="1:53" ht="15.75" thickBot="1">
      <c r="A23" s="236" t="s">
        <v>788</v>
      </c>
      <c r="F23" s="241"/>
      <c r="K23" s="241"/>
      <c r="P23" s="241"/>
      <c r="Q23" s="239"/>
      <c r="R23" s="239"/>
      <c r="S23" s="239"/>
      <c r="T23" s="239"/>
      <c r="U23" s="241"/>
      <c r="V23" s="239"/>
      <c r="W23" s="239"/>
      <c r="X23" s="239"/>
      <c r="Y23" s="239"/>
      <c r="Z23" s="241"/>
      <c r="AA23" s="18">
        <v>4.5597389681161487E-3</v>
      </c>
      <c r="AB23" s="18">
        <v>3.954487618512019E-3</v>
      </c>
      <c r="AC23" s="18">
        <v>5.0878597395773014E-3</v>
      </c>
      <c r="AD23" s="18">
        <v>5.1998431528809709E-3</v>
      </c>
      <c r="AE23" s="48">
        <v>4.7004823697716098E-3</v>
      </c>
      <c r="AF23" s="18">
        <f>'Earn-out e LPC'!F45</f>
        <v>4.451283708677211E-3</v>
      </c>
      <c r="AG23" s="18">
        <f>'Earn-out e LPC'!G45</f>
        <v>4.6056888063445911E-3</v>
      </c>
      <c r="AH23" s="18">
        <f>'Earn-out e LPC'!H45</f>
        <v>4.684992911053126E-3</v>
      </c>
      <c r="AI23" s="18">
        <f>'Earn-out e LPC'!I45</f>
        <v>5.1168992335531511E-3</v>
      </c>
      <c r="AJ23" s="48">
        <f>AVERAGE(AF23:AI23)</f>
        <v>4.7147161649070202E-3</v>
      </c>
      <c r="AK23" s="18">
        <f>'Earn-out e LPC'!J45</f>
        <v>5.9519538604215485E-3</v>
      </c>
      <c r="AL23" s="18">
        <f>'Earn-out e LPC'!K45</f>
        <v>6.6370132164585392E-3</v>
      </c>
      <c r="AM23" s="18">
        <f>'Earn-out e LPC'!L45</f>
        <v>7.0721583594778514E-3</v>
      </c>
      <c r="AN23" s="18">
        <f>'Earn-out e LPC'!M45</f>
        <v>6.9497057173812373E-3</v>
      </c>
      <c r="AO23" s="48">
        <f>AVERAGE(AK23:AN23)</f>
        <v>6.6527077884347948E-3</v>
      </c>
      <c r="AP23" s="18">
        <f>'Earn-out e LPC'!N45</f>
        <v>6.7794847495712364E-3</v>
      </c>
      <c r="AQ23" s="18">
        <f>'Earn-out e LPC'!O45</f>
        <v>6.7443492513889411E-3</v>
      </c>
      <c r="AR23" s="18">
        <f>'Earn-out e LPC'!P45</f>
        <v>6.8849086730352962E-3</v>
      </c>
      <c r="AS23" s="18">
        <f>AS19</f>
        <v>6.9798655750465287E-3</v>
      </c>
      <c r="AT23" s="48">
        <f>AVERAGE(AP23:AS23)</f>
        <v>6.847152062260501E-3</v>
      </c>
      <c r="AU23" s="169">
        <f>AU19</f>
        <v>6.3242387431795494E-3</v>
      </c>
      <c r="AV23" s="169">
        <f>AV19</f>
        <v>7.0426281846393208E-3</v>
      </c>
      <c r="AW23" s="169">
        <f>AW19</f>
        <v>6.9053920843415691E-3</v>
      </c>
      <c r="AX23" s="169">
        <f>AX19</f>
        <v>6.8579960096482257E-3</v>
      </c>
      <c r="AY23" s="48">
        <f>AVERAGE(AU23:AX23)</f>
        <v>6.7825637554521662E-3</v>
      </c>
      <c r="AZ23" s="18">
        <f>AZ19</f>
        <v>3.5099380049189201E-3</v>
      </c>
    </row>
    <row r="24" spans="1:53" ht="45">
      <c r="A24" s="787" t="s">
        <v>789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69"/>
      <c r="AD24" s="169"/>
      <c r="AE24" s="18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</row>
    <row r="25" spans="1:53" ht="15.75" thickBot="1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69"/>
      <c r="AD25" s="169"/>
      <c r="AE25" s="18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</row>
    <row r="26" spans="1:53" s="30" customFormat="1" ht="24.4" customHeight="1">
      <c r="A26" s="625" t="s">
        <v>790</v>
      </c>
      <c r="B26" s="626" t="s">
        <v>224</v>
      </c>
      <c r="C26" s="626" t="s">
        <v>225</v>
      </c>
      <c r="D26" s="626" t="s">
        <v>226</v>
      </c>
      <c r="E26" s="626" t="s">
        <v>227</v>
      </c>
      <c r="F26" s="652">
        <v>2016</v>
      </c>
      <c r="G26" s="626" t="s">
        <v>228</v>
      </c>
      <c r="H26" s="626" t="s">
        <v>229</v>
      </c>
      <c r="I26" s="626" t="s">
        <v>230</v>
      </c>
      <c r="J26" s="626" t="s">
        <v>231</v>
      </c>
      <c r="K26" s="652">
        <v>2017</v>
      </c>
      <c r="L26" s="626" t="s">
        <v>232</v>
      </c>
      <c r="M26" s="626" t="s">
        <v>233</v>
      </c>
      <c r="N26" s="626" t="s">
        <v>234</v>
      </c>
      <c r="O26" s="626" t="s">
        <v>235</v>
      </c>
      <c r="P26" s="652">
        <v>2018</v>
      </c>
      <c r="Q26" s="626" t="s">
        <v>236</v>
      </c>
      <c r="R26" s="626" t="s">
        <v>237</v>
      </c>
      <c r="S26" s="626" t="s">
        <v>238</v>
      </c>
      <c r="T26" s="626" t="s">
        <v>239</v>
      </c>
      <c r="U26" s="652">
        <v>2019</v>
      </c>
      <c r="V26" s="626" t="s">
        <v>240</v>
      </c>
      <c r="W26" s="626" t="s">
        <v>241</v>
      </c>
      <c r="X26" s="626" t="s">
        <v>242</v>
      </c>
      <c r="Y26" s="626" t="s">
        <v>243</v>
      </c>
      <c r="Z26" s="652">
        <v>2020</v>
      </c>
      <c r="AA26" s="626" t="s">
        <v>244</v>
      </c>
      <c r="AB26" s="626" t="s">
        <v>245</v>
      </c>
      <c r="AC26" s="626" t="s">
        <v>246</v>
      </c>
      <c r="AD26" s="626" t="s">
        <v>247</v>
      </c>
      <c r="AE26" s="652">
        <v>2021</v>
      </c>
      <c r="AF26" s="626" t="s">
        <v>248</v>
      </c>
      <c r="AG26" s="626" t="s">
        <v>249</v>
      </c>
      <c r="AH26" s="626" t="s">
        <v>250</v>
      </c>
      <c r="AI26" s="626" t="s">
        <v>215</v>
      </c>
      <c r="AJ26" s="652">
        <v>2022</v>
      </c>
      <c r="AK26" s="626" t="s">
        <v>252</v>
      </c>
      <c r="AL26" s="626" t="s">
        <v>253</v>
      </c>
      <c r="AM26" s="626" t="s">
        <v>254</v>
      </c>
      <c r="AN26" s="626" t="s">
        <v>219</v>
      </c>
      <c r="AO26" s="652">
        <v>2023</v>
      </c>
      <c r="AP26" s="626" t="s">
        <v>223</v>
      </c>
      <c r="AQ26" s="626" t="s">
        <v>256</v>
      </c>
      <c r="AR26" s="626" t="s">
        <v>357</v>
      </c>
      <c r="AS26" s="626" t="s">
        <v>358</v>
      </c>
      <c r="AT26" s="652">
        <v>2024</v>
      </c>
      <c r="AU26" s="626" t="s">
        <v>359</v>
      </c>
      <c r="AV26" s="626" t="s">
        <v>1115</v>
      </c>
      <c r="AW26" s="626" t="s">
        <v>1116</v>
      </c>
      <c r="AX26" s="626" t="s">
        <v>1117</v>
      </c>
      <c r="AY26" s="653" t="s">
        <v>1118</v>
      </c>
      <c r="AZ26" s="645" t="s">
        <v>1124</v>
      </c>
    </row>
    <row r="27" spans="1:53">
      <c r="A27" s="9" t="s">
        <v>791</v>
      </c>
      <c r="B27" s="76">
        <v>283931.30796999997</v>
      </c>
      <c r="C27" s="76">
        <v>298195.69936000003</v>
      </c>
      <c r="D27" s="76">
        <v>295249.16337999998</v>
      </c>
      <c r="E27" s="76">
        <v>311515.32707</v>
      </c>
      <c r="F27" s="39">
        <v>1188891.4977799999</v>
      </c>
      <c r="G27" s="76">
        <v>305829.71931000007</v>
      </c>
      <c r="H27" s="76">
        <v>309314.83521000005</v>
      </c>
      <c r="I27" s="76">
        <v>300499.06349999999</v>
      </c>
      <c r="J27" s="76">
        <v>292263.90581999999</v>
      </c>
      <c r="K27" s="39">
        <v>1207907.5238400002</v>
      </c>
      <c r="L27" s="76">
        <v>312843.92284000001</v>
      </c>
      <c r="M27" s="76">
        <v>353566.81500999996</v>
      </c>
      <c r="N27" s="76">
        <v>370442.69154000003</v>
      </c>
      <c r="O27" s="76">
        <v>370259.79545999999</v>
      </c>
      <c r="P27" s="39">
        <v>1407113.2248499999</v>
      </c>
      <c r="Q27" s="76">
        <v>384435.65013000002</v>
      </c>
      <c r="R27" s="76">
        <v>425569.90077000001</v>
      </c>
      <c r="S27" s="76">
        <v>393735.64535000001</v>
      </c>
      <c r="T27" s="76">
        <v>400580.11450000003</v>
      </c>
      <c r="U27" s="39">
        <v>1604321.3107500002</v>
      </c>
      <c r="V27" s="76">
        <v>382614.13186000002</v>
      </c>
      <c r="W27" s="76">
        <v>332048.42835999996</v>
      </c>
      <c r="X27" s="76">
        <v>338577.15458999999</v>
      </c>
      <c r="Y27" s="76">
        <v>324530.33168000006</v>
      </c>
      <c r="Z27" s="39">
        <v>1377770.0464900001</v>
      </c>
      <c r="AA27" s="76">
        <v>305626.61496999994</v>
      </c>
      <c r="AB27" s="76">
        <v>300266.53398000001</v>
      </c>
      <c r="AC27" s="76">
        <v>361441.42098000005</v>
      </c>
      <c r="AD27" s="76">
        <v>360865.19649</v>
      </c>
      <c r="AE27" s="39">
        <v>1328199.76642</v>
      </c>
      <c r="AF27" s="76">
        <f t="shared" ref="AF27:AI29" si="12">AF43+AF59</f>
        <v>315473.47837999999</v>
      </c>
      <c r="AG27" s="76">
        <f t="shared" si="12"/>
        <v>401596.45542999997</v>
      </c>
      <c r="AH27" s="76">
        <f t="shared" si="12"/>
        <v>479696.26535999996</v>
      </c>
      <c r="AI27" s="76">
        <f t="shared" si="12"/>
        <v>375522.98112999997</v>
      </c>
      <c r="AJ27" s="39">
        <f>SUM(AF27:AI27)</f>
        <v>1572289.1802999999</v>
      </c>
      <c r="AK27" s="76">
        <f t="shared" ref="AK27:AN29" si="13">AK43+AK59</f>
        <v>298204</v>
      </c>
      <c r="AL27" s="76">
        <f t="shared" si="13"/>
        <v>311202</v>
      </c>
      <c r="AM27" s="76">
        <f t="shared" si="13"/>
        <v>406070</v>
      </c>
      <c r="AN27" s="76">
        <f t="shared" si="13"/>
        <v>392150</v>
      </c>
      <c r="AO27" s="39">
        <f>SUM(AK27:AN27)</f>
        <v>1407626</v>
      </c>
      <c r="AP27" s="76">
        <f t="shared" ref="AP27:AS29" si="14">AP43+AP59</f>
        <v>389282</v>
      </c>
      <c r="AQ27" s="76">
        <f t="shared" si="14"/>
        <v>332183</v>
      </c>
      <c r="AR27" s="76">
        <f t="shared" si="14"/>
        <v>364035</v>
      </c>
      <c r="AS27" s="76">
        <f t="shared" si="14"/>
        <v>383173</v>
      </c>
      <c r="AT27" s="39">
        <f>SUM(AP27:AS27)</f>
        <v>1468673</v>
      </c>
      <c r="AU27" s="76">
        <f t="shared" ref="AU27:AX29" si="15">AU43+AU59</f>
        <v>423001.24200000003</v>
      </c>
      <c r="AV27" s="76">
        <f t="shared" si="15"/>
        <v>436776.092</v>
      </c>
      <c r="AW27" s="76">
        <f t="shared" si="15"/>
        <v>485371.76540999999</v>
      </c>
      <c r="AX27" s="76">
        <f t="shared" si="15"/>
        <v>521695.44073999993</v>
      </c>
      <c r="AY27" s="39">
        <f>SUM(AU27:AX27)</f>
        <v>1866844.54015</v>
      </c>
      <c r="AZ27" s="76">
        <f>AZ43+AZ59</f>
        <v>542785.4</v>
      </c>
      <c r="BA27" s="114"/>
    </row>
    <row r="28" spans="1:53">
      <c r="A28" s="11" t="s">
        <v>792</v>
      </c>
      <c r="B28" s="8">
        <v>227175.94154</v>
      </c>
      <c r="C28" s="8">
        <v>222592.3529</v>
      </c>
      <c r="D28" s="8">
        <v>218955.15429000001</v>
      </c>
      <c r="E28" s="8">
        <v>225921.66645999998</v>
      </c>
      <c r="F28" s="40">
        <v>894645.11518999992</v>
      </c>
      <c r="G28" s="8">
        <v>234107.56153000004</v>
      </c>
      <c r="H28" s="8">
        <v>233446.51322000005</v>
      </c>
      <c r="I28" s="8">
        <v>230419.12544</v>
      </c>
      <c r="J28" s="8">
        <v>228399.56026000003</v>
      </c>
      <c r="K28" s="40">
        <v>926372.76045000018</v>
      </c>
      <c r="L28" s="8">
        <v>223688.76667000001</v>
      </c>
      <c r="M28" s="8">
        <v>224345.78169</v>
      </c>
      <c r="N28" s="8">
        <v>239341.16583999997</v>
      </c>
      <c r="O28" s="8">
        <v>267325.85437999998</v>
      </c>
      <c r="P28" s="40">
        <v>954701.56857999996</v>
      </c>
      <c r="Q28" s="76">
        <v>277766.91835999995</v>
      </c>
      <c r="R28" s="1">
        <v>285541.32058</v>
      </c>
      <c r="S28" s="1">
        <v>295016.31900000002</v>
      </c>
      <c r="T28" s="1">
        <v>309377.01676999999</v>
      </c>
      <c r="U28" s="40">
        <v>1167701.5747099998</v>
      </c>
      <c r="V28" s="1">
        <v>301148.57980000001</v>
      </c>
      <c r="W28" s="1">
        <v>286557.67505999998</v>
      </c>
      <c r="X28" s="1">
        <v>291524.99932</v>
      </c>
      <c r="Y28" s="1">
        <v>280015.38349000004</v>
      </c>
      <c r="Z28" s="40">
        <v>1159246.6376700001</v>
      </c>
      <c r="AA28" s="1">
        <v>271748.34702999995</v>
      </c>
      <c r="AB28" s="1">
        <v>269251.67884000001</v>
      </c>
      <c r="AC28" s="1">
        <v>269370.08178000001</v>
      </c>
      <c r="AD28" s="1">
        <v>274698.25657999999</v>
      </c>
      <c r="AE28" s="40">
        <v>1085068.3642299999</v>
      </c>
      <c r="AF28" s="1">
        <f t="shared" si="12"/>
        <v>274626.91956000001</v>
      </c>
      <c r="AG28" s="1">
        <f t="shared" si="12"/>
        <v>288460.34473999997</v>
      </c>
      <c r="AH28" s="1">
        <f t="shared" si="12"/>
        <v>307922.29249999998</v>
      </c>
      <c r="AI28" s="1">
        <f t="shared" si="12"/>
        <v>330248.52731000003</v>
      </c>
      <c r="AJ28" s="40">
        <f t="shared" ref="AJ28:AJ37" si="16">SUM(AF28:AI28)</f>
        <v>1201258.0841099999</v>
      </c>
      <c r="AK28" s="1">
        <f t="shared" si="13"/>
        <v>183186.53675</v>
      </c>
      <c r="AL28" s="1">
        <f t="shared" si="13"/>
        <v>198166.29595999999</v>
      </c>
      <c r="AM28" s="1">
        <f t="shared" si="13"/>
        <v>218645.97116999998</v>
      </c>
      <c r="AN28" s="1">
        <f t="shared" si="13"/>
        <v>242061.75546000001</v>
      </c>
      <c r="AO28" s="40">
        <f t="shared" ref="AO28:AO37" si="17">SUM(AK28:AN28)</f>
        <v>842060.55934000004</v>
      </c>
      <c r="AP28" s="1">
        <f t="shared" si="14"/>
        <v>254750.62400000001</v>
      </c>
      <c r="AQ28" s="1">
        <f t="shared" si="14"/>
        <v>284916.32299999997</v>
      </c>
      <c r="AR28" s="1">
        <f t="shared" si="14"/>
        <v>328895.88299999997</v>
      </c>
      <c r="AS28" s="1">
        <f t="shared" si="14"/>
        <v>352757.891</v>
      </c>
      <c r="AT28" s="40">
        <f t="shared" ref="AT28:AT37" si="18">SUM(AP28:AS28)</f>
        <v>1221320.7209999999</v>
      </c>
      <c r="AU28" s="1">
        <f t="shared" si="15"/>
        <v>396231.70289999997</v>
      </c>
      <c r="AV28" s="1">
        <f t="shared" si="15"/>
        <v>414924.48981</v>
      </c>
      <c r="AW28" s="1">
        <f t="shared" si="15"/>
        <v>448068.15658999997</v>
      </c>
      <c r="AX28" s="1">
        <f t="shared" si="15"/>
        <v>474034.96190999995</v>
      </c>
      <c r="AY28" s="40">
        <f t="shared" ref="AY28:AY37" si="19">SUM(AU28:AX28)</f>
        <v>1733259.31121</v>
      </c>
      <c r="AZ28" s="1">
        <f>AZ44+AZ60</f>
        <v>503262.5</v>
      </c>
      <c r="BA28" s="114"/>
    </row>
    <row r="29" spans="1:53">
      <c r="A29" s="11" t="s">
        <v>793</v>
      </c>
      <c r="B29" s="8">
        <v>56755.366430000002</v>
      </c>
      <c r="C29" s="8">
        <v>75603.346460000015</v>
      </c>
      <c r="D29" s="8">
        <v>76294.009090000007</v>
      </c>
      <c r="E29" s="8">
        <v>85593.660610000006</v>
      </c>
      <c r="F29" s="40">
        <v>294246.38259000005</v>
      </c>
      <c r="G29" s="8">
        <v>71722.157779999994</v>
      </c>
      <c r="H29" s="8">
        <v>75868.321990000011</v>
      </c>
      <c r="I29" s="8">
        <v>70079.93806</v>
      </c>
      <c r="J29" s="8">
        <v>63864.345560000002</v>
      </c>
      <c r="K29" s="40">
        <v>281534.76338999998</v>
      </c>
      <c r="L29" s="8">
        <v>89155.156170000002</v>
      </c>
      <c r="M29" s="8">
        <v>129220.28031999999</v>
      </c>
      <c r="N29" s="8">
        <v>131100.99170000001</v>
      </c>
      <c r="O29" s="8">
        <v>102933.94108</v>
      </c>
      <c r="P29" s="40">
        <v>452410.36927000002</v>
      </c>
      <c r="Q29" s="1">
        <v>106668.73177000001</v>
      </c>
      <c r="R29" s="1">
        <v>140028.58019000001</v>
      </c>
      <c r="S29" s="1">
        <v>98719.326350000003</v>
      </c>
      <c r="T29" s="1">
        <v>91187.946530000001</v>
      </c>
      <c r="U29" s="40">
        <v>436604.58484000002</v>
      </c>
      <c r="V29" s="1">
        <v>81465.552060000002</v>
      </c>
      <c r="W29" s="1">
        <v>45490.753299999997</v>
      </c>
      <c r="X29" s="1">
        <v>47052.155269999996</v>
      </c>
      <c r="Y29" s="1">
        <v>44514.948189999996</v>
      </c>
      <c r="Z29" s="40">
        <v>218523.40881999998</v>
      </c>
      <c r="AA29" s="1">
        <v>33878.267939999998</v>
      </c>
      <c r="AB29" s="1">
        <v>31014.855140000003</v>
      </c>
      <c r="AC29" s="1">
        <v>92071.339200000002</v>
      </c>
      <c r="AD29" s="1">
        <v>86166.939910000001</v>
      </c>
      <c r="AE29" s="40">
        <v>243131.40218999999</v>
      </c>
      <c r="AF29" s="1">
        <f t="shared" si="12"/>
        <v>40846.756970000002</v>
      </c>
      <c r="AG29" s="1">
        <f t="shared" si="12"/>
        <v>113136.17079</v>
      </c>
      <c r="AH29" s="1">
        <f t="shared" si="12"/>
        <v>171773.44870999997</v>
      </c>
      <c r="AI29" s="1">
        <f t="shared" si="12"/>
        <v>45274.728139999992</v>
      </c>
      <c r="AJ29" s="40">
        <f t="shared" si="16"/>
        <v>371031.10460999992</v>
      </c>
      <c r="AK29" s="1">
        <f t="shared" si="13"/>
        <v>115017.53585</v>
      </c>
      <c r="AL29" s="1">
        <f t="shared" si="13"/>
        <v>113035.74634</v>
      </c>
      <c r="AM29" s="1">
        <f t="shared" si="13"/>
        <v>187423.78637000002</v>
      </c>
      <c r="AN29" s="1">
        <f t="shared" si="13"/>
        <v>150088.69996</v>
      </c>
      <c r="AO29" s="40">
        <f t="shared" si="17"/>
        <v>565565.76852000004</v>
      </c>
      <c r="AP29" s="1">
        <f t="shared" si="14"/>
        <v>134531.85500000001</v>
      </c>
      <c r="AQ29" s="1">
        <f t="shared" si="14"/>
        <v>47266.252999999997</v>
      </c>
      <c r="AR29" s="1">
        <f t="shared" si="14"/>
        <v>35139.410000000003</v>
      </c>
      <c r="AS29" s="1">
        <f t="shared" si="14"/>
        <v>30414.832999999999</v>
      </c>
      <c r="AT29" s="40">
        <f t="shared" si="18"/>
        <v>247352.35100000002</v>
      </c>
      <c r="AU29" s="1">
        <f t="shared" si="15"/>
        <v>26769.538649999999</v>
      </c>
      <c r="AV29" s="1">
        <f t="shared" si="15"/>
        <v>21851.60312</v>
      </c>
      <c r="AW29" s="1">
        <f t="shared" si="15"/>
        <v>37303.608820000001</v>
      </c>
      <c r="AX29" s="1">
        <f t="shared" si="15"/>
        <v>47660.47883</v>
      </c>
      <c r="AY29" s="40">
        <f t="shared" si="19"/>
        <v>133585.22942000002</v>
      </c>
      <c r="AZ29" s="1">
        <f>AZ45+AZ61</f>
        <v>39522.9</v>
      </c>
      <c r="BA29" s="114"/>
    </row>
    <row r="30" spans="1:53">
      <c r="A30" s="9" t="s">
        <v>794</v>
      </c>
      <c r="B30" s="76"/>
      <c r="C30" s="76"/>
      <c r="D30" s="76"/>
      <c r="E30" s="76"/>
      <c r="F30" s="39">
        <v>0</v>
      </c>
      <c r="G30" s="76">
        <v>-243640.19144999995</v>
      </c>
      <c r="H30" s="76">
        <v>-253181.22722000006</v>
      </c>
      <c r="I30" s="76">
        <v>-247678.40586000003</v>
      </c>
      <c r="J30" s="76">
        <v>-235986.32326999999</v>
      </c>
      <c r="K30" s="39">
        <v>-980486.14780000015</v>
      </c>
      <c r="L30" s="76">
        <v>-260061.76891000001</v>
      </c>
      <c r="M30" s="76">
        <v>-293052.82494000002</v>
      </c>
      <c r="N30" s="76">
        <v>-298663.57142000005</v>
      </c>
      <c r="O30" s="76">
        <v>-289112.84027000004</v>
      </c>
      <c r="P30" s="39">
        <v>-1140891.0055400003</v>
      </c>
      <c r="Q30" s="76">
        <v>-307985.14413000003</v>
      </c>
      <c r="R30" s="76">
        <v>-341893.82902</v>
      </c>
      <c r="S30" s="76">
        <v>-316564.29785000003</v>
      </c>
      <c r="T30" s="76">
        <v>-326226.68242000003</v>
      </c>
      <c r="U30" s="39">
        <v>-1292669.9534199999</v>
      </c>
      <c r="V30" s="76">
        <v>-312708.97097000002</v>
      </c>
      <c r="W30" s="76">
        <v>-277464.62872000004</v>
      </c>
      <c r="X30" s="76">
        <v>-283080.63124000002</v>
      </c>
      <c r="Y30" s="76">
        <v>-272943.92492000002</v>
      </c>
      <c r="Z30" s="39">
        <v>-1146198.1558500002</v>
      </c>
      <c r="AA30" s="76">
        <v>-262854.93083999999</v>
      </c>
      <c r="AB30" s="76">
        <v>-262012.76675000004</v>
      </c>
      <c r="AC30" s="76">
        <v>-312292.59937999997</v>
      </c>
      <c r="AD30" s="76">
        <v>-309172.98229999997</v>
      </c>
      <c r="AE30" s="39">
        <v>-1146333.2792700001</v>
      </c>
      <c r="AF30" s="76">
        <f>SUM(AF31:AF32)</f>
        <v>-257824</v>
      </c>
      <c r="AG30" s="76">
        <f>SUM(AG31:AG32)</f>
        <v>-321428</v>
      </c>
      <c r="AH30" s="76">
        <f>SUM(AH31:AH32)</f>
        <v>-369696</v>
      </c>
      <c r="AI30" s="76">
        <f>SUM(AI31:AI32)</f>
        <v>-161149</v>
      </c>
      <c r="AJ30" s="39">
        <f t="shared" si="16"/>
        <v>-1110097</v>
      </c>
      <c r="AK30" s="76">
        <f>SUM(AK31:AK32)</f>
        <v>-187975</v>
      </c>
      <c r="AL30" s="76">
        <f t="shared" ref="AL30:AN30" si="20">SUM(AL31:AL32)</f>
        <v>-204757</v>
      </c>
      <c r="AM30" s="76">
        <f t="shared" si="20"/>
        <v>-273049</v>
      </c>
      <c r="AN30" s="76">
        <f t="shared" si="20"/>
        <v>-259873</v>
      </c>
      <c r="AO30" s="39">
        <f t="shared" si="17"/>
        <v>-925654</v>
      </c>
      <c r="AP30" s="76">
        <f>SUM(AP31:AP32)</f>
        <v>-263291</v>
      </c>
      <c r="AQ30" s="76">
        <f>SUM(AQ31:AQ32)</f>
        <v>-207728</v>
      </c>
      <c r="AR30" s="76">
        <f t="shared" ref="AR30" si="21">SUM(AR31:AR32)</f>
        <v>-224741</v>
      </c>
      <c r="AS30" s="76">
        <f>SUM(AS31:AS32)</f>
        <v>-239701</v>
      </c>
      <c r="AT30" s="39">
        <f t="shared" si="18"/>
        <v>-935461</v>
      </c>
      <c r="AU30" s="76">
        <f>SUM(AU31:AU32)</f>
        <v>-272794.75199999998</v>
      </c>
      <c r="AV30" s="76">
        <f>SUM(AV31:AV32)</f>
        <v>-286769.745</v>
      </c>
      <c r="AW30" s="76">
        <f>SUM(AW31:AW32)</f>
        <v>-323750.74599999998</v>
      </c>
      <c r="AX30" s="76">
        <f>SUM(AX31:AX32)</f>
        <v>-356598</v>
      </c>
      <c r="AY30" s="39">
        <f t="shared" si="19"/>
        <v>-1239913.243</v>
      </c>
      <c r="AZ30" s="76">
        <f>SUM(AZ31:AZ32)</f>
        <v>-378847</v>
      </c>
      <c r="BA30" s="114"/>
    </row>
    <row r="31" spans="1:53">
      <c r="A31" s="11" t="s">
        <v>795</v>
      </c>
      <c r="B31" s="8"/>
      <c r="C31" s="8"/>
      <c r="D31" s="8"/>
      <c r="E31" s="8"/>
      <c r="F31" s="40">
        <v>0</v>
      </c>
      <c r="G31" s="8">
        <v>-243755.95970999997</v>
      </c>
      <c r="H31" s="8">
        <v>-253234.95959000004</v>
      </c>
      <c r="I31" s="8">
        <v>-247727.92840000003</v>
      </c>
      <c r="J31" s="8">
        <v>-243629.69920999999</v>
      </c>
      <c r="K31" s="40">
        <v>-988348.54691000003</v>
      </c>
      <c r="L31" s="8">
        <v>-260056.36604000002</v>
      </c>
      <c r="M31" s="8">
        <v>-292920.92622000002</v>
      </c>
      <c r="N31" s="8">
        <v>-298493.04817000002</v>
      </c>
      <c r="O31" s="8">
        <v>-288834.96348000003</v>
      </c>
      <c r="P31" s="40">
        <v>-1140305.3039100002</v>
      </c>
      <c r="Q31" s="1">
        <v>-305228.56359000003</v>
      </c>
      <c r="R31" s="1">
        <v>-341304.48469999997</v>
      </c>
      <c r="S31" s="1">
        <v>-316463.37184000004</v>
      </c>
      <c r="T31" s="1">
        <v>-326178.61614</v>
      </c>
      <c r="U31" s="40">
        <v>-1289175.03627</v>
      </c>
      <c r="V31" s="1">
        <v>-312678.09250000003</v>
      </c>
      <c r="W31" s="1">
        <v>-277616.26449000003</v>
      </c>
      <c r="X31" s="1">
        <v>-283279.22511</v>
      </c>
      <c r="Y31" s="1">
        <v>-273125.15250000003</v>
      </c>
      <c r="Z31" s="40">
        <v>-1146698.7346000001</v>
      </c>
      <c r="AA31" s="1">
        <v>-263190.15469999996</v>
      </c>
      <c r="AB31" s="1">
        <v>-262652.70943000005</v>
      </c>
      <c r="AC31" s="1">
        <v>-312028.64747999999</v>
      </c>
      <c r="AD31" s="1">
        <v>-303322.75669999997</v>
      </c>
      <c r="AE31" s="40">
        <v>-1141194.26831</v>
      </c>
      <c r="AF31" s="1">
        <f t="shared" ref="AF31:AI32" si="22">AF47+AF63</f>
        <v>-261178</v>
      </c>
      <c r="AG31" s="1">
        <f t="shared" si="22"/>
        <v>-322457</v>
      </c>
      <c r="AH31" s="1">
        <f t="shared" si="22"/>
        <v>-370001</v>
      </c>
      <c r="AI31" s="1">
        <f t="shared" si="22"/>
        <v>-161218</v>
      </c>
      <c r="AJ31" s="40">
        <f t="shared" si="16"/>
        <v>-1114854</v>
      </c>
      <c r="AK31" s="1">
        <f t="shared" ref="AK31:AN32" si="23">AK47+AK63</f>
        <v>-187975</v>
      </c>
      <c r="AL31" s="1">
        <f t="shared" si="23"/>
        <v>-204757</v>
      </c>
      <c r="AM31" s="1">
        <f t="shared" si="23"/>
        <v>-273049</v>
      </c>
      <c r="AN31" s="1">
        <f t="shared" si="23"/>
        <v>-259873</v>
      </c>
      <c r="AO31" s="40">
        <f t="shared" si="17"/>
        <v>-925654</v>
      </c>
      <c r="AP31" s="1">
        <f t="shared" ref="AP31:AS32" si="24">AP47+AP63</f>
        <v>-263291</v>
      </c>
      <c r="AQ31" s="1">
        <f t="shared" si="24"/>
        <v>-207728</v>
      </c>
      <c r="AR31" s="1">
        <f t="shared" si="24"/>
        <v>-224741</v>
      </c>
      <c r="AS31" s="1">
        <f t="shared" si="24"/>
        <v>-239701</v>
      </c>
      <c r="AT31" s="40">
        <f t="shared" si="18"/>
        <v>-935461</v>
      </c>
      <c r="AU31" s="1">
        <f t="shared" ref="AU31:AX32" si="25">AU47+AU63</f>
        <v>-272794.75199999998</v>
      </c>
      <c r="AV31" s="1">
        <f t="shared" si="25"/>
        <v>-286769.745</v>
      </c>
      <c r="AW31" s="1">
        <f t="shared" si="25"/>
        <v>-323750.74599999998</v>
      </c>
      <c r="AX31" s="1">
        <f t="shared" si="25"/>
        <v>-356598</v>
      </c>
      <c r="AY31" s="40">
        <f t="shared" si="19"/>
        <v>-1239913.243</v>
      </c>
      <c r="AZ31" s="1">
        <f>AZ47+AZ63</f>
        <v>-378847</v>
      </c>
      <c r="BA31" s="114"/>
    </row>
    <row r="32" spans="1:53">
      <c r="A32" s="11" t="s">
        <v>500</v>
      </c>
      <c r="B32" s="8"/>
      <c r="C32" s="8"/>
      <c r="D32" s="8"/>
      <c r="E32" s="8"/>
      <c r="F32" s="40">
        <v>0</v>
      </c>
      <c r="G32" s="8">
        <v>115.76826000000351</v>
      </c>
      <c r="H32" s="8">
        <v>53.732369999989871</v>
      </c>
      <c r="I32" s="8">
        <v>49.522540000000966</v>
      </c>
      <c r="J32" s="8">
        <v>7643.3759400000026</v>
      </c>
      <c r="K32" s="40">
        <v>7862.3991099999967</v>
      </c>
      <c r="L32" s="8">
        <v>-5.4028699999982495</v>
      </c>
      <c r="M32" s="8">
        <v>-131.89872000000068</v>
      </c>
      <c r="N32" s="8">
        <v>-170.52324999999999</v>
      </c>
      <c r="O32" s="8">
        <v>-277.87678999999724</v>
      </c>
      <c r="P32" s="40">
        <v>-585.70162999999616</v>
      </c>
      <c r="Q32" s="1">
        <v>-2756.5805400000017</v>
      </c>
      <c r="R32" s="1">
        <v>-589.34432000000959</v>
      </c>
      <c r="S32" s="1">
        <v>-100.92600999999442</v>
      </c>
      <c r="T32" s="1">
        <v>-48.066280000001193</v>
      </c>
      <c r="U32" s="40">
        <v>-3494.917150000007</v>
      </c>
      <c r="V32" s="1">
        <v>-30.878470000004395</v>
      </c>
      <c r="W32" s="1">
        <v>151.63577000000143</v>
      </c>
      <c r="X32" s="1">
        <v>198.59387000000103</v>
      </c>
      <c r="Y32" s="1">
        <v>181.22758000000007</v>
      </c>
      <c r="Z32" s="40">
        <v>500.57874999999819</v>
      </c>
      <c r="AA32" s="1">
        <v>335.22385999999568</v>
      </c>
      <c r="AB32" s="1">
        <v>639.94268000000091</v>
      </c>
      <c r="AC32" s="1">
        <v>-263.95190000000093</v>
      </c>
      <c r="AD32" s="1">
        <v>-5850.2255999999998</v>
      </c>
      <c r="AE32" s="40">
        <v>-5139.0109600000042</v>
      </c>
      <c r="AF32" s="1">
        <f t="shared" si="22"/>
        <v>3354</v>
      </c>
      <c r="AG32" s="1">
        <f t="shared" si="22"/>
        <v>1029</v>
      </c>
      <c r="AH32" s="1">
        <f t="shared" si="22"/>
        <v>305</v>
      </c>
      <c r="AI32" s="1">
        <f t="shared" si="22"/>
        <v>69</v>
      </c>
      <c r="AJ32" s="40">
        <f t="shared" si="16"/>
        <v>4757</v>
      </c>
      <c r="AK32" s="1">
        <f t="shared" si="23"/>
        <v>0</v>
      </c>
      <c r="AL32" s="1">
        <f t="shared" si="23"/>
        <v>0</v>
      </c>
      <c r="AM32" s="1">
        <f t="shared" si="23"/>
        <v>0</v>
      </c>
      <c r="AN32" s="1">
        <f t="shared" si="23"/>
        <v>0</v>
      </c>
      <c r="AO32" s="40">
        <f t="shared" si="17"/>
        <v>0</v>
      </c>
      <c r="AP32" s="1">
        <f t="shared" si="24"/>
        <v>0</v>
      </c>
      <c r="AQ32" s="1">
        <f t="shared" si="24"/>
        <v>0</v>
      </c>
      <c r="AR32" s="1">
        <f t="shared" si="24"/>
        <v>0</v>
      </c>
      <c r="AS32" s="1">
        <f t="shared" si="24"/>
        <v>0</v>
      </c>
      <c r="AT32" s="40">
        <f t="shared" si="18"/>
        <v>0</v>
      </c>
      <c r="AU32" s="1">
        <f t="shared" si="25"/>
        <v>0</v>
      </c>
      <c r="AV32" s="1">
        <f t="shared" si="25"/>
        <v>0</v>
      </c>
      <c r="AW32" s="1">
        <f t="shared" si="25"/>
        <v>0</v>
      </c>
      <c r="AX32" s="1">
        <f t="shared" si="25"/>
        <v>0</v>
      </c>
      <c r="AY32" s="40">
        <f t="shared" si="19"/>
        <v>0</v>
      </c>
      <c r="AZ32" s="1">
        <f>AZ48+AZ64</f>
        <v>0</v>
      </c>
      <c r="BA32" s="114"/>
    </row>
    <row r="33" spans="1:53">
      <c r="A33" s="9" t="s">
        <v>796</v>
      </c>
      <c r="B33" s="76"/>
      <c r="C33" s="76"/>
      <c r="D33" s="76"/>
      <c r="E33" s="76"/>
      <c r="F33" s="39">
        <v>0</v>
      </c>
      <c r="G33" s="76">
        <v>62073.759600000041</v>
      </c>
      <c r="H33" s="76">
        <v>56079.875619999992</v>
      </c>
      <c r="I33" s="76">
        <v>52771.135099999963</v>
      </c>
      <c r="J33" s="76">
        <v>48634.206610000001</v>
      </c>
      <c r="K33" s="39">
        <v>219558.97692999998</v>
      </c>
      <c r="L33" s="76">
        <v>52787.556800000028</v>
      </c>
      <c r="M33" s="76">
        <v>60645.888789999961</v>
      </c>
      <c r="N33" s="76">
        <v>71949.643370000005</v>
      </c>
      <c r="O33" s="76">
        <v>81424.831979999959</v>
      </c>
      <c r="P33" s="39">
        <v>266807.92093999998</v>
      </c>
      <c r="Q33" s="191">
        <v>79207.086539999989</v>
      </c>
      <c r="R33" s="191">
        <v>84265.416070000036</v>
      </c>
      <c r="S33" s="191">
        <v>77272.27350999997</v>
      </c>
      <c r="T33" s="191">
        <v>74401.498360000027</v>
      </c>
      <c r="U33" s="39">
        <v>315146.27448000002</v>
      </c>
      <c r="V33" s="191">
        <v>69936.039359999995</v>
      </c>
      <c r="W33" s="191">
        <v>54432.163869999931</v>
      </c>
      <c r="X33" s="191">
        <v>55297.929479999992</v>
      </c>
      <c r="Y33" s="191">
        <v>51405.179180000036</v>
      </c>
      <c r="Z33" s="39">
        <v>231071.31188999995</v>
      </c>
      <c r="AA33" s="191">
        <v>42771.68412999998</v>
      </c>
      <c r="AB33" s="191">
        <v>37613.824549999961</v>
      </c>
      <c r="AC33" s="191">
        <v>49412.773500000068</v>
      </c>
      <c r="AD33" s="191">
        <v>57542.439790000033</v>
      </c>
      <c r="AE33" s="39">
        <v>187340.72197000004</v>
      </c>
      <c r="AF33" s="191">
        <f>AF27+AF31</f>
        <v>54295.478379999986</v>
      </c>
      <c r="AG33" s="191">
        <f>AG27+AG31</f>
        <v>79139.455429999973</v>
      </c>
      <c r="AH33" s="191">
        <f>AH27+AH31</f>
        <v>109695.26535999996</v>
      </c>
      <c r="AI33" s="191">
        <f>AI27+AI31</f>
        <v>214304.98112999997</v>
      </c>
      <c r="AJ33" s="39">
        <f t="shared" si="16"/>
        <v>457435.18029999989</v>
      </c>
      <c r="AK33" s="191">
        <f>AK27+AK31</f>
        <v>110229</v>
      </c>
      <c r="AL33" s="191">
        <f t="shared" ref="AL33:AN33" si="26">AL27+AL31</f>
        <v>106445</v>
      </c>
      <c r="AM33" s="191">
        <f t="shared" si="26"/>
        <v>133021</v>
      </c>
      <c r="AN33" s="191">
        <f t="shared" si="26"/>
        <v>132277</v>
      </c>
      <c r="AO33" s="39">
        <f t="shared" si="17"/>
        <v>481972</v>
      </c>
      <c r="AP33" s="191">
        <f>AP27+AP31</f>
        <v>125991</v>
      </c>
      <c r="AQ33" s="191">
        <f>AQ27+AQ31</f>
        <v>124455</v>
      </c>
      <c r="AR33" s="191">
        <f t="shared" ref="AR33" si="27">AR27+AR31</f>
        <v>139294</v>
      </c>
      <c r="AS33" s="191">
        <f>AS27+AS31</f>
        <v>143472</v>
      </c>
      <c r="AT33" s="39">
        <f t="shared" si="18"/>
        <v>533212</v>
      </c>
      <c r="AU33" s="191">
        <f>AU27+AU31</f>
        <v>150206.49000000005</v>
      </c>
      <c r="AV33" s="191">
        <f>AV27+AV31</f>
        <v>150006.34700000001</v>
      </c>
      <c r="AW33" s="191">
        <f>AW27+AW31</f>
        <v>161621.01941000001</v>
      </c>
      <c r="AX33" s="191">
        <f>AX27+AX31</f>
        <v>165097.44073999993</v>
      </c>
      <c r="AY33" s="39">
        <f t="shared" si="19"/>
        <v>626931.29715</v>
      </c>
      <c r="AZ33" s="191">
        <f>AZ27+AZ31</f>
        <v>163938.40000000002</v>
      </c>
      <c r="BA33" s="114"/>
    </row>
    <row r="34" spans="1:53">
      <c r="A34" s="11" t="s">
        <v>797</v>
      </c>
      <c r="B34" s="8"/>
      <c r="C34" s="8"/>
      <c r="D34" s="8"/>
      <c r="E34" s="8"/>
      <c r="F34" s="40">
        <v>0</v>
      </c>
      <c r="G34" s="8">
        <v>-16155.108700000001</v>
      </c>
      <c r="H34" s="8">
        <v>-14590.806199999999</v>
      </c>
      <c r="I34" s="8">
        <v>-10054.78614</v>
      </c>
      <c r="J34" s="8">
        <v>-11538.903179999999</v>
      </c>
      <c r="K34" s="40">
        <v>-52339.604220000001</v>
      </c>
      <c r="L34" s="8">
        <v>-9501.8238600000004</v>
      </c>
      <c r="M34" s="8">
        <v>-11072.5137</v>
      </c>
      <c r="N34" s="8">
        <v>-11431.426089999997</v>
      </c>
      <c r="O34" s="8">
        <v>-13028.511759999998</v>
      </c>
      <c r="P34" s="40">
        <v>-45034.275409999995</v>
      </c>
      <c r="Q34" s="1">
        <v>-11008.117320000001</v>
      </c>
      <c r="R34" s="1">
        <v>-11925.861579999999</v>
      </c>
      <c r="S34" s="1">
        <v>20579.822550000008</v>
      </c>
      <c r="T34" s="1">
        <v>-13871.867009999998</v>
      </c>
      <c r="U34" s="40">
        <v>-16226.023359999992</v>
      </c>
      <c r="V34" s="1">
        <v>-17465.432179999993</v>
      </c>
      <c r="W34" s="1">
        <v>-8548.4704600000005</v>
      </c>
      <c r="X34" s="1">
        <v>-7366.9462500000009</v>
      </c>
      <c r="Y34" s="1">
        <v>-14768.694890000001</v>
      </c>
      <c r="Z34" s="40">
        <v>-48149.543779999993</v>
      </c>
      <c r="AA34" s="1">
        <v>-8882.0421200000001</v>
      </c>
      <c r="AB34" s="1">
        <v>-8947.0990299999976</v>
      </c>
      <c r="AC34" s="1">
        <v>-10855.413570000001</v>
      </c>
      <c r="AD34" s="1">
        <v>-9555.6401999999998</v>
      </c>
      <c r="AE34" s="40">
        <v>-38240.194919999994</v>
      </c>
      <c r="AF34" s="1">
        <f t="shared" ref="AF34:AI36" si="28">AF50+AF66</f>
        <v>-9110</v>
      </c>
      <c r="AG34" s="1">
        <f t="shared" si="28"/>
        <v>-8997</v>
      </c>
      <c r="AH34" s="1">
        <f t="shared" si="28"/>
        <v>-10319</v>
      </c>
      <c r="AI34" s="1">
        <f t="shared" si="28"/>
        <v>-4183</v>
      </c>
      <c r="AJ34" s="40">
        <f t="shared" si="16"/>
        <v>-32609</v>
      </c>
      <c r="AK34" s="1">
        <f t="shared" ref="AK34:AN36" si="29">AK50+AK66</f>
        <v>-4899</v>
      </c>
      <c r="AL34" s="1">
        <f t="shared" si="29"/>
        <v>-5060</v>
      </c>
      <c r="AM34" s="1">
        <f t="shared" si="29"/>
        <v>-6173</v>
      </c>
      <c r="AN34" s="1">
        <f t="shared" si="29"/>
        <v>-6270</v>
      </c>
      <c r="AO34" s="40">
        <f t="shared" si="17"/>
        <v>-22402</v>
      </c>
      <c r="AP34" s="1">
        <f t="shared" ref="AP34:AS36" si="30">AP50+AP66</f>
        <v>-5345</v>
      </c>
      <c r="AQ34" s="1">
        <f t="shared" si="30"/>
        <v>-4620</v>
      </c>
      <c r="AR34" s="1">
        <f t="shared" si="30"/>
        <v>-5211</v>
      </c>
      <c r="AS34" s="1">
        <f t="shared" si="30"/>
        <v>-4528</v>
      </c>
      <c r="AT34" s="40">
        <f t="shared" si="18"/>
        <v>-19704</v>
      </c>
      <c r="AU34" s="1">
        <f t="shared" ref="AU34:AX36" si="31">AU50+AU66</f>
        <v>-5424</v>
      </c>
      <c r="AV34" s="1">
        <f t="shared" si="31"/>
        <v>-4470</v>
      </c>
      <c r="AW34" s="1">
        <f t="shared" si="31"/>
        <v>-5440</v>
      </c>
      <c r="AX34" s="1">
        <f t="shared" si="31"/>
        <v>-4859</v>
      </c>
      <c r="AY34" s="40">
        <f t="shared" si="19"/>
        <v>-20193</v>
      </c>
      <c r="AZ34" s="1">
        <f>AZ50+AZ66</f>
        <v>-1991</v>
      </c>
      <c r="BA34" s="114"/>
    </row>
    <row r="35" spans="1:53">
      <c r="A35" s="11" t="s">
        <v>781</v>
      </c>
      <c r="B35" s="8"/>
      <c r="C35" s="8"/>
      <c r="D35" s="8"/>
      <c r="E35" s="8"/>
      <c r="F35" s="40">
        <v>0</v>
      </c>
      <c r="G35" s="8">
        <v>-29141.829890000001</v>
      </c>
      <c r="H35" s="8">
        <v>-27870.5121</v>
      </c>
      <c r="I35" s="8">
        <v>-27707.343799999999</v>
      </c>
      <c r="J35" s="8">
        <v>-5453.3964500000047</v>
      </c>
      <c r="K35" s="40">
        <v>-90173.082240000003</v>
      </c>
      <c r="L35" s="8">
        <v>-24818.920919999993</v>
      </c>
      <c r="M35" s="8">
        <v>-24421.224269999999</v>
      </c>
      <c r="N35" s="8">
        <v>-22943.546750000005</v>
      </c>
      <c r="O35" s="8">
        <v>-28501.03614</v>
      </c>
      <c r="P35" s="40">
        <v>-100684.72808</v>
      </c>
      <c r="Q35" s="1">
        <v>-27985.388499999997</v>
      </c>
      <c r="R35" s="1">
        <v>-36486.791879999997</v>
      </c>
      <c r="S35" s="1">
        <v>-34769.030190000005</v>
      </c>
      <c r="T35" s="1">
        <v>-31739.475050000001</v>
      </c>
      <c r="U35" s="40">
        <v>-130980.68562</v>
      </c>
      <c r="V35" s="1">
        <v>-32830.768819999998</v>
      </c>
      <c r="W35" s="1">
        <v>-25083.239120000006</v>
      </c>
      <c r="X35" s="1">
        <v>-21298.70277</v>
      </c>
      <c r="Y35" s="1">
        <v>-16776.878410000005</v>
      </c>
      <c r="Z35" s="40">
        <v>-95989.589120000004</v>
      </c>
      <c r="AA35" s="1">
        <v>-14104.606299999998</v>
      </c>
      <c r="AB35" s="1">
        <v>-14030.65165</v>
      </c>
      <c r="AC35" s="1">
        <v>-17387.964639999998</v>
      </c>
      <c r="AD35" s="1">
        <v>-18121.146990000001</v>
      </c>
      <c r="AE35" s="40">
        <v>-63644.369579999999</v>
      </c>
      <c r="AF35" s="1">
        <f t="shared" si="28"/>
        <v>-14241</v>
      </c>
      <c r="AG35" s="1">
        <f t="shared" si="28"/>
        <v>-21138</v>
      </c>
      <c r="AH35" s="1">
        <f t="shared" si="28"/>
        <v>-28246</v>
      </c>
      <c r="AI35" s="1">
        <f t="shared" si="28"/>
        <v>-18932</v>
      </c>
      <c r="AJ35" s="40">
        <f t="shared" si="16"/>
        <v>-82557</v>
      </c>
      <c r="AK35" s="1">
        <f t="shared" si="29"/>
        <v>-21970</v>
      </c>
      <c r="AL35" s="1">
        <f t="shared" si="29"/>
        <v>-23499</v>
      </c>
      <c r="AM35" s="1">
        <f t="shared" si="29"/>
        <v>-31790</v>
      </c>
      <c r="AN35" s="1">
        <f t="shared" si="29"/>
        <v>-31558</v>
      </c>
      <c r="AO35" s="40">
        <f t="shared" si="17"/>
        <v>-108817</v>
      </c>
      <c r="AP35" s="1">
        <f t="shared" si="30"/>
        <v>-29041</v>
      </c>
      <c r="AQ35" s="1">
        <f t="shared" si="30"/>
        <v>-24964</v>
      </c>
      <c r="AR35" s="1">
        <f t="shared" si="30"/>
        <v>-27477</v>
      </c>
      <c r="AS35" s="1">
        <f t="shared" si="30"/>
        <v>-31551</v>
      </c>
      <c r="AT35" s="40">
        <f t="shared" si="18"/>
        <v>-113033</v>
      </c>
      <c r="AU35" s="1">
        <f t="shared" si="31"/>
        <v>-30946</v>
      </c>
      <c r="AV35" s="1">
        <f t="shared" si="31"/>
        <v>-32826</v>
      </c>
      <c r="AW35" s="1">
        <f t="shared" si="31"/>
        <v>-39766</v>
      </c>
      <c r="AX35" s="1">
        <f t="shared" si="31"/>
        <v>-42173</v>
      </c>
      <c r="AY35" s="40">
        <f t="shared" si="19"/>
        <v>-145711</v>
      </c>
      <c r="AZ35" s="1">
        <f>AZ51+AZ67</f>
        <v>-41857</v>
      </c>
      <c r="BA35" s="114"/>
    </row>
    <row r="36" spans="1:53">
      <c r="A36" s="11" t="s">
        <v>782</v>
      </c>
      <c r="B36" s="8"/>
      <c r="C36" s="8"/>
      <c r="D36" s="8"/>
      <c r="E36" s="8"/>
      <c r="F36" s="40">
        <v>0</v>
      </c>
      <c r="G36" s="8">
        <v>9551.4644100000005</v>
      </c>
      <c r="H36" s="8">
        <v>8116.7932999999994</v>
      </c>
      <c r="I36" s="8">
        <v>9371.3807800000013</v>
      </c>
      <c r="J36" s="8">
        <v>-14384.680459999992</v>
      </c>
      <c r="K36" s="40">
        <v>12654.958030000005</v>
      </c>
      <c r="L36" s="8">
        <v>6939.5304799999985</v>
      </c>
      <c r="M36" s="8">
        <v>10884.414249999998</v>
      </c>
      <c r="N36" s="8">
        <v>10091.918570000003</v>
      </c>
      <c r="O36" s="8">
        <v>5750.6364100000001</v>
      </c>
      <c r="P36" s="40">
        <v>33666.499709999996</v>
      </c>
      <c r="Q36" s="1">
        <v>14499.019209999999</v>
      </c>
      <c r="R36" s="1">
        <v>10943.65747</v>
      </c>
      <c r="S36" s="1">
        <v>8978.4830399999992</v>
      </c>
      <c r="T36" s="1">
        <v>5658.3146799999995</v>
      </c>
      <c r="U36" s="40">
        <v>40079.474399999992</v>
      </c>
      <c r="V36" s="1">
        <v>3434.4645499999997</v>
      </c>
      <c r="W36" s="1">
        <v>9797.8129900000022</v>
      </c>
      <c r="X36" s="1">
        <v>7201.744810000002</v>
      </c>
      <c r="Y36" s="1">
        <v>5612.3677900000002</v>
      </c>
      <c r="Z36" s="40">
        <v>26046.390140000007</v>
      </c>
      <c r="AA36" s="1">
        <v>9453.1391599999988</v>
      </c>
      <c r="AB36" s="1">
        <v>9429.9289400000016</v>
      </c>
      <c r="AC36" s="1">
        <v>11150.859849999999</v>
      </c>
      <c r="AD36" s="1">
        <v>9046.3946800000012</v>
      </c>
      <c r="AE36" s="40">
        <v>39080.322629999995</v>
      </c>
      <c r="AF36" s="1">
        <f t="shared" si="28"/>
        <v>15078</v>
      </c>
      <c r="AG36" s="1">
        <f t="shared" si="28"/>
        <v>3986</v>
      </c>
      <c r="AH36" s="1">
        <f t="shared" si="28"/>
        <v>543</v>
      </c>
      <c r="AI36" s="1">
        <f t="shared" si="28"/>
        <v>-7131</v>
      </c>
      <c r="AJ36" s="40">
        <f t="shared" si="16"/>
        <v>12476</v>
      </c>
      <c r="AK36" s="1">
        <f t="shared" si="29"/>
        <v>-14702</v>
      </c>
      <c r="AL36" s="1">
        <f t="shared" si="29"/>
        <v>-15890</v>
      </c>
      <c r="AM36" s="1">
        <f t="shared" si="29"/>
        <v>-20572</v>
      </c>
      <c r="AN36" s="1">
        <f t="shared" si="29"/>
        <v>-19632</v>
      </c>
      <c r="AO36" s="40">
        <f t="shared" si="17"/>
        <v>-70796</v>
      </c>
      <c r="AP36" s="1">
        <f t="shared" si="30"/>
        <v>-20668</v>
      </c>
      <c r="AQ36" s="1">
        <f t="shared" si="30"/>
        <v>-19213</v>
      </c>
      <c r="AR36" s="1">
        <f t="shared" si="30"/>
        <v>-19868</v>
      </c>
      <c r="AS36" s="1">
        <f t="shared" si="30"/>
        <v>-21797</v>
      </c>
      <c r="AT36" s="40">
        <f t="shared" si="18"/>
        <v>-81546</v>
      </c>
      <c r="AU36" s="1">
        <f t="shared" si="31"/>
        <v>-21124</v>
      </c>
      <c r="AV36" s="1">
        <f t="shared" si="31"/>
        <v>-22103</v>
      </c>
      <c r="AW36" s="1">
        <f t="shared" si="31"/>
        <v>-24038</v>
      </c>
      <c r="AX36" s="1">
        <f t="shared" si="31"/>
        <v>-25444</v>
      </c>
      <c r="AY36" s="40">
        <f t="shared" si="19"/>
        <v>-92709</v>
      </c>
      <c r="AZ36" s="1">
        <f>AZ52+AZ68</f>
        <v>-20765</v>
      </c>
      <c r="BA36" s="114"/>
    </row>
    <row r="37" spans="1:53">
      <c r="A37" s="9" t="s">
        <v>710</v>
      </c>
      <c r="B37" s="76"/>
      <c r="C37" s="76"/>
      <c r="D37" s="76"/>
      <c r="E37" s="76"/>
      <c r="F37" s="39">
        <v>0</v>
      </c>
      <c r="G37" s="76">
        <v>26444.053680000048</v>
      </c>
      <c r="H37" s="76">
        <v>21789.082989999981</v>
      </c>
      <c r="I37" s="76">
        <v>24429.908479999969</v>
      </c>
      <c r="J37" s="76">
        <v>24900.602460000006</v>
      </c>
      <c r="K37" s="39">
        <v>97563.64761</v>
      </c>
      <c r="L37" s="76">
        <v>25400.93963000003</v>
      </c>
      <c r="M37" s="76">
        <v>35904.666349999956</v>
      </c>
      <c r="N37" s="76">
        <v>47496.065850000006</v>
      </c>
      <c r="O37" s="76">
        <v>45368.043699999973</v>
      </c>
      <c r="P37" s="39">
        <v>154169.71552999996</v>
      </c>
      <c r="Q37" s="76">
        <v>51956.019389999987</v>
      </c>
      <c r="R37" s="76">
        <v>46207.075760000036</v>
      </c>
      <c r="S37" s="76">
        <v>71960.622899999988</v>
      </c>
      <c r="T37" s="76">
        <v>34400.404700000028</v>
      </c>
      <c r="U37" s="39">
        <v>204524.12275000004</v>
      </c>
      <c r="V37" s="76">
        <v>23043.424439999999</v>
      </c>
      <c r="W37" s="76">
        <v>30749.903049999924</v>
      </c>
      <c r="X37" s="76">
        <v>34032.619139999995</v>
      </c>
      <c r="Y37" s="76">
        <v>25653.201250000031</v>
      </c>
      <c r="Z37" s="39">
        <v>113479.14787999995</v>
      </c>
      <c r="AA37" s="76">
        <v>29573.398729999979</v>
      </c>
      <c r="AB37" s="76">
        <v>24705.945489999966</v>
      </c>
      <c r="AC37" s="76">
        <v>32056.303240000067</v>
      </c>
      <c r="AD37" s="76">
        <v>33061.821680000037</v>
      </c>
      <c r="AE37" s="39">
        <v>119397.46914000004</v>
      </c>
      <c r="AF37" s="76">
        <f>SUM(AF32:AF36)</f>
        <v>49376.478379999986</v>
      </c>
      <c r="AG37" s="76">
        <f>SUM(AG32:AG36)</f>
        <v>54019.455429999973</v>
      </c>
      <c r="AH37" s="76">
        <f>SUM(AH32:AH36)</f>
        <v>71978.265359999961</v>
      </c>
      <c r="AI37" s="76">
        <f>SUM(AI32:AI36)</f>
        <v>184127.98112999997</v>
      </c>
      <c r="AJ37" s="39">
        <f t="shared" si="16"/>
        <v>359502.18029999989</v>
      </c>
      <c r="AK37" s="76">
        <f>SUM(AK32:AK36)</f>
        <v>68658</v>
      </c>
      <c r="AL37" s="76">
        <f t="shared" ref="AL37:AN37" si="32">SUM(AL32:AL36)</f>
        <v>61996</v>
      </c>
      <c r="AM37" s="76">
        <f t="shared" si="32"/>
        <v>74486</v>
      </c>
      <c r="AN37" s="76">
        <f t="shared" si="32"/>
        <v>74817</v>
      </c>
      <c r="AO37" s="39">
        <f t="shared" si="17"/>
        <v>279957</v>
      </c>
      <c r="AP37" s="76">
        <f>SUM(AP32:AP36)</f>
        <v>70937</v>
      </c>
      <c r="AQ37" s="76">
        <f>SUM(AQ32:AQ36)</f>
        <v>75658</v>
      </c>
      <c r="AR37" s="76">
        <f t="shared" ref="AR37" si="33">SUM(AR32:AR36)</f>
        <v>86738</v>
      </c>
      <c r="AS37" s="76">
        <f>SUM(AS32:AS36)</f>
        <v>85596</v>
      </c>
      <c r="AT37" s="39">
        <f t="shared" si="18"/>
        <v>318929</v>
      </c>
      <c r="AU37" s="76">
        <f>SUM(AU32:AU36)</f>
        <v>92712.490000000049</v>
      </c>
      <c r="AV37" s="76">
        <f>SUM(AV32:AV36)</f>
        <v>90607.347000000009</v>
      </c>
      <c r="AW37" s="76">
        <f>SUM(AW32:AW36)</f>
        <v>92377.019410000008</v>
      </c>
      <c r="AX37" s="76">
        <f>SUM(AX32:AX36)</f>
        <v>92621.440739999933</v>
      </c>
      <c r="AY37" s="39">
        <f t="shared" si="19"/>
        <v>368318.29715</v>
      </c>
      <c r="AZ37" s="76">
        <f>SUM(AZ32:AZ36)</f>
        <v>99325.400000000023</v>
      </c>
      <c r="BA37" s="114"/>
    </row>
    <row r="38" spans="1:53">
      <c r="A38" s="17" t="s">
        <v>798</v>
      </c>
      <c r="B38" s="18"/>
      <c r="C38" s="18"/>
      <c r="D38" s="18"/>
      <c r="E38" s="18"/>
      <c r="F38" s="46">
        <v>0</v>
      </c>
      <c r="G38" s="18">
        <v>0.4685970595500189</v>
      </c>
      <c r="H38" s="18">
        <v>0.49650313061945067</v>
      </c>
      <c r="I38" s="18">
        <v>0.52455507064754558</v>
      </c>
      <c r="J38" s="18">
        <v>9.6901753822757342E-2</v>
      </c>
      <c r="K38" s="46">
        <f t="shared" ref="K38:AP38" si="34">-K35/(K27+K32)</f>
        <v>7.4169528738792859E-2</v>
      </c>
      <c r="L38" s="169">
        <f t="shared" si="34"/>
        <v>7.9334606628301496E-2</v>
      </c>
      <c r="M38" s="169">
        <f t="shared" si="34"/>
        <v>6.9096807203852847E-2</v>
      </c>
      <c r="N38" s="169">
        <f t="shared" si="34"/>
        <v>6.1964005709525656E-2</v>
      </c>
      <c r="O38" s="169">
        <f t="shared" si="34"/>
        <v>7.7033591918369088E-2</v>
      </c>
      <c r="P38" s="46">
        <f t="shared" si="34"/>
        <v>7.1583901784943282E-2</v>
      </c>
      <c r="Q38" s="169">
        <f t="shared" si="34"/>
        <v>7.3321779289762801E-2</v>
      </c>
      <c r="R38" s="169">
        <f t="shared" si="34"/>
        <v>8.5855202846892506E-2</v>
      </c>
      <c r="S38" s="169">
        <f t="shared" si="34"/>
        <v>8.8328159285076757E-2</v>
      </c>
      <c r="T38" s="169">
        <f t="shared" si="34"/>
        <v>7.9243284503831959E-2</v>
      </c>
      <c r="U38" s="46">
        <f t="shared" si="34"/>
        <v>8.1820668464520754E-2</v>
      </c>
      <c r="V38" s="169">
        <f t="shared" si="34"/>
        <v>8.5813397552278042E-2</v>
      </c>
      <c r="W38" s="169">
        <f t="shared" si="34"/>
        <v>7.5506424677221531E-2</v>
      </c>
      <c r="X38" s="169">
        <f t="shared" si="34"/>
        <v>6.2869620587716848E-2</v>
      </c>
      <c r="Y38" s="169">
        <f t="shared" si="34"/>
        <v>5.1667019333200198E-2</v>
      </c>
      <c r="Z38" s="46">
        <f t="shared" si="34"/>
        <v>6.9644950245736539E-2</v>
      </c>
      <c r="AA38" s="169">
        <f t="shared" si="34"/>
        <v>4.6099233662394323E-2</v>
      </c>
      <c r="AB38" s="169">
        <f t="shared" si="34"/>
        <v>4.6627948343742377E-2</v>
      </c>
      <c r="AC38" s="169">
        <f t="shared" si="34"/>
        <v>4.8142440015128962E-2</v>
      </c>
      <c r="AD38" s="169">
        <f t="shared" si="34"/>
        <v>5.1043331903923475E-2</v>
      </c>
      <c r="AE38" s="46">
        <f t="shared" si="34"/>
        <v>4.8103890405147884E-2</v>
      </c>
      <c r="AF38" s="169">
        <f t="shared" si="34"/>
        <v>4.4666789927769714E-2</v>
      </c>
      <c r="AG38" s="169">
        <f t="shared" si="34"/>
        <v>5.2500406307953947E-2</v>
      </c>
      <c r="AH38" s="169">
        <f t="shared" si="34"/>
        <v>5.8845678206317975E-2</v>
      </c>
      <c r="AI38" s="169">
        <f t="shared" si="34"/>
        <v>5.0405761973515754E-2</v>
      </c>
      <c r="AJ38" s="46">
        <f t="shared" si="34"/>
        <v>5.234913284802812E-2</v>
      </c>
      <c r="AK38" s="169">
        <f t="shared" si="34"/>
        <v>7.3674397392389096E-2</v>
      </c>
      <c r="AL38" s="169">
        <f t="shared" si="34"/>
        <v>7.5510440164266293E-2</v>
      </c>
      <c r="AM38" s="169">
        <f t="shared" si="34"/>
        <v>7.8286994853104142E-2</v>
      </c>
      <c r="AN38" s="169">
        <f t="shared" si="34"/>
        <v>8.0474308300395259E-2</v>
      </c>
      <c r="AO38" s="46">
        <f t="shared" si="34"/>
        <v>7.7305335366070246E-2</v>
      </c>
      <c r="AP38" s="169">
        <f t="shared" si="34"/>
        <v>7.4601445738564851E-2</v>
      </c>
      <c r="AQ38" s="169">
        <f t="shared" ref="AQ38:AR38" si="35">-AQ35/(AQ27+AQ32)</f>
        <v>7.5151347299530685E-2</v>
      </c>
      <c r="AR38" s="169">
        <f t="shared" si="35"/>
        <v>7.547900613951955E-2</v>
      </c>
      <c r="AS38" s="169">
        <f t="shared" ref="AS38:AY38" si="36">-AS35/(AS27+AS32)</f>
        <v>8.2341396705926564E-2</v>
      </c>
      <c r="AT38" s="46">
        <f t="shared" si="36"/>
        <v>7.6962673106947571E-2</v>
      </c>
      <c r="AU38" s="169">
        <f t="shared" si="36"/>
        <v>7.3158177630126192E-2</v>
      </c>
      <c r="AV38" s="169">
        <f t="shared" si="36"/>
        <v>7.5155212478983394E-2</v>
      </c>
      <c r="AW38" s="169">
        <f t="shared" si="36"/>
        <v>8.1928951854892365E-2</v>
      </c>
      <c r="AX38" s="169">
        <f t="shared" si="36"/>
        <v>8.0838352622326207E-2</v>
      </c>
      <c r="AY38" s="46">
        <f t="shared" si="36"/>
        <v>7.8052026757563966E-2</v>
      </c>
      <c r="AZ38" s="169">
        <f t="shared" ref="AZ38" si="37">-AZ35/(AZ27+AZ32)</f>
        <v>7.7115191381345177E-2</v>
      </c>
    </row>
    <row r="39" spans="1:53" ht="15.75" thickBot="1">
      <c r="A39" s="17" t="s">
        <v>803</v>
      </c>
      <c r="B39" s="18"/>
      <c r="C39" s="18"/>
      <c r="D39" s="18"/>
      <c r="E39" s="18"/>
      <c r="F39" s="48">
        <v>0</v>
      </c>
      <c r="G39" s="18">
        <v>0.20296836991528555</v>
      </c>
      <c r="H39" s="18">
        <v>0.18130354330378703</v>
      </c>
      <c r="I39" s="18">
        <v>0.17561164579136854</v>
      </c>
      <c r="J39" s="18">
        <v>0.16640510730720517</v>
      </c>
      <c r="K39" s="48">
        <v>0.18176803488400395</v>
      </c>
      <c r="L39" s="18">
        <v>0.16873448050642667</v>
      </c>
      <c r="M39" s="18">
        <v>0.17152596401979836</v>
      </c>
      <c r="N39" s="18">
        <v>0.19422611111827254</v>
      </c>
      <c r="O39" s="18">
        <v>0.21991270177967909</v>
      </c>
      <c r="P39" s="48">
        <v>0.18961368298449618</v>
      </c>
      <c r="Q39" s="18">
        <v>0.2060347070132946</v>
      </c>
      <c r="R39" s="18">
        <v>0.19800605239594102</v>
      </c>
      <c r="S39" s="18">
        <v>0.19625419852782441</v>
      </c>
      <c r="T39" s="18">
        <v>0.18573437788560027</v>
      </c>
      <c r="U39" s="48">
        <v>0.196435883739943</v>
      </c>
      <c r="V39" s="18">
        <v>0.18278477854443145</v>
      </c>
      <c r="W39" s="18">
        <v>0.1639283888161811</v>
      </c>
      <c r="X39" s="18">
        <v>0.16332445568267304</v>
      </c>
      <c r="Y39" s="18">
        <v>0.15839868931168999</v>
      </c>
      <c r="Z39" s="48">
        <v>0.167713990065814</v>
      </c>
      <c r="AA39" s="18">
        <v>0.13994751122770643</v>
      </c>
      <c r="AB39" s="18">
        <v>0.12526812113035987</v>
      </c>
      <c r="AC39" s="169">
        <v>0.13671032325521504</v>
      </c>
      <c r="AD39" s="169">
        <v>0.15945688403784486</v>
      </c>
      <c r="AE39" s="48">
        <v>0.14104860330984251</v>
      </c>
      <c r="AF39" s="169">
        <f t="shared" ref="AF39:AJ39" si="38">AF33/AF27</f>
        <v>0.17210790161764086</v>
      </c>
      <c r="AG39" s="169">
        <f t="shared" si="38"/>
        <v>0.19706213628121608</v>
      </c>
      <c r="AH39" s="169">
        <f t="shared" si="38"/>
        <v>0.22867650486642091</v>
      </c>
      <c r="AI39" s="169">
        <f t="shared" si="38"/>
        <v>0.57068406435506824</v>
      </c>
      <c r="AJ39" s="48">
        <f t="shared" si="38"/>
        <v>0.29093578079111326</v>
      </c>
      <c r="AK39" s="169">
        <f t="shared" ref="AK39:AN39" si="39">AK33/AK27</f>
        <v>0.36964292900162304</v>
      </c>
      <c r="AL39" s="169">
        <f t="shared" si="39"/>
        <v>0.34204471693626648</v>
      </c>
      <c r="AM39" s="169">
        <f t="shared" si="39"/>
        <v>0.32758145147388379</v>
      </c>
      <c r="AN39" s="169">
        <f t="shared" si="39"/>
        <v>0.33731225296442685</v>
      </c>
      <c r="AO39" s="48">
        <f>AO33/AO27</f>
        <v>0.34240060925274185</v>
      </c>
      <c r="AP39" s="169">
        <f t="shared" ref="AP39:AR39" si="40">AP33/AP27</f>
        <v>0.32364969353836037</v>
      </c>
      <c r="AQ39" s="169">
        <f t="shared" si="40"/>
        <v>0.37465794456669971</v>
      </c>
      <c r="AR39" s="169">
        <f t="shared" si="40"/>
        <v>0.38263903196121252</v>
      </c>
      <c r="AS39" s="169">
        <f t="shared" ref="AS39:AY39" si="41">AS33/AS27</f>
        <v>0.37443139260856062</v>
      </c>
      <c r="AT39" s="48">
        <f t="shared" si="41"/>
        <v>0.36305699090267202</v>
      </c>
      <c r="AU39" s="169">
        <f t="shared" si="41"/>
        <v>0.35509704248102431</v>
      </c>
      <c r="AV39" s="169">
        <f t="shared" si="41"/>
        <v>0.34343992207339041</v>
      </c>
      <c r="AW39" s="169">
        <f t="shared" si="41"/>
        <v>0.33298397419857451</v>
      </c>
      <c r="AX39" s="169">
        <f>AX33/AX27</f>
        <v>0.31646326160300947</v>
      </c>
      <c r="AY39" s="48">
        <f t="shared" si="41"/>
        <v>0.33582405158365591</v>
      </c>
      <c r="AZ39" s="169">
        <f>AZ33/AZ27</f>
        <v>0.30203170534800683</v>
      </c>
    </row>
    <row r="40" spans="1:53" ht="60">
      <c r="A40" s="787" t="s">
        <v>799</v>
      </c>
      <c r="AC40" s="20"/>
      <c r="AE40" s="20"/>
      <c r="AP40" s="114"/>
      <c r="AQ40" s="114"/>
      <c r="AR40" s="114"/>
      <c r="AS40" s="114"/>
      <c r="AU40" s="114"/>
      <c r="AV40" s="114"/>
      <c r="AW40" s="114"/>
      <c r="AX40" s="114"/>
      <c r="AY40" s="114"/>
      <c r="AZ40" s="114"/>
    </row>
    <row r="41" spans="1:53" ht="15.75" thickBot="1">
      <c r="AC41" s="20"/>
      <c r="AE41" s="20"/>
      <c r="AQ41" s="8"/>
      <c r="AR41" s="8"/>
      <c r="AS41" s="8"/>
      <c r="AU41" s="8"/>
      <c r="AV41" s="8"/>
      <c r="AW41" s="8"/>
      <c r="AX41" s="8"/>
      <c r="AY41" s="8"/>
      <c r="AZ41" s="8"/>
    </row>
    <row r="42" spans="1:53" s="30" customFormat="1">
      <c r="A42" s="179" t="s">
        <v>800</v>
      </c>
      <c r="B42" s="180" t="s">
        <v>224</v>
      </c>
      <c r="C42" s="180" t="s">
        <v>225</v>
      </c>
      <c r="D42" s="180" t="s">
        <v>226</v>
      </c>
      <c r="E42" s="180" t="s">
        <v>227</v>
      </c>
      <c r="F42" s="181">
        <v>2016</v>
      </c>
      <c r="G42" s="180" t="s">
        <v>228</v>
      </c>
      <c r="H42" s="180" t="s">
        <v>229</v>
      </c>
      <c r="I42" s="180" t="s">
        <v>230</v>
      </c>
      <c r="J42" s="180" t="s">
        <v>231</v>
      </c>
      <c r="K42" s="181">
        <v>2017</v>
      </c>
      <c r="L42" s="180" t="s">
        <v>232</v>
      </c>
      <c r="M42" s="180" t="s">
        <v>233</v>
      </c>
      <c r="N42" s="180" t="s">
        <v>234</v>
      </c>
      <c r="O42" s="180" t="s">
        <v>235</v>
      </c>
      <c r="P42" s="181">
        <v>2018</v>
      </c>
      <c r="Q42" s="180" t="s">
        <v>236</v>
      </c>
      <c r="R42" s="180" t="s">
        <v>237</v>
      </c>
      <c r="S42" s="180" t="s">
        <v>238</v>
      </c>
      <c r="T42" s="180" t="s">
        <v>239</v>
      </c>
      <c r="U42" s="181">
        <v>2019</v>
      </c>
      <c r="V42" s="180" t="s">
        <v>240</v>
      </c>
      <c r="W42" s="180" t="s">
        <v>241</v>
      </c>
      <c r="X42" s="180" t="s">
        <v>242</v>
      </c>
      <c r="Y42" s="180" t="s">
        <v>243</v>
      </c>
      <c r="Z42" s="181">
        <v>2020</v>
      </c>
      <c r="AA42" s="180" t="s">
        <v>244</v>
      </c>
      <c r="AB42" s="180" t="s">
        <v>245</v>
      </c>
      <c r="AC42" s="180" t="s">
        <v>246</v>
      </c>
      <c r="AD42" s="180" t="s">
        <v>247</v>
      </c>
      <c r="AE42" s="181">
        <v>2021</v>
      </c>
      <c r="AF42" s="180" t="s">
        <v>248</v>
      </c>
      <c r="AG42" s="180" t="s">
        <v>249</v>
      </c>
      <c r="AH42" s="180" t="s">
        <v>250</v>
      </c>
      <c r="AI42" s="180" t="s">
        <v>215</v>
      </c>
      <c r="AJ42" s="181">
        <v>2022</v>
      </c>
      <c r="AK42" s="180" t="s">
        <v>252</v>
      </c>
      <c r="AL42" s="180" t="s">
        <v>253</v>
      </c>
      <c r="AM42" s="180" t="s">
        <v>254</v>
      </c>
      <c r="AN42" s="180" t="s">
        <v>219</v>
      </c>
      <c r="AO42" s="181">
        <v>2023</v>
      </c>
      <c r="AP42" s="180" t="s">
        <v>223</v>
      </c>
      <c r="AQ42" s="180" t="s">
        <v>256</v>
      </c>
      <c r="AR42" s="180" t="s">
        <v>357</v>
      </c>
      <c r="AS42" s="180" t="s">
        <v>358</v>
      </c>
      <c r="AT42" s="181">
        <v>2024</v>
      </c>
      <c r="AU42" s="180" t="s">
        <v>359</v>
      </c>
      <c r="AV42" s="180" t="s">
        <v>1115</v>
      </c>
      <c r="AW42" s="180" t="s">
        <v>1116</v>
      </c>
      <c r="AX42" s="180" t="s">
        <v>1117</v>
      </c>
      <c r="AY42" s="699" t="s">
        <v>1118</v>
      </c>
      <c r="AZ42" s="700" t="s">
        <v>1124</v>
      </c>
    </row>
    <row r="43" spans="1:53">
      <c r="A43" s="225" t="s">
        <v>791</v>
      </c>
      <c r="Q43" s="76">
        <v>384435.65013000002</v>
      </c>
      <c r="R43" s="76">
        <v>425569.90077000001</v>
      </c>
      <c r="S43" s="76">
        <v>393735.64535000001</v>
      </c>
      <c r="T43" s="76">
        <v>400580.11450000003</v>
      </c>
      <c r="U43" s="39">
        <v>1604321.3107500002</v>
      </c>
      <c r="V43" s="76">
        <v>382614.13186000002</v>
      </c>
      <c r="W43" s="76">
        <v>332048.42835999996</v>
      </c>
      <c r="X43" s="76">
        <v>338577.15458999999</v>
      </c>
      <c r="Y43" s="76">
        <v>324530.33168000006</v>
      </c>
      <c r="Z43" s="39">
        <v>1377770.0464900001</v>
      </c>
      <c r="AA43" s="76">
        <v>305626.61496999994</v>
      </c>
      <c r="AB43" s="76">
        <v>300265.65398</v>
      </c>
      <c r="AC43" s="76">
        <v>274753.95098000002</v>
      </c>
      <c r="AD43" s="76">
        <v>258698.76781999998</v>
      </c>
      <c r="AE43" s="39">
        <v>1139344.9877499999</v>
      </c>
      <c r="AF43" s="76">
        <v>235872.47837999999</v>
      </c>
      <c r="AG43" s="76">
        <v>217654.45543</v>
      </c>
      <c r="AH43" s="76">
        <v>201274.26535999999</v>
      </c>
      <c r="AI43" s="76">
        <v>186520.98112999997</v>
      </c>
      <c r="AJ43" s="39">
        <f t="shared" ref="AJ43:AJ53" si="42">SUM(AF43:AI43)</f>
        <v>841322.18029999989</v>
      </c>
      <c r="AK43" s="76">
        <v>0</v>
      </c>
      <c r="AL43" s="76">
        <v>0</v>
      </c>
      <c r="AM43" s="76">
        <v>0</v>
      </c>
      <c r="AN43" s="76">
        <v>0</v>
      </c>
      <c r="AO43" s="39">
        <f t="shared" ref="AO43:AO53" si="43">SUM(AK43:AN43)</f>
        <v>0</v>
      </c>
      <c r="AP43" s="76">
        <v>0</v>
      </c>
      <c r="AQ43" s="76">
        <v>0</v>
      </c>
      <c r="AR43" s="76">
        <v>0</v>
      </c>
      <c r="AS43" s="76">
        <v>0</v>
      </c>
      <c r="AT43" s="39">
        <f t="shared" ref="AT43:AT53" si="44">SUM(AP43:AS43)</f>
        <v>0</v>
      </c>
      <c r="AU43" s="76">
        <v>0</v>
      </c>
      <c r="AV43" s="76">
        <v>0</v>
      </c>
      <c r="AW43" s="76">
        <v>0</v>
      </c>
      <c r="AX43" s="76">
        <v>0</v>
      </c>
      <c r="AY43" s="39">
        <f t="shared" ref="AY43:AY53" si="45">SUM(AU43:AX43)</f>
        <v>0</v>
      </c>
      <c r="AZ43" s="76">
        <v>0</v>
      </c>
    </row>
    <row r="44" spans="1:53">
      <c r="A44" s="36" t="s">
        <v>801</v>
      </c>
      <c r="Q44" s="1">
        <v>277766.91835999995</v>
      </c>
      <c r="R44" s="1">
        <v>285541.32058</v>
      </c>
      <c r="S44" s="1">
        <v>295016.31900000002</v>
      </c>
      <c r="T44" s="1">
        <v>309377.01676999999</v>
      </c>
      <c r="U44" s="40">
        <v>1167701.5747099998</v>
      </c>
      <c r="V44" s="1">
        <v>301148.57980000001</v>
      </c>
      <c r="W44" s="1">
        <v>286557.67505999998</v>
      </c>
      <c r="X44" s="1">
        <v>291524.99932</v>
      </c>
      <c r="Y44" s="1">
        <v>280015.38349000004</v>
      </c>
      <c r="Z44" s="40">
        <v>1159246.6376700001</v>
      </c>
      <c r="AA44" s="1">
        <v>271748.34702999995</v>
      </c>
      <c r="AB44" s="1">
        <v>269251.19884000003</v>
      </c>
      <c r="AC44" s="1">
        <v>263650.21178000001</v>
      </c>
      <c r="AD44" s="1">
        <v>249684.96657999998</v>
      </c>
      <c r="AE44" s="40">
        <v>1054334.7242300001</v>
      </c>
      <c r="AF44" s="1">
        <v>227517.67955999999</v>
      </c>
      <c r="AG44" s="1">
        <v>212004.01762</v>
      </c>
      <c r="AH44" s="1">
        <v>195169.69172</v>
      </c>
      <c r="AI44" s="1">
        <v>180700.96959999998</v>
      </c>
      <c r="AJ44" s="40">
        <f t="shared" si="42"/>
        <v>815392.35849999997</v>
      </c>
      <c r="AK44" s="1">
        <v>0</v>
      </c>
      <c r="AL44" s="1">
        <v>0</v>
      </c>
      <c r="AM44" s="1">
        <v>0</v>
      </c>
      <c r="AN44" s="1">
        <v>0</v>
      </c>
      <c r="AO44" s="40">
        <f t="shared" si="43"/>
        <v>0</v>
      </c>
      <c r="AP44" s="1">
        <v>0</v>
      </c>
      <c r="AQ44" s="1">
        <v>0</v>
      </c>
      <c r="AR44" s="1">
        <v>0</v>
      </c>
      <c r="AS44" s="1">
        <v>0</v>
      </c>
      <c r="AT44" s="40">
        <f t="shared" si="44"/>
        <v>0</v>
      </c>
      <c r="AU44" s="1">
        <v>0</v>
      </c>
      <c r="AV44" s="1">
        <v>0</v>
      </c>
      <c r="AW44" s="1">
        <v>0</v>
      </c>
      <c r="AX44" s="1">
        <v>0</v>
      </c>
      <c r="AY44" s="40">
        <f t="shared" si="45"/>
        <v>0</v>
      </c>
      <c r="AZ44" s="1">
        <v>0</v>
      </c>
    </row>
    <row r="45" spans="1:53">
      <c r="A45" s="36" t="s">
        <v>802</v>
      </c>
      <c r="Q45" s="1">
        <v>106668.73177000001</v>
      </c>
      <c r="R45" s="1">
        <v>140028.58019000001</v>
      </c>
      <c r="S45" s="1">
        <v>98719.326350000003</v>
      </c>
      <c r="T45" s="1">
        <v>91187.946530000001</v>
      </c>
      <c r="U45" s="40">
        <v>436604.58484000002</v>
      </c>
      <c r="V45" s="1">
        <v>81465.552060000002</v>
      </c>
      <c r="W45" s="1">
        <v>45490.753299999997</v>
      </c>
      <c r="X45" s="1">
        <v>47052.155269999996</v>
      </c>
      <c r="Y45" s="1">
        <v>44514.948189999996</v>
      </c>
      <c r="Z45" s="40">
        <v>218523.40881999998</v>
      </c>
      <c r="AA45" s="1">
        <v>33878.267939999998</v>
      </c>
      <c r="AB45" s="1">
        <v>31014.455140000002</v>
      </c>
      <c r="AC45" s="1">
        <v>11103.739200000002</v>
      </c>
      <c r="AD45" s="1">
        <v>9013.8012400000025</v>
      </c>
      <c r="AE45" s="40">
        <v>85010.263519999993</v>
      </c>
      <c r="AF45" s="1">
        <v>8354.79882</v>
      </c>
      <c r="AG45" s="1">
        <v>5650.4378099999994</v>
      </c>
      <c r="AH45" s="1">
        <v>6104.5736400000005</v>
      </c>
      <c r="AI45" s="1">
        <v>5820.0115299999998</v>
      </c>
      <c r="AJ45" s="40">
        <f t="shared" si="42"/>
        <v>25929.821800000002</v>
      </c>
      <c r="AK45" s="1">
        <v>0</v>
      </c>
      <c r="AL45" s="1">
        <v>0</v>
      </c>
      <c r="AM45" s="1">
        <v>0</v>
      </c>
      <c r="AN45" s="1">
        <v>0</v>
      </c>
      <c r="AO45" s="40">
        <f t="shared" si="43"/>
        <v>0</v>
      </c>
      <c r="AP45" s="1">
        <v>0</v>
      </c>
      <c r="AQ45" s="1">
        <v>0</v>
      </c>
      <c r="AR45" s="1">
        <v>0</v>
      </c>
      <c r="AS45" s="1">
        <v>0</v>
      </c>
      <c r="AT45" s="40">
        <f t="shared" si="44"/>
        <v>0</v>
      </c>
      <c r="AU45" s="1">
        <v>0</v>
      </c>
      <c r="AV45" s="1">
        <v>0</v>
      </c>
      <c r="AW45" s="1">
        <v>0</v>
      </c>
      <c r="AX45" s="1">
        <v>0</v>
      </c>
      <c r="AY45" s="40">
        <f t="shared" si="45"/>
        <v>0</v>
      </c>
      <c r="AZ45" s="1">
        <v>0</v>
      </c>
    </row>
    <row r="46" spans="1:53">
      <c r="A46" s="225" t="s">
        <v>794</v>
      </c>
      <c r="Q46" s="76">
        <v>-307985.14413000003</v>
      </c>
      <c r="R46" s="76">
        <v>-341893.82902</v>
      </c>
      <c r="S46" s="76">
        <v>-316564.29785000003</v>
      </c>
      <c r="T46" s="76">
        <v>-326226.68242000003</v>
      </c>
      <c r="U46" s="39">
        <v>-1292669.9534199999</v>
      </c>
      <c r="V46" s="76">
        <v>-312708.97097000002</v>
      </c>
      <c r="W46" s="76">
        <v>-277464.62872000004</v>
      </c>
      <c r="X46" s="76">
        <v>-283080.63124000002</v>
      </c>
      <c r="Y46" s="76">
        <v>-272943.92492000002</v>
      </c>
      <c r="Z46" s="39">
        <v>-1146198.1558500002</v>
      </c>
      <c r="AA46" s="76">
        <v>-262854.93083999999</v>
      </c>
      <c r="AB46" s="76">
        <v>-262012.37430000002</v>
      </c>
      <c r="AC46" s="76">
        <v>-246744.83525999996</v>
      </c>
      <c r="AD46" s="76">
        <v>-242133.42339999997</v>
      </c>
      <c r="AE46" s="39">
        <v>-1013745.5638</v>
      </c>
      <c r="AF46" s="76">
        <f t="shared" ref="AF46:AI46" si="46">SUM(AF47:AF48)</f>
        <v>-217761</v>
      </c>
      <c r="AG46" s="76">
        <f t="shared" si="46"/>
        <v>-203335</v>
      </c>
      <c r="AH46" s="76">
        <f t="shared" si="46"/>
        <v>-189191</v>
      </c>
      <c r="AI46" s="76">
        <f t="shared" si="46"/>
        <v>-58607</v>
      </c>
      <c r="AJ46" s="39">
        <f t="shared" si="42"/>
        <v>-668894</v>
      </c>
      <c r="AK46" s="76">
        <v>0</v>
      </c>
      <c r="AL46" s="76">
        <v>0</v>
      </c>
      <c r="AM46" s="76">
        <v>0</v>
      </c>
      <c r="AN46" s="76">
        <v>0</v>
      </c>
      <c r="AO46" s="39">
        <f t="shared" si="43"/>
        <v>0</v>
      </c>
      <c r="AP46" s="76">
        <v>0</v>
      </c>
      <c r="AQ46" s="76">
        <v>0</v>
      </c>
      <c r="AR46" s="76">
        <v>0</v>
      </c>
      <c r="AS46" s="76">
        <v>0</v>
      </c>
      <c r="AT46" s="39">
        <f t="shared" si="44"/>
        <v>0</v>
      </c>
      <c r="AU46" s="76">
        <v>0</v>
      </c>
      <c r="AV46" s="76">
        <v>0</v>
      </c>
      <c r="AW46" s="76">
        <v>0</v>
      </c>
      <c r="AX46" s="76">
        <v>0</v>
      </c>
      <c r="AY46" s="39">
        <f t="shared" si="45"/>
        <v>0</v>
      </c>
      <c r="AZ46" s="76">
        <v>0</v>
      </c>
    </row>
    <row r="47" spans="1:53">
      <c r="A47" s="36" t="s">
        <v>795</v>
      </c>
      <c r="Q47" s="1">
        <v>-305228.56359000003</v>
      </c>
      <c r="R47" s="1">
        <v>-341304.48469999997</v>
      </c>
      <c r="S47" s="1">
        <v>-316463.37184000004</v>
      </c>
      <c r="T47" s="1">
        <v>-326178.61614</v>
      </c>
      <c r="U47" s="40">
        <v>-1289175.03627</v>
      </c>
      <c r="V47" s="1">
        <v>-312678.09250000003</v>
      </c>
      <c r="W47" s="1">
        <v>-277616.26449000003</v>
      </c>
      <c r="X47" s="1">
        <v>-283279.22511</v>
      </c>
      <c r="Y47" s="1">
        <v>-273125.15250000003</v>
      </c>
      <c r="Z47" s="40">
        <v>-1146698.7346000001</v>
      </c>
      <c r="AA47" s="1">
        <v>-263190.15469999996</v>
      </c>
      <c r="AB47" s="1">
        <v>-262652.34659000003</v>
      </c>
      <c r="AC47" s="1">
        <v>-247734.69164999996</v>
      </c>
      <c r="AD47" s="1">
        <v>-237349.48639999997</v>
      </c>
      <c r="AE47" s="40">
        <v>-1010926.6793399999</v>
      </c>
      <c r="AF47" s="1">
        <v>-218795</v>
      </c>
      <c r="AG47" s="1">
        <v>-204364</v>
      </c>
      <c r="AH47" s="1">
        <v>-189496</v>
      </c>
      <c r="AI47" s="1">
        <v>-58676</v>
      </c>
      <c r="AJ47" s="40">
        <f t="shared" si="42"/>
        <v>-671331</v>
      </c>
      <c r="AK47" s="1">
        <v>0</v>
      </c>
      <c r="AL47" s="1">
        <v>0</v>
      </c>
      <c r="AM47" s="1">
        <v>0</v>
      </c>
      <c r="AN47" s="1">
        <v>0</v>
      </c>
      <c r="AO47" s="40">
        <f t="shared" si="43"/>
        <v>0</v>
      </c>
      <c r="AP47" s="1">
        <v>0</v>
      </c>
      <c r="AQ47" s="1">
        <v>0</v>
      </c>
      <c r="AR47" s="1">
        <v>0</v>
      </c>
      <c r="AS47" s="1">
        <v>0</v>
      </c>
      <c r="AT47" s="40">
        <f t="shared" si="44"/>
        <v>0</v>
      </c>
      <c r="AU47" s="1">
        <v>0</v>
      </c>
      <c r="AV47" s="1">
        <v>0</v>
      </c>
      <c r="AW47" s="1">
        <v>0</v>
      </c>
      <c r="AX47" s="1">
        <v>0</v>
      </c>
      <c r="AY47" s="40">
        <f t="shared" si="45"/>
        <v>0</v>
      </c>
      <c r="AZ47" s="1">
        <v>0</v>
      </c>
    </row>
    <row r="48" spans="1:53">
      <c r="A48" s="36" t="s">
        <v>500</v>
      </c>
      <c r="Q48" s="1">
        <v>-2756.5805400000017</v>
      </c>
      <c r="R48" s="1">
        <v>-589.34432000000959</v>
      </c>
      <c r="S48" s="1">
        <v>-100.92600999999442</v>
      </c>
      <c r="T48" s="1">
        <v>-48.066280000001193</v>
      </c>
      <c r="U48" s="40">
        <v>-3494.917150000007</v>
      </c>
      <c r="V48" s="1">
        <v>-30.878470000004395</v>
      </c>
      <c r="W48" s="1">
        <v>151.63577000000143</v>
      </c>
      <c r="X48" s="1">
        <v>198.59387000000103</v>
      </c>
      <c r="Y48" s="1">
        <v>181.22758000000007</v>
      </c>
      <c r="Z48" s="40">
        <v>500.57874999999819</v>
      </c>
      <c r="AA48" s="1">
        <v>335.22385999999568</v>
      </c>
      <c r="AB48" s="1">
        <v>639.97229000000095</v>
      </c>
      <c r="AC48" s="1">
        <v>989.85638999999878</v>
      </c>
      <c r="AD48" s="1">
        <v>-4783.9369999999999</v>
      </c>
      <c r="AE48" s="40">
        <v>-2818.8844600000048</v>
      </c>
      <c r="AF48" s="1">
        <v>1034</v>
      </c>
      <c r="AG48" s="1">
        <v>1029</v>
      </c>
      <c r="AH48" s="1">
        <v>305</v>
      </c>
      <c r="AI48" s="1">
        <v>69</v>
      </c>
      <c r="AJ48" s="40">
        <f t="shared" si="42"/>
        <v>2437</v>
      </c>
      <c r="AK48" s="1">
        <v>0</v>
      </c>
      <c r="AL48" s="1">
        <v>0</v>
      </c>
      <c r="AM48" s="1">
        <v>0</v>
      </c>
      <c r="AN48" s="1">
        <v>0</v>
      </c>
      <c r="AO48" s="40">
        <f t="shared" si="43"/>
        <v>0</v>
      </c>
      <c r="AP48" s="1">
        <v>0</v>
      </c>
      <c r="AQ48" s="1">
        <v>0</v>
      </c>
      <c r="AR48" s="1">
        <v>0</v>
      </c>
      <c r="AS48" s="1">
        <v>0</v>
      </c>
      <c r="AT48" s="40">
        <f t="shared" si="44"/>
        <v>0</v>
      </c>
      <c r="AU48" s="1">
        <v>0</v>
      </c>
      <c r="AV48" s="1">
        <v>0</v>
      </c>
      <c r="AW48" s="1">
        <v>0</v>
      </c>
      <c r="AX48" s="1">
        <v>0</v>
      </c>
      <c r="AY48" s="40">
        <f t="shared" si="45"/>
        <v>0</v>
      </c>
      <c r="AZ48" s="1">
        <v>0</v>
      </c>
    </row>
    <row r="49" spans="1:53">
      <c r="A49" s="225" t="s">
        <v>796</v>
      </c>
      <c r="Q49" s="191">
        <v>79207.086539999989</v>
      </c>
      <c r="R49" s="191">
        <v>84265.416070000036</v>
      </c>
      <c r="S49" s="191">
        <v>77272.27350999997</v>
      </c>
      <c r="T49" s="191">
        <v>74401.498360000027</v>
      </c>
      <c r="U49" s="39">
        <v>315146.27448000002</v>
      </c>
      <c r="V49" s="191">
        <v>69936.039359999995</v>
      </c>
      <c r="W49" s="191">
        <v>54432.163869999931</v>
      </c>
      <c r="X49" s="191">
        <v>55297.929479999992</v>
      </c>
      <c r="Y49" s="191">
        <v>51405.179180000036</v>
      </c>
      <c r="Z49" s="39">
        <v>231071.31188999995</v>
      </c>
      <c r="AA49" s="191">
        <v>42436.460269999981</v>
      </c>
      <c r="AB49" s="191">
        <v>37613.307389999973</v>
      </c>
      <c r="AC49" s="191">
        <v>27019.259330000059</v>
      </c>
      <c r="AD49" s="191">
        <v>21349.281420000014</v>
      </c>
      <c r="AE49" s="39">
        <v>128418.30841000003</v>
      </c>
      <c r="AF49" s="191">
        <f t="shared" ref="AF49:AI49" si="47">AF43+AF47</f>
        <v>17077.478379999986</v>
      </c>
      <c r="AG49" s="191">
        <f t="shared" si="47"/>
        <v>13290.455430000002</v>
      </c>
      <c r="AH49" s="191">
        <f t="shared" si="47"/>
        <v>11778.26535999999</v>
      </c>
      <c r="AI49" s="191">
        <f t="shared" si="47"/>
        <v>127844.98112999997</v>
      </c>
      <c r="AJ49" s="39">
        <f t="shared" si="42"/>
        <v>169991.18029999995</v>
      </c>
      <c r="AK49" s="191">
        <v>0</v>
      </c>
      <c r="AL49" s="191">
        <v>0</v>
      </c>
      <c r="AM49" s="191">
        <v>0</v>
      </c>
      <c r="AN49" s="191">
        <v>0</v>
      </c>
      <c r="AO49" s="39">
        <f t="shared" si="43"/>
        <v>0</v>
      </c>
      <c r="AP49" s="191">
        <v>0</v>
      </c>
      <c r="AQ49" s="191">
        <v>0</v>
      </c>
      <c r="AR49" s="191">
        <v>0</v>
      </c>
      <c r="AS49" s="191">
        <v>0</v>
      </c>
      <c r="AT49" s="39">
        <f t="shared" si="44"/>
        <v>0</v>
      </c>
      <c r="AU49" s="191">
        <v>0</v>
      </c>
      <c r="AV49" s="191">
        <v>0</v>
      </c>
      <c r="AW49" s="191">
        <v>0</v>
      </c>
      <c r="AX49" s="191">
        <v>0</v>
      </c>
      <c r="AY49" s="39">
        <f t="shared" si="45"/>
        <v>0</v>
      </c>
      <c r="AZ49" s="191">
        <v>0</v>
      </c>
    </row>
    <row r="50" spans="1:53">
      <c r="A50" s="36" t="s">
        <v>797</v>
      </c>
      <c r="Q50" s="1">
        <v>-11008.117320000001</v>
      </c>
      <c r="R50" s="1">
        <v>-11925.861579999999</v>
      </c>
      <c r="S50" s="1">
        <v>20579.822550000008</v>
      </c>
      <c r="T50" s="1">
        <v>-13871.867009999998</v>
      </c>
      <c r="U50" s="40">
        <v>-16226.023359999992</v>
      </c>
      <c r="V50" s="1">
        <v>-17465.432179999993</v>
      </c>
      <c r="W50" s="1">
        <v>-8548.4704600000005</v>
      </c>
      <c r="X50" s="1">
        <v>-7366.9462500000009</v>
      </c>
      <c r="Y50" s="1">
        <v>-14768.694890000001</v>
      </c>
      <c r="Z50" s="40">
        <v>-48149.543779999993</v>
      </c>
      <c r="AA50" s="1">
        <v>-8882.0421200000001</v>
      </c>
      <c r="AB50" s="1">
        <v>-8947.0833799999982</v>
      </c>
      <c r="AC50" s="1">
        <v>-9194.4154400000007</v>
      </c>
      <c r="AD50" s="1">
        <v>-7636.4060600000003</v>
      </c>
      <c r="AE50" s="40">
        <v>-34659.947</v>
      </c>
      <c r="AF50" s="1">
        <v>-7732</v>
      </c>
      <c r="AG50" s="1">
        <v>-5667</v>
      </c>
      <c r="AH50" s="1">
        <v>-5800</v>
      </c>
      <c r="AI50" s="1">
        <v>-1148</v>
      </c>
      <c r="AJ50" s="40">
        <f t="shared" si="42"/>
        <v>-20347</v>
      </c>
      <c r="AK50" s="1">
        <v>0</v>
      </c>
      <c r="AL50" s="1">
        <v>0</v>
      </c>
      <c r="AM50" s="1">
        <v>0</v>
      </c>
      <c r="AN50" s="1">
        <v>0</v>
      </c>
      <c r="AO50" s="40">
        <f t="shared" si="43"/>
        <v>0</v>
      </c>
      <c r="AP50" s="1">
        <v>0</v>
      </c>
      <c r="AQ50" s="1">
        <v>0</v>
      </c>
      <c r="AR50" s="1">
        <v>0</v>
      </c>
      <c r="AS50" s="1">
        <v>0</v>
      </c>
      <c r="AT50" s="40">
        <f t="shared" si="44"/>
        <v>0</v>
      </c>
      <c r="AU50" s="1">
        <v>0</v>
      </c>
      <c r="AV50" s="1">
        <v>0</v>
      </c>
      <c r="AW50" s="1">
        <v>0</v>
      </c>
      <c r="AX50" s="1">
        <v>0</v>
      </c>
      <c r="AY50" s="40">
        <f t="shared" si="45"/>
        <v>0</v>
      </c>
      <c r="AZ50" s="1">
        <v>0</v>
      </c>
    </row>
    <row r="51" spans="1:53">
      <c r="A51" s="36" t="s">
        <v>781</v>
      </c>
      <c r="Q51" s="1">
        <v>-27985.388499999997</v>
      </c>
      <c r="R51" s="1">
        <v>-36486.791879999997</v>
      </c>
      <c r="S51" s="1">
        <v>-34769.030190000005</v>
      </c>
      <c r="T51" s="1">
        <v>-31739.475050000001</v>
      </c>
      <c r="U51" s="40">
        <v>-130980.68562</v>
      </c>
      <c r="V51" s="1">
        <v>-32830.768819999998</v>
      </c>
      <c r="W51" s="1">
        <v>-25083.239120000006</v>
      </c>
      <c r="X51" s="1">
        <v>-21298.70277</v>
      </c>
      <c r="Y51" s="1">
        <v>-16776.878410000005</v>
      </c>
      <c r="Z51" s="40">
        <v>-95989.589120000004</v>
      </c>
      <c r="AA51" s="1">
        <v>-14104.606299999998</v>
      </c>
      <c r="AB51" s="1">
        <v>-14030.58741</v>
      </c>
      <c r="AC51" s="1">
        <v>-11549.217949999998</v>
      </c>
      <c r="AD51" s="1">
        <v>-10159.658950000001</v>
      </c>
      <c r="AE51" s="40">
        <v>-49844.070609999995</v>
      </c>
      <c r="AF51" s="1">
        <v>-8589</v>
      </c>
      <c r="AG51" s="1">
        <v>-7671</v>
      </c>
      <c r="AH51" s="1">
        <v>-7333</v>
      </c>
      <c r="AI51" s="1">
        <v>-2152</v>
      </c>
      <c r="AJ51" s="40">
        <f t="shared" si="42"/>
        <v>-25745</v>
      </c>
      <c r="AK51" s="1">
        <v>0</v>
      </c>
      <c r="AL51" s="1">
        <v>0</v>
      </c>
      <c r="AM51" s="1">
        <v>0</v>
      </c>
      <c r="AN51" s="1">
        <v>0</v>
      </c>
      <c r="AO51" s="40">
        <f t="shared" si="43"/>
        <v>0</v>
      </c>
      <c r="AP51" s="1">
        <v>0</v>
      </c>
      <c r="AQ51" s="1">
        <v>0</v>
      </c>
      <c r="AR51" s="1">
        <v>0</v>
      </c>
      <c r="AS51" s="1">
        <v>0</v>
      </c>
      <c r="AT51" s="40">
        <f t="shared" si="44"/>
        <v>0</v>
      </c>
      <c r="AU51" s="1">
        <v>0</v>
      </c>
      <c r="AV51" s="1">
        <v>0</v>
      </c>
      <c r="AW51" s="1">
        <v>0</v>
      </c>
      <c r="AX51" s="1">
        <v>0</v>
      </c>
      <c r="AY51" s="40">
        <f t="shared" si="45"/>
        <v>0</v>
      </c>
      <c r="AZ51" s="1">
        <v>0</v>
      </c>
    </row>
    <row r="52" spans="1:53">
      <c r="A52" s="36" t="s">
        <v>782</v>
      </c>
      <c r="Q52" s="1">
        <v>14499.019209999999</v>
      </c>
      <c r="R52" s="1">
        <v>10943.65747</v>
      </c>
      <c r="S52" s="1">
        <v>8978.4830399999992</v>
      </c>
      <c r="T52" s="1">
        <v>5658.3146799999995</v>
      </c>
      <c r="U52" s="40">
        <v>40079.474399999992</v>
      </c>
      <c r="V52" s="1">
        <v>3434.4645499999997</v>
      </c>
      <c r="W52" s="1">
        <v>9797.8129900000022</v>
      </c>
      <c r="X52" s="1">
        <v>7201.744810000002</v>
      </c>
      <c r="Y52" s="1">
        <v>5612.3677900000002</v>
      </c>
      <c r="Z52" s="40">
        <v>26046.390140000007</v>
      </c>
      <c r="AA52" s="1">
        <v>9453.1391599999988</v>
      </c>
      <c r="AB52" s="1">
        <v>9429.9289400000016</v>
      </c>
      <c r="AC52" s="1">
        <v>11150.859849999999</v>
      </c>
      <c r="AD52" s="1">
        <v>11552.332780000001</v>
      </c>
      <c r="AE52" s="40">
        <v>41586.260729999995</v>
      </c>
      <c r="AF52" s="1">
        <v>17134</v>
      </c>
      <c r="AG52" s="1">
        <v>11267</v>
      </c>
      <c r="AH52" s="1">
        <v>11453</v>
      </c>
      <c r="AI52" s="1">
        <v>3522</v>
      </c>
      <c r="AJ52" s="40">
        <f t="shared" si="42"/>
        <v>43376</v>
      </c>
      <c r="AK52" s="1">
        <v>0</v>
      </c>
      <c r="AL52" s="1">
        <v>0</v>
      </c>
      <c r="AM52" s="1">
        <v>0</v>
      </c>
      <c r="AN52" s="1">
        <v>0</v>
      </c>
      <c r="AO52" s="40">
        <f t="shared" si="43"/>
        <v>0</v>
      </c>
      <c r="AP52" s="1">
        <v>0</v>
      </c>
      <c r="AQ52" s="1">
        <v>0</v>
      </c>
      <c r="AR52" s="1">
        <v>0</v>
      </c>
      <c r="AS52" s="1">
        <v>0</v>
      </c>
      <c r="AT52" s="40">
        <f t="shared" si="44"/>
        <v>0</v>
      </c>
      <c r="AU52" s="1">
        <v>0</v>
      </c>
      <c r="AV52" s="1">
        <v>0</v>
      </c>
      <c r="AW52" s="1">
        <v>0</v>
      </c>
      <c r="AX52" s="1">
        <v>0</v>
      </c>
      <c r="AY52" s="40">
        <f t="shared" si="45"/>
        <v>0</v>
      </c>
      <c r="AZ52" s="1">
        <v>0</v>
      </c>
    </row>
    <row r="53" spans="1:53">
      <c r="A53" s="225" t="s">
        <v>710</v>
      </c>
      <c r="Q53" s="76">
        <v>51956.019389999987</v>
      </c>
      <c r="R53" s="76">
        <v>46207.075760000036</v>
      </c>
      <c r="S53" s="76">
        <v>71960.622899999988</v>
      </c>
      <c r="T53" s="76">
        <v>34400.404700000028</v>
      </c>
      <c r="U53" s="39">
        <v>204524.12275000004</v>
      </c>
      <c r="V53" s="76">
        <v>23043.424439999999</v>
      </c>
      <c r="W53" s="76">
        <v>30749.903049999924</v>
      </c>
      <c r="X53" s="76">
        <v>34032.619139999995</v>
      </c>
      <c r="Y53" s="76">
        <v>25653.201250000031</v>
      </c>
      <c r="Z53" s="39">
        <v>113479.14787999995</v>
      </c>
      <c r="AA53" s="76">
        <v>29238.174869999981</v>
      </c>
      <c r="AB53" s="76">
        <v>24705.537829999976</v>
      </c>
      <c r="AC53" s="76">
        <v>18416.342180000058</v>
      </c>
      <c r="AD53" s="76">
        <v>10321.612190000014</v>
      </c>
      <c r="AE53" s="39">
        <v>82681.667070000025</v>
      </c>
      <c r="AF53" s="76">
        <f t="shared" ref="AF53:AH53" si="48">SUM(AF48:AF52)</f>
        <v>18924.478379999986</v>
      </c>
      <c r="AG53" s="76">
        <f t="shared" si="48"/>
        <v>12248.455430000002</v>
      </c>
      <c r="AH53" s="76">
        <f t="shared" si="48"/>
        <v>10403.26535999999</v>
      </c>
      <c r="AI53" s="76">
        <f t="shared" ref="AI53" si="49">SUM(AI48:AI52)</f>
        <v>128135.98112999997</v>
      </c>
      <c r="AJ53" s="39">
        <f t="shared" si="42"/>
        <v>169712.18029999995</v>
      </c>
      <c r="AK53" s="76">
        <v>0</v>
      </c>
      <c r="AL53" s="76">
        <v>0</v>
      </c>
      <c r="AM53" s="76">
        <v>0</v>
      </c>
      <c r="AN53" s="76">
        <v>0</v>
      </c>
      <c r="AO53" s="39">
        <f t="shared" si="43"/>
        <v>0</v>
      </c>
      <c r="AP53" s="76">
        <v>0</v>
      </c>
      <c r="AQ53" s="76">
        <v>0</v>
      </c>
      <c r="AR53" s="76">
        <v>0</v>
      </c>
      <c r="AS53" s="76">
        <v>0</v>
      </c>
      <c r="AT53" s="39">
        <f t="shared" si="44"/>
        <v>0</v>
      </c>
      <c r="AU53" s="76">
        <v>0</v>
      </c>
      <c r="AV53" s="76">
        <v>0</v>
      </c>
      <c r="AW53" s="76">
        <v>0</v>
      </c>
      <c r="AX53" s="76">
        <v>0</v>
      </c>
      <c r="AY53" s="39">
        <f t="shared" si="45"/>
        <v>0</v>
      </c>
      <c r="AZ53" s="76">
        <v>0</v>
      </c>
    </row>
    <row r="54" spans="1:53">
      <c r="A54" s="236" t="s">
        <v>798</v>
      </c>
      <c r="Q54" s="413">
        <f t="shared" ref="Q54:AJ54" si="50">-Q51/(Q43+Q48)</f>
        <v>7.3321779289762801E-2</v>
      </c>
      <c r="R54" s="413">
        <f t="shared" si="50"/>
        <v>8.5855202846892506E-2</v>
      </c>
      <c r="S54" s="413">
        <f t="shared" si="50"/>
        <v>8.8328159285076757E-2</v>
      </c>
      <c r="T54" s="413">
        <f t="shared" si="50"/>
        <v>7.9243284503831959E-2</v>
      </c>
      <c r="U54" s="46">
        <f t="shared" si="50"/>
        <v>8.1820668464520754E-2</v>
      </c>
      <c r="V54" s="413">
        <f t="shared" si="50"/>
        <v>8.5813397552278042E-2</v>
      </c>
      <c r="W54" s="413">
        <f t="shared" si="50"/>
        <v>7.5506424677221531E-2</v>
      </c>
      <c r="X54" s="413">
        <f t="shared" si="50"/>
        <v>6.2869620587716848E-2</v>
      </c>
      <c r="Y54" s="413">
        <f t="shared" si="50"/>
        <v>5.1667019333200198E-2</v>
      </c>
      <c r="Z54" s="46">
        <f t="shared" si="50"/>
        <v>6.9644950245736539E-2</v>
      </c>
      <c r="AA54" s="413">
        <f t="shared" si="50"/>
        <v>4.6099233662394323E-2</v>
      </c>
      <c r="AB54" s="413">
        <f t="shared" si="50"/>
        <v>4.6627866630218721E-2</v>
      </c>
      <c r="AC54" s="413">
        <f t="shared" si="50"/>
        <v>4.1883870612198254E-2</v>
      </c>
      <c r="AD54" s="413">
        <f t="shared" si="50"/>
        <v>4.0012073801243123E-2</v>
      </c>
      <c r="AE54" s="46">
        <f t="shared" si="50"/>
        <v>4.3856511932028733E-2</v>
      </c>
      <c r="AF54" s="413">
        <f t="shared" si="50"/>
        <v>3.6254812695426471E-2</v>
      </c>
      <c r="AG54" s="413">
        <f t="shared" si="50"/>
        <v>3.50780994607773E-2</v>
      </c>
      <c r="AH54" s="413">
        <f t="shared" si="50"/>
        <v>3.63777494024696E-2</v>
      </c>
      <c r="AI54" s="413">
        <f t="shared" si="50"/>
        <v>1.1533309489434323E-2</v>
      </c>
      <c r="AJ54" s="46">
        <f t="shared" si="50"/>
        <v>3.0512260608348375E-2</v>
      </c>
      <c r="AK54" s="238"/>
      <c r="AL54" s="238"/>
      <c r="AM54" s="238"/>
      <c r="AN54" s="238"/>
      <c r="AO54" s="46"/>
      <c r="AP54" s="238"/>
      <c r="AQ54" s="238"/>
      <c r="AR54" s="238"/>
      <c r="AS54" s="238"/>
      <c r="AT54" s="46"/>
      <c r="AU54" s="413"/>
      <c r="AV54" s="413"/>
      <c r="AW54" s="413"/>
      <c r="AX54" s="413"/>
      <c r="AY54" s="46"/>
      <c r="AZ54" s="18"/>
    </row>
    <row r="55" spans="1:53" ht="15.75" thickBot="1">
      <c r="A55" s="236" t="s">
        <v>803</v>
      </c>
      <c r="Q55" s="18">
        <v>0.2060347070132946</v>
      </c>
      <c r="R55" s="18">
        <v>0.19800605239594102</v>
      </c>
      <c r="S55" s="18">
        <v>0.19625419852782441</v>
      </c>
      <c r="T55" s="18">
        <v>0.18573437788560027</v>
      </c>
      <c r="U55" s="48">
        <v>0.196435883739943</v>
      </c>
      <c r="V55" s="18">
        <v>0.18278477854443145</v>
      </c>
      <c r="W55" s="18">
        <v>0.1639283888161811</v>
      </c>
      <c r="X55" s="18">
        <v>0.16332445568267304</v>
      </c>
      <c r="Y55" s="18">
        <v>0.15839868931168999</v>
      </c>
      <c r="Z55" s="48">
        <v>0.167713990065814</v>
      </c>
      <c r="AA55" s="18">
        <v>0.13885067003790069</v>
      </c>
      <c r="AB55" s="18">
        <v>0.12526676591690805</v>
      </c>
      <c r="AC55" s="18">
        <v>9.8339839094677306E-2</v>
      </c>
      <c r="AD55" s="18">
        <v>8.2525640148601836E-2</v>
      </c>
      <c r="AE55" s="48">
        <v>0.11271240036224932</v>
      </c>
      <c r="AF55" s="18">
        <f t="shared" ref="AF55:AH55" si="51">AF49/AF43</f>
        <v>7.2401318277105164E-2</v>
      </c>
      <c r="AG55" s="18">
        <f t="shared" si="51"/>
        <v>6.1062179516349735E-2</v>
      </c>
      <c r="AH55" s="18">
        <f t="shared" si="51"/>
        <v>5.8518486399308602E-2</v>
      </c>
      <c r="AI55" s="18">
        <f t="shared" ref="AI55" si="52">AI49/AI43</f>
        <v>0.68541876820225145</v>
      </c>
      <c r="AJ55" s="48">
        <f>AJ49/AJ43</f>
        <v>0.20205241735025248</v>
      </c>
      <c r="AK55" s="18"/>
      <c r="AL55" s="18"/>
      <c r="AM55" s="18"/>
      <c r="AN55" s="18"/>
      <c r="AO55" s="48"/>
      <c r="AP55" s="18"/>
      <c r="AQ55" s="18"/>
      <c r="AR55" s="18"/>
      <c r="AS55" s="18"/>
      <c r="AT55" s="48"/>
      <c r="AU55" s="169"/>
      <c r="AV55" s="169"/>
      <c r="AW55" s="169"/>
      <c r="AX55" s="169"/>
      <c r="AY55" s="48"/>
      <c r="AZ55" s="18"/>
    </row>
    <row r="56" spans="1:53" ht="30">
      <c r="A56" s="769" t="s">
        <v>804</v>
      </c>
      <c r="AC56" s="20"/>
      <c r="AE56" s="20"/>
    </row>
    <row r="57" spans="1:53" ht="15.75" thickBot="1">
      <c r="AC57" s="20"/>
      <c r="AE57" s="20"/>
    </row>
    <row r="58" spans="1:53" s="30" customFormat="1">
      <c r="A58" s="179" t="s">
        <v>805</v>
      </c>
      <c r="B58" s="180" t="s">
        <v>224</v>
      </c>
      <c r="C58" s="180" t="s">
        <v>225</v>
      </c>
      <c r="D58" s="180" t="s">
        <v>226</v>
      </c>
      <c r="E58" s="180" t="s">
        <v>227</v>
      </c>
      <c r="F58" s="181">
        <v>2016</v>
      </c>
      <c r="G58" s="180" t="s">
        <v>228</v>
      </c>
      <c r="H58" s="180" t="s">
        <v>229</v>
      </c>
      <c r="I58" s="180" t="s">
        <v>230</v>
      </c>
      <c r="J58" s="180" t="s">
        <v>231</v>
      </c>
      <c r="K58" s="181">
        <v>2017</v>
      </c>
      <c r="L58" s="180" t="s">
        <v>232</v>
      </c>
      <c r="M58" s="180" t="s">
        <v>233</v>
      </c>
      <c r="N58" s="180" t="s">
        <v>234</v>
      </c>
      <c r="O58" s="180" t="s">
        <v>235</v>
      </c>
      <c r="P58" s="181">
        <v>2018</v>
      </c>
      <c r="Q58" s="180" t="s">
        <v>236</v>
      </c>
      <c r="R58" s="180" t="s">
        <v>237</v>
      </c>
      <c r="S58" s="180" t="s">
        <v>238</v>
      </c>
      <c r="T58" s="180" t="s">
        <v>239</v>
      </c>
      <c r="U58" s="181">
        <v>2019</v>
      </c>
      <c r="V58" s="180" t="s">
        <v>240</v>
      </c>
      <c r="W58" s="180" t="s">
        <v>241</v>
      </c>
      <c r="X58" s="180" t="s">
        <v>242</v>
      </c>
      <c r="Y58" s="180" t="s">
        <v>243</v>
      </c>
      <c r="Z58" s="181">
        <v>2020</v>
      </c>
      <c r="AA58" s="180" t="s">
        <v>244</v>
      </c>
      <c r="AB58" s="180" t="s">
        <v>245</v>
      </c>
      <c r="AC58" s="180" t="s">
        <v>246</v>
      </c>
      <c r="AD58" s="180" t="s">
        <v>247</v>
      </c>
      <c r="AE58" s="181">
        <v>2021</v>
      </c>
      <c r="AF58" s="180" t="s">
        <v>248</v>
      </c>
      <c r="AG58" s="180" t="s">
        <v>249</v>
      </c>
      <c r="AH58" s="180" t="s">
        <v>250</v>
      </c>
      <c r="AI58" s="180" t="s">
        <v>215</v>
      </c>
      <c r="AJ58" s="181">
        <v>2022</v>
      </c>
      <c r="AK58" s="180" t="s">
        <v>252</v>
      </c>
      <c r="AL58" s="180" t="s">
        <v>253</v>
      </c>
      <c r="AM58" s="180" t="s">
        <v>254</v>
      </c>
      <c r="AN58" s="180" t="s">
        <v>219</v>
      </c>
      <c r="AO58" s="181">
        <v>2023</v>
      </c>
      <c r="AP58" s="180" t="s">
        <v>223</v>
      </c>
      <c r="AQ58" s="180" t="s">
        <v>256</v>
      </c>
      <c r="AR58" s="180" t="s">
        <v>357</v>
      </c>
      <c r="AS58" s="180" t="s">
        <v>358</v>
      </c>
      <c r="AT58" s="181">
        <v>2024</v>
      </c>
      <c r="AU58" s="180" t="s">
        <v>359</v>
      </c>
      <c r="AV58" s="180" t="s">
        <v>1115</v>
      </c>
      <c r="AW58" s="180" t="s">
        <v>1116</v>
      </c>
      <c r="AX58" s="180" t="s">
        <v>1117</v>
      </c>
      <c r="AY58" s="699" t="s">
        <v>1118</v>
      </c>
      <c r="AZ58" s="700" t="s">
        <v>1124</v>
      </c>
    </row>
    <row r="59" spans="1:53">
      <c r="A59" s="225" t="s">
        <v>791</v>
      </c>
      <c r="Q59" s="76">
        <v>0</v>
      </c>
      <c r="R59" s="76">
        <v>0</v>
      </c>
      <c r="S59" s="76">
        <v>0</v>
      </c>
      <c r="T59" s="76">
        <v>0</v>
      </c>
      <c r="U59" s="39">
        <v>0</v>
      </c>
      <c r="V59" s="76">
        <v>0</v>
      </c>
      <c r="W59" s="76">
        <v>0</v>
      </c>
      <c r="X59" s="76">
        <v>0</v>
      </c>
      <c r="Y59" s="76">
        <v>0</v>
      </c>
      <c r="Z59" s="39">
        <v>0</v>
      </c>
      <c r="AA59" s="76">
        <v>0</v>
      </c>
      <c r="AB59" s="76">
        <v>0.88</v>
      </c>
      <c r="AC59" s="76">
        <f>'DRE NOVAS PARCERIAS CAIXA'!AD152</f>
        <v>86687.47</v>
      </c>
      <c r="AD59" s="76">
        <f>'DRE NOVAS PARCERIAS CAIXA'!AE152</f>
        <v>102166.42866999999</v>
      </c>
      <c r="AE59" s="39">
        <v>188854.77867</v>
      </c>
      <c r="AF59" s="76">
        <f>'DRE NOVAS PARCERIAS CAIXA'!AG152</f>
        <v>79601</v>
      </c>
      <c r="AG59" s="76">
        <f>'DRE NOVAS PARCERIAS CAIXA'!AH152</f>
        <v>183942</v>
      </c>
      <c r="AH59" s="76">
        <f>'DRE NOVAS PARCERIAS CAIXA'!AI152</f>
        <v>278422</v>
      </c>
      <c r="AI59" s="76">
        <f>'DRE NOVAS PARCERIAS CAIXA'!AJ152</f>
        <v>189002</v>
      </c>
      <c r="AJ59" s="39">
        <f>SUM(AF59:AI59)</f>
        <v>730967</v>
      </c>
      <c r="AK59" s="76">
        <f>'DRE NOVAS PARCERIAS CAIXA'!AL152</f>
        <v>298204</v>
      </c>
      <c r="AL59" s="76">
        <f>'DRE NOVAS PARCERIAS CAIXA'!AM152</f>
        <v>311202</v>
      </c>
      <c r="AM59" s="76">
        <f>'DRE NOVAS PARCERIAS CAIXA'!AN152</f>
        <v>406070</v>
      </c>
      <c r="AN59" s="76">
        <f>'DRE NOVAS PARCERIAS CAIXA'!AO152</f>
        <v>392150</v>
      </c>
      <c r="AO59" s="39">
        <f>SUM(AK59:AN59)</f>
        <v>1407626</v>
      </c>
      <c r="AP59" s="76">
        <f>'DRE NOVAS PARCERIAS CAIXA'!AQ152</f>
        <v>389282</v>
      </c>
      <c r="AQ59" s="76">
        <f>'DRE NOVAS PARCERIAS CAIXA'!AR152</f>
        <v>332183</v>
      </c>
      <c r="AR59" s="76">
        <f>'DRE NOVAS PARCERIAS CAIXA'!AS152</f>
        <v>364035</v>
      </c>
      <c r="AS59" s="76">
        <f>'DRE NOVAS PARCERIAS CAIXA'!AT152</f>
        <v>383173</v>
      </c>
      <c r="AT59" s="39">
        <f>SUM(AP59:AS59)</f>
        <v>1468673</v>
      </c>
      <c r="AU59" s="76">
        <f>'DRE NOVAS PARCERIAS CAIXA'!AV152</f>
        <v>423001.24200000003</v>
      </c>
      <c r="AV59" s="76">
        <f>'DRE NOVAS PARCERIAS CAIXA'!AW152</f>
        <v>436776.092</v>
      </c>
      <c r="AW59" s="76">
        <f>SUM(AW60:AW61)</f>
        <v>485371.76540999999</v>
      </c>
      <c r="AX59" s="76">
        <f>SUM(AX60:AX61)</f>
        <v>521695.44073999993</v>
      </c>
      <c r="AY59" s="39">
        <f t="shared" ref="AY59:AY69" si="53">SUM(AU59:AX59)</f>
        <v>1866844.54015</v>
      </c>
      <c r="AZ59" s="76">
        <f>SUM(AZ60:AZ61)</f>
        <v>542785.4</v>
      </c>
      <c r="BA59" s="114"/>
    </row>
    <row r="60" spans="1:53">
      <c r="A60" s="36" t="s">
        <v>801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 s="456">
        <v>0</v>
      </c>
      <c r="R60" s="456">
        <v>0</v>
      </c>
      <c r="S60" s="456">
        <v>0</v>
      </c>
      <c r="T60" s="456">
        <v>0</v>
      </c>
      <c r="U60" s="40">
        <v>0</v>
      </c>
      <c r="V60" s="456">
        <v>0</v>
      </c>
      <c r="W60" s="456">
        <v>0</v>
      </c>
      <c r="X60" s="456">
        <v>0</v>
      </c>
      <c r="Y60" s="456">
        <v>0</v>
      </c>
      <c r="Z60" s="40">
        <v>0</v>
      </c>
      <c r="AA60" s="110">
        <v>0</v>
      </c>
      <c r="AB60" s="110">
        <v>0.48</v>
      </c>
      <c r="AC60" s="110">
        <v>5719.87</v>
      </c>
      <c r="AD60" s="110">
        <v>25013.29</v>
      </c>
      <c r="AE60" s="40">
        <v>30733.64</v>
      </c>
      <c r="AF60" s="8">
        <v>47109.24</v>
      </c>
      <c r="AG60" s="8">
        <v>76456.327120000002</v>
      </c>
      <c r="AH60" s="8">
        <v>112752.60078000001</v>
      </c>
      <c r="AI60" s="8">
        <v>149547.55771000002</v>
      </c>
      <c r="AJ60" s="40">
        <f t="shared" ref="AJ60:AJ69" si="54">SUM(AF60:AI60)</f>
        <v>385865.72561000002</v>
      </c>
      <c r="AK60" s="8">
        <v>183186.53675</v>
      </c>
      <c r="AL60" s="8">
        <v>198166.29595999999</v>
      </c>
      <c r="AM60" s="8">
        <v>218645.97116999998</v>
      </c>
      <c r="AN60" s="8">
        <v>242061.75546000001</v>
      </c>
      <c r="AO60" s="40">
        <f t="shared" ref="AO60:AO69" si="55">SUM(AK60:AN60)</f>
        <v>842060.55934000004</v>
      </c>
      <c r="AP60" s="8">
        <v>254750.62400000001</v>
      </c>
      <c r="AQ60" s="8">
        <v>284916.32299999997</v>
      </c>
      <c r="AR60" s="8">
        <v>328895.88299999997</v>
      </c>
      <c r="AS60" s="8">
        <v>352757.891</v>
      </c>
      <c r="AT60" s="40">
        <f t="shared" ref="AT60:AT69" si="56">SUM(AP60:AS60)</f>
        <v>1221320.7209999999</v>
      </c>
      <c r="AU60" s="8">
        <v>396231.70289999997</v>
      </c>
      <c r="AV60" s="8">
        <v>414924.48981</v>
      </c>
      <c r="AW60" s="8">
        <v>448068.15658999997</v>
      </c>
      <c r="AX60" s="8">
        <v>474034.96190999995</v>
      </c>
      <c r="AY60" s="40">
        <f t="shared" si="53"/>
        <v>1733259.31121</v>
      </c>
      <c r="AZ60" s="8">
        <v>503262.5</v>
      </c>
      <c r="BA60" s="114"/>
    </row>
    <row r="61" spans="1:53">
      <c r="A61" s="36" t="s">
        <v>802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 s="456">
        <v>0</v>
      </c>
      <c r="R61" s="456">
        <v>0</v>
      </c>
      <c r="S61" s="456">
        <v>0</v>
      </c>
      <c r="T61" s="456">
        <v>0</v>
      </c>
      <c r="U61" s="40">
        <v>0</v>
      </c>
      <c r="V61" s="456">
        <v>0</v>
      </c>
      <c r="W61" s="456">
        <v>0</v>
      </c>
      <c r="X61" s="456">
        <v>0</v>
      </c>
      <c r="Y61" s="456">
        <v>0</v>
      </c>
      <c r="Z61" s="40">
        <v>0</v>
      </c>
      <c r="AA61" s="110">
        <v>0</v>
      </c>
      <c r="AB61" s="110">
        <v>0.4</v>
      </c>
      <c r="AC61" s="110">
        <v>80967.600000000006</v>
      </c>
      <c r="AD61" s="110">
        <v>77153.13867</v>
      </c>
      <c r="AE61" s="40">
        <v>158121.13867000001</v>
      </c>
      <c r="AF61" s="8">
        <v>32491.958150000002</v>
      </c>
      <c r="AG61" s="8">
        <v>107485.73298</v>
      </c>
      <c r="AH61" s="8">
        <v>165668.87506999998</v>
      </c>
      <c r="AI61" s="8">
        <v>39454.716609999996</v>
      </c>
      <c r="AJ61" s="40">
        <f t="shared" si="54"/>
        <v>345101.28281</v>
      </c>
      <c r="AK61" s="8">
        <v>115017.53585</v>
      </c>
      <c r="AL61" s="8">
        <v>113035.74634</v>
      </c>
      <c r="AM61" s="8">
        <v>187423.78637000002</v>
      </c>
      <c r="AN61" s="8">
        <v>150088.69996</v>
      </c>
      <c r="AO61" s="40">
        <f t="shared" si="55"/>
        <v>565565.76852000004</v>
      </c>
      <c r="AP61" s="8">
        <v>134531.85500000001</v>
      </c>
      <c r="AQ61" s="8">
        <v>47266.252999999997</v>
      </c>
      <c r="AR61" s="8">
        <v>35139.410000000003</v>
      </c>
      <c r="AS61" s="8">
        <v>30414.832999999999</v>
      </c>
      <c r="AT61" s="40">
        <f t="shared" si="56"/>
        <v>247352.35100000002</v>
      </c>
      <c r="AU61" s="8">
        <v>26769.538649999999</v>
      </c>
      <c r="AV61" s="8">
        <v>21851.60312</v>
      </c>
      <c r="AW61" s="8">
        <v>37303.608820000001</v>
      </c>
      <c r="AX61" s="8">
        <v>47660.47883</v>
      </c>
      <c r="AY61" s="40">
        <f t="shared" si="53"/>
        <v>133585.22942000002</v>
      </c>
      <c r="AZ61" s="8">
        <v>39522.9</v>
      </c>
      <c r="BA61" s="114"/>
    </row>
    <row r="62" spans="1:53">
      <c r="A62" s="225" t="s">
        <v>794</v>
      </c>
      <c r="Q62" s="76">
        <v>0</v>
      </c>
      <c r="R62" s="76">
        <v>0</v>
      </c>
      <c r="S62" s="76">
        <v>0</v>
      </c>
      <c r="T62" s="76">
        <v>0</v>
      </c>
      <c r="U62" s="39">
        <v>0</v>
      </c>
      <c r="V62" s="76">
        <v>0</v>
      </c>
      <c r="W62" s="76">
        <v>0</v>
      </c>
      <c r="X62" s="76">
        <v>0</v>
      </c>
      <c r="Y62" s="76">
        <v>0</v>
      </c>
      <c r="Z62" s="39">
        <v>0</v>
      </c>
      <c r="AA62" s="76">
        <v>0</v>
      </c>
      <c r="AB62" s="76">
        <v>-0.39245000000000002</v>
      </c>
      <c r="AC62" s="76">
        <v>-65547.764119999993</v>
      </c>
      <c r="AD62" s="76">
        <v>-67039.558900000004</v>
      </c>
      <c r="AE62" s="39">
        <v>-132587.71547</v>
      </c>
      <c r="AF62" s="76">
        <f t="shared" ref="AF62:AN62" si="57">SUM(AF63:AF64)</f>
        <v>-40063</v>
      </c>
      <c r="AG62" s="76">
        <f t="shared" si="57"/>
        <v>-118093</v>
      </c>
      <c r="AH62" s="76">
        <f t="shared" si="57"/>
        <v>-180505</v>
      </c>
      <c r="AI62" s="76">
        <f t="shared" si="57"/>
        <v>-102542</v>
      </c>
      <c r="AJ62" s="39">
        <f t="shared" si="54"/>
        <v>-441203</v>
      </c>
      <c r="AK62" s="76">
        <f t="shared" si="57"/>
        <v>-187975</v>
      </c>
      <c r="AL62" s="76">
        <f t="shared" si="57"/>
        <v>-204757</v>
      </c>
      <c r="AM62" s="76">
        <f t="shared" si="57"/>
        <v>-273049</v>
      </c>
      <c r="AN62" s="76">
        <f t="shared" si="57"/>
        <v>-259873</v>
      </c>
      <c r="AO62" s="39">
        <f t="shared" si="55"/>
        <v>-925654</v>
      </c>
      <c r="AP62" s="76">
        <f>SUM(AP63:AP64)</f>
        <v>-263291</v>
      </c>
      <c r="AQ62" s="76">
        <f>SUM(AQ63:AQ64)</f>
        <v>-207728</v>
      </c>
      <c r="AR62" s="76">
        <f t="shared" ref="AR62" si="58">SUM(AR63:AR64)</f>
        <v>-224741</v>
      </c>
      <c r="AS62" s="76">
        <f t="shared" ref="AS62:AU62" si="59">SUM(AS63:AS64)</f>
        <v>-239701</v>
      </c>
      <c r="AT62" s="39">
        <f t="shared" si="56"/>
        <v>-935461</v>
      </c>
      <c r="AU62" s="76">
        <f t="shared" si="59"/>
        <v>-272794.75199999998</v>
      </c>
      <c r="AV62" s="76">
        <f>SUM(AV63:AV64)</f>
        <v>-286769.745</v>
      </c>
      <c r="AW62" s="76">
        <f>SUM(AW63:AW64)</f>
        <v>-323750.74599999998</v>
      </c>
      <c r="AX62" s="76">
        <f>SUM(AX63:AX64)</f>
        <v>-356598</v>
      </c>
      <c r="AY62" s="39">
        <f t="shared" si="53"/>
        <v>-1239913.243</v>
      </c>
      <c r="AZ62" s="76">
        <f>SUM(AZ63:AZ64)</f>
        <v>-378847</v>
      </c>
      <c r="BA62" s="114"/>
    </row>
    <row r="63" spans="1:53">
      <c r="A63" s="36" t="s">
        <v>795</v>
      </c>
      <c r="Q63" s="239">
        <v>0</v>
      </c>
      <c r="R63" s="239">
        <v>0</v>
      </c>
      <c r="S63" s="239">
        <v>0</v>
      </c>
      <c r="T63" s="239">
        <v>0</v>
      </c>
      <c r="U63" s="40">
        <v>0</v>
      </c>
      <c r="V63" s="239">
        <v>0</v>
      </c>
      <c r="W63" s="239">
        <v>0</v>
      </c>
      <c r="X63" s="239">
        <v>0</v>
      </c>
      <c r="Y63" s="239">
        <v>0</v>
      </c>
      <c r="Z63" s="40">
        <v>0</v>
      </c>
      <c r="AA63" s="1">
        <v>0</v>
      </c>
      <c r="AB63" s="1">
        <v>-0.36284</v>
      </c>
      <c r="AC63" s="8">
        <f>'DRE NOVAS PARCERIAS CAIXA'!AD153</f>
        <v>-64293.955829999999</v>
      </c>
      <c r="AD63" s="8">
        <f>'DRE NOVAS PARCERIAS CAIXA'!AE153</f>
        <v>-65973.270300000004</v>
      </c>
      <c r="AE63" s="40">
        <v>-130267.58897000001</v>
      </c>
      <c r="AF63" s="8">
        <f>'DRE NOVAS PARCERIAS CAIXA'!AG153</f>
        <v>-42383</v>
      </c>
      <c r="AG63" s="8">
        <f>'DRE NOVAS PARCERIAS CAIXA'!AH153</f>
        <v>-118093</v>
      </c>
      <c r="AH63" s="8">
        <f>'DRE NOVAS PARCERIAS CAIXA'!AI153</f>
        <v>-180505</v>
      </c>
      <c r="AI63" s="8">
        <f>'DRE NOVAS PARCERIAS CAIXA'!AJ153</f>
        <v>-102542</v>
      </c>
      <c r="AJ63" s="40">
        <f t="shared" si="54"/>
        <v>-443523</v>
      </c>
      <c r="AK63" s="8">
        <f>'DRE NOVAS PARCERIAS CAIXA'!AL153</f>
        <v>-187975</v>
      </c>
      <c r="AL63" s="8">
        <f>'DRE NOVAS PARCERIAS CAIXA'!AM153</f>
        <v>-204757</v>
      </c>
      <c r="AM63" s="8">
        <f>'DRE NOVAS PARCERIAS CAIXA'!AN153</f>
        <v>-273049</v>
      </c>
      <c r="AN63" s="8">
        <f>'DRE NOVAS PARCERIAS CAIXA'!AO153</f>
        <v>-259873</v>
      </c>
      <c r="AO63" s="40">
        <f t="shared" si="55"/>
        <v>-925654</v>
      </c>
      <c r="AP63" s="8">
        <f>'DRE NOVAS PARCERIAS CAIXA'!AQ153</f>
        <v>-263291</v>
      </c>
      <c r="AQ63" s="8">
        <f>'DRE NOVAS PARCERIAS CAIXA'!AR153</f>
        <v>-207728</v>
      </c>
      <c r="AR63" s="8">
        <f>'DRE NOVAS PARCERIAS CAIXA'!AS153</f>
        <v>-224741</v>
      </c>
      <c r="AS63" s="8">
        <f>'DRE NOVAS PARCERIAS CAIXA'!AT153</f>
        <v>-239701</v>
      </c>
      <c r="AT63" s="40">
        <f t="shared" si="56"/>
        <v>-935461</v>
      </c>
      <c r="AU63" s="8">
        <f>'DRE NOVAS PARCERIAS CAIXA'!AV153</f>
        <v>-272794.75199999998</v>
      </c>
      <c r="AV63" s="8">
        <f>'DRE NOVAS PARCERIAS CAIXA'!AW153</f>
        <v>-286769.745</v>
      </c>
      <c r="AW63" s="8">
        <f>'DRE NOVAS PARCERIAS CAIXA'!AX153</f>
        <v>-323750.74599999998</v>
      </c>
      <c r="AX63" s="8">
        <f>'DRE NOVAS PARCERIAS CAIXA'!AY153</f>
        <v>-356598</v>
      </c>
      <c r="AY63" s="40">
        <f t="shared" si="53"/>
        <v>-1239913.243</v>
      </c>
      <c r="AZ63" s="8">
        <f>'DRE NOVAS PARCERIAS CAIXA'!BA153</f>
        <v>-378847</v>
      </c>
      <c r="BA63" s="114"/>
    </row>
    <row r="64" spans="1:53">
      <c r="A64" s="36" t="s">
        <v>500</v>
      </c>
      <c r="Q64" s="239">
        <v>0</v>
      </c>
      <c r="R64" s="239">
        <v>0</v>
      </c>
      <c r="S64" s="239">
        <v>0</v>
      </c>
      <c r="T64" s="239">
        <v>0</v>
      </c>
      <c r="U64" s="40">
        <v>0</v>
      </c>
      <c r="V64" s="239">
        <v>0</v>
      </c>
      <c r="W64" s="239">
        <v>0</v>
      </c>
      <c r="X64" s="239">
        <v>0</v>
      </c>
      <c r="Y64" s="239">
        <v>0</v>
      </c>
      <c r="Z64" s="40">
        <v>0</v>
      </c>
      <c r="AA64" s="1">
        <v>0</v>
      </c>
      <c r="AB64" s="1">
        <v>-2.9610000000000001E-2</v>
      </c>
      <c r="AC64" s="8">
        <f>'DRE NOVAS PARCERIAS CAIXA'!AD154</f>
        <v>-1253.8082899999997</v>
      </c>
      <c r="AD64" s="8">
        <f>'DRE NOVAS PARCERIAS CAIXA'!AE154</f>
        <v>-1066.2886000000001</v>
      </c>
      <c r="AE64" s="40">
        <v>-2320.1264999999999</v>
      </c>
      <c r="AF64" s="8">
        <f>'DRE NOVAS PARCERIAS CAIXA'!AG154</f>
        <v>2320</v>
      </c>
      <c r="AG64" s="8">
        <f>'DRE NOVAS PARCERIAS CAIXA'!AH154</f>
        <v>0</v>
      </c>
      <c r="AH64" s="8">
        <f>'DRE NOVAS PARCERIAS CAIXA'!AI154</f>
        <v>0</v>
      </c>
      <c r="AI64" s="8">
        <f>'DRE NOVAS PARCERIAS CAIXA'!AJ154</f>
        <v>0</v>
      </c>
      <c r="AJ64" s="40">
        <f t="shared" si="54"/>
        <v>2320</v>
      </c>
      <c r="AK64" s="8">
        <f>'DRE NOVAS PARCERIAS CAIXA'!AL154</f>
        <v>0</v>
      </c>
      <c r="AL64" s="8">
        <f>'DRE NOVAS PARCERIAS CAIXA'!AM154</f>
        <v>0</v>
      </c>
      <c r="AM64" s="8">
        <f>'DRE NOVAS PARCERIAS CAIXA'!AN154</f>
        <v>0</v>
      </c>
      <c r="AN64" s="8">
        <f>'DRE NOVAS PARCERIAS CAIXA'!AO154</f>
        <v>0</v>
      </c>
      <c r="AO64" s="40">
        <f t="shared" si="55"/>
        <v>0</v>
      </c>
      <c r="AP64" s="8">
        <f>'DRE NOVAS PARCERIAS CAIXA'!AQ154</f>
        <v>0</v>
      </c>
      <c r="AQ64" s="8">
        <f>'DRE NOVAS PARCERIAS CAIXA'!AR154</f>
        <v>0</v>
      </c>
      <c r="AR64" s="8">
        <f>'DRE NOVAS PARCERIAS CAIXA'!AS154</f>
        <v>0</v>
      </c>
      <c r="AS64" s="8">
        <f>'DRE NOVAS PARCERIAS CAIXA'!AT154</f>
        <v>0</v>
      </c>
      <c r="AT64" s="40">
        <f t="shared" si="56"/>
        <v>0</v>
      </c>
      <c r="AU64" s="8">
        <f>'DRE NOVAS PARCERIAS CAIXA'!AV154</f>
        <v>0</v>
      </c>
      <c r="AV64" s="8">
        <f>'DRE NOVAS PARCERIAS CAIXA'!AW154</f>
        <v>0</v>
      </c>
      <c r="AW64" s="8">
        <f>'DRE NOVAS PARCERIAS CAIXA'!AX154</f>
        <v>0</v>
      </c>
      <c r="AX64" s="8">
        <f>'DRE NOVAS PARCERIAS CAIXA'!AY154</f>
        <v>0</v>
      </c>
      <c r="AY64" s="40">
        <f t="shared" si="53"/>
        <v>0</v>
      </c>
      <c r="AZ64" s="8">
        <f>'DRE NOVAS PARCERIAS CAIXA'!BA154</f>
        <v>0</v>
      </c>
      <c r="BA64" s="114"/>
    </row>
    <row r="65" spans="1:53">
      <c r="A65" s="225" t="s">
        <v>796</v>
      </c>
      <c r="Q65" s="191">
        <v>0</v>
      </c>
      <c r="R65" s="191">
        <v>0</v>
      </c>
      <c r="S65" s="191">
        <v>0</v>
      </c>
      <c r="T65" s="191">
        <v>0</v>
      </c>
      <c r="U65" s="39">
        <v>0</v>
      </c>
      <c r="V65" s="191">
        <v>0</v>
      </c>
      <c r="W65" s="191">
        <v>0</v>
      </c>
      <c r="X65" s="191">
        <v>0</v>
      </c>
      <c r="Y65" s="191">
        <v>0</v>
      </c>
      <c r="Z65" s="39">
        <v>0</v>
      </c>
      <c r="AA65" s="191">
        <v>0</v>
      </c>
      <c r="AB65" s="191">
        <v>0.51716000000000006</v>
      </c>
      <c r="AC65" s="191">
        <v>22393.514170000002</v>
      </c>
      <c r="AD65" s="191">
        <v>36193.15836999999</v>
      </c>
      <c r="AE65" s="39">
        <v>58587.189699999988</v>
      </c>
      <c r="AF65" s="191">
        <f t="shared" ref="AF65:AN65" si="60">AF59+AF63</f>
        <v>37218</v>
      </c>
      <c r="AG65" s="191">
        <f t="shared" si="60"/>
        <v>65849</v>
      </c>
      <c r="AH65" s="191">
        <f t="shared" si="60"/>
        <v>97917</v>
      </c>
      <c r="AI65" s="191">
        <f t="shared" si="60"/>
        <v>86460</v>
      </c>
      <c r="AJ65" s="39">
        <f t="shared" si="54"/>
        <v>287444</v>
      </c>
      <c r="AK65" s="191">
        <f t="shared" si="60"/>
        <v>110229</v>
      </c>
      <c r="AL65" s="191">
        <f t="shared" si="60"/>
        <v>106445</v>
      </c>
      <c r="AM65" s="191">
        <f t="shared" si="60"/>
        <v>133021</v>
      </c>
      <c r="AN65" s="191">
        <f t="shared" si="60"/>
        <v>132277</v>
      </c>
      <c r="AO65" s="39">
        <f t="shared" si="55"/>
        <v>481972</v>
      </c>
      <c r="AP65" s="191">
        <f>AP59+AP63</f>
        <v>125991</v>
      </c>
      <c r="AQ65" s="191">
        <f t="shared" ref="AQ65:AR65" si="61">AQ59+AQ63</f>
        <v>124455</v>
      </c>
      <c r="AR65" s="191">
        <f t="shared" si="61"/>
        <v>139294</v>
      </c>
      <c r="AS65" s="191">
        <f t="shared" ref="AS65:AU65" si="62">AS59+AS63</f>
        <v>143472</v>
      </c>
      <c r="AT65" s="39">
        <f t="shared" si="56"/>
        <v>533212</v>
      </c>
      <c r="AU65" s="191">
        <f t="shared" si="62"/>
        <v>150206.49000000005</v>
      </c>
      <c r="AV65" s="191">
        <f>AV59+AV63</f>
        <v>150006.34700000001</v>
      </c>
      <c r="AW65" s="191">
        <f>AW59+AW63</f>
        <v>161621.01941000001</v>
      </c>
      <c r="AX65" s="191">
        <f>AX59+AX63</f>
        <v>165097.44073999993</v>
      </c>
      <c r="AY65" s="39">
        <f t="shared" si="53"/>
        <v>626931.29715</v>
      </c>
      <c r="AZ65" s="191">
        <f>AZ59+AZ63</f>
        <v>163938.40000000002</v>
      </c>
      <c r="BA65" s="114"/>
    </row>
    <row r="66" spans="1:53">
      <c r="A66" s="36" t="s">
        <v>797</v>
      </c>
      <c r="Q66" s="239">
        <v>0</v>
      </c>
      <c r="R66" s="239">
        <v>0</v>
      </c>
      <c r="S66" s="239">
        <v>0</v>
      </c>
      <c r="T66" s="239">
        <v>0</v>
      </c>
      <c r="U66" s="40">
        <v>0</v>
      </c>
      <c r="V66" s="239">
        <v>0</v>
      </c>
      <c r="W66" s="239">
        <v>0</v>
      </c>
      <c r="X66" s="239">
        <v>0</v>
      </c>
      <c r="Y66" s="239">
        <v>0</v>
      </c>
      <c r="Z66" s="40">
        <v>0</v>
      </c>
      <c r="AA66" s="1">
        <v>0</v>
      </c>
      <c r="AB66" s="1">
        <v>-1.5650000000000001E-2</v>
      </c>
      <c r="AC66" s="8">
        <f>'DRE NOVAS PARCERIAS CAIXA'!AD155</f>
        <v>-1660.9981300000002</v>
      </c>
      <c r="AD66" s="8">
        <f>'DRE NOVAS PARCERIAS CAIXA'!AE155</f>
        <v>-1919.2341399999998</v>
      </c>
      <c r="AE66" s="40">
        <v>-3580.2479199999998</v>
      </c>
      <c r="AF66" s="8">
        <f>'DRE NOVAS PARCERIAS CAIXA'!AG155</f>
        <v>-1378</v>
      </c>
      <c r="AG66" s="8">
        <f>'DRE NOVAS PARCERIAS CAIXA'!AH155</f>
        <v>-3330</v>
      </c>
      <c r="AH66" s="8">
        <f>'DRE NOVAS PARCERIAS CAIXA'!AI155</f>
        <v>-4519</v>
      </c>
      <c r="AI66" s="8">
        <f>'DRE NOVAS PARCERIAS CAIXA'!AJ155</f>
        <v>-3035</v>
      </c>
      <c r="AJ66" s="40">
        <f t="shared" si="54"/>
        <v>-12262</v>
      </c>
      <c r="AK66" s="8">
        <f>'DRE NOVAS PARCERIAS CAIXA'!AL155</f>
        <v>-4899</v>
      </c>
      <c r="AL66" s="8">
        <f>'DRE NOVAS PARCERIAS CAIXA'!AM155</f>
        <v>-5060</v>
      </c>
      <c r="AM66" s="8">
        <f>'DRE NOVAS PARCERIAS CAIXA'!AN155</f>
        <v>-6173</v>
      </c>
      <c r="AN66" s="8">
        <f>'DRE NOVAS PARCERIAS CAIXA'!AO155</f>
        <v>-6270</v>
      </c>
      <c r="AO66" s="40">
        <f t="shared" si="55"/>
        <v>-22402</v>
      </c>
      <c r="AP66" s="8">
        <f>'DRE NOVAS PARCERIAS CAIXA'!AQ155</f>
        <v>-5345</v>
      </c>
      <c r="AQ66" s="8">
        <f>'DRE NOVAS PARCERIAS CAIXA'!AR155</f>
        <v>-4620</v>
      </c>
      <c r="AR66" s="8">
        <f>'DRE NOVAS PARCERIAS CAIXA'!AS155</f>
        <v>-5211</v>
      </c>
      <c r="AS66" s="8">
        <f>'DRE NOVAS PARCERIAS CAIXA'!AT155</f>
        <v>-4528</v>
      </c>
      <c r="AT66" s="40">
        <f t="shared" si="56"/>
        <v>-19704</v>
      </c>
      <c r="AU66" s="8">
        <f>'DRE NOVAS PARCERIAS CAIXA'!AV155</f>
        <v>-5424</v>
      </c>
      <c r="AV66" s="8">
        <f>'DRE NOVAS PARCERIAS CAIXA'!AW155</f>
        <v>-4470</v>
      </c>
      <c r="AW66" s="8">
        <f>'DRE NOVAS PARCERIAS CAIXA'!AX155</f>
        <v>-5440</v>
      </c>
      <c r="AX66" s="8">
        <f>'DRE NOVAS PARCERIAS CAIXA'!AY155</f>
        <v>-4859</v>
      </c>
      <c r="AY66" s="40">
        <f t="shared" si="53"/>
        <v>-20193</v>
      </c>
      <c r="AZ66" s="8">
        <f>'DRE NOVAS PARCERIAS CAIXA'!BA155</f>
        <v>-1991</v>
      </c>
      <c r="BA66" s="114"/>
    </row>
    <row r="67" spans="1:53">
      <c r="A67" s="36" t="s">
        <v>781</v>
      </c>
      <c r="Q67" s="239">
        <v>0</v>
      </c>
      <c r="R67" s="239">
        <v>0</v>
      </c>
      <c r="S67" s="239">
        <v>0</v>
      </c>
      <c r="T67" s="239">
        <v>0</v>
      </c>
      <c r="U67" s="40">
        <v>0</v>
      </c>
      <c r="V67" s="239">
        <v>0</v>
      </c>
      <c r="W67" s="239">
        <v>0</v>
      </c>
      <c r="X67" s="239">
        <v>0</v>
      </c>
      <c r="Y67" s="239">
        <v>0</v>
      </c>
      <c r="Z67" s="40">
        <v>0</v>
      </c>
      <c r="AA67" s="1">
        <v>0</v>
      </c>
      <c r="AB67" s="1">
        <v>-6.4240000000000005E-2</v>
      </c>
      <c r="AC67" s="8">
        <f>'DRE NOVAS PARCERIAS CAIXA'!AD156</f>
        <v>-5838.746689999999</v>
      </c>
      <c r="AD67" s="8">
        <f>'DRE NOVAS PARCERIAS CAIXA'!AE156</f>
        <v>-7961.4880400000011</v>
      </c>
      <c r="AE67" s="40">
        <v>-13800.29897</v>
      </c>
      <c r="AF67" s="8">
        <f>'DRE NOVAS PARCERIAS CAIXA'!AG156</f>
        <v>-5652</v>
      </c>
      <c r="AG67" s="8">
        <f>'DRE NOVAS PARCERIAS CAIXA'!AH156</f>
        <v>-13467</v>
      </c>
      <c r="AH67" s="8">
        <f>'DRE NOVAS PARCERIAS CAIXA'!AI156</f>
        <v>-20913</v>
      </c>
      <c r="AI67" s="8">
        <f>'DRE NOVAS PARCERIAS CAIXA'!AJ156</f>
        <v>-16780</v>
      </c>
      <c r="AJ67" s="40">
        <f t="shared" si="54"/>
        <v>-56812</v>
      </c>
      <c r="AK67" s="8">
        <f>'DRE NOVAS PARCERIAS CAIXA'!AL156</f>
        <v>-21970</v>
      </c>
      <c r="AL67" s="8">
        <f>'DRE NOVAS PARCERIAS CAIXA'!AM156</f>
        <v>-23499</v>
      </c>
      <c r="AM67" s="8">
        <f>'DRE NOVAS PARCERIAS CAIXA'!AN156</f>
        <v>-31790</v>
      </c>
      <c r="AN67" s="8">
        <f>'DRE NOVAS PARCERIAS CAIXA'!AO156</f>
        <v>-31558</v>
      </c>
      <c r="AO67" s="40">
        <f t="shared" si="55"/>
        <v>-108817</v>
      </c>
      <c r="AP67" s="8">
        <f>'DRE NOVAS PARCERIAS CAIXA'!AQ156</f>
        <v>-29041</v>
      </c>
      <c r="AQ67" s="8">
        <f>'DRE NOVAS PARCERIAS CAIXA'!AR156</f>
        <v>-24964</v>
      </c>
      <c r="AR67" s="8">
        <f>'DRE NOVAS PARCERIAS CAIXA'!AS156</f>
        <v>-27477</v>
      </c>
      <c r="AS67" s="8">
        <f>'DRE NOVAS PARCERIAS CAIXA'!AT156</f>
        <v>-31551</v>
      </c>
      <c r="AT67" s="40">
        <f t="shared" si="56"/>
        <v>-113033</v>
      </c>
      <c r="AU67" s="8">
        <f>'DRE NOVAS PARCERIAS CAIXA'!AV156</f>
        <v>-30946</v>
      </c>
      <c r="AV67" s="8">
        <f>'DRE NOVAS PARCERIAS CAIXA'!AW156</f>
        <v>-32826</v>
      </c>
      <c r="AW67" s="8">
        <f>'DRE NOVAS PARCERIAS CAIXA'!AX156</f>
        <v>-39766</v>
      </c>
      <c r="AX67" s="8">
        <f>'DRE NOVAS PARCERIAS CAIXA'!AY156</f>
        <v>-42173</v>
      </c>
      <c r="AY67" s="40">
        <f t="shared" si="53"/>
        <v>-145711</v>
      </c>
      <c r="AZ67" s="8">
        <f>'DRE NOVAS PARCERIAS CAIXA'!BA156</f>
        <v>-41857</v>
      </c>
      <c r="BA67" s="114"/>
    </row>
    <row r="68" spans="1:53">
      <c r="A68" s="36" t="s">
        <v>782</v>
      </c>
      <c r="Q68" s="239">
        <v>0</v>
      </c>
      <c r="R68" s="239">
        <v>0</v>
      </c>
      <c r="S68" s="239">
        <v>0</v>
      </c>
      <c r="T68" s="239">
        <v>0</v>
      </c>
      <c r="U68" s="40">
        <v>0</v>
      </c>
      <c r="V68" s="239">
        <v>0</v>
      </c>
      <c r="W68" s="239">
        <v>0</v>
      </c>
      <c r="X68" s="239">
        <v>0</v>
      </c>
      <c r="Y68" s="239">
        <v>0</v>
      </c>
      <c r="Z68" s="40">
        <v>0</v>
      </c>
      <c r="AA68" s="1">
        <v>0</v>
      </c>
      <c r="AB68" s="1">
        <v>0</v>
      </c>
      <c r="AC68" s="1">
        <v>0</v>
      </c>
      <c r="AD68" s="8">
        <f>'DRE NOVAS PARCERIAS CAIXA'!AE158</f>
        <v>-2505.9380999999998</v>
      </c>
      <c r="AE68" s="40">
        <v>-2505.9380999999998</v>
      </c>
      <c r="AF68" s="8">
        <f>'DRE NOVAS PARCERIAS CAIXA'!AG158</f>
        <v>-2056</v>
      </c>
      <c r="AG68" s="8">
        <f>'DRE NOVAS PARCERIAS CAIXA'!AH158</f>
        <v>-7281</v>
      </c>
      <c r="AH68" s="8">
        <f>'DRE NOVAS PARCERIAS CAIXA'!AI158</f>
        <v>-10910</v>
      </c>
      <c r="AI68" s="8">
        <f>'DRE NOVAS PARCERIAS CAIXA'!AJ158</f>
        <v>-10653</v>
      </c>
      <c r="AJ68" s="40">
        <f t="shared" si="54"/>
        <v>-30900</v>
      </c>
      <c r="AK68" s="8">
        <f>'DRE NOVAS PARCERIAS CAIXA'!AL158</f>
        <v>-14702</v>
      </c>
      <c r="AL68" s="8">
        <f>'DRE NOVAS PARCERIAS CAIXA'!AM158</f>
        <v>-15890</v>
      </c>
      <c r="AM68" s="8">
        <f>'DRE NOVAS PARCERIAS CAIXA'!AN158</f>
        <v>-20572</v>
      </c>
      <c r="AN68" s="8">
        <f>'DRE NOVAS PARCERIAS CAIXA'!AO158</f>
        <v>-19632</v>
      </c>
      <c r="AO68" s="40">
        <f t="shared" si="55"/>
        <v>-70796</v>
      </c>
      <c r="AP68" s="8">
        <f>'DRE NOVAS PARCERIAS CAIXA'!AQ158</f>
        <v>-20668</v>
      </c>
      <c r="AQ68" s="8">
        <f>'DRE NOVAS PARCERIAS CAIXA'!AR158</f>
        <v>-19213</v>
      </c>
      <c r="AR68" s="8">
        <f>'DRE NOVAS PARCERIAS CAIXA'!AS158</f>
        <v>-19868</v>
      </c>
      <c r="AS68" s="8">
        <f>'DRE NOVAS PARCERIAS CAIXA'!AT158</f>
        <v>-21797</v>
      </c>
      <c r="AT68" s="40">
        <f t="shared" si="56"/>
        <v>-81546</v>
      </c>
      <c r="AU68" s="8">
        <f>'DRE NOVAS PARCERIAS CAIXA'!AV158</f>
        <v>-21124</v>
      </c>
      <c r="AV68" s="8">
        <f>'DRE NOVAS PARCERIAS CAIXA'!AW158</f>
        <v>-22103</v>
      </c>
      <c r="AW68" s="8">
        <f>'DRE NOVAS PARCERIAS CAIXA'!AX158</f>
        <v>-24038</v>
      </c>
      <c r="AX68" s="8">
        <f>'DRE NOVAS PARCERIAS CAIXA'!AY158</f>
        <v>-25444</v>
      </c>
      <c r="AY68" s="40">
        <f t="shared" si="53"/>
        <v>-92709</v>
      </c>
      <c r="AZ68" s="8">
        <f>'DRE NOVAS PARCERIAS CAIXA'!BA158</f>
        <v>-20765</v>
      </c>
      <c r="BA68" s="114"/>
    </row>
    <row r="69" spans="1:53">
      <c r="A69" s="225" t="s">
        <v>710</v>
      </c>
      <c r="Q69" s="76">
        <v>0</v>
      </c>
      <c r="R69" s="76">
        <v>0</v>
      </c>
      <c r="S69" s="76">
        <v>0</v>
      </c>
      <c r="T69" s="76">
        <v>0</v>
      </c>
      <c r="U69" s="39">
        <v>0</v>
      </c>
      <c r="V69" s="76">
        <v>0</v>
      </c>
      <c r="W69" s="76">
        <v>0</v>
      </c>
      <c r="X69" s="76">
        <v>0</v>
      </c>
      <c r="Y69" s="76">
        <v>0</v>
      </c>
      <c r="Z69" s="39">
        <v>0</v>
      </c>
      <c r="AA69" s="76">
        <v>0</v>
      </c>
      <c r="AB69" s="76">
        <v>0.40766000000000002</v>
      </c>
      <c r="AC69" s="76">
        <v>13639.961060000001</v>
      </c>
      <c r="AD69" s="76">
        <v>22740.20948999999</v>
      </c>
      <c r="AE69" s="39">
        <v>36380.578209999992</v>
      </c>
      <c r="AF69" s="76">
        <f t="shared" ref="AF69:AH69" si="63">SUM(AF64:AF68)</f>
        <v>30452</v>
      </c>
      <c r="AG69" s="76">
        <f t="shared" si="63"/>
        <v>41771</v>
      </c>
      <c r="AH69" s="76">
        <f t="shared" si="63"/>
        <v>61575</v>
      </c>
      <c r="AI69" s="76">
        <f t="shared" ref="AI69:AK69" si="64">SUM(AI64:AI68)</f>
        <v>55992</v>
      </c>
      <c r="AJ69" s="39">
        <f t="shared" si="54"/>
        <v>189790</v>
      </c>
      <c r="AK69" s="76">
        <f t="shared" si="64"/>
        <v>68658</v>
      </c>
      <c r="AL69" s="76">
        <f>SUM(AL64:AL68)</f>
        <v>61996</v>
      </c>
      <c r="AM69" s="76">
        <f>SUM(AM64:AM68)</f>
        <v>74486</v>
      </c>
      <c r="AN69" s="76">
        <f>SUM(AN64:AN68)</f>
        <v>74817</v>
      </c>
      <c r="AO69" s="39">
        <f t="shared" si="55"/>
        <v>279957</v>
      </c>
      <c r="AP69" s="76">
        <f>SUM(AP64:AP68)</f>
        <v>70937</v>
      </c>
      <c r="AQ69" s="76">
        <f t="shared" ref="AQ69:AR69" si="65">SUM(AQ64:AQ68)</f>
        <v>75658</v>
      </c>
      <c r="AR69" s="76">
        <f t="shared" si="65"/>
        <v>86738</v>
      </c>
      <c r="AS69" s="76">
        <f t="shared" ref="AS69:AU69" si="66">SUM(AS64:AS68)</f>
        <v>85596</v>
      </c>
      <c r="AT69" s="39">
        <f t="shared" si="56"/>
        <v>318929</v>
      </c>
      <c r="AU69" s="76">
        <f t="shared" si="66"/>
        <v>92712.490000000049</v>
      </c>
      <c r="AV69" s="76">
        <f>SUM(AV64:AV68)</f>
        <v>90607.347000000009</v>
      </c>
      <c r="AW69" s="76">
        <f>SUM(AW64:AW68)</f>
        <v>92377.019410000008</v>
      </c>
      <c r="AX69" s="76">
        <f>SUM(AX64:AX68)</f>
        <v>92621.440739999933</v>
      </c>
      <c r="AY69" s="39">
        <f t="shared" si="53"/>
        <v>368318.29715</v>
      </c>
      <c r="AZ69" s="76">
        <f>SUM(AZ64:AZ68)</f>
        <v>99325.400000000023</v>
      </c>
      <c r="BA69" s="114"/>
    </row>
    <row r="70" spans="1:53">
      <c r="A70" s="236" t="s">
        <v>798</v>
      </c>
      <c r="Q70" s="239">
        <v>0</v>
      </c>
      <c r="R70" s="239">
        <v>0</v>
      </c>
      <c r="S70" s="239">
        <v>0</v>
      </c>
      <c r="T70" s="239">
        <v>0</v>
      </c>
      <c r="U70" s="240">
        <v>0</v>
      </c>
      <c r="V70" s="239">
        <v>0</v>
      </c>
      <c r="W70" s="239">
        <v>0</v>
      </c>
      <c r="X70" s="239">
        <v>0</v>
      </c>
      <c r="Y70" s="239">
        <v>0</v>
      </c>
      <c r="Z70" s="240">
        <v>0</v>
      </c>
      <c r="AA70" s="1" t="e">
        <f t="shared" ref="AA70:AP70" si="67">-AA67/(AA59+AA64)</f>
        <v>#DIV/0!</v>
      </c>
      <c r="AB70" s="413">
        <f t="shared" si="67"/>
        <v>7.5541810228248227E-2</v>
      </c>
      <c r="AC70" s="413">
        <f t="shared" si="67"/>
        <v>6.8342460958998957E-2</v>
      </c>
      <c r="AD70" s="413">
        <f t="shared" si="67"/>
        <v>7.8748536198739227E-2</v>
      </c>
      <c r="AE70" s="46">
        <f t="shared" si="67"/>
        <v>7.398249499199204E-2</v>
      </c>
      <c r="AF70" s="413">
        <f t="shared" si="67"/>
        <v>6.8993298421650126E-2</v>
      </c>
      <c r="AG70" s="413">
        <f t="shared" si="67"/>
        <v>7.3213295495319172E-2</v>
      </c>
      <c r="AH70" s="413">
        <f t="shared" si="67"/>
        <v>7.5112598860722218E-2</v>
      </c>
      <c r="AI70" s="413">
        <f t="shared" si="67"/>
        <v>8.8782129289637149E-2</v>
      </c>
      <c r="AJ70" s="46">
        <f t="shared" si="67"/>
        <v>7.7475804153080585E-2</v>
      </c>
      <c r="AK70" s="413">
        <f t="shared" si="67"/>
        <v>7.3674397392389096E-2</v>
      </c>
      <c r="AL70" s="413">
        <f t="shared" si="67"/>
        <v>7.5510440164266293E-2</v>
      </c>
      <c r="AM70" s="413">
        <f t="shared" si="67"/>
        <v>7.8286994853104142E-2</v>
      </c>
      <c r="AN70" s="413">
        <f t="shared" si="67"/>
        <v>8.0474308300395259E-2</v>
      </c>
      <c r="AO70" s="46">
        <f t="shared" si="67"/>
        <v>7.7305335366070246E-2</v>
      </c>
      <c r="AP70" s="413">
        <f t="shared" si="67"/>
        <v>7.4601445738564851E-2</v>
      </c>
      <c r="AQ70" s="413">
        <f t="shared" ref="AQ70:AS70" si="68">-AQ67/(AQ59+AQ64)</f>
        <v>7.5151347299530685E-2</v>
      </c>
      <c r="AR70" s="413">
        <f t="shared" si="68"/>
        <v>7.547900613951955E-2</v>
      </c>
      <c r="AS70" s="413">
        <f t="shared" si="68"/>
        <v>8.2341396705926564E-2</v>
      </c>
      <c r="AT70" s="46">
        <f>-AT67/(AT59+AT64)</f>
        <v>7.6962673106947571E-2</v>
      </c>
      <c r="AU70" s="413">
        <f t="shared" ref="AU70" si="69">-AU67/(AU59+AU64)</f>
        <v>7.3158177630126192E-2</v>
      </c>
      <c r="AV70" s="413">
        <f>-AV67/(AV59+AV64)</f>
        <v>7.5155212478983394E-2</v>
      </c>
      <c r="AW70" s="413">
        <f>-AW67/(AW59+AW64)</f>
        <v>8.1928951854892365E-2</v>
      </c>
      <c r="AX70" s="413">
        <f>-AX67/(AX59+AX64)</f>
        <v>8.0838352622326207E-2</v>
      </c>
      <c r="AY70" s="46">
        <f>-AY67/(AY59+AY64)</f>
        <v>7.8052026757563966E-2</v>
      </c>
      <c r="AZ70" s="413">
        <f>-AZ67/(AZ59+AZ64)</f>
        <v>7.7115191381345177E-2</v>
      </c>
      <c r="BA70" s="114"/>
    </row>
    <row r="71" spans="1:53" ht="15.75" thickBot="1">
      <c r="A71" s="236" t="s">
        <v>803</v>
      </c>
      <c r="Q71" s="239">
        <v>0</v>
      </c>
      <c r="R71" s="239">
        <v>0</v>
      </c>
      <c r="S71" s="239">
        <v>0</v>
      </c>
      <c r="T71" s="239">
        <v>0</v>
      </c>
      <c r="U71" s="241">
        <v>0</v>
      </c>
      <c r="V71" s="239">
        <v>0</v>
      </c>
      <c r="W71" s="239">
        <v>0</v>
      </c>
      <c r="X71" s="239">
        <v>0</v>
      </c>
      <c r="Y71" s="239">
        <v>0</v>
      </c>
      <c r="Z71" s="241">
        <v>0</v>
      </c>
      <c r="AA71" s="1">
        <v>0</v>
      </c>
      <c r="AB71" s="18">
        <v>0.58768181818181831</v>
      </c>
      <c r="AC71" s="18">
        <v>0.25832469409938946</v>
      </c>
      <c r="AD71" s="18">
        <v>0.35425686148729696</v>
      </c>
      <c r="AE71" s="48">
        <v>0.31022349613071609</v>
      </c>
      <c r="AF71" s="18">
        <f t="shared" ref="AF71:AH71" si="70">AF65/AF59</f>
        <v>0.46755694023944422</v>
      </c>
      <c r="AG71" s="18">
        <f t="shared" si="70"/>
        <v>0.35798784399430256</v>
      </c>
      <c r="AH71" s="18">
        <f t="shared" si="70"/>
        <v>0.35168557082414464</v>
      </c>
      <c r="AI71" s="18">
        <f t="shared" ref="AI71:AK71" si="71">AI65/AI59</f>
        <v>0.45745547666162262</v>
      </c>
      <c r="AJ71" s="48">
        <f>AJ65/AJ59</f>
        <v>0.39323799843221374</v>
      </c>
      <c r="AK71" s="18">
        <f t="shared" si="71"/>
        <v>0.36964292900162304</v>
      </c>
      <c r="AL71" s="18">
        <f t="shared" ref="AL71:AN71" si="72">AL65/AL59</f>
        <v>0.34204471693626648</v>
      </c>
      <c r="AM71" s="18">
        <f t="shared" si="72"/>
        <v>0.32758145147388379</v>
      </c>
      <c r="AN71" s="18">
        <f t="shared" si="72"/>
        <v>0.33731225296442685</v>
      </c>
      <c r="AO71" s="48">
        <f>AO65/AO59</f>
        <v>0.34240060925274185</v>
      </c>
      <c r="AP71" s="18">
        <f t="shared" ref="AP71:AS71" si="73">AP65/AP59</f>
        <v>0.32364969353836037</v>
      </c>
      <c r="AQ71" s="18">
        <f t="shared" si="73"/>
        <v>0.37465794456669971</v>
      </c>
      <c r="AR71" s="18">
        <f t="shared" si="73"/>
        <v>0.38263903196121252</v>
      </c>
      <c r="AS71" s="18">
        <f t="shared" si="73"/>
        <v>0.37443139260856062</v>
      </c>
      <c r="AT71" s="48">
        <f>AT65/AT59</f>
        <v>0.36305699090267202</v>
      </c>
      <c r="AU71" s="169">
        <f t="shared" ref="AU71" si="74">AU65/AU59</f>
        <v>0.35509704248102431</v>
      </c>
      <c r="AV71" s="169">
        <f>AV65/AV59</f>
        <v>0.34343992207339041</v>
      </c>
      <c r="AW71" s="169">
        <f>AW65/AW59</f>
        <v>0.33298397419857451</v>
      </c>
      <c r="AX71" s="169">
        <f>AX65/AX59</f>
        <v>0.31646326160300947</v>
      </c>
      <c r="AY71" s="48">
        <f>AY65/AY59</f>
        <v>0.33582405158365591</v>
      </c>
      <c r="AZ71" s="18">
        <f>AZ65/AZ59</f>
        <v>0.30203170534800683</v>
      </c>
      <c r="BA71" s="114"/>
    </row>
    <row r="72" spans="1:53" ht="45">
      <c r="A72" s="787" t="s">
        <v>806</v>
      </c>
      <c r="AC72" s="20"/>
      <c r="AE72" s="20"/>
    </row>
    <row r="73" spans="1:53" ht="15.75" thickBot="1">
      <c r="AC73" s="20"/>
      <c r="AE73" s="20"/>
    </row>
    <row r="74" spans="1:53" s="30" customFormat="1" ht="24.4" customHeight="1">
      <c r="A74" s="625" t="s">
        <v>807</v>
      </c>
      <c r="B74" s="626" t="s">
        <v>224</v>
      </c>
      <c r="C74" s="626" t="s">
        <v>225</v>
      </c>
      <c r="D74" s="626" t="s">
        <v>226</v>
      </c>
      <c r="E74" s="626" t="s">
        <v>227</v>
      </c>
      <c r="F74" s="652">
        <v>2016</v>
      </c>
      <c r="G74" s="626" t="s">
        <v>228</v>
      </c>
      <c r="H74" s="626" t="s">
        <v>229</v>
      </c>
      <c r="I74" s="626" t="s">
        <v>230</v>
      </c>
      <c r="J74" s="626" t="s">
        <v>231</v>
      </c>
      <c r="K74" s="652">
        <v>2017</v>
      </c>
      <c r="L74" s="626" t="s">
        <v>232</v>
      </c>
      <c r="M74" s="626" t="s">
        <v>233</v>
      </c>
      <c r="N74" s="626" t="s">
        <v>234</v>
      </c>
      <c r="O74" s="626" t="s">
        <v>235</v>
      </c>
      <c r="P74" s="652">
        <v>2018</v>
      </c>
      <c r="Q74" s="626" t="s">
        <v>236</v>
      </c>
      <c r="R74" s="626" t="s">
        <v>237</v>
      </c>
      <c r="S74" s="626" t="s">
        <v>238</v>
      </c>
      <c r="T74" s="626" t="s">
        <v>239</v>
      </c>
      <c r="U74" s="652">
        <v>2019</v>
      </c>
      <c r="V74" s="626" t="s">
        <v>240</v>
      </c>
      <c r="W74" s="626" t="s">
        <v>241</v>
      </c>
      <c r="X74" s="626" t="s">
        <v>242</v>
      </c>
      <c r="Y74" s="626" t="s">
        <v>243</v>
      </c>
      <c r="Z74" s="652">
        <v>2020</v>
      </c>
      <c r="AA74" s="626" t="s">
        <v>244</v>
      </c>
      <c r="AB74" s="626" t="s">
        <v>245</v>
      </c>
      <c r="AC74" s="626" t="s">
        <v>246</v>
      </c>
      <c r="AD74" s="626" t="s">
        <v>247</v>
      </c>
      <c r="AE74" s="652">
        <v>2021</v>
      </c>
      <c r="AF74" s="626" t="s">
        <v>248</v>
      </c>
      <c r="AG74" s="626" t="s">
        <v>398</v>
      </c>
      <c r="AH74" s="626" t="s">
        <v>250</v>
      </c>
      <c r="AI74" s="626" t="s">
        <v>215</v>
      </c>
      <c r="AJ74" s="652">
        <v>2022</v>
      </c>
      <c r="AK74" s="626" t="s">
        <v>252</v>
      </c>
      <c r="AL74" s="626" t="s">
        <v>253</v>
      </c>
      <c r="AM74" s="626" t="s">
        <v>254</v>
      </c>
      <c r="AN74" s="626" t="s">
        <v>219</v>
      </c>
      <c r="AO74" s="652">
        <v>2023</v>
      </c>
      <c r="AP74" s="626" t="s">
        <v>223</v>
      </c>
      <c r="AQ74" s="626" t="s">
        <v>256</v>
      </c>
      <c r="AR74" s="626" t="s">
        <v>357</v>
      </c>
      <c r="AS74" s="626" t="s">
        <v>358</v>
      </c>
      <c r="AT74" s="652">
        <v>2024</v>
      </c>
      <c r="AU74" s="626" t="s">
        <v>359</v>
      </c>
      <c r="AV74" s="626" t="s">
        <v>1115</v>
      </c>
      <c r="AW74" s="626" t="s">
        <v>1116</v>
      </c>
      <c r="AX74" s="626" t="s">
        <v>1117</v>
      </c>
      <c r="AY74" s="653" t="s">
        <v>1118</v>
      </c>
      <c r="AZ74" s="645" t="s">
        <v>1124</v>
      </c>
    </row>
    <row r="75" spans="1:53">
      <c r="A75" s="9" t="s">
        <v>808</v>
      </c>
      <c r="B75" s="76">
        <v>581905.62228999997</v>
      </c>
      <c r="C75" s="76">
        <v>624600.54252000002</v>
      </c>
      <c r="D75" s="76">
        <v>624940.48661000002</v>
      </c>
      <c r="E75" s="76">
        <v>642056.80701999995</v>
      </c>
      <c r="F75" s="39">
        <v>2473503.4584400002</v>
      </c>
      <c r="G75" s="76">
        <v>678439.60172000004</v>
      </c>
      <c r="H75" s="76">
        <v>683009.7893399999</v>
      </c>
      <c r="I75" s="76">
        <v>699280.11702000001</v>
      </c>
      <c r="J75" s="76">
        <v>722541.12491000013</v>
      </c>
      <c r="K75" s="39">
        <v>2783270.6329899998</v>
      </c>
      <c r="L75" s="76">
        <v>740753.49709000008</v>
      </c>
      <c r="M75" s="76">
        <v>734211.41126999992</v>
      </c>
      <c r="N75" s="76">
        <v>759338.27421000006</v>
      </c>
      <c r="O75" s="76">
        <v>734755.02467999991</v>
      </c>
      <c r="P75" s="39">
        <v>2969058.20725</v>
      </c>
      <c r="Q75" s="76">
        <v>761993.48273000005</v>
      </c>
      <c r="R75" s="76">
        <v>776238.21678000002</v>
      </c>
      <c r="S75" s="76">
        <v>802958.05373000004</v>
      </c>
      <c r="T75" s="76">
        <v>762936.44793000002</v>
      </c>
      <c r="U75" s="39">
        <v>3104126.2011700002</v>
      </c>
      <c r="V75" s="76">
        <v>777665.97626999998</v>
      </c>
      <c r="W75" s="76">
        <v>729356.35152999999</v>
      </c>
      <c r="X75" s="76">
        <v>789519.96743000008</v>
      </c>
      <c r="Y75" s="76">
        <v>831307.78447000007</v>
      </c>
      <c r="Z75" s="39">
        <v>3127850.0797000006</v>
      </c>
      <c r="AA75" s="76">
        <v>783664.36216000002</v>
      </c>
      <c r="AB75" s="76">
        <v>786431.12144000002</v>
      </c>
      <c r="AC75" s="76">
        <v>838275.44218000001</v>
      </c>
      <c r="AD75" s="76">
        <v>792888.64662999997</v>
      </c>
      <c r="AE75" s="39">
        <v>3201259.57241</v>
      </c>
      <c r="AF75" s="76">
        <f t="shared" ref="AF75:AI77" si="75">AF89+AF103</f>
        <v>691457.28203000012</v>
      </c>
      <c r="AG75" s="76">
        <f t="shared" si="75"/>
        <v>894225.45686999999</v>
      </c>
      <c r="AH75" s="76">
        <f t="shared" si="75"/>
        <v>1017441.3721400001</v>
      </c>
      <c r="AI75" s="76">
        <f t="shared" si="75"/>
        <v>1040828.21395</v>
      </c>
      <c r="AJ75" s="39">
        <f>SUM(AF75:AI75)</f>
        <v>3643952.3249900006</v>
      </c>
      <c r="AK75" s="76">
        <f t="shared" ref="AK75:AN77" si="76">AK89+AK103</f>
        <v>394429.33594000002</v>
      </c>
      <c r="AL75" s="76">
        <f t="shared" si="76"/>
        <v>504251.04596000002</v>
      </c>
      <c r="AM75" s="76">
        <f t="shared" si="76"/>
        <v>617535.6836600001</v>
      </c>
      <c r="AN75" s="76">
        <f t="shared" si="76"/>
        <v>726560.23690000013</v>
      </c>
      <c r="AO75" s="39">
        <f>SUM(AK75:AN75)</f>
        <v>2242776.3024599999</v>
      </c>
      <c r="AP75" s="76">
        <f t="shared" ref="AP75:AS77" si="77">AP89+AP103</f>
        <v>850798.32439000008</v>
      </c>
      <c r="AQ75" s="76">
        <f t="shared" si="77"/>
        <v>941157.69542999996</v>
      </c>
      <c r="AR75" s="76">
        <f t="shared" si="77"/>
        <v>1125563.3285999999</v>
      </c>
      <c r="AS75" s="76">
        <f t="shared" si="77"/>
        <v>1269897.8560599999</v>
      </c>
      <c r="AT75" s="39">
        <f>SUM(AP75:AS75)</f>
        <v>4187417.2044799998</v>
      </c>
      <c r="AU75" s="76">
        <f t="shared" ref="AU75:AX77" si="78">AU89+AU103</f>
        <v>1426797.2037500001</v>
      </c>
      <c r="AV75" s="76">
        <f t="shared" si="78"/>
        <v>1595680.6396199998</v>
      </c>
      <c r="AW75" s="76">
        <f t="shared" si="78"/>
        <v>1803118.1070000001</v>
      </c>
      <c r="AX75" s="76">
        <f t="shared" si="78"/>
        <v>1981630.6326199998</v>
      </c>
      <c r="AY75" s="39">
        <f t="shared" ref="AY75:AY80" si="79">SUM(AU75:AX75)</f>
        <v>6807226.58299</v>
      </c>
      <c r="AZ75" s="76">
        <f>AZ89+AZ103</f>
        <v>2043227.3400000003</v>
      </c>
    </row>
    <row r="76" spans="1:53">
      <c r="A76" s="11" t="s">
        <v>809</v>
      </c>
      <c r="B76" s="8">
        <v>0</v>
      </c>
      <c r="C76" s="8">
        <v>0</v>
      </c>
      <c r="D76" s="8">
        <v>0</v>
      </c>
      <c r="E76" s="8">
        <v>0</v>
      </c>
      <c r="F76" s="40">
        <v>0</v>
      </c>
      <c r="G76" s="8">
        <v>115781.62279000001</v>
      </c>
      <c r="H76" s="8">
        <v>111146.82702000001</v>
      </c>
      <c r="I76" s="8">
        <v>117542.01527999999</v>
      </c>
      <c r="J76" s="8">
        <v>119889.99795999999</v>
      </c>
      <c r="K76" s="40">
        <v>464360.46305000002</v>
      </c>
      <c r="L76" s="8">
        <v>122619.05648999999</v>
      </c>
      <c r="M76" s="8">
        <v>119799.27926000001</v>
      </c>
      <c r="N76" s="8">
        <v>119307.85195</v>
      </c>
      <c r="O76" s="8">
        <v>121018.61218000001</v>
      </c>
      <c r="P76" s="40">
        <v>482744.79988000001</v>
      </c>
      <c r="Q76" s="1">
        <v>123968.35270999999</v>
      </c>
      <c r="R76" s="1">
        <v>130815.01541000001</v>
      </c>
      <c r="S76" s="1">
        <v>145076.08743999986</v>
      </c>
      <c r="T76" s="1">
        <v>146202.77163000003</v>
      </c>
      <c r="U76" s="40">
        <v>546062.22718999989</v>
      </c>
      <c r="V76" s="1">
        <v>149454.32198000001</v>
      </c>
      <c r="W76" s="1">
        <v>143377.73657999997</v>
      </c>
      <c r="X76" s="1">
        <v>149920.24357999995</v>
      </c>
      <c r="Y76" s="1">
        <v>158168.20924999996</v>
      </c>
      <c r="Z76" s="40">
        <v>600920.51138999988</v>
      </c>
      <c r="AA76" s="1">
        <v>154049.86630000005</v>
      </c>
      <c r="AB76" s="1">
        <v>150641.52866999997</v>
      </c>
      <c r="AC76" s="1">
        <v>157248.54261999993</v>
      </c>
      <c r="AD76" s="1">
        <v>138781</v>
      </c>
      <c r="AE76" s="40">
        <v>600720.93758999999</v>
      </c>
      <c r="AF76" s="1">
        <f t="shared" si="75"/>
        <v>151821</v>
      </c>
      <c r="AG76" s="1">
        <f t="shared" si="75"/>
        <v>114617.03365000011</v>
      </c>
      <c r="AH76" s="1">
        <f t="shared" si="75"/>
        <v>188587</v>
      </c>
      <c r="AI76" s="1">
        <f t="shared" si="75"/>
        <v>121367.90330999979</v>
      </c>
      <c r="AJ76" s="40">
        <f>SUM(AF76:AI76)</f>
        <v>576392.93695999985</v>
      </c>
      <c r="AK76" s="1">
        <f t="shared" si="76"/>
        <v>116158</v>
      </c>
      <c r="AL76" s="1">
        <f t="shared" si="76"/>
        <v>130238</v>
      </c>
      <c r="AM76" s="1">
        <f t="shared" si="76"/>
        <v>152283</v>
      </c>
      <c r="AN76" s="1">
        <f t="shared" si="76"/>
        <v>175146</v>
      </c>
      <c r="AO76" s="40">
        <f>SUM(AK76:AN76)</f>
        <v>573825</v>
      </c>
      <c r="AP76" s="1">
        <f t="shared" si="77"/>
        <v>193385</v>
      </c>
      <c r="AQ76" s="1">
        <f t="shared" si="77"/>
        <v>212663</v>
      </c>
      <c r="AR76" s="1">
        <f t="shared" si="77"/>
        <v>224696</v>
      </c>
      <c r="AS76" s="1">
        <f t="shared" si="77"/>
        <v>239280</v>
      </c>
      <c r="AT76" s="40">
        <f>SUM(AP76:AS76)</f>
        <v>870024</v>
      </c>
      <c r="AU76" s="1">
        <f t="shared" si="78"/>
        <v>259624</v>
      </c>
      <c r="AV76" s="1">
        <f t="shared" si="78"/>
        <v>275566</v>
      </c>
      <c r="AW76" s="1">
        <f t="shared" si="78"/>
        <v>279989</v>
      </c>
      <c r="AX76" s="1">
        <f t="shared" si="78"/>
        <v>279171</v>
      </c>
      <c r="AY76" s="40">
        <f t="shared" si="79"/>
        <v>1094350</v>
      </c>
      <c r="AZ76" s="1">
        <f>AZ90+AZ104</f>
        <v>267166</v>
      </c>
    </row>
    <row r="77" spans="1:53">
      <c r="A77" s="11" t="s">
        <v>810</v>
      </c>
      <c r="B77" s="8">
        <v>0</v>
      </c>
      <c r="C77" s="8">
        <v>0</v>
      </c>
      <c r="D77" s="8">
        <v>0</v>
      </c>
      <c r="E77" s="8">
        <v>0</v>
      </c>
      <c r="F77" s="40">
        <v>0</v>
      </c>
      <c r="G77" s="8">
        <v>-59240.038769999999</v>
      </c>
      <c r="H77" s="8">
        <v>-65987.500969999994</v>
      </c>
      <c r="I77" s="8">
        <v>-70309.510089999982</v>
      </c>
      <c r="J77" s="8">
        <v>-75712.939879999991</v>
      </c>
      <c r="K77" s="40">
        <v>-271249.98970999999</v>
      </c>
      <c r="L77" s="8">
        <v>-69880.271930000003</v>
      </c>
      <c r="M77" s="8">
        <v>-69409.708969999992</v>
      </c>
      <c r="N77" s="8">
        <v>-72836.540560000009</v>
      </c>
      <c r="O77" s="8">
        <v>-71867.160310000007</v>
      </c>
      <c r="P77" s="40">
        <v>-283993.68177000002</v>
      </c>
      <c r="Q77" s="1">
        <v>-64206.02324000001</v>
      </c>
      <c r="R77" s="1">
        <v>-83807.091309999843</v>
      </c>
      <c r="S77" s="1">
        <v>-98518.986680000235</v>
      </c>
      <c r="T77" s="1">
        <v>-116843.42484999972</v>
      </c>
      <c r="U77" s="40">
        <v>-363375.52607999981</v>
      </c>
      <c r="V77" s="1">
        <v>-92283.881649999967</v>
      </c>
      <c r="W77" s="1">
        <v>-77185.755689999962</v>
      </c>
      <c r="X77" s="1">
        <v>-85833.616909999924</v>
      </c>
      <c r="Y77" s="1">
        <v>-89133.958610000234</v>
      </c>
      <c r="Z77" s="40">
        <v>-344437.21286000009</v>
      </c>
      <c r="AA77" s="1">
        <v>-86212.105640000023</v>
      </c>
      <c r="AB77" s="1">
        <v>-78986.831129999657</v>
      </c>
      <c r="AC77" s="1">
        <v>-71039.03152000031</v>
      </c>
      <c r="AD77" s="1">
        <v>-68626</v>
      </c>
      <c r="AE77" s="40">
        <v>-304863.96828999999</v>
      </c>
      <c r="AF77" s="1">
        <f t="shared" si="75"/>
        <v>-93995.460900000005</v>
      </c>
      <c r="AG77" s="1">
        <f t="shared" si="75"/>
        <v>12712.112649999784</v>
      </c>
      <c r="AH77" s="1">
        <f t="shared" si="75"/>
        <v>-152628.32219000001</v>
      </c>
      <c r="AI77" s="1">
        <f t="shared" si="75"/>
        <v>-42642.404169999827</v>
      </c>
      <c r="AJ77" s="40">
        <f t="shared" ref="AJ77:AJ80" si="80">SUM(AF77:AI77)</f>
        <v>-276554.07461000007</v>
      </c>
      <c r="AK77" s="1">
        <f t="shared" si="76"/>
        <v>-54311</v>
      </c>
      <c r="AL77" s="1">
        <f t="shared" si="76"/>
        <v>-58384.149440000001</v>
      </c>
      <c r="AM77" s="1">
        <f t="shared" si="76"/>
        <v>-66163.265780000002</v>
      </c>
      <c r="AN77" s="1">
        <f t="shared" si="76"/>
        <v>-70087.283439999999</v>
      </c>
      <c r="AO77" s="40">
        <f t="shared" ref="AO77:AO80" si="81">SUM(AK77:AN77)</f>
        <v>-248945.69866000002</v>
      </c>
      <c r="AP77" s="1">
        <f t="shared" si="77"/>
        <v>-77238.189679999996</v>
      </c>
      <c r="AQ77" s="1">
        <f t="shared" si="77"/>
        <v>-76550.130169999989</v>
      </c>
      <c r="AR77" s="1">
        <f t="shared" si="77"/>
        <v>-77268.557190000007</v>
      </c>
      <c r="AS77" s="1">
        <f t="shared" si="77"/>
        <v>-118831.21643</v>
      </c>
      <c r="AT77" s="40">
        <f t="shared" ref="AT77:AT80" si="82">SUM(AP77:AS77)</f>
        <v>-349888.09346999996</v>
      </c>
      <c r="AU77" s="1">
        <f t="shared" si="78"/>
        <v>-102248.77965</v>
      </c>
      <c r="AV77" s="1">
        <f t="shared" si="78"/>
        <v>-88241.47752</v>
      </c>
      <c r="AW77" s="1">
        <f t="shared" si="78"/>
        <v>-92451.270629999985</v>
      </c>
      <c r="AX77" s="1">
        <f t="shared" si="78"/>
        <v>-107365.73019999999</v>
      </c>
      <c r="AY77" s="40">
        <f t="shared" si="79"/>
        <v>-390307.25799999997</v>
      </c>
      <c r="AZ77" s="1">
        <f>AZ91+AZ105</f>
        <v>-108771.76011999993</v>
      </c>
    </row>
    <row r="78" spans="1:53">
      <c r="A78" s="9" t="s">
        <v>710</v>
      </c>
      <c r="B78" s="76"/>
      <c r="C78" s="76"/>
      <c r="D78" s="76"/>
      <c r="E78" s="76"/>
      <c r="F78" s="39">
        <v>0</v>
      </c>
      <c r="G78" s="76">
        <v>56541.584020000009</v>
      </c>
      <c r="H78" s="76">
        <v>45159.326050000018</v>
      </c>
      <c r="I78" s="76">
        <v>47232.505190000011</v>
      </c>
      <c r="J78" s="76">
        <v>44177.058080000003</v>
      </c>
      <c r="K78" s="39">
        <v>193110.47334000003</v>
      </c>
      <c r="L78" s="76">
        <v>52738.784559999986</v>
      </c>
      <c r="M78" s="76">
        <v>50389.570290000018</v>
      </c>
      <c r="N78" s="76">
        <v>46471.311389999988</v>
      </c>
      <c r="O78" s="76">
        <v>49151.451870000004</v>
      </c>
      <c r="P78" s="39">
        <v>198751.11810999998</v>
      </c>
      <c r="Q78" s="76">
        <v>59762.329469999982</v>
      </c>
      <c r="R78" s="76">
        <v>47007.924100000164</v>
      </c>
      <c r="S78" s="76">
        <v>46557.100759999623</v>
      </c>
      <c r="T78" s="76">
        <v>29359.346780000313</v>
      </c>
      <c r="U78" s="39">
        <v>182686.70111000008</v>
      </c>
      <c r="V78" s="76">
        <v>57170.440330000041</v>
      </c>
      <c r="W78" s="76">
        <v>66191.980890000006</v>
      </c>
      <c r="X78" s="76">
        <v>64086.626670000027</v>
      </c>
      <c r="Y78" s="76">
        <v>69034.250639999722</v>
      </c>
      <c r="Z78" s="39">
        <v>256483.2985299998</v>
      </c>
      <c r="AA78" s="76">
        <v>67837.760660000029</v>
      </c>
      <c r="AB78" s="76">
        <v>71654.697540000314</v>
      </c>
      <c r="AC78" s="76">
        <v>86209.511099999625</v>
      </c>
      <c r="AD78" s="76">
        <v>70155</v>
      </c>
      <c r="AE78" s="39">
        <v>295856.9693</v>
      </c>
      <c r="AF78" s="76">
        <f>SUM(AF76:AF77)</f>
        <v>57825.539099999995</v>
      </c>
      <c r="AG78" s="76">
        <f>SUM(AG76:AG77)</f>
        <v>127329.14629999991</v>
      </c>
      <c r="AH78" s="76">
        <f>SUM(AH76:AH77)</f>
        <v>35958.677809999994</v>
      </c>
      <c r="AI78" s="76">
        <f>SUM(AI76:AI77)</f>
        <v>78725.499139999971</v>
      </c>
      <c r="AJ78" s="39">
        <f t="shared" si="80"/>
        <v>299838.86234999984</v>
      </c>
      <c r="AK78" s="76">
        <f>SUM(AK76:AK77)</f>
        <v>61847</v>
      </c>
      <c r="AL78" s="76">
        <f t="shared" ref="AL78:AN78" si="83">SUM(AL76:AL77)</f>
        <v>71853.850559999992</v>
      </c>
      <c r="AM78" s="76">
        <f t="shared" si="83"/>
        <v>86119.734219999998</v>
      </c>
      <c r="AN78" s="76">
        <f t="shared" si="83"/>
        <v>105058.71656</v>
      </c>
      <c r="AO78" s="39">
        <f t="shared" si="81"/>
        <v>324879.30134000001</v>
      </c>
      <c r="AP78" s="76">
        <f>SUM(AP76:AP77)</f>
        <v>116146.81032</v>
      </c>
      <c r="AQ78" s="76">
        <f t="shared" ref="AQ78:AR78" si="84">SUM(AQ76:AQ77)</f>
        <v>136112.86983000001</v>
      </c>
      <c r="AR78" s="76">
        <f t="shared" si="84"/>
        <v>147427.44280999998</v>
      </c>
      <c r="AS78" s="76">
        <f>SUM(AS76:AS77)</f>
        <v>120448.78357</v>
      </c>
      <c r="AT78" s="39">
        <f t="shared" si="82"/>
        <v>520135.90653000004</v>
      </c>
      <c r="AU78" s="76">
        <f>SUM(AU76:AU77)</f>
        <v>157375.22035000002</v>
      </c>
      <c r="AV78" s="76">
        <f>SUM(AV76:AV77)</f>
        <v>187324.52247999999</v>
      </c>
      <c r="AW78" s="76">
        <f>SUM(AW76:AW77)</f>
        <v>187537.72937000002</v>
      </c>
      <c r="AX78" s="76">
        <f>SUM(AX76:AX77)</f>
        <v>171805.26980000001</v>
      </c>
      <c r="AY78" s="39">
        <f t="shared" si="79"/>
        <v>704042.74199999997</v>
      </c>
      <c r="AZ78" s="76">
        <f>SUM(AZ76:AZ77)</f>
        <v>158394.23988000007</v>
      </c>
    </row>
    <row r="79" spans="1:53">
      <c r="A79" s="11" t="s">
        <v>811</v>
      </c>
      <c r="B79" s="8">
        <v>243118.80591999998</v>
      </c>
      <c r="C79" s="8">
        <v>301688.13562999998</v>
      </c>
      <c r="D79" s="8">
        <v>321232.36128999997</v>
      </c>
      <c r="E79" s="8">
        <v>353386.55348</v>
      </c>
      <c r="F79" s="40">
        <v>1219425.85632</v>
      </c>
      <c r="G79" s="8">
        <v>337372.35350000003</v>
      </c>
      <c r="H79" s="8">
        <v>437535.91280999995</v>
      </c>
      <c r="I79" s="8">
        <v>418404.29157</v>
      </c>
      <c r="J79" s="8">
        <v>357213.10350999999</v>
      </c>
      <c r="K79" s="40">
        <v>1550525.66139</v>
      </c>
      <c r="L79" s="8">
        <v>388398.78941999993</v>
      </c>
      <c r="M79" s="8">
        <v>460266.81848999998</v>
      </c>
      <c r="N79" s="8">
        <v>426434.21222000004</v>
      </c>
      <c r="O79" s="8">
        <v>396091.43329999998</v>
      </c>
      <c r="P79" s="40">
        <v>1671191.2534299998</v>
      </c>
      <c r="Q79" s="1">
        <v>473409.44522999995</v>
      </c>
      <c r="R79" s="1">
        <v>444113.32055</v>
      </c>
      <c r="S79" s="1">
        <v>512652.02929999994</v>
      </c>
      <c r="T79" s="1">
        <v>513276.31407000008</v>
      </c>
      <c r="U79" s="40">
        <v>1943451.1091500001</v>
      </c>
      <c r="V79" s="1">
        <v>376697.98069</v>
      </c>
      <c r="W79" s="1">
        <v>267086.33231000003</v>
      </c>
      <c r="X79" s="1">
        <v>451368.25948000001</v>
      </c>
      <c r="Y79" s="1">
        <v>228874.42</v>
      </c>
      <c r="Z79" s="40">
        <v>1324026.99248</v>
      </c>
      <c r="AA79" s="1">
        <v>315861.60012000002</v>
      </c>
      <c r="AB79" s="1">
        <v>288955.12084000005</v>
      </c>
      <c r="AC79" s="1">
        <v>241830.06153999997</v>
      </c>
      <c r="AD79" s="1">
        <v>279724.89962000004</v>
      </c>
      <c r="AE79" s="40">
        <v>1126371.68212</v>
      </c>
      <c r="AF79" s="1">
        <f t="shared" ref="AF79:AI80" si="85">AF93+AF107</f>
        <v>673812.50728000002</v>
      </c>
      <c r="AG79" s="1">
        <f t="shared" si="85"/>
        <v>1050189.09974</v>
      </c>
      <c r="AH79" s="1">
        <f t="shared" si="85"/>
        <v>1608193.83805999</v>
      </c>
      <c r="AI79" s="1">
        <f t="shared" si="85"/>
        <v>905654.96029000008</v>
      </c>
      <c r="AJ79" s="40">
        <f t="shared" si="80"/>
        <v>4237850.4053699896</v>
      </c>
      <c r="AK79" s="1">
        <f t="shared" ref="AK79:AN80" si="86">AK93+AK107</f>
        <v>1096516.6980000001</v>
      </c>
      <c r="AL79" s="1">
        <f t="shared" si="86"/>
        <v>1183710.9720000001</v>
      </c>
      <c r="AM79" s="1">
        <f t="shared" si="86"/>
        <v>1440614.672</v>
      </c>
      <c r="AN79" s="1">
        <f t="shared" si="86"/>
        <v>1272308.807</v>
      </c>
      <c r="AO79" s="40">
        <f t="shared" si="81"/>
        <v>4993151.1490000002</v>
      </c>
      <c r="AP79" s="1">
        <f t="shared" ref="AP79:AS80" si="87">AP93+AP107</f>
        <v>1309686.638</v>
      </c>
      <c r="AQ79" s="1">
        <f t="shared" si="87"/>
        <v>1209492.3963899999</v>
      </c>
      <c r="AR79" s="1">
        <f t="shared" si="87"/>
        <v>1620138.6691700001</v>
      </c>
      <c r="AS79" s="1">
        <f t="shared" si="87"/>
        <v>1622075.2981499899</v>
      </c>
      <c r="AT79" s="40">
        <f t="shared" si="82"/>
        <v>5761393.0017099902</v>
      </c>
      <c r="AU79" s="1">
        <f t="shared" ref="AU79:AX80" si="88">AU93+AU107</f>
        <v>1463432.29098</v>
      </c>
      <c r="AV79" s="1">
        <f t="shared" si="88"/>
        <v>1431452.84531</v>
      </c>
      <c r="AW79" s="1">
        <f t="shared" si="88"/>
        <v>1745214.4078499998</v>
      </c>
      <c r="AX79" s="1">
        <f t="shared" si="88"/>
        <v>1702525.34314</v>
      </c>
      <c r="AY79" s="40">
        <f t="shared" si="79"/>
        <v>6342624.8872800004</v>
      </c>
      <c r="AZ79" s="1">
        <f>AZ93+AZ107</f>
        <v>1527507.9693399998</v>
      </c>
    </row>
    <row r="80" spans="1:53">
      <c r="A80" s="11" t="s">
        <v>812</v>
      </c>
      <c r="B80" s="8">
        <v>586563.00917000009</v>
      </c>
      <c r="C80" s="8">
        <v>794939.3110799999</v>
      </c>
      <c r="D80" s="8">
        <v>696158.14231999998</v>
      </c>
      <c r="E80" s="8">
        <v>839560.03582999995</v>
      </c>
      <c r="F80" s="40">
        <v>2917220.4983999999</v>
      </c>
      <c r="G80" s="8">
        <v>925892.53154999996</v>
      </c>
      <c r="H80" s="8">
        <v>1143246.3764000002</v>
      </c>
      <c r="I80" s="8">
        <v>1189458.8454400001</v>
      </c>
      <c r="J80" s="8">
        <v>1049587.9496599999</v>
      </c>
      <c r="K80" s="40">
        <v>4308185.7030500006</v>
      </c>
      <c r="L80" s="8">
        <v>989918.04404999991</v>
      </c>
      <c r="M80" s="8">
        <v>1125815.44676</v>
      </c>
      <c r="N80" s="8">
        <v>1137159.6070900001</v>
      </c>
      <c r="O80" s="8">
        <v>974035.2782399999</v>
      </c>
      <c r="P80" s="40">
        <v>4226928.3761400003</v>
      </c>
      <c r="Q80" s="1">
        <v>1206169.6158800002</v>
      </c>
      <c r="R80" s="1">
        <v>1843484.5262200001</v>
      </c>
      <c r="S80" s="1">
        <v>1953730.4340700002</v>
      </c>
      <c r="T80" s="1">
        <v>1823862.9812699999</v>
      </c>
      <c r="U80" s="40">
        <v>6827247.5574399997</v>
      </c>
      <c r="V80" s="1">
        <v>1571180.9875099999</v>
      </c>
      <c r="W80" s="1">
        <v>1496564.9151900001</v>
      </c>
      <c r="X80" s="1">
        <v>1822725.6267200003</v>
      </c>
      <c r="Y80" s="1">
        <v>1379401.6356599999</v>
      </c>
      <c r="Z80" s="40">
        <v>6269873.1650800006</v>
      </c>
      <c r="AA80" s="1">
        <v>1374140.0605799998</v>
      </c>
      <c r="AB80" s="1">
        <v>1499439.5020599999</v>
      </c>
      <c r="AC80" s="1">
        <v>1186462.2294499998</v>
      </c>
      <c r="AD80" s="1">
        <v>1584093.0696700001</v>
      </c>
      <c r="AE80" s="40">
        <v>5644134.8617599998</v>
      </c>
      <c r="AF80" s="1">
        <f t="shared" si="85"/>
        <v>2656076.1997499997</v>
      </c>
      <c r="AG80" s="1">
        <f t="shared" si="85"/>
        <v>3241075.63063</v>
      </c>
      <c r="AH80" s="1">
        <f t="shared" si="85"/>
        <v>3423064.9695800003</v>
      </c>
      <c r="AI80" s="1">
        <f t="shared" si="85"/>
        <v>2042789.4378200001</v>
      </c>
      <c r="AJ80" s="40">
        <f t="shared" si="80"/>
        <v>11363006.237780001</v>
      </c>
      <c r="AK80" s="1">
        <f t="shared" si="86"/>
        <v>2315226.676</v>
      </c>
      <c r="AL80" s="1">
        <f t="shared" si="86"/>
        <v>2504648.8795299996</v>
      </c>
      <c r="AM80" s="1">
        <f t="shared" si="86"/>
        <v>2927044.62</v>
      </c>
      <c r="AN80" s="1">
        <f t="shared" si="86"/>
        <v>2646697.02</v>
      </c>
      <c r="AO80" s="40">
        <f t="shared" si="81"/>
        <v>10393617.195529999</v>
      </c>
      <c r="AP80" s="1">
        <f t="shared" si="87"/>
        <v>2678450.9900000002</v>
      </c>
      <c r="AQ80" s="1">
        <f t="shared" si="87"/>
        <v>2561520.5529999998</v>
      </c>
      <c r="AR80" s="1">
        <f t="shared" si="87"/>
        <v>3242944.6621300001</v>
      </c>
      <c r="AS80" s="1">
        <f t="shared" si="87"/>
        <v>5070382.3437600005</v>
      </c>
      <c r="AT80" s="40">
        <f t="shared" si="82"/>
        <v>13553298.54889</v>
      </c>
      <c r="AU80" s="1">
        <f t="shared" si="88"/>
        <v>4057768.9599499996</v>
      </c>
      <c r="AV80" s="1">
        <f t="shared" si="88"/>
        <v>3905399.3833000003</v>
      </c>
      <c r="AW80" s="1">
        <f t="shared" si="88"/>
        <v>4516502.1157100005</v>
      </c>
      <c r="AX80" s="1">
        <f t="shared" si="88"/>
        <v>4425674.1566199996</v>
      </c>
      <c r="AY80" s="40">
        <f t="shared" si="79"/>
        <v>16905344.61558</v>
      </c>
      <c r="AZ80" s="1">
        <f>AZ94+AZ108</f>
        <v>3884492.0621000002</v>
      </c>
    </row>
    <row r="81" spans="1:52">
      <c r="A81" s="17" t="s">
        <v>785</v>
      </c>
      <c r="B81" s="18">
        <v>0.14827160131304118</v>
      </c>
      <c r="C81" s="18">
        <v>0.13852633781090493</v>
      </c>
      <c r="D81" s="18">
        <v>0.13832194444452048</v>
      </c>
      <c r="E81" s="18">
        <v>0.13599236806670933</v>
      </c>
      <c r="F81" s="46">
        <v>0.13599236806670933</v>
      </c>
      <c r="G81" s="18">
        <v>0.14638629242487552</v>
      </c>
      <c r="H81" s="18">
        <v>0.13696715164272877</v>
      </c>
      <c r="I81" s="18">
        <v>0.14082253376465378</v>
      </c>
      <c r="J81" s="18">
        <v>0.14024316583034893</v>
      </c>
      <c r="K81" s="46">
        <v>0.14110478591565176</v>
      </c>
      <c r="L81" s="18">
        <v>0.14304815672996499</v>
      </c>
      <c r="M81" s="18">
        <v>0.14262729041334749</v>
      </c>
      <c r="N81" s="18">
        <v>0.13695908231176371</v>
      </c>
      <c r="O81" s="18">
        <v>0.14569036544747813</v>
      </c>
      <c r="P81" s="46">
        <v>0.14208122372563858</v>
      </c>
      <c r="Q81" s="18">
        <v>0.14452433752510396</v>
      </c>
      <c r="R81" s="18">
        <v>0.14903726128030645</v>
      </c>
      <c r="S81" s="18">
        <v>0.15820538371823273</v>
      </c>
      <c r="T81" s="18">
        <v>0.16606011174815996</v>
      </c>
      <c r="U81" s="46">
        <v>0.15445677356795079</v>
      </c>
      <c r="V81" s="18">
        <v>0.16583844368320882</v>
      </c>
      <c r="W81" s="18">
        <v>0.16813818232027264</v>
      </c>
      <c r="X81" s="18">
        <v>0.16137511144237937</v>
      </c>
      <c r="Y81" s="18">
        <v>0.16321795740972819</v>
      </c>
      <c r="Z81" s="46">
        <v>0.16464242371389726</v>
      </c>
      <c r="AA81" s="18">
        <v>0.16574937015380076</v>
      </c>
      <c r="AB81" s="18">
        <v>0.160291672561821</v>
      </c>
      <c r="AC81" s="18">
        <v>0.15642178526547371</v>
      </c>
      <c r="AD81" s="18">
        <v>0.14764846811412338</v>
      </c>
      <c r="AE81" s="46">
        <v>0.15752782402380469</v>
      </c>
      <c r="AF81" s="18">
        <v>0.18837963261821369</v>
      </c>
      <c r="AG81" s="18">
        <v>0.16484957564950029</v>
      </c>
      <c r="AH81" s="18">
        <v>0.15941180574253502</v>
      </c>
      <c r="AI81" s="18">
        <v>0.1389435284149082</v>
      </c>
      <c r="AJ81" s="46">
        <f>AVERAGE(AF81:AI81)</f>
        <v>0.16289613560628929</v>
      </c>
      <c r="AK81" s="169">
        <f t="shared" ref="AK81:AN81" si="89">AK109</f>
        <v>4.1002879403054582E-2</v>
      </c>
      <c r="AL81" s="169">
        <f t="shared" si="89"/>
        <v>3.8557086468330226E-2</v>
      </c>
      <c r="AM81" s="169">
        <f t="shared" si="89"/>
        <v>3.7832492103436088E-2</v>
      </c>
      <c r="AN81" s="169">
        <f t="shared" si="89"/>
        <v>3.721159631230786E-2</v>
      </c>
      <c r="AO81" s="46">
        <f>AVERAGE(AK81:AN81)</f>
        <v>3.8651013571782189E-2</v>
      </c>
      <c r="AP81" s="169">
        <f>AP109</f>
        <v>3.6535379365580933E-2</v>
      </c>
      <c r="AQ81" s="169">
        <f t="shared" ref="AQ81:AR81" si="90">AQ109</f>
        <v>3.6509727551568227E-2</v>
      </c>
      <c r="AR81" s="169">
        <f t="shared" si="90"/>
        <v>3.4502732721050977E-2</v>
      </c>
      <c r="AS81" s="169">
        <f>AS109</f>
        <v>3.1696748023801069E-2</v>
      </c>
      <c r="AT81" s="46">
        <f>AVERAGE(AP81:AS81)</f>
        <v>3.4811146915500302E-2</v>
      </c>
      <c r="AU81" s="169">
        <f>AU109</f>
        <v>3.0178535219936631E-2</v>
      </c>
      <c r="AV81" s="169">
        <f>AV109</f>
        <v>2.9145012386752267E-2</v>
      </c>
      <c r="AW81" s="169">
        <f>AW109</f>
        <v>2.6981486426789214E-2</v>
      </c>
      <c r="AX81" s="169">
        <f>AX109</f>
        <v>2.443781301825787E-2</v>
      </c>
      <c r="AY81" s="46">
        <f>AVERAGE(AU81:AX81)</f>
        <v>2.7685711762933995E-2</v>
      </c>
      <c r="AZ81" s="169">
        <f>AZ109</f>
        <v>2.1699263371970146E-2</v>
      </c>
    </row>
    <row r="82" spans="1:52">
      <c r="F82" s="40"/>
      <c r="K82" s="40"/>
      <c r="P82" s="40"/>
      <c r="U82" s="40"/>
      <c r="Z82" s="40"/>
      <c r="AE82" s="40"/>
      <c r="AJ82" s="40"/>
      <c r="AO82" s="40"/>
      <c r="AT82" s="40"/>
      <c r="AY82" s="40"/>
    </row>
    <row r="83" spans="1:52">
      <c r="A83" s="225" t="s">
        <v>549</v>
      </c>
      <c r="F83" s="39"/>
      <c r="K83" s="39"/>
      <c r="P83" s="39"/>
      <c r="Q83" s="76">
        <v>907883.84327000007</v>
      </c>
      <c r="R83" s="76">
        <v>1095467.7812900003</v>
      </c>
      <c r="S83" s="76">
        <v>1062616.9213400001</v>
      </c>
      <c r="T83" s="76">
        <v>1165664.6192000001</v>
      </c>
      <c r="U83" s="39">
        <v>4231633.1651000008</v>
      </c>
      <c r="V83" s="76">
        <v>738067.75312999962</v>
      </c>
      <c r="W83" s="76">
        <v>310342.32257999998</v>
      </c>
      <c r="X83" s="76">
        <v>574248.90492000035</v>
      </c>
      <c r="Y83" s="76">
        <v>324841.77253999992</v>
      </c>
      <c r="Z83" s="39">
        <v>1947500.7531699999</v>
      </c>
      <c r="AA83" s="76">
        <v>270511.58363999985</v>
      </c>
      <c r="AB83" s="76">
        <v>289208.3869199999</v>
      </c>
      <c r="AC83" s="76">
        <v>189529.29090999998</v>
      </c>
      <c r="AD83" s="76">
        <v>566850</v>
      </c>
      <c r="AE83" s="39">
        <v>1316099.2614699998</v>
      </c>
      <c r="AF83" s="76">
        <f t="shared" ref="AF83:AI85" si="91">AF97+AF111</f>
        <v>2045025</v>
      </c>
      <c r="AG83" s="76">
        <f t="shared" si="91"/>
        <v>2812005</v>
      </c>
      <c r="AH83" s="76">
        <f t="shared" si="91"/>
        <v>3708110</v>
      </c>
      <c r="AI83" s="76">
        <f t="shared" si="91"/>
        <v>2965913.75544</v>
      </c>
      <c r="AJ83" s="39">
        <f t="shared" ref="AJ83" si="92">SUM(AJ84:AJ85)</f>
        <v>11531053.75544</v>
      </c>
      <c r="AK83" s="76">
        <f t="shared" ref="AK83:AN85" si="93">AK97+AK111</f>
        <v>3411743.3739999998</v>
      </c>
      <c r="AL83" s="76">
        <f t="shared" si="93"/>
        <v>3688359.8515299996</v>
      </c>
      <c r="AM83" s="76">
        <f t="shared" si="93"/>
        <v>4367659.2920000004</v>
      </c>
      <c r="AN83" s="76">
        <f t="shared" si="93"/>
        <v>3919005.827</v>
      </c>
      <c r="AO83" s="39">
        <f t="shared" ref="AO83" si="94">SUM(AO84:AO85)</f>
        <v>15386768.344529999</v>
      </c>
      <c r="AP83" s="76">
        <f t="shared" ref="AP83:AS85" si="95">AP97+AP111</f>
        <v>4005974.7496200004</v>
      </c>
      <c r="AQ83" s="76">
        <f t="shared" si="95"/>
        <v>3771012.9493899997</v>
      </c>
      <c r="AR83" s="76">
        <f t="shared" si="95"/>
        <v>4863083.3312999997</v>
      </c>
      <c r="AS83" s="76">
        <f t="shared" si="95"/>
        <v>6692457.6419099905</v>
      </c>
      <c r="AT83" s="39">
        <f t="shared" ref="AT83" si="96">SUM(AT84:AT85)</f>
        <v>19332528.672219992</v>
      </c>
      <c r="AU83" s="76">
        <f t="shared" ref="AU83:AX85" si="97">AU97+AU111</f>
        <v>5521201.2509300001</v>
      </c>
      <c r="AV83" s="76">
        <f t="shared" si="97"/>
        <v>5336852.2286100006</v>
      </c>
      <c r="AW83" s="76">
        <f t="shared" si="97"/>
        <v>6261716.5235600006</v>
      </c>
      <c r="AX83" s="76">
        <f t="shared" si="97"/>
        <v>6128199.49976</v>
      </c>
      <c r="AY83" s="39">
        <f>SUM(AY84:AY85)</f>
        <v>23247969.502860002</v>
      </c>
      <c r="AZ83" s="76">
        <f>AZ97+AZ111</f>
        <v>5412000.0315800002</v>
      </c>
    </row>
    <row r="84" spans="1:52">
      <c r="A84" s="36" t="s">
        <v>813</v>
      </c>
      <c r="F84" s="40"/>
      <c r="K84" s="40"/>
      <c r="P84" s="40"/>
      <c r="Q84" s="1">
        <v>336118.15209999989</v>
      </c>
      <c r="R84" s="1">
        <v>321931.69825999998</v>
      </c>
      <c r="S84" s="1">
        <v>341186.99354</v>
      </c>
      <c r="T84" s="1">
        <v>347522.33415000001</v>
      </c>
      <c r="U84" s="40">
        <v>1346759.1780499998</v>
      </c>
      <c r="V84" s="1">
        <v>237199.49266999977</v>
      </c>
      <c r="W84" s="1">
        <v>115131.15372999993</v>
      </c>
      <c r="X84" s="1">
        <v>190963.37199999994</v>
      </c>
      <c r="Y84" s="1">
        <v>114965.23150999994</v>
      </c>
      <c r="Z84" s="40">
        <v>658259.24990999966</v>
      </c>
      <c r="AA84" s="1">
        <v>89178.450809999908</v>
      </c>
      <c r="AB84" s="1">
        <v>90298.237369999973</v>
      </c>
      <c r="AC84" s="1">
        <v>48459.421259999988</v>
      </c>
      <c r="AD84" s="1">
        <v>110140</v>
      </c>
      <c r="AE84" s="40">
        <v>338076.10943999985</v>
      </c>
      <c r="AF84" s="1">
        <f t="shared" si="91"/>
        <v>499650</v>
      </c>
      <c r="AG84" s="1">
        <f t="shared" si="91"/>
        <v>902635</v>
      </c>
      <c r="AH84" s="1">
        <f t="shared" si="91"/>
        <v>1414330</v>
      </c>
      <c r="AI84" s="1">
        <f t="shared" si="91"/>
        <v>920257.94400000002</v>
      </c>
      <c r="AJ84" s="40">
        <f>SUM(AF84:AI84)</f>
        <v>3736872.9440000001</v>
      </c>
      <c r="AK84" s="1">
        <f t="shared" si="93"/>
        <v>1096516.6980000001</v>
      </c>
      <c r="AL84" s="1">
        <f t="shared" si="93"/>
        <v>1183710.9720000001</v>
      </c>
      <c r="AM84" s="1">
        <f t="shared" si="93"/>
        <v>1440614.672</v>
      </c>
      <c r="AN84" s="1">
        <f t="shared" si="93"/>
        <v>1272308.807</v>
      </c>
      <c r="AO84" s="40">
        <f>SUM(AK84:AN84)</f>
        <v>4993151.1490000002</v>
      </c>
      <c r="AP84" s="1">
        <f t="shared" si="95"/>
        <v>1314134.5998</v>
      </c>
      <c r="AQ84" s="1">
        <f t="shared" si="95"/>
        <v>1209492.3963899999</v>
      </c>
      <c r="AR84" s="1">
        <f t="shared" si="95"/>
        <v>1620138.6691700001</v>
      </c>
      <c r="AS84" s="1">
        <f t="shared" si="95"/>
        <v>1622075.2981499899</v>
      </c>
      <c r="AT84" s="40">
        <f>SUM(AP84:AS84)</f>
        <v>5765840.9635099899</v>
      </c>
      <c r="AU84" s="1">
        <f t="shared" si="97"/>
        <v>1463432.29098</v>
      </c>
      <c r="AV84" s="1">
        <f t="shared" si="97"/>
        <v>1431452.84531</v>
      </c>
      <c r="AW84" s="1">
        <f t="shared" si="97"/>
        <v>1745214.4078499998</v>
      </c>
      <c r="AX84" s="1">
        <f t="shared" si="97"/>
        <v>1702525.34314</v>
      </c>
      <c r="AY84" s="40">
        <f>SUM(AU84:AX84)</f>
        <v>6342624.8872800004</v>
      </c>
      <c r="AZ84" s="1">
        <f>AZ98+AZ112</f>
        <v>1527507.9693399998</v>
      </c>
    </row>
    <row r="85" spans="1:52" ht="15.75" thickBot="1">
      <c r="A85" s="36" t="s">
        <v>814</v>
      </c>
      <c r="F85" s="226"/>
      <c r="K85" s="226"/>
      <c r="P85" s="226"/>
      <c r="Q85" s="1">
        <v>571765.69117000012</v>
      </c>
      <c r="R85" s="1">
        <v>773536.08303000021</v>
      </c>
      <c r="S85" s="1">
        <v>721429.92780000006</v>
      </c>
      <c r="T85" s="1">
        <v>818142.28504999995</v>
      </c>
      <c r="U85" s="226">
        <v>2884873.9870500006</v>
      </c>
      <c r="V85" s="1">
        <v>500868.26045999979</v>
      </c>
      <c r="W85" s="1">
        <v>195211.16885000005</v>
      </c>
      <c r="X85" s="1">
        <v>383285.53292000038</v>
      </c>
      <c r="Y85" s="1">
        <v>209876.54102999996</v>
      </c>
      <c r="Z85" s="226">
        <v>1289241.5032600001</v>
      </c>
      <c r="AA85" s="1">
        <v>181333.13282999993</v>
      </c>
      <c r="AB85" s="1">
        <v>198910.14954999991</v>
      </c>
      <c r="AC85" s="1">
        <v>141069.86965000001</v>
      </c>
      <c r="AD85" s="1">
        <v>456710</v>
      </c>
      <c r="AE85" s="226">
        <v>978023.15202999988</v>
      </c>
      <c r="AF85" s="1">
        <f t="shared" si="91"/>
        <v>1545375</v>
      </c>
      <c r="AG85" s="1">
        <f t="shared" si="91"/>
        <v>1909370</v>
      </c>
      <c r="AH85" s="1">
        <f t="shared" si="91"/>
        <v>2293780</v>
      </c>
      <c r="AI85" s="1">
        <f t="shared" si="91"/>
        <v>2045655.8114400001</v>
      </c>
      <c r="AJ85" s="226">
        <f>SUM(AF85:AI85)</f>
        <v>7794180.8114400003</v>
      </c>
      <c r="AK85" s="1">
        <f t="shared" si="93"/>
        <v>2315226.676</v>
      </c>
      <c r="AL85" s="1">
        <f t="shared" si="93"/>
        <v>2504648.8795299996</v>
      </c>
      <c r="AM85" s="1">
        <f t="shared" si="93"/>
        <v>2927044.62</v>
      </c>
      <c r="AN85" s="1">
        <f t="shared" si="93"/>
        <v>2646697.02</v>
      </c>
      <c r="AO85" s="226">
        <f>SUM(AK85:AN85)</f>
        <v>10393617.195529999</v>
      </c>
      <c r="AP85" s="1">
        <f t="shared" si="95"/>
        <v>2691840.1498200004</v>
      </c>
      <c r="AQ85" s="1">
        <f t="shared" si="95"/>
        <v>2561520.5529999998</v>
      </c>
      <c r="AR85" s="1">
        <f t="shared" si="95"/>
        <v>3242944.6621300001</v>
      </c>
      <c r="AS85" s="1">
        <f t="shared" si="95"/>
        <v>5070382.3437600005</v>
      </c>
      <c r="AT85" s="226">
        <f>SUM(AP85:AS85)</f>
        <v>13566687.708710002</v>
      </c>
      <c r="AU85" s="1">
        <f t="shared" si="97"/>
        <v>4057768.9599499996</v>
      </c>
      <c r="AV85" s="1">
        <f t="shared" si="97"/>
        <v>3905399.3833000003</v>
      </c>
      <c r="AW85" s="1">
        <f t="shared" si="97"/>
        <v>4516502.1157100005</v>
      </c>
      <c r="AX85" s="1">
        <f t="shared" si="97"/>
        <v>4425674.1566199996</v>
      </c>
      <c r="AY85" s="226">
        <f>SUM(AU85:AX85)</f>
        <v>16905344.61558</v>
      </c>
      <c r="AZ85" s="1">
        <f>AZ99+AZ113</f>
        <v>3884492.0621000002</v>
      </c>
    </row>
    <row r="86" spans="1:52" ht="45">
      <c r="A86" s="769" t="s">
        <v>815</v>
      </c>
    </row>
    <row r="87" spans="1:52" ht="15.75" thickBot="1"/>
    <row r="88" spans="1:52">
      <c r="A88" s="179" t="s">
        <v>816</v>
      </c>
      <c r="B88" s="180"/>
      <c r="C88" s="180"/>
      <c r="D88" s="180"/>
      <c r="E88" s="180"/>
      <c r="F88" s="181"/>
      <c r="G88" s="180"/>
      <c r="H88" s="180"/>
      <c r="I88" s="180"/>
      <c r="J88" s="180"/>
      <c r="K88" s="181"/>
      <c r="L88" s="180"/>
      <c r="M88" s="180"/>
      <c r="N88" s="180"/>
      <c r="O88" s="180"/>
      <c r="P88" s="181"/>
      <c r="Q88" s="180" t="s">
        <v>236</v>
      </c>
      <c r="R88" s="180" t="s">
        <v>237</v>
      </c>
      <c r="S88" s="180" t="s">
        <v>238</v>
      </c>
      <c r="T88" s="180" t="s">
        <v>239</v>
      </c>
      <c r="U88" s="181">
        <v>2019</v>
      </c>
      <c r="V88" s="180" t="s">
        <v>240</v>
      </c>
      <c r="W88" s="180" t="s">
        <v>241</v>
      </c>
      <c r="X88" s="180" t="s">
        <v>242</v>
      </c>
      <c r="Y88" s="180" t="s">
        <v>243</v>
      </c>
      <c r="Z88" s="181">
        <v>2020</v>
      </c>
      <c r="AA88" s="180" t="s">
        <v>244</v>
      </c>
      <c r="AB88" s="180" t="s">
        <v>245</v>
      </c>
      <c r="AC88" s="180" t="s">
        <v>246</v>
      </c>
      <c r="AD88" s="180" t="s">
        <v>247</v>
      </c>
      <c r="AE88" s="181">
        <v>2021</v>
      </c>
      <c r="AF88" s="180" t="s">
        <v>248</v>
      </c>
      <c r="AG88" s="180" t="s">
        <v>398</v>
      </c>
      <c r="AH88" s="180" t="s">
        <v>250</v>
      </c>
      <c r="AI88" s="180" t="s">
        <v>215</v>
      </c>
      <c r="AJ88" s="181">
        <v>2022</v>
      </c>
      <c r="AK88" s="180" t="s">
        <v>252</v>
      </c>
      <c r="AL88" s="180" t="s">
        <v>253</v>
      </c>
      <c r="AM88" s="180" t="s">
        <v>254</v>
      </c>
      <c r="AN88" s="180" t="s">
        <v>219</v>
      </c>
      <c r="AO88" s="181">
        <v>2023</v>
      </c>
      <c r="AP88" s="180" t="s">
        <v>223</v>
      </c>
      <c r="AQ88" s="180" t="s">
        <v>256</v>
      </c>
      <c r="AR88" s="180" t="s">
        <v>357</v>
      </c>
      <c r="AS88" s="180" t="s">
        <v>358</v>
      </c>
      <c r="AT88" s="181">
        <v>2024</v>
      </c>
      <c r="AU88" s="180" t="s">
        <v>359</v>
      </c>
      <c r="AV88" s="180" t="s">
        <v>1115</v>
      </c>
      <c r="AW88" s="180" t="s">
        <v>1116</v>
      </c>
      <c r="AX88" s="180" t="s">
        <v>1117</v>
      </c>
      <c r="AY88" s="699" t="s">
        <v>1118</v>
      </c>
      <c r="AZ88" s="700" t="s">
        <v>1124</v>
      </c>
    </row>
    <row r="89" spans="1:52">
      <c r="A89" s="9" t="s">
        <v>808</v>
      </c>
      <c r="Q89" s="76">
        <v>761993.48273000005</v>
      </c>
      <c r="R89" s="76">
        <v>776238.21678000002</v>
      </c>
      <c r="S89" s="76">
        <v>802958.05373000004</v>
      </c>
      <c r="T89" s="76">
        <v>762936.44793000002</v>
      </c>
      <c r="U89" s="39">
        <v>3104126.2011700002</v>
      </c>
      <c r="V89" s="76">
        <v>777665.97626999998</v>
      </c>
      <c r="W89" s="76">
        <v>729356.35152999999</v>
      </c>
      <c r="X89" s="76">
        <v>789519.96743000008</v>
      </c>
      <c r="Y89" s="76">
        <v>831307.78447000007</v>
      </c>
      <c r="Z89" s="39">
        <v>3127850.0797000006</v>
      </c>
      <c r="AA89" s="76">
        <v>783664.36216000002</v>
      </c>
      <c r="AB89" s="76">
        <v>786307.23222000001</v>
      </c>
      <c r="AC89" s="76">
        <v>835942.30023000005</v>
      </c>
      <c r="AD89" s="76">
        <v>777223.46221999999</v>
      </c>
      <c r="AE89" s="39">
        <v>3183137.3568300004</v>
      </c>
      <c r="AF89" s="76">
        <v>647108.89597000007</v>
      </c>
      <c r="AG89" s="76">
        <v>788473.95400999999</v>
      </c>
      <c r="AH89" s="76">
        <v>813747.14146000007</v>
      </c>
      <c r="AI89" s="76">
        <v>748698.34137000004</v>
      </c>
      <c r="AJ89" s="39">
        <f>SUM(AF89:AI89)</f>
        <v>2998028.3328100001</v>
      </c>
      <c r="AK89" s="76">
        <v>0</v>
      </c>
      <c r="AL89" s="76">
        <v>0</v>
      </c>
      <c r="AM89" s="76">
        <v>0</v>
      </c>
      <c r="AN89" s="76">
        <v>0</v>
      </c>
      <c r="AO89" s="39">
        <f>SUM(AK89:AN89)</f>
        <v>0</v>
      </c>
      <c r="AP89" s="76">
        <v>0</v>
      </c>
      <c r="AQ89" s="76">
        <v>0</v>
      </c>
      <c r="AR89" s="76">
        <v>0</v>
      </c>
      <c r="AS89" s="76">
        <v>0</v>
      </c>
      <c r="AT89" s="39">
        <f>SUM(AP89:AS89)</f>
        <v>0</v>
      </c>
      <c r="AU89" s="76">
        <v>0</v>
      </c>
      <c r="AV89" s="76">
        <v>0</v>
      </c>
      <c r="AW89" s="76">
        <v>0</v>
      </c>
      <c r="AX89" s="76">
        <v>0</v>
      </c>
      <c r="AY89" s="39">
        <f t="shared" ref="AY89:AY94" si="98">SUM(AU89:AX89)</f>
        <v>0</v>
      </c>
      <c r="AZ89" s="76">
        <v>0</v>
      </c>
    </row>
    <row r="90" spans="1:52">
      <c r="A90" s="11" t="s">
        <v>809</v>
      </c>
      <c r="Q90" s="1">
        <v>123968.35270999999</v>
      </c>
      <c r="R90" s="1">
        <v>130815.01541000001</v>
      </c>
      <c r="S90" s="1">
        <v>145076.08743999986</v>
      </c>
      <c r="T90" s="1">
        <v>146202.77163000003</v>
      </c>
      <c r="U90" s="40">
        <v>546062.22718999989</v>
      </c>
      <c r="V90" s="1">
        <v>149454.32198000001</v>
      </c>
      <c r="W90" s="171">
        <v>143377.73657999997</v>
      </c>
      <c r="X90" s="171">
        <v>149920.24357999995</v>
      </c>
      <c r="Y90" s="171">
        <v>158168.20924999996</v>
      </c>
      <c r="Z90" s="40">
        <v>600920.51138999988</v>
      </c>
      <c r="AA90" s="171">
        <v>154049.86630000005</v>
      </c>
      <c r="AB90" s="171">
        <v>149714.16021999996</v>
      </c>
      <c r="AC90" s="171">
        <v>155501.17500999995</v>
      </c>
      <c r="AD90" s="171">
        <v>136270</v>
      </c>
      <c r="AE90" s="40">
        <v>595535.20152999996</v>
      </c>
      <c r="AF90" s="171">
        <f>'DRE ANTIGA PARCERIA CAIXA'!AG124</f>
        <v>135674</v>
      </c>
      <c r="AG90" s="171">
        <f>'DRE ANTIGA PARCERIA CAIXA'!AH124</f>
        <v>78148.033650000114</v>
      </c>
      <c r="AH90" s="171">
        <f>'DRE ANTIGA PARCERIA CAIXA'!AI124</f>
        <v>120947</v>
      </c>
      <c r="AI90" s="171">
        <f>'DRE ANTIGA PARCERIA CAIXA'!AJ124</f>
        <v>22578.903309999791</v>
      </c>
      <c r="AJ90" s="40">
        <f t="shared" ref="AJ90:AJ99" si="99">SUM(AF90:AI90)</f>
        <v>357347.9369599999</v>
      </c>
      <c r="AK90" s="171">
        <v>0</v>
      </c>
      <c r="AL90" s="171">
        <v>0</v>
      </c>
      <c r="AM90" s="171">
        <v>0</v>
      </c>
      <c r="AN90" s="171">
        <v>0</v>
      </c>
      <c r="AO90" s="40">
        <f t="shared" ref="AO90:AO94" si="100">SUM(AK90:AN90)</f>
        <v>0</v>
      </c>
      <c r="AP90" s="171">
        <v>0</v>
      </c>
      <c r="AQ90" s="171">
        <v>0</v>
      </c>
      <c r="AR90" s="171">
        <v>0</v>
      </c>
      <c r="AS90" s="171">
        <v>0</v>
      </c>
      <c r="AT90" s="40">
        <f t="shared" ref="AT90:AT94" si="101">SUM(AP90:AS90)</f>
        <v>0</v>
      </c>
      <c r="AU90" s="171">
        <v>0</v>
      </c>
      <c r="AV90" s="171">
        <v>0</v>
      </c>
      <c r="AW90" s="171">
        <v>0</v>
      </c>
      <c r="AX90" s="171">
        <v>0</v>
      </c>
      <c r="AY90" s="40">
        <f t="shared" si="98"/>
        <v>0</v>
      </c>
      <c r="AZ90" s="171">
        <v>0</v>
      </c>
    </row>
    <row r="91" spans="1:52">
      <c r="A91" s="11" t="s">
        <v>810</v>
      </c>
      <c r="Q91" s="1">
        <v>-64206.02324000001</v>
      </c>
      <c r="R91" s="1">
        <v>-83807.091309999843</v>
      </c>
      <c r="S91" s="1">
        <v>-98518.986680000235</v>
      </c>
      <c r="T91" s="1">
        <v>-116843.42484999972</v>
      </c>
      <c r="U91" s="40">
        <v>-363375.52607999981</v>
      </c>
      <c r="V91" s="1">
        <v>-92283.881649999967</v>
      </c>
      <c r="W91" s="171">
        <v>-77185.755689999962</v>
      </c>
      <c r="X91" s="171">
        <v>-85833.616909999924</v>
      </c>
      <c r="Y91" s="171">
        <v>-89133.958610000234</v>
      </c>
      <c r="Z91" s="40">
        <v>-344437.21286000009</v>
      </c>
      <c r="AA91" s="171">
        <v>-86212.105640000023</v>
      </c>
      <c r="AB91" s="171">
        <v>-78986.831129999657</v>
      </c>
      <c r="AC91" s="171">
        <v>-71039.03152000031</v>
      </c>
      <c r="AD91" s="171">
        <v>-68626</v>
      </c>
      <c r="AE91" s="40">
        <v>-304863.96828999999</v>
      </c>
      <c r="AF91" s="171">
        <f>'DRE ANTIGA PARCERIA CAIXA'!AG125</f>
        <v>-63187</v>
      </c>
      <c r="AG91" s="171">
        <f>'DRE ANTIGA PARCERIA CAIXA'!AH125</f>
        <v>-9453.3482500002137</v>
      </c>
      <c r="AH91" s="171">
        <f>'DRE ANTIGA PARCERIA CAIXA'!AI125</f>
        <v>-87481</v>
      </c>
      <c r="AI91" s="171">
        <f>'DRE ANTIGA PARCERIA CAIXA'!AJ125</f>
        <v>-10716.862949999835</v>
      </c>
      <c r="AJ91" s="40">
        <f t="shared" si="99"/>
        <v>-170838.21120000005</v>
      </c>
      <c r="AK91" s="171">
        <v>0</v>
      </c>
      <c r="AL91" s="171">
        <v>0</v>
      </c>
      <c r="AM91" s="171">
        <v>0</v>
      </c>
      <c r="AN91" s="171">
        <v>0</v>
      </c>
      <c r="AO91" s="40">
        <f t="shared" si="100"/>
        <v>0</v>
      </c>
      <c r="AP91" s="171">
        <v>0</v>
      </c>
      <c r="AQ91" s="171">
        <v>0</v>
      </c>
      <c r="AR91" s="171">
        <v>0</v>
      </c>
      <c r="AS91" s="171">
        <v>0</v>
      </c>
      <c r="AT91" s="40">
        <f t="shared" si="101"/>
        <v>0</v>
      </c>
      <c r="AU91" s="171">
        <v>0</v>
      </c>
      <c r="AV91" s="171">
        <v>0</v>
      </c>
      <c r="AW91" s="171">
        <v>0</v>
      </c>
      <c r="AX91" s="171">
        <v>0</v>
      </c>
      <c r="AY91" s="40">
        <f t="shared" si="98"/>
        <v>0</v>
      </c>
      <c r="AZ91" s="171">
        <v>0</v>
      </c>
    </row>
    <row r="92" spans="1:52">
      <c r="A92" s="9" t="s">
        <v>710</v>
      </c>
      <c r="Q92" s="76">
        <v>59762.329469999982</v>
      </c>
      <c r="R92" s="76">
        <v>47007.924100000164</v>
      </c>
      <c r="S92" s="76">
        <v>46557.100759999623</v>
      </c>
      <c r="T92" s="76">
        <v>29359.346780000313</v>
      </c>
      <c r="U92" s="39">
        <v>182686.70111000008</v>
      </c>
      <c r="V92" s="76">
        <v>57170.440330000041</v>
      </c>
      <c r="W92" s="76">
        <v>66191.980890000006</v>
      </c>
      <c r="X92" s="76">
        <v>64086.626670000027</v>
      </c>
      <c r="Y92" s="76">
        <v>69034.250639999722</v>
      </c>
      <c r="Z92" s="39">
        <v>256483.2985299998</v>
      </c>
      <c r="AA92" s="76">
        <v>67837.760660000029</v>
      </c>
      <c r="AB92" s="76">
        <v>70727.329090000305</v>
      </c>
      <c r="AC92" s="76">
        <v>84462.143489999638</v>
      </c>
      <c r="AD92" s="76">
        <v>67644</v>
      </c>
      <c r="AE92" s="39">
        <v>290671.23323999997</v>
      </c>
      <c r="AF92" s="76">
        <f t="shared" ref="AF92:AI92" si="102">SUM(AF90:AF91)</f>
        <v>72487</v>
      </c>
      <c r="AG92" s="76">
        <f t="shared" si="102"/>
        <v>68694.6853999999</v>
      </c>
      <c r="AH92" s="76">
        <f t="shared" si="102"/>
        <v>33466</v>
      </c>
      <c r="AI92" s="76">
        <f t="shared" si="102"/>
        <v>11862.040359999955</v>
      </c>
      <c r="AJ92" s="39">
        <f t="shared" si="99"/>
        <v>186509.72575999986</v>
      </c>
      <c r="AK92" s="76">
        <v>0</v>
      </c>
      <c r="AL92" s="76">
        <v>0</v>
      </c>
      <c r="AM92" s="76">
        <v>0</v>
      </c>
      <c r="AN92" s="76">
        <v>0</v>
      </c>
      <c r="AO92" s="39">
        <f t="shared" si="100"/>
        <v>0</v>
      </c>
      <c r="AP92" s="76">
        <v>0</v>
      </c>
      <c r="AQ92" s="76">
        <v>0</v>
      </c>
      <c r="AR92" s="76">
        <v>0</v>
      </c>
      <c r="AS92" s="76">
        <v>0</v>
      </c>
      <c r="AT92" s="39">
        <f t="shared" si="101"/>
        <v>0</v>
      </c>
      <c r="AU92" s="76">
        <v>0</v>
      </c>
      <c r="AV92" s="76">
        <v>0</v>
      </c>
      <c r="AW92" s="76">
        <v>0</v>
      </c>
      <c r="AX92" s="76">
        <v>0</v>
      </c>
      <c r="AY92" s="39">
        <f t="shared" si="98"/>
        <v>0</v>
      </c>
      <c r="AZ92" s="76">
        <v>0</v>
      </c>
    </row>
    <row r="93" spans="1:52">
      <c r="A93" s="11" t="s">
        <v>811</v>
      </c>
      <c r="Q93" s="1">
        <v>473409.44522999995</v>
      </c>
      <c r="R93" s="1">
        <v>444113.32055</v>
      </c>
      <c r="S93" s="1">
        <v>512652.02929999994</v>
      </c>
      <c r="T93" s="1">
        <v>513276.31407000008</v>
      </c>
      <c r="U93" s="40">
        <v>1943451.1091500001</v>
      </c>
      <c r="V93" s="1">
        <v>376697.98069</v>
      </c>
      <c r="W93" s="171">
        <v>267086.33231000003</v>
      </c>
      <c r="X93" s="171">
        <v>451368.25948000001</v>
      </c>
      <c r="Y93" s="171">
        <v>228874.42</v>
      </c>
      <c r="Z93" s="40">
        <v>1324026.99248</v>
      </c>
      <c r="AA93" s="171">
        <v>315861.60012000002</v>
      </c>
      <c r="AB93" s="171">
        <v>288955.12084000005</v>
      </c>
      <c r="AC93" s="171">
        <v>220315.06153999997</v>
      </c>
      <c r="AD93" s="171">
        <v>169584.89962000001</v>
      </c>
      <c r="AE93" s="40">
        <v>994716.68212000001</v>
      </c>
      <c r="AF93" s="171">
        <v>174162.50727999996</v>
      </c>
      <c r="AG93" s="171">
        <v>147554.09974000001</v>
      </c>
      <c r="AH93" s="171">
        <v>193863.83805999</v>
      </c>
      <c r="AI93" s="171">
        <f>'DRE ANTIGA PARCERIA CAIXA'!AJ127</f>
        <v>-14602.983709999986</v>
      </c>
      <c r="AJ93" s="40">
        <f t="shared" si="99"/>
        <v>500977.46136998996</v>
      </c>
      <c r="AK93" s="171">
        <v>0</v>
      </c>
      <c r="AL93" s="171">
        <v>0</v>
      </c>
      <c r="AM93" s="171">
        <v>0</v>
      </c>
      <c r="AN93" s="171">
        <v>0</v>
      </c>
      <c r="AO93" s="40">
        <f t="shared" si="100"/>
        <v>0</v>
      </c>
      <c r="AP93" s="171">
        <v>0</v>
      </c>
      <c r="AQ93" s="171">
        <v>0</v>
      </c>
      <c r="AR93" s="171">
        <v>0</v>
      </c>
      <c r="AS93" s="171">
        <v>0</v>
      </c>
      <c r="AT93" s="40">
        <f t="shared" si="101"/>
        <v>0</v>
      </c>
      <c r="AU93" s="171">
        <v>0</v>
      </c>
      <c r="AV93" s="171">
        <v>0</v>
      </c>
      <c r="AW93" s="171">
        <v>0</v>
      </c>
      <c r="AX93" s="171">
        <v>0</v>
      </c>
      <c r="AY93" s="40">
        <f t="shared" si="98"/>
        <v>0</v>
      </c>
      <c r="AZ93" s="171">
        <v>0</v>
      </c>
    </row>
    <row r="94" spans="1:52">
      <c r="A94" s="11" t="s">
        <v>812</v>
      </c>
      <c r="Q94" s="1">
        <v>1206169.6158800002</v>
      </c>
      <c r="R94" s="1">
        <v>1843484.5262200001</v>
      </c>
      <c r="S94" s="1">
        <v>1953730.4340700002</v>
      </c>
      <c r="T94" s="1">
        <v>1823862.9812699999</v>
      </c>
      <c r="U94" s="40">
        <v>6827247.5574399997</v>
      </c>
      <c r="V94" s="1">
        <v>1571180.9875099999</v>
      </c>
      <c r="W94" s="171">
        <v>1496564.9151900001</v>
      </c>
      <c r="X94" s="171">
        <v>1822725.6267200003</v>
      </c>
      <c r="Y94" s="171">
        <v>1379401.6356599999</v>
      </c>
      <c r="Z94" s="40">
        <v>6269873.1650800006</v>
      </c>
      <c r="AA94" s="171">
        <v>1374140.0605799998</v>
      </c>
      <c r="AB94" s="171">
        <v>1499439.5020599999</v>
      </c>
      <c r="AC94" s="171">
        <v>1096377.2294499998</v>
      </c>
      <c r="AD94" s="171">
        <v>1127383.0696700001</v>
      </c>
      <c r="AE94" s="40">
        <v>5097339.8617599998</v>
      </c>
      <c r="AF94" s="171">
        <v>1110701.1997499999</v>
      </c>
      <c r="AG94" s="171">
        <v>1331705.63063</v>
      </c>
      <c r="AH94" s="171">
        <v>1129284.96958</v>
      </c>
      <c r="AI94" s="171">
        <f>'DRE ANTIGA PARCERIA CAIXA'!AJ128</f>
        <v>-2866.3736199999985</v>
      </c>
      <c r="AJ94" s="40">
        <f t="shared" si="99"/>
        <v>3568825.4263400002</v>
      </c>
      <c r="AK94" s="171">
        <v>0</v>
      </c>
      <c r="AL94" s="171">
        <v>0</v>
      </c>
      <c r="AM94" s="171">
        <v>0</v>
      </c>
      <c r="AN94" s="171">
        <v>0</v>
      </c>
      <c r="AO94" s="40">
        <f t="shared" si="100"/>
        <v>0</v>
      </c>
      <c r="AP94" s="171">
        <v>0</v>
      </c>
      <c r="AQ94" s="171">
        <v>0</v>
      </c>
      <c r="AR94" s="171">
        <v>0</v>
      </c>
      <c r="AS94" s="171">
        <v>0</v>
      </c>
      <c r="AT94" s="40">
        <f t="shared" si="101"/>
        <v>0</v>
      </c>
      <c r="AU94" s="171">
        <v>0</v>
      </c>
      <c r="AV94" s="171">
        <v>0</v>
      </c>
      <c r="AW94" s="171">
        <v>0</v>
      </c>
      <c r="AX94" s="171">
        <v>0</v>
      </c>
      <c r="AY94" s="40">
        <f t="shared" si="98"/>
        <v>0</v>
      </c>
      <c r="AZ94" s="171">
        <v>0</v>
      </c>
    </row>
    <row r="95" spans="1:52">
      <c r="A95" s="17" t="s">
        <v>785</v>
      </c>
      <c r="Q95" s="169">
        <v>0.14452433752510396</v>
      </c>
      <c r="R95" s="169">
        <v>0.14903726128030645</v>
      </c>
      <c r="S95" s="169">
        <v>0.15820538371823273</v>
      </c>
      <c r="T95" s="169">
        <v>0.16606011174815996</v>
      </c>
      <c r="U95" s="46">
        <v>0.15445677356795079</v>
      </c>
      <c r="V95" s="169">
        <v>0.16583844368320882</v>
      </c>
      <c r="W95" s="169">
        <v>0.16813818232027264</v>
      </c>
      <c r="X95" s="169">
        <v>0.16137511144237937</v>
      </c>
      <c r="Y95" s="169">
        <v>0.16321795740972819</v>
      </c>
      <c r="Z95" s="46">
        <v>0.16464242371389726</v>
      </c>
      <c r="AA95" s="169">
        <v>0.16574937015380076</v>
      </c>
      <c r="AB95" s="169">
        <v>0.160291672561821</v>
      </c>
      <c r="AC95" s="169">
        <v>0.15685836351853782</v>
      </c>
      <c r="AD95" s="169">
        <v>0.14640159583575674</v>
      </c>
      <c r="AE95" s="46">
        <v>0.15732525051747909</v>
      </c>
      <c r="AF95" s="169">
        <v>0.17633674302831728</v>
      </c>
      <c r="AG95" s="169">
        <v>0.13911522482403882</v>
      </c>
      <c r="AH95" s="169">
        <v>0.11549046511104655</v>
      </c>
      <c r="AI95" s="169">
        <v>6.1210495399444335E-2</v>
      </c>
      <c r="AJ95" s="46">
        <f>AVERAGE(AF95:AI95)</f>
        <v>0.12303823209071174</v>
      </c>
      <c r="AK95" s="439">
        <v>0</v>
      </c>
      <c r="AL95" s="439">
        <v>0</v>
      </c>
      <c r="AM95" s="439">
        <v>0</v>
      </c>
      <c r="AN95" s="439">
        <v>0</v>
      </c>
      <c r="AO95" s="240">
        <f>AVERAGE(AK95:AN95)</f>
        <v>0</v>
      </c>
      <c r="AP95" s="439">
        <v>0</v>
      </c>
      <c r="AQ95" s="439">
        <v>0</v>
      </c>
      <c r="AR95" s="439">
        <v>0</v>
      </c>
      <c r="AS95" s="439">
        <v>0</v>
      </c>
      <c r="AT95" s="240">
        <f>AVERAGE(AP95:AS95)</f>
        <v>0</v>
      </c>
      <c r="AU95" s="439">
        <v>0</v>
      </c>
      <c r="AV95" s="439">
        <v>0</v>
      </c>
      <c r="AW95" s="439">
        <v>0</v>
      </c>
      <c r="AX95" s="439">
        <v>0</v>
      </c>
      <c r="AY95" s="240">
        <f>AVERAGE(AU95:AX95)</f>
        <v>0</v>
      </c>
      <c r="AZ95" s="439">
        <v>0</v>
      </c>
    </row>
    <row r="96" spans="1:52">
      <c r="U96" s="40"/>
      <c r="Z96" s="40"/>
      <c r="AE96" s="40"/>
      <c r="AJ96" s="40">
        <f t="shared" si="99"/>
        <v>0</v>
      </c>
      <c r="AO96" s="40"/>
      <c r="AT96" s="40">
        <f t="shared" ref="AT96:AT99" si="103">SUM(AP96:AS96)</f>
        <v>0</v>
      </c>
      <c r="AY96" s="40">
        <f>SUM(AU96:AX96)</f>
        <v>0</v>
      </c>
      <c r="AZ96" s="8"/>
    </row>
    <row r="97" spans="1:52">
      <c r="A97" s="225" t="s">
        <v>549</v>
      </c>
      <c r="Q97" s="76">
        <v>907883.84327000007</v>
      </c>
      <c r="R97" s="76">
        <v>1095467.7812900003</v>
      </c>
      <c r="S97" s="76">
        <v>1062616.9213400001</v>
      </c>
      <c r="T97" s="76">
        <v>1165664.6192000001</v>
      </c>
      <c r="U97" s="39">
        <v>4231633.1651000008</v>
      </c>
      <c r="V97" s="76">
        <v>738067.75312999962</v>
      </c>
      <c r="W97" s="76">
        <v>310342.32257999998</v>
      </c>
      <c r="X97" s="76">
        <v>574248.90492000035</v>
      </c>
      <c r="Y97" s="76">
        <v>324841.77253999992</v>
      </c>
      <c r="Z97" s="39">
        <v>1947500.7531699999</v>
      </c>
      <c r="AA97" s="76">
        <v>270511.58363999985</v>
      </c>
      <c r="AB97" s="76">
        <v>289208.3869199999</v>
      </c>
      <c r="AC97" s="76">
        <v>77929.290909999996</v>
      </c>
      <c r="AD97" s="76">
        <v>0</v>
      </c>
      <c r="AE97" s="39">
        <v>637649.26146999979</v>
      </c>
      <c r="AF97" s="76">
        <f t="shared" ref="AF97:AH97" si="104">SUM(AF98:AF99)</f>
        <v>0</v>
      </c>
      <c r="AG97" s="76">
        <f t="shared" si="104"/>
        <v>0</v>
      </c>
      <c r="AH97" s="76">
        <f t="shared" si="104"/>
        <v>0</v>
      </c>
      <c r="AI97" s="76"/>
      <c r="AJ97" s="39">
        <f t="shared" si="99"/>
        <v>0</v>
      </c>
      <c r="AK97" s="76"/>
      <c r="AL97" s="76"/>
      <c r="AM97" s="76"/>
      <c r="AN97" s="76"/>
      <c r="AO97" s="39">
        <f t="shared" ref="AO97:AO99" si="105">SUM(AK97:AN97)</f>
        <v>0</v>
      </c>
      <c r="AP97" s="76"/>
      <c r="AQ97" s="76"/>
      <c r="AR97" s="76"/>
      <c r="AS97" s="76"/>
      <c r="AT97" s="39">
        <f t="shared" si="103"/>
        <v>0</v>
      </c>
      <c r="AU97" s="76"/>
      <c r="AV97" s="76"/>
      <c r="AW97" s="76"/>
      <c r="AX97" s="76"/>
      <c r="AY97" s="39">
        <f>SUM(AU97:AX97)</f>
        <v>0</v>
      </c>
      <c r="AZ97" s="10"/>
    </row>
    <row r="98" spans="1:52">
      <c r="A98" s="36" t="s">
        <v>813</v>
      </c>
      <c r="Q98" s="171">
        <v>336118.15209999989</v>
      </c>
      <c r="R98" s="171">
        <v>321931.69825999998</v>
      </c>
      <c r="S98" s="171">
        <v>341186.99354</v>
      </c>
      <c r="T98" s="171">
        <v>347522.33415000001</v>
      </c>
      <c r="U98" s="40">
        <v>1346759.1780499998</v>
      </c>
      <c r="V98" s="171">
        <v>237199.49266999977</v>
      </c>
      <c r="W98" s="171">
        <v>115131.15372999993</v>
      </c>
      <c r="X98" s="171">
        <v>190963.37199999994</v>
      </c>
      <c r="Y98" s="171">
        <v>114965.23150999994</v>
      </c>
      <c r="Z98" s="40">
        <v>658259.24990999966</v>
      </c>
      <c r="AA98" s="171">
        <v>89178.450809999908</v>
      </c>
      <c r="AB98" s="171">
        <v>90298.237369999973</v>
      </c>
      <c r="AC98" s="171">
        <v>26944.421259999985</v>
      </c>
      <c r="AD98" s="171">
        <v>0</v>
      </c>
      <c r="AE98" s="40">
        <v>206421.10943999985</v>
      </c>
      <c r="AF98" s="65">
        <v>0</v>
      </c>
      <c r="AG98" s="65">
        <v>0</v>
      </c>
      <c r="AH98" s="65">
        <v>0</v>
      </c>
      <c r="AI98" s="65"/>
      <c r="AJ98" s="40">
        <f t="shared" si="99"/>
        <v>0</v>
      </c>
      <c r="AK98" s="65"/>
      <c r="AL98" s="65"/>
      <c r="AM98" s="65"/>
      <c r="AN98" s="65"/>
      <c r="AO98" s="40">
        <f t="shared" si="105"/>
        <v>0</v>
      </c>
      <c r="AP98" s="65"/>
      <c r="AQ98" s="65"/>
      <c r="AR98" s="65"/>
      <c r="AS98" s="65"/>
      <c r="AT98" s="40">
        <f t="shared" si="103"/>
        <v>0</v>
      </c>
      <c r="AU98" s="65"/>
      <c r="AV98" s="65"/>
      <c r="AW98" s="65"/>
      <c r="AX98" s="65"/>
      <c r="AY98" s="40">
        <f>SUM(AU98:AX98)</f>
        <v>0</v>
      </c>
      <c r="AZ98" s="8"/>
    </row>
    <row r="99" spans="1:52" ht="15.75" thickBot="1">
      <c r="A99" s="36" t="s">
        <v>814</v>
      </c>
      <c r="Q99" s="171">
        <v>571765.69117000012</v>
      </c>
      <c r="R99" s="171">
        <v>773536.08303000021</v>
      </c>
      <c r="S99" s="171">
        <v>721429.92780000006</v>
      </c>
      <c r="T99" s="171">
        <v>818142.28504999995</v>
      </c>
      <c r="U99" s="226">
        <v>2884873.9870500006</v>
      </c>
      <c r="V99" s="171">
        <v>500868.26045999979</v>
      </c>
      <c r="W99" s="171">
        <v>195211.16885000005</v>
      </c>
      <c r="X99" s="171">
        <v>383285.53292000038</v>
      </c>
      <c r="Y99" s="171">
        <v>209876.54102999996</v>
      </c>
      <c r="Z99" s="226">
        <v>1289241.5032600001</v>
      </c>
      <c r="AA99" s="171">
        <v>181333.13282999993</v>
      </c>
      <c r="AB99" s="171">
        <v>198910.14954999991</v>
      </c>
      <c r="AC99" s="171">
        <v>50984.869650000008</v>
      </c>
      <c r="AD99" s="171">
        <v>0</v>
      </c>
      <c r="AE99" s="226">
        <v>431228.15202999988</v>
      </c>
      <c r="AF99" s="65">
        <v>0</v>
      </c>
      <c r="AG99" s="65">
        <v>0</v>
      </c>
      <c r="AH99" s="65">
        <v>0</v>
      </c>
      <c r="AI99" s="65"/>
      <c r="AJ99" s="226">
        <f t="shared" si="99"/>
        <v>0</v>
      </c>
      <c r="AK99" s="65"/>
      <c r="AL99" s="65"/>
      <c r="AM99" s="65"/>
      <c r="AN99" s="65"/>
      <c r="AO99" s="226">
        <f t="shared" si="105"/>
        <v>0</v>
      </c>
      <c r="AP99" s="65"/>
      <c r="AQ99" s="65"/>
      <c r="AR99" s="65"/>
      <c r="AS99" s="65"/>
      <c r="AT99" s="226">
        <f t="shared" si="103"/>
        <v>0</v>
      </c>
      <c r="AU99" s="65"/>
      <c r="AV99" s="65"/>
      <c r="AW99" s="65"/>
      <c r="AX99" s="65"/>
      <c r="AY99" s="226">
        <f>SUM(AU99:AX99)</f>
        <v>0</v>
      </c>
      <c r="AZ99" s="8"/>
    </row>
    <row r="100" spans="1:52" ht="45">
      <c r="A100" s="769" t="s">
        <v>817</v>
      </c>
    </row>
    <row r="101" spans="1:52" ht="15.75" thickBot="1">
      <c r="AP101" s="114"/>
      <c r="AQ101" s="114"/>
      <c r="AR101" s="114"/>
      <c r="AS101" s="114"/>
      <c r="AU101" s="114"/>
      <c r="AV101" s="114"/>
      <c r="AW101" s="114"/>
      <c r="AX101" s="114"/>
      <c r="AY101" s="114"/>
      <c r="AZ101" s="114"/>
    </row>
    <row r="102" spans="1:52">
      <c r="A102" s="179" t="s">
        <v>818</v>
      </c>
      <c r="B102" s="180"/>
      <c r="C102" s="180"/>
      <c r="D102" s="180"/>
      <c r="E102" s="180"/>
      <c r="F102" s="181"/>
      <c r="G102" s="180"/>
      <c r="H102" s="180"/>
      <c r="I102" s="180"/>
      <c r="J102" s="180"/>
      <c r="K102" s="181"/>
      <c r="L102" s="180"/>
      <c r="M102" s="180"/>
      <c r="N102" s="180"/>
      <c r="O102" s="180"/>
      <c r="P102" s="181"/>
      <c r="Q102" s="180" t="s">
        <v>236</v>
      </c>
      <c r="R102" s="180" t="s">
        <v>237</v>
      </c>
      <c r="S102" s="180" t="s">
        <v>238</v>
      </c>
      <c r="T102" s="180" t="s">
        <v>239</v>
      </c>
      <c r="U102" s="181">
        <v>2019</v>
      </c>
      <c r="V102" s="180" t="s">
        <v>240</v>
      </c>
      <c r="W102" s="180" t="s">
        <v>241</v>
      </c>
      <c r="X102" s="180" t="s">
        <v>242</v>
      </c>
      <c r="Y102" s="180" t="s">
        <v>243</v>
      </c>
      <c r="Z102" s="181">
        <v>2020</v>
      </c>
      <c r="AA102" s="180" t="s">
        <v>244</v>
      </c>
      <c r="AB102" s="180" t="s">
        <v>245</v>
      </c>
      <c r="AC102" s="180" t="s">
        <v>246</v>
      </c>
      <c r="AD102" s="180" t="s">
        <v>247</v>
      </c>
      <c r="AE102" s="181">
        <v>2021</v>
      </c>
      <c r="AF102" s="180" t="s">
        <v>248</v>
      </c>
      <c r="AG102" s="180" t="s">
        <v>398</v>
      </c>
      <c r="AH102" s="180" t="s">
        <v>250</v>
      </c>
      <c r="AI102" s="180" t="s">
        <v>215</v>
      </c>
      <c r="AJ102" s="181">
        <v>2022</v>
      </c>
      <c r="AK102" s="180" t="s">
        <v>252</v>
      </c>
      <c r="AL102" s="180" t="s">
        <v>253</v>
      </c>
      <c r="AM102" s="180" t="s">
        <v>254</v>
      </c>
      <c r="AN102" s="180" t="s">
        <v>219</v>
      </c>
      <c r="AO102" s="181">
        <v>2023</v>
      </c>
      <c r="AP102" s="180" t="s">
        <v>223</v>
      </c>
      <c r="AQ102" s="180" t="s">
        <v>256</v>
      </c>
      <c r="AR102" s="180" t="s">
        <v>357</v>
      </c>
      <c r="AS102" s="180" t="s">
        <v>358</v>
      </c>
      <c r="AT102" s="181">
        <v>2024</v>
      </c>
      <c r="AU102" s="180" t="s">
        <v>359</v>
      </c>
      <c r="AV102" s="180" t="s">
        <v>1115</v>
      </c>
      <c r="AW102" s="180" t="s">
        <v>1116</v>
      </c>
      <c r="AX102" s="180" t="s">
        <v>1117</v>
      </c>
      <c r="AY102" s="699" t="s">
        <v>1118</v>
      </c>
      <c r="AZ102" s="700" t="s">
        <v>1124</v>
      </c>
    </row>
    <row r="103" spans="1:52">
      <c r="A103" s="9" t="s">
        <v>808</v>
      </c>
      <c r="H103">
        <v>0</v>
      </c>
      <c r="I103">
        <v>0</v>
      </c>
      <c r="J103">
        <v>0</v>
      </c>
      <c r="K103"/>
      <c r="L103">
        <v>0</v>
      </c>
      <c r="Q103" s="76">
        <v>0</v>
      </c>
      <c r="R103" s="76">
        <v>0</v>
      </c>
      <c r="S103" s="76">
        <v>0</v>
      </c>
      <c r="T103" s="76">
        <v>0</v>
      </c>
      <c r="U103" s="39">
        <v>0</v>
      </c>
      <c r="V103" s="76">
        <v>0</v>
      </c>
      <c r="W103" s="76">
        <v>0</v>
      </c>
      <c r="X103" s="76">
        <v>0</v>
      </c>
      <c r="Y103" s="76">
        <v>0</v>
      </c>
      <c r="Z103" s="39">
        <v>0</v>
      </c>
      <c r="AA103" s="76">
        <v>0</v>
      </c>
      <c r="AB103" s="76">
        <v>123.88921999999999</v>
      </c>
      <c r="AC103" s="76">
        <v>2333.1419500000002</v>
      </c>
      <c r="AD103" s="76">
        <v>15665.18441</v>
      </c>
      <c r="AE103" s="39">
        <v>18122.21558</v>
      </c>
      <c r="AF103" s="76">
        <v>44348.386060000004</v>
      </c>
      <c r="AG103" s="76">
        <v>105751.50286000001</v>
      </c>
      <c r="AH103" s="76">
        <v>203694.23068000001</v>
      </c>
      <c r="AI103" s="76">
        <v>292129.87257999997</v>
      </c>
      <c r="AJ103" s="39">
        <f>SUM(AF103:AI103)</f>
        <v>645923.99217999994</v>
      </c>
      <c r="AK103" s="76">
        <v>394429.33594000002</v>
      </c>
      <c r="AL103" s="76">
        <v>504251.04596000002</v>
      </c>
      <c r="AM103" s="76">
        <v>617535.6836600001</v>
      </c>
      <c r="AN103" s="76">
        <v>726560.23690000013</v>
      </c>
      <c r="AO103" s="39">
        <f>SUM(AK103:AN103)</f>
        <v>2242776.3024599999</v>
      </c>
      <c r="AP103" s="76">
        <v>850798.32439000008</v>
      </c>
      <c r="AQ103" s="76">
        <v>941157.69542999996</v>
      </c>
      <c r="AR103" s="76">
        <v>1125563.3285999999</v>
      </c>
      <c r="AS103" s="76">
        <v>1269897.8560599999</v>
      </c>
      <c r="AT103" s="39">
        <f>SUM(AP103:AS103)</f>
        <v>4187417.2044799998</v>
      </c>
      <c r="AU103" s="76">
        <v>1426797.2037500001</v>
      </c>
      <c r="AV103" s="76">
        <v>1595680.6396199998</v>
      </c>
      <c r="AW103" s="76">
        <v>1803118.1070000001</v>
      </c>
      <c r="AX103" s="76">
        <v>1981630.6326199998</v>
      </c>
      <c r="AY103" s="39">
        <f t="shared" ref="AY103:AY108" si="106">SUM(AU103:AX103)</f>
        <v>6807226.58299</v>
      </c>
      <c r="AZ103" s="10">
        <v>2043227.3400000003</v>
      </c>
    </row>
    <row r="104" spans="1:52">
      <c r="A104" s="11" t="s">
        <v>809</v>
      </c>
      <c r="H104">
        <v>0</v>
      </c>
      <c r="I104">
        <v>0</v>
      </c>
      <c r="J104">
        <v>0</v>
      </c>
      <c r="K104"/>
      <c r="L104">
        <v>0</v>
      </c>
      <c r="Q104" s="239">
        <v>0</v>
      </c>
      <c r="R104" s="239">
        <v>0</v>
      </c>
      <c r="S104" s="239">
        <v>0</v>
      </c>
      <c r="T104" s="239">
        <v>0</v>
      </c>
      <c r="U104" s="40">
        <v>0</v>
      </c>
      <c r="V104" s="239">
        <v>0</v>
      </c>
      <c r="W104" s="239">
        <v>0</v>
      </c>
      <c r="X104" s="239">
        <v>0</v>
      </c>
      <c r="Y104" s="239">
        <v>0</v>
      </c>
      <c r="Z104" s="40">
        <v>0</v>
      </c>
      <c r="AA104" s="8">
        <v>0</v>
      </c>
      <c r="AB104" s="8">
        <v>927.36844999999994</v>
      </c>
      <c r="AC104" s="8">
        <v>1747.36761</v>
      </c>
      <c r="AD104" s="8">
        <v>2511</v>
      </c>
      <c r="AE104" s="40">
        <v>5185.7360600000002</v>
      </c>
      <c r="AF104" s="8">
        <f>'DRE NOVAS PARCERIAS CAIXA'!AG181</f>
        <v>16147</v>
      </c>
      <c r="AG104" s="8">
        <f>'DRE NOVAS PARCERIAS CAIXA'!AH181</f>
        <v>36469</v>
      </c>
      <c r="AH104" s="8">
        <f>'DRE NOVAS PARCERIAS CAIXA'!AI181</f>
        <v>67640</v>
      </c>
      <c r="AI104" s="8">
        <f>'DRE NOVAS PARCERIAS CAIXA'!AJ181</f>
        <v>98789</v>
      </c>
      <c r="AJ104" s="40">
        <f t="shared" ref="AJ104:AJ113" si="107">SUM(AF104:AI104)</f>
        <v>219045</v>
      </c>
      <c r="AK104" s="8">
        <f>'DRE NOVAS PARCERIAS CAIXA'!AL181</f>
        <v>116158</v>
      </c>
      <c r="AL104" s="8">
        <f>'DRE NOVAS PARCERIAS CAIXA'!AM181</f>
        <v>130238</v>
      </c>
      <c r="AM104" s="8">
        <f>'DRE NOVAS PARCERIAS CAIXA'!AN181</f>
        <v>152283</v>
      </c>
      <c r="AN104" s="8">
        <f>'DRE NOVAS PARCERIAS CAIXA'!AO181</f>
        <v>175146</v>
      </c>
      <c r="AO104" s="40">
        <f t="shared" ref="AO104:AO108" si="108">SUM(AK104:AN104)</f>
        <v>573825</v>
      </c>
      <c r="AP104" s="8">
        <f>'DRE NOVAS PARCERIAS CAIXA'!AQ181</f>
        <v>193385</v>
      </c>
      <c r="AQ104" s="8">
        <f>'DRE NOVAS PARCERIAS CAIXA'!AR181</f>
        <v>212663</v>
      </c>
      <c r="AR104" s="8">
        <f>'DRE NOVAS PARCERIAS CAIXA'!AS181</f>
        <v>224696</v>
      </c>
      <c r="AS104" s="8">
        <f>'DRE NOVAS PARCERIAS CAIXA'!AT181</f>
        <v>239280</v>
      </c>
      <c r="AT104" s="40">
        <f t="shared" ref="AT104:AT108" si="109">SUM(AP104:AS104)</f>
        <v>870024</v>
      </c>
      <c r="AU104" s="8">
        <f>'DRE NOVAS PARCERIAS CAIXA'!AV181</f>
        <v>259624</v>
      </c>
      <c r="AV104" s="8">
        <f>'DRE NOVAS PARCERIAS CAIXA'!AW181</f>
        <v>275566</v>
      </c>
      <c r="AW104" s="8">
        <f>'DRE NOVAS PARCERIAS CAIXA'!AX181</f>
        <v>279989</v>
      </c>
      <c r="AX104" s="8">
        <f>'DRE NOVAS PARCERIAS CAIXA'!AY181</f>
        <v>279171</v>
      </c>
      <c r="AY104" s="40">
        <f t="shared" si="106"/>
        <v>1094350</v>
      </c>
      <c r="AZ104" s="8">
        <f>'DRE NOVAS PARCERIAS CAIXA'!BA181</f>
        <v>267166</v>
      </c>
    </row>
    <row r="105" spans="1:52">
      <c r="A105" s="11" t="s">
        <v>819</v>
      </c>
      <c r="H105">
        <v>0</v>
      </c>
      <c r="I105">
        <v>0</v>
      </c>
      <c r="J105">
        <v>0</v>
      </c>
      <c r="K105"/>
      <c r="L105">
        <v>0</v>
      </c>
      <c r="Q105" s="239">
        <v>0</v>
      </c>
      <c r="R105" s="239">
        <v>0</v>
      </c>
      <c r="S105" s="239">
        <v>0</v>
      </c>
      <c r="T105" s="239">
        <v>0</v>
      </c>
      <c r="U105" s="40">
        <v>0</v>
      </c>
      <c r="V105" s="239">
        <v>0</v>
      </c>
      <c r="W105" s="239">
        <v>0</v>
      </c>
      <c r="X105" s="239">
        <v>0</v>
      </c>
      <c r="Y105" s="239">
        <v>0</v>
      </c>
      <c r="Z105" s="40">
        <v>0</v>
      </c>
      <c r="AA105" s="239">
        <v>0</v>
      </c>
      <c r="AB105" s="242">
        <v>0</v>
      </c>
      <c r="AC105" s="242">
        <v>0</v>
      </c>
      <c r="AD105" s="242">
        <v>0</v>
      </c>
      <c r="AE105" s="40">
        <v>0</v>
      </c>
      <c r="AF105" s="8">
        <f>'DRE NOVAS PARCERIAS CAIXA'!AG182</f>
        <v>-30808.460899999998</v>
      </c>
      <c r="AG105" s="8">
        <f>'DRE NOVAS PARCERIAS CAIXA'!AH182</f>
        <v>22165.460899999998</v>
      </c>
      <c r="AH105" s="8">
        <f>'DRE NOVAS PARCERIAS CAIXA'!AI182</f>
        <v>-65147.322190000006</v>
      </c>
      <c r="AI105" s="8">
        <f>'DRE NOVAS PARCERIAS CAIXA'!AJ182</f>
        <v>-31925.541219999992</v>
      </c>
      <c r="AJ105" s="40">
        <f t="shared" si="107"/>
        <v>-105715.86340999999</v>
      </c>
      <c r="AK105" s="8">
        <f>'DRE NOVAS PARCERIAS CAIXA'!AL182</f>
        <v>-54311</v>
      </c>
      <c r="AL105" s="8">
        <f>'DRE NOVAS PARCERIAS CAIXA'!AM182</f>
        <v>-58384.149440000001</v>
      </c>
      <c r="AM105" s="8">
        <f>'DRE NOVAS PARCERIAS CAIXA'!AN182</f>
        <v>-66163.265780000002</v>
      </c>
      <c r="AN105" s="8">
        <f>'DRE NOVAS PARCERIAS CAIXA'!AO182</f>
        <v>-70087.283439999999</v>
      </c>
      <c r="AO105" s="40">
        <f t="shared" si="108"/>
        <v>-248945.69866000002</v>
      </c>
      <c r="AP105" s="8">
        <f>'DRE NOVAS PARCERIAS CAIXA'!AQ182</f>
        <v>-77238.189679999996</v>
      </c>
      <c r="AQ105" s="8">
        <f>'DRE NOVAS PARCERIAS CAIXA'!AR182</f>
        <v>-76550.130169999989</v>
      </c>
      <c r="AR105" s="8">
        <f>'DRE NOVAS PARCERIAS CAIXA'!AS182</f>
        <v>-77268.557190000007</v>
      </c>
      <c r="AS105" s="8">
        <f>'DRE NOVAS PARCERIAS CAIXA'!AT182</f>
        <v>-118831.21643</v>
      </c>
      <c r="AT105" s="40">
        <f t="shared" si="109"/>
        <v>-349888.09346999996</v>
      </c>
      <c r="AU105" s="8">
        <f>'DRE NOVAS PARCERIAS CAIXA'!AV182</f>
        <v>-102248.77965</v>
      </c>
      <c r="AV105" s="8">
        <f>'DRE NOVAS PARCERIAS CAIXA'!AW182</f>
        <v>-88241.47752</v>
      </c>
      <c r="AW105" s="8">
        <f>'DRE NOVAS PARCERIAS CAIXA'!AX182</f>
        <v>-92451.270629999985</v>
      </c>
      <c r="AX105" s="8">
        <f>'DRE NOVAS PARCERIAS CAIXA'!AY182</f>
        <v>-107365.73019999999</v>
      </c>
      <c r="AY105" s="40">
        <f t="shared" si="106"/>
        <v>-390307.25799999997</v>
      </c>
      <c r="AZ105" s="8">
        <f>'DRE NOVAS PARCERIAS CAIXA'!BA182</f>
        <v>-108771.76011999993</v>
      </c>
    </row>
    <row r="106" spans="1:52">
      <c r="A106" s="9" t="s">
        <v>710</v>
      </c>
      <c r="H106">
        <v>0</v>
      </c>
      <c r="I106">
        <v>0</v>
      </c>
      <c r="J106">
        <v>0</v>
      </c>
      <c r="K106"/>
      <c r="L106">
        <v>0</v>
      </c>
      <c r="Q106" s="76">
        <v>0</v>
      </c>
      <c r="R106" s="76">
        <v>0</v>
      </c>
      <c r="S106" s="76">
        <v>0</v>
      </c>
      <c r="T106" s="76">
        <v>0</v>
      </c>
      <c r="U106" s="39">
        <v>0</v>
      </c>
      <c r="V106" s="76">
        <v>0</v>
      </c>
      <c r="W106" s="76">
        <v>0</v>
      </c>
      <c r="X106" s="76">
        <v>0</v>
      </c>
      <c r="Y106" s="76">
        <v>0</v>
      </c>
      <c r="Z106" s="39">
        <v>0</v>
      </c>
      <c r="AA106" s="76">
        <v>0</v>
      </c>
      <c r="AB106" s="76">
        <v>927.36844999999994</v>
      </c>
      <c r="AC106" s="76">
        <v>1747.36761</v>
      </c>
      <c r="AD106" s="76">
        <v>2511</v>
      </c>
      <c r="AE106" s="39">
        <v>5185.7360600000002</v>
      </c>
      <c r="AF106" s="76">
        <f t="shared" ref="AF106:AN106" si="110">SUM(AF104:AF105)</f>
        <v>-14661.460899999998</v>
      </c>
      <c r="AG106" s="76">
        <f t="shared" si="110"/>
        <v>58634.460899999998</v>
      </c>
      <c r="AH106" s="76">
        <f t="shared" si="110"/>
        <v>2492.6778099999938</v>
      </c>
      <c r="AI106" s="76">
        <f t="shared" si="110"/>
        <v>66863.458780000015</v>
      </c>
      <c r="AJ106" s="39">
        <f t="shared" si="107"/>
        <v>113329.13659000001</v>
      </c>
      <c r="AK106" s="76">
        <f t="shared" si="110"/>
        <v>61847</v>
      </c>
      <c r="AL106" s="76">
        <f t="shared" si="110"/>
        <v>71853.850559999992</v>
      </c>
      <c r="AM106" s="76">
        <f t="shared" si="110"/>
        <v>86119.734219999998</v>
      </c>
      <c r="AN106" s="76">
        <f t="shared" si="110"/>
        <v>105058.71656</v>
      </c>
      <c r="AO106" s="39">
        <f t="shared" si="108"/>
        <v>324879.30134000001</v>
      </c>
      <c r="AP106" s="76">
        <f>SUM(AP104:AP105)</f>
        <v>116146.81032</v>
      </c>
      <c r="AQ106" s="76">
        <f t="shared" ref="AQ106:AU106" si="111">SUM(AQ104:AQ105)</f>
        <v>136112.86983000001</v>
      </c>
      <c r="AR106" s="76">
        <f t="shared" si="111"/>
        <v>147427.44280999998</v>
      </c>
      <c r="AS106" s="76">
        <f t="shared" si="111"/>
        <v>120448.78357</v>
      </c>
      <c r="AT106" s="39">
        <f t="shared" si="109"/>
        <v>520135.90653000004</v>
      </c>
      <c r="AU106" s="76">
        <f t="shared" si="111"/>
        <v>157375.22035000002</v>
      </c>
      <c r="AV106" s="76">
        <f>SUM(AV104:AV105)</f>
        <v>187324.52247999999</v>
      </c>
      <c r="AW106" s="76">
        <f>SUM(AW104:AW105)</f>
        <v>187537.72937000002</v>
      </c>
      <c r="AX106" s="76">
        <f>SUM(AX104:AX105)</f>
        <v>171805.26980000001</v>
      </c>
      <c r="AY106" s="39">
        <f t="shared" si="106"/>
        <v>704042.74199999997</v>
      </c>
      <c r="AZ106" s="76">
        <f>SUM(AZ104:AZ105)</f>
        <v>158394.23988000007</v>
      </c>
    </row>
    <row r="107" spans="1:52">
      <c r="A107" s="11" t="s">
        <v>811</v>
      </c>
      <c r="H107">
        <v>0</v>
      </c>
      <c r="I107">
        <v>0</v>
      </c>
      <c r="J107">
        <v>0</v>
      </c>
      <c r="K107"/>
      <c r="L107">
        <v>0</v>
      </c>
      <c r="Q107" s="239">
        <v>0</v>
      </c>
      <c r="R107" s="239">
        <v>0</v>
      </c>
      <c r="S107" s="239">
        <v>0</v>
      </c>
      <c r="T107" s="239">
        <v>0</v>
      </c>
      <c r="U107" s="40">
        <v>0</v>
      </c>
      <c r="V107" s="239">
        <v>0</v>
      </c>
      <c r="W107" s="239">
        <v>0</v>
      </c>
      <c r="X107" s="239">
        <v>0</v>
      </c>
      <c r="Y107" s="239">
        <v>0</v>
      </c>
      <c r="Z107" s="40">
        <v>0</v>
      </c>
      <c r="AA107" s="239">
        <v>0</v>
      </c>
      <c r="AB107" s="242">
        <v>0</v>
      </c>
      <c r="AC107" s="242">
        <v>21515</v>
      </c>
      <c r="AD107" s="242">
        <v>110140</v>
      </c>
      <c r="AE107" s="40">
        <v>131655</v>
      </c>
      <c r="AF107" s="242">
        <v>499650</v>
      </c>
      <c r="AG107" s="8">
        <v>902635</v>
      </c>
      <c r="AH107" s="8">
        <v>1414330</v>
      </c>
      <c r="AI107" s="8">
        <v>920257.94400000002</v>
      </c>
      <c r="AJ107" s="40">
        <f t="shared" si="107"/>
        <v>3736872.9440000001</v>
      </c>
      <c r="AK107" s="242">
        <v>1096516.6980000001</v>
      </c>
      <c r="AL107" s="8">
        <v>1183710.9720000001</v>
      </c>
      <c r="AM107" s="8">
        <v>1440614.672</v>
      </c>
      <c r="AN107" s="8">
        <v>1272308.807</v>
      </c>
      <c r="AO107" s="40">
        <f t="shared" si="108"/>
        <v>4993151.1490000002</v>
      </c>
      <c r="AP107" s="242">
        <v>1309686.638</v>
      </c>
      <c r="AQ107" s="8">
        <v>1209492.3963899999</v>
      </c>
      <c r="AR107" s="8">
        <v>1620138.6691700001</v>
      </c>
      <c r="AS107" s="8">
        <v>1622075.2981499899</v>
      </c>
      <c r="AT107" s="40">
        <f t="shared" si="109"/>
        <v>5761393.0017099902</v>
      </c>
      <c r="AU107" s="8">
        <v>1463432.29098</v>
      </c>
      <c r="AV107" s="8">
        <v>1431452.84531</v>
      </c>
      <c r="AW107" s="8">
        <v>1745214.4078499998</v>
      </c>
      <c r="AX107" s="8">
        <v>1702525.34314</v>
      </c>
      <c r="AY107" s="40">
        <f t="shared" si="106"/>
        <v>6342624.8872800004</v>
      </c>
      <c r="AZ107" s="8">
        <v>1527507.9693399998</v>
      </c>
    </row>
    <row r="108" spans="1:52">
      <c r="A108" s="11" t="s">
        <v>812</v>
      </c>
      <c r="H108">
        <v>0</v>
      </c>
      <c r="I108">
        <v>0</v>
      </c>
      <c r="J108">
        <v>0</v>
      </c>
      <c r="K108"/>
      <c r="L108">
        <v>0</v>
      </c>
      <c r="Q108" s="239">
        <v>0</v>
      </c>
      <c r="R108" s="239">
        <v>0</v>
      </c>
      <c r="S108" s="239">
        <v>0</v>
      </c>
      <c r="T108" s="239">
        <v>0</v>
      </c>
      <c r="U108" s="40">
        <v>0</v>
      </c>
      <c r="V108" s="239">
        <v>0</v>
      </c>
      <c r="W108" s="239">
        <v>0</v>
      </c>
      <c r="X108" s="239">
        <v>0</v>
      </c>
      <c r="Y108" s="239">
        <v>0</v>
      </c>
      <c r="Z108" s="40">
        <v>0</v>
      </c>
      <c r="AA108" s="239">
        <v>0</v>
      </c>
      <c r="AB108" s="242">
        <v>0</v>
      </c>
      <c r="AC108" s="242">
        <v>90085</v>
      </c>
      <c r="AD108" s="242">
        <v>456710</v>
      </c>
      <c r="AE108" s="40">
        <v>546795</v>
      </c>
      <c r="AF108" s="242">
        <v>1545375</v>
      </c>
      <c r="AG108" s="8">
        <v>1909370</v>
      </c>
      <c r="AH108" s="8">
        <v>2293780</v>
      </c>
      <c r="AI108" s="8">
        <v>2045655.8114400001</v>
      </c>
      <c r="AJ108" s="40">
        <f t="shared" si="107"/>
        <v>7794180.8114400003</v>
      </c>
      <c r="AK108" s="242">
        <v>2315226.676</v>
      </c>
      <c r="AL108" s="8">
        <v>2504648.8795299996</v>
      </c>
      <c r="AM108" s="8">
        <v>2927044.62</v>
      </c>
      <c r="AN108" s="8">
        <v>2646697.02</v>
      </c>
      <c r="AO108" s="40">
        <f t="shared" si="108"/>
        <v>10393617.195529999</v>
      </c>
      <c r="AP108" s="242">
        <v>2678450.9900000002</v>
      </c>
      <c r="AQ108" s="8">
        <v>2561520.5529999998</v>
      </c>
      <c r="AR108" s="8">
        <v>3242944.6621300001</v>
      </c>
      <c r="AS108" s="8">
        <v>5070382.3437600005</v>
      </c>
      <c r="AT108" s="40">
        <f t="shared" si="109"/>
        <v>13553298.54889</v>
      </c>
      <c r="AU108" s="8">
        <v>4057768.9599499996</v>
      </c>
      <c r="AV108" s="8">
        <v>3905399.3833000003</v>
      </c>
      <c r="AW108" s="8">
        <v>4516502.1157100005</v>
      </c>
      <c r="AX108" s="8">
        <v>4425674.1566199996</v>
      </c>
      <c r="AY108" s="40">
        <f t="shared" si="106"/>
        <v>16905344.61558</v>
      </c>
      <c r="AZ108" s="8">
        <v>3884492.0621000002</v>
      </c>
    </row>
    <row r="109" spans="1:52">
      <c r="A109" s="17" t="s">
        <v>785</v>
      </c>
      <c r="H109">
        <v>0</v>
      </c>
      <c r="I109">
        <v>0</v>
      </c>
      <c r="J109">
        <v>0</v>
      </c>
      <c r="K109"/>
      <c r="L109">
        <v>0</v>
      </c>
      <c r="O109" s="169"/>
      <c r="P109" s="169"/>
      <c r="Q109" s="169">
        <v>0</v>
      </c>
      <c r="R109" s="169">
        <v>0</v>
      </c>
      <c r="S109" s="169">
        <v>0</v>
      </c>
      <c r="T109" s="169">
        <v>0</v>
      </c>
      <c r="U109" s="46">
        <v>0</v>
      </c>
      <c r="V109" s="169">
        <v>0</v>
      </c>
      <c r="W109" s="169">
        <v>0</v>
      </c>
      <c r="X109" s="169">
        <v>0</v>
      </c>
      <c r="Y109" s="169">
        <v>0</v>
      </c>
      <c r="Z109" s="169">
        <v>0</v>
      </c>
      <c r="AA109" s="169">
        <v>0</v>
      </c>
      <c r="AB109" s="169">
        <v>0</v>
      </c>
      <c r="AC109" s="169">
        <v>0</v>
      </c>
      <c r="AD109" s="169">
        <v>3.5629522904588873E-2</v>
      </c>
      <c r="AE109" s="46">
        <f>AVERAGE(AA109:AD109)</f>
        <v>8.9073807261472182E-3</v>
      </c>
      <c r="AF109" s="169">
        <v>4.0566001036808075E-2</v>
      </c>
      <c r="AG109" s="169">
        <v>3.9759296867585947E-2</v>
      </c>
      <c r="AH109" s="169">
        <v>4.1330633834736119E-2</v>
      </c>
      <c r="AI109" s="169">
        <v>4.28464078910753E-2</v>
      </c>
      <c r="AJ109" s="46">
        <f>AVERAGE(AF109:AI109)</f>
        <v>4.112558490755136E-2</v>
      </c>
      <c r="AK109" s="169">
        <v>4.1002879403054582E-2</v>
      </c>
      <c r="AL109" s="169">
        <v>3.8557086468330226E-2</v>
      </c>
      <c r="AM109" s="169">
        <v>3.7832492103436088E-2</v>
      </c>
      <c r="AN109" s="169">
        <v>3.721159631230786E-2</v>
      </c>
      <c r="AO109" s="46">
        <f>AVERAGE(AK109:AN109)</f>
        <v>3.8651013571782189E-2</v>
      </c>
      <c r="AP109" s="169">
        <v>3.6535379365580933E-2</v>
      </c>
      <c r="AQ109" s="169">
        <v>3.6509727551568227E-2</v>
      </c>
      <c r="AR109" s="169">
        <v>3.4502732721050977E-2</v>
      </c>
      <c r="AS109" s="169">
        <v>3.1696748023801069E-2</v>
      </c>
      <c r="AT109" s="46">
        <f>AVERAGE(AP109:AS109)</f>
        <v>3.4811146915500302E-2</v>
      </c>
      <c r="AU109" s="169">
        <v>3.0178535219936631E-2</v>
      </c>
      <c r="AV109" s="169">
        <v>2.9145012386752267E-2</v>
      </c>
      <c r="AW109" s="169">
        <v>2.6981486426789214E-2</v>
      </c>
      <c r="AX109" s="169">
        <v>2.443781301825787E-2</v>
      </c>
      <c r="AY109" s="46">
        <f>AVERAGE(AU109:AX109)</f>
        <v>2.7685711762933995E-2</v>
      </c>
      <c r="AZ109" s="169">
        <v>2.1699263371970146E-2</v>
      </c>
    </row>
    <row r="110" spans="1:52">
      <c r="U110" s="40"/>
      <c r="Z110" s="40"/>
      <c r="AE110" s="40"/>
      <c r="AJ110" s="40">
        <f t="shared" si="107"/>
        <v>0</v>
      </c>
      <c r="AO110" s="40">
        <f t="shared" ref="AO110:AO113" si="112">SUM(AK110:AN110)</f>
        <v>0</v>
      </c>
      <c r="AT110" s="40">
        <f t="shared" ref="AT110:AT113" si="113">SUM(AP110:AS110)</f>
        <v>0</v>
      </c>
      <c r="AY110" s="40"/>
      <c r="AZ110" s="8"/>
    </row>
    <row r="111" spans="1:52">
      <c r="A111" s="225" t="s">
        <v>549</v>
      </c>
      <c r="Q111" s="76">
        <v>0</v>
      </c>
      <c r="R111" s="76">
        <v>0</v>
      </c>
      <c r="S111" s="76">
        <v>0</v>
      </c>
      <c r="T111" s="76">
        <v>0</v>
      </c>
      <c r="U111" s="39">
        <v>0</v>
      </c>
      <c r="V111" s="76">
        <v>0</v>
      </c>
      <c r="W111" s="76">
        <v>0</v>
      </c>
      <c r="X111" s="76">
        <v>0</v>
      </c>
      <c r="Y111" s="76">
        <v>0</v>
      </c>
      <c r="Z111" s="39">
        <v>0</v>
      </c>
      <c r="AA111" s="76">
        <v>0</v>
      </c>
      <c r="AB111" s="76">
        <v>0</v>
      </c>
      <c r="AC111" s="76">
        <v>111600</v>
      </c>
      <c r="AD111" s="76">
        <v>566850</v>
      </c>
      <c r="AE111" s="39">
        <v>678450</v>
      </c>
      <c r="AF111" s="76">
        <f t="shared" ref="AF111:AR111" si="114">SUM(AF112:AF113)</f>
        <v>2045025</v>
      </c>
      <c r="AG111" s="76">
        <f t="shared" si="114"/>
        <v>2812005</v>
      </c>
      <c r="AH111" s="76">
        <f t="shared" si="114"/>
        <v>3708110</v>
      </c>
      <c r="AI111" s="76">
        <f t="shared" si="114"/>
        <v>2965913.75544</v>
      </c>
      <c r="AJ111" s="39">
        <f t="shared" si="107"/>
        <v>11531053.75544</v>
      </c>
      <c r="AK111" s="76">
        <f t="shared" si="114"/>
        <v>3411743.3739999998</v>
      </c>
      <c r="AL111" s="76">
        <f t="shared" si="114"/>
        <v>3688359.8515299996</v>
      </c>
      <c r="AM111" s="76">
        <f t="shared" si="114"/>
        <v>4367659.2920000004</v>
      </c>
      <c r="AN111" s="76">
        <f t="shared" si="114"/>
        <v>3919005.827</v>
      </c>
      <c r="AO111" s="39">
        <f t="shared" si="112"/>
        <v>15386768.344529999</v>
      </c>
      <c r="AP111" s="76">
        <f t="shared" si="114"/>
        <v>4005974.7496200004</v>
      </c>
      <c r="AQ111" s="76">
        <v>3771012.9493899997</v>
      </c>
      <c r="AR111" s="76">
        <f t="shared" si="114"/>
        <v>4863083.3312999997</v>
      </c>
      <c r="AS111" s="76">
        <f>SUM(AS112:AS113)</f>
        <v>6692457.6419099905</v>
      </c>
      <c r="AT111" s="39">
        <f t="shared" si="113"/>
        <v>19332528.672219992</v>
      </c>
      <c r="AU111" s="76">
        <f>SUM(AU112:AU113)</f>
        <v>5521201.2509300001</v>
      </c>
      <c r="AV111" s="76">
        <f>SUM(AV112:AV113)</f>
        <v>5336852.2286100006</v>
      </c>
      <c r="AW111" s="76">
        <f>SUM(AW112:AW113)</f>
        <v>6261716.5235600006</v>
      </c>
      <c r="AX111" s="76">
        <f>SUM(AX112:AX113)</f>
        <v>6128199.49976</v>
      </c>
      <c r="AY111" s="39">
        <f>SUM(AU111:AX111)</f>
        <v>23247969.502860002</v>
      </c>
      <c r="AZ111" s="76">
        <v>5412000.0315800002</v>
      </c>
    </row>
    <row r="112" spans="1:52">
      <c r="A112" s="36" t="s">
        <v>813</v>
      </c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 s="456">
        <v>0</v>
      </c>
      <c r="R112" s="456">
        <v>0</v>
      </c>
      <c r="S112" s="456">
        <v>0</v>
      </c>
      <c r="T112" s="456">
        <v>0</v>
      </c>
      <c r="U112" s="40">
        <v>0</v>
      </c>
      <c r="V112" s="456">
        <v>0</v>
      </c>
      <c r="W112" s="456">
        <v>0</v>
      </c>
      <c r="X112" s="456">
        <v>0</v>
      </c>
      <c r="Y112" s="456">
        <v>0</v>
      </c>
      <c r="Z112" s="40">
        <v>0</v>
      </c>
      <c r="AA112" s="456">
        <v>0</v>
      </c>
      <c r="AB112" s="456">
        <v>0</v>
      </c>
      <c r="AC112" s="8">
        <v>21515</v>
      </c>
      <c r="AD112" s="8">
        <v>110140</v>
      </c>
      <c r="AE112" s="40">
        <v>131655</v>
      </c>
      <c r="AF112" s="8">
        <v>499650</v>
      </c>
      <c r="AG112" s="8">
        <v>902635</v>
      </c>
      <c r="AH112" s="8">
        <v>1414330</v>
      </c>
      <c r="AI112" s="8">
        <v>920257.94400000002</v>
      </c>
      <c r="AJ112" s="40">
        <f t="shared" si="107"/>
        <v>3736872.9440000001</v>
      </c>
      <c r="AK112" s="110">
        <v>1096516.6980000001</v>
      </c>
      <c r="AL112" s="8">
        <v>1183710.9720000001</v>
      </c>
      <c r="AM112" s="8">
        <v>1440614.672</v>
      </c>
      <c r="AN112" s="8">
        <v>1272308.807</v>
      </c>
      <c r="AO112" s="40">
        <f t="shared" si="112"/>
        <v>4993151.1490000002</v>
      </c>
      <c r="AP112" s="110">
        <v>1314134.5998</v>
      </c>
      <c r="AQ112" s="8">
        <v>1209492.3963899999</v>
      </c>
      <c r="AR112" s="8">
        <v>1620138.6691700001</v>
      </c>
      <c r="AS112" s="8">
        <f>AS107</f>
        <v>1622075.2981499899</v>
      </c>
      <c r="AT112" s="40">
        <f t="shared" si="113"/>
        <v>5765840.9635099899</v>
      </c>
      <c r="AU112" s="8">
        <f t="shared" ref="AU112:AX113" si="115">AU107</f>
        <v>1463432.29098</v>
      </c>
      <c r="AV112" s="8">
        <f t="shared" si="115"/>
        <v>1431452.84531</v>
      </c>
      <c r="AW112" s="8">
        <f t="shared" si="115"/>
        <v>1745214.4078499998</v>
      </c>
      <c r="AX112" s="8">
        <f t="shared" si="115"/>
        <v>1702525.34314</v>
      </c>
      <c r="AY112" s="40">
        <f>SUM(AU112:AX112)</f>
        <v>6342624.8872800004</v>
      </c>
      <c r="AZ112" s="8">
        <v>1527507.9693399998</v>
      </c>
    </row>
    <row r="113" spans="1:52">
      <c r="A113" s="36" t="s">
        <v>814</v>
      </c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 s="456">
        <v>0</v>
      </c>
      <c r="R113" s="456">
        <v>0</v>
      </c>
      <c r="S113" s="456">
        <v>0</v>
      </c>
      <c r="T113" s="456">
        <v>0</v>
      </c>
      <c r="U113" s="40">
        <v>0</v>
      </c>
      <c r="V113" s="456">
        <v>0</v>
      </c>
      <c r="W113" s="456">
        <v>0</v>
      </c>
      <c r="X113" s="456">
        <v>0</v>
      </c>
      <c r="Y113" s="456">
        <v>0</v>
      </c>
      <c r="Z113" s="40">
        <v>0</v>
      </c>
      <c r="AA113" s="456">
        <v>0</v>
      </c>
      <c r="AB113" s="456">
        <v>0</v>
      </c>
      <c r="AC113" s="8">
        <v>90085</v>
      </c>
      <c r="AD113" s="8">
        <v>456710</v>
      </c>
      <c r="AE113" s="40">
        <v>546795</v>
      </c>
      <c r="AF113" s="8">
        <v>1545375</v>
      </c>
      <c r="AG113" s="8">
        <v>1909370</v>
      </c>
      <c r="AH113" s="8">
        <v>2293780</v>
      </c>
      <c r="AI113" s="8">
        <v>2045655.8114400001</v>
      </c>
      <c r="AJ113" s="40">
        <f t="shared" si="107"/>
        <v>7794180.8114400003</v>
      </c>
      <c r="AK113" s="110">
        <v>2315226.676</v>
      </c>
      <c r="AL113" s="8">
        <v>2504648.8795299996</v>
      </c>
      <c r="AM113" s="8">
        <v>2927044.62</v>
      </c>
      <c r="AN113" s="8">
        <v>2646697.02</v>
      </c>
      <c r="AO113" s="40">
        <f t="shared" si="112"/>
        <v>10393617.195529999</v>
      </c>
      <c r="AP113" s="110">
        <v>2691840.1498200004</v>
      </c>
      <c r="AQ113" s="8">
        <v>2561520.5529999998</v>
      </c>
      <c r="AR113" s="8">
        <v>3242944.6621300001</v>
      </c>
      <c r="AS113" s="8">
        <f>AS108</f>
        <v>5070382.3437600005</v>
      </c>
      <c r="AT113" s="40">
        <f t="shared" si="113"/>
        <v>13566687.708710002</v>
      </c>
      <c r="AU113" s="8">
        <f t="shared" si="115"/>
        <v>4057768.9599499996</v>
      </c>
      <c r="AV113" s="8">
        <f t="shared" si="115"/>
        <v>3905399.3833000003</v>
      </c>
      <c r="AW113" s="8">
        <f t="shared" si="115"/>
        <v>4516502.1157100005</v>
      </c>
      <c r="AX113" s="8">
        <f t="shared" si="115"/>
        <v>4425674.1566199996</v>
      </c>
      <c r="AY113" s="40">
        <f>SUM(AU113:AX113)</f>
        <v>16905344.61558</v>
      </c>
      <c r="AZ113" s="8">
        <v>3884492.0621000002</v>
      </c>
    </row>
    <row r="114" spans="1:52" ht="15.75" thickBot="1">
      <c r="A114" s="225" t="s">
        <v>820</v>
      </c>
      <c r="Q114" s="76"/>
      <c r="R114" s="76"/>
      <c r="S114" s="76"/>
      <c r="T114" s="76"/>
      <c r="U114" s="178"/>
      <c r="V114" s="76"/>
      <c r="W114" s="76"/>
      <c r="X114" s="76"/>
      <c r="Y114" s="76"/>
      <c r="Z114" s="178"/>
      <c r="AA114" s="76"/>
      <c r="AB114" s="76"/>
      <c r="AC114" s="76">
        <v>64470</v>
      </c>
      <c r="AD114" s="76">
        <v>639315</v>
      </c>
      <c r="AE114" s="178">
        <f>SUM(AA114:AD114)</f>
        <v>703785</v>
      </c>
      <c r="AF114" s="76">
        <v>2593145</v>
      </c>
      <c r="AG114" s="76">
        <v>5109575</v>
      </c>
      <c r="AH114" s="76">
        <v>8296545</v>
      </c>
      <c r="AI114" s="76">
        <v>10442303.670879999</v>
      </c>
      <c r="AJ114" s="178">
        <f>AI114</f>
        <v>10442303.670879999</v>
      </c>
      <c r="AK114" s="76">
        <v>12566690.064099999</v>
      </c>
      <c r="AL114" s="76">
        <v>14843307.722600101</v>
      </c>
      <c r="AM114" s="76">
        <v>17811559.829720058</v>
      </c>
      <c r="AN114" s="76">
        <v>20363872.012329999</v>
      </c>
      <c r="AO114" s="178">
        <f>AN114</f>
        <v>20363872.012329999</v>
      </c>
      <c r="AP114" s="76">
        <v>22556665.87277</v>
      </c>
      <c r="AQ114" s="76">
        <v>24675193.269700002</v>
      </c>
      <c r="AR114" s="76">
        <v>28093307.676430002</v>
      </c>
      <c r="AS114" s="76">
        <v>33012158.590659998</v>
      </c>
      <c r="AT114" s="178">
        <f>AS114</f>
        <v>33012158.590659998</v>
      </c>
      <c r="AU114" s="76">
        <v>36585416.517700002</v>
      </c>
      <c r="AV114" s="76">
        <v>39876252.227090001</v>
      </c>
      <c r="AW114" s="76">
        <v>43975769.677850008</v>
      </c>
      <c r="AX114" s="76">
        <v>48247249.254560009</v>
      </c>
      <c r="AY114" s="178">
        <f>AX114</f>
        <v>48247249.254560009</v>
      </c>
      <c r="AZ114" s="10">
        <v>50901326.827810012</v>
      </c>
    </row>
    <row r="115" spans="1:52">
      <c r="A115" s="11"/>
      <c r="Q115" s="239"/>
      <c r="R115" s="239"/>
      <c r="S115" s="239"/>
      <c r="T115" s="239"/>
      <c r="U115" s="8"/>
      <c r="V115" s="239"/>
      <c r="W115" s="239"/>
      <c r="X115" s="239"/>
      <c r="Y115" s="239"/>
      <c r="Z115" s="8"/>
      <c r="AA115" s="239"/>
      <c r="AB115" s="239"/>
      <c r="AC115" s="171"/>
      <c r="AD115" s="171"/>
      <c r="AE115" s="8"/>
      <c r="AF115" s="171"/>
      <c r="AG115" s="171"/>
      <c r="AH115" s="171"/>
      <c r="AI115" s="171"/>
      <c r="AJ115" s="8"/>
      <c r="AK115" s="242"/>
      <c r="AL115" s="171"/>
      <c r="AM115" s="171"/>
      <c r="AN115" s="171"/>
      <c r="AO115" s="8"/>
      <c r="AP115" s="242"/>
      <c r="AQ115" s="171"/>
      <c r="AR115" s="171"/>
      <c r="AS115" s="171"/>
      <c r="AT115" s="8"/>
      <c r="AU115" s="171"/>
      <c r="AV115" s="171"/>
      <c r="AW115" s="171"/>
      <c r="AX115" s="171"/>
      <c r="AY115" s="8"/>
      <c r="AZ115" s="8"/>
    </row>
    <row r="116" spans="1:52" ht="30">
      <c r="A116" s="769" t="s">
        <v>821</v>
      </c>
      <c r="Q116" s="239"/>
      <c r="R116" s="239"/>
      <c r="S116" s="239"/>
      <c r="T116" s="239"/>
      <c r="AZ116" s="114"/>
    </row>
    <row r="117" spans="1:52" ht="30">
      <c r="A117" s="769" t="s">
        <v>822</v>
      </c>
      <c r="Q117" s="239"/>
      <c r="R117" s="239"/>
      <c r="S117" s="239"/>
      <c r="T117" s="239"/>
      <c r="AZ117" s="187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23D36-5E76-43B9-BF75-47410E019DA4}">
  <dimension ref="A1:CP195"/>
  <sheetViews>
    <sheetView showGridLines="0" showRowColHeaders="0" zoomScale="75" zoomScaleNormal="75" workbookViewId="0">
      <pane xSplit="1" ySplit="3" topLeftCell="AH4" activePane="bottomRight" state="frozen"/>
      <selection activeCell="M8" sqref="M8"/>
      <selection pane="topRight" activeCell="M8" sqref="M8"/>
      <selection pane="bottomLeft" activeCell="M8" sqref="M8"/>
      <selection pane="bottomRight" activeCell="B1" sqref="B1"/>
    </sheetView>
  </sheetViews>
  <sheetFormatPr defaultColWidth="9.42578125" defaultRowHeight="15" outlineLevelCol="1"/>
  <cols>
    <col min="1" max="1" width="70.7109375" customWidth="1"/>
    <col min="2" max="9" width="15.5703125" hidden="1" customWidth="1" outlineLevel="1"/>
    <col min="10" max="10" width="15.5703125" customWidth="1" collapsed="1"/>
    <col min="11" max="38" width="15.5703125" customWidth="1"/>
    <col min="39" max="69" width="9.42578125" style="20"/>
  </cols>
  <sheetData>
    <row r="1" spans="1:38" ht="15" customHeight="1">
      <c r="A1" s="619" t="s">
        <v>1120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65"/>
      <c r="X1" s="665"/>
      <c r="Y1" s="665"/>
      <c r="Z1" s="665"/>
      <c r="AA1" s="665"/>
      <c r="AB1" s="665"/>
      <c r="AC1" s="665"/>
      <c r="AD1" s="665"/>
      <c r="AE1" s="665"/>
      <c r="AF1" s="665"/>
      <c r="AG1" s="665"/>
      <c r="AH1" s="665"/>
      <c r="AI1" s="665"/>
      <c r="AJ1" s="665"/>
      <c r="AK1" s="631"/>
      <c r="AL1" s="630"/>
    </row>
    <row r="2" spans="1:38" ht="1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32"/>
      <c r="AL2" s="630"/>
    </row>
    <row r="3" spans="1:38" ht="50.1" customHeight="1">
      <c r="A3" s="795" t="s">
        <v>747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31"/>
      <c r="AL3" s="630"/>
    </row>
    <row r="4" spans="1:38" ht="10.35" customHeight="1">
      <c r="A4" s="5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171"/>
      <c r="AD4" s="171"/>
      <c r="AE4" s="171"/>
      <c r="AF4" s="171"/>
      <c r="AG4" s="171"/>
      <c r="AH4" s="171"/>
      <c r="AI4" s="171"/>
      <c r="AJ4" s="171"/>
      <c r="AK4" s="171"/>
      <c r="AL4" s="171"/>
    </row>
    <row r="5" spans="1:38" ht="24.4" customHeight="1">
      <c r="A5" s="625" t="s">
        <v>748</v>
      </c>
      <c r="B5" s="626" t="s">
        <v>228</v>
      </c>
      <c r="C5" s="626" t="s">
        <v>229</v>
      </c>
      <c r="D5" s="626" t="s">
        <v>230</v>
      </c>
      <c r="E5" s="626" t="s">
        <v>231</v>
      </c>
      <c r="F5" s="626" t="s">
        <v>232</v>
      </c>
      <c r="G5" s="626" t="s">
        <v>233</v>
      </c>
      <c r="H5" s="626" t="s">
        <v>234</v>
      </c>
      <c r="I5" s="626" t="s">
        <v>235</v>
      </c>
      <c r="J5" s="626" t="s">
        <v>236</v>
      </c>
      <c r="K5" s="626" t="s">
        <v>237</v>
      </c>
      <c r="L5" s="626" t="s">
        <v>238</v>
      </c>
      <c r="M5" s="626" t="s">
        <v>239</v>
      </c>
      <c r="N5" s="626" t="s">
        <v>240</v>
      </c>
      <c r="O5" s="626" t="s">
        <v>241</v>
      </c>
      <c r="P5" s="626" t="s">
        <v>242</v>
      </c>
      <c r="Q5" s="626" t="s">
        <v>243</v>
      </c>
      <c r="R5" s="626" t="s">
        <v>244</v>
      </c>
      <c r="S5" s="626" t="s">
        <v>245</v>
      </c>
      <c r="T5" s="626" t="s">
        <v>246</v>
      </c>
      <c r="U5" s="626" t="s">
        <v>247</v>
      </c>
      <c r="V5" s="626" t="s">
        <v>248</v>
      </c>
      <c r="W5" s="626" t="s">
        <v>249</v>
      </c>
      <c r="X5" s="626" t="s">
        <v>250</v>
      </c>
      <c r="Y5" s="626" t="s">
        <v>215</v>
      </c>
      <c r="Z5" s="626" t="s">
        <v>252</v>
      </c>
      <c r="AA5" s="626" t="s">
        <v>253</v>
      </c>
      <c r="AB5" s="626" t="s">
        <v>254</v>
      </c>
      <c r="AC5" s="626" t="s">
        <v>219</v>
      </c>
      <c r="AD5" s="626" t="s">
        <v>223</v>
      </c>
      <c r="AE5" s="626" t="s">
        <v>256</v>
      </c>
      <c r="AF5" s="626" t="s">
        <v>357</v>
      </c>
      <c r="AG5" s="626" t="s">
        <v>358</v>
      </c>
      <c r="AH5" s="626" t="s">
        <v>359</v>
      </c>
      <c r="AI5" s="626" t="s">
        <v>1115</v>
      </c>
      <c r="AJ5" s="626" t="s">
        <v>1116</v>
      </c>
      <c r="AK5" s="675" t="s">
        <v>1117</v>
      </c>
      <c r="AL5" s="645" t="s">
        <v>1124</v>
      </c>
    </row>
    <row r="6" spans="1:38">
      <c r="A6" s="9" t="s">
        <v>477</v>
      </c>
      <c r="B6" s="464">
        <f t="shared" ref="B6:AL6" si="0">B14+B40+B66+B110+B154</f>
        <v>-360600.84931000008</v>
      </c>
      <c r="C6" s="464">
        <f t="shared" si="0"/>
        <v>-346862.8316700001</v>
      </c>
      <c r="D6" s="464">
        <f t="shared" si="0"/>
        <v>-461075.58243000001</v>
      </c>
      <c r="E6" s="464">
        <f t="shared" si="0"/>
        <v>-295558.40027999994</v>
      </c>
      <c r="F6" s="464">
        <f t="shared" si="0"/>
        <v>-394611.39548000006</v>
      </c>
      <c r="G6" s="464">
        <f t="shared" si="0"/>
        <v>-372300.65850000002</v>
      </c>
      <c r="H6" s="464">
        <f t="shared" si="0"/>
        <v>-476021.80778999988</v>
      </c>
      <c r="I6" s="464">
        <f t="shared" si="0"/>
        <v>-245800.87909999999</v>
      </c>
      <c r="J6" s="464">
        <f t="shared" si="0"/>
        <v>-379849.04830999998</v>
      </c>
      <c r="K6" s="464">
        <f t="shared" si="0"/>
        <v>-315199.85710000002</v>
      </c>
      <c r="L6" s="464">
        <f t="shared" si="0"/>
        <v>-368674.89127000002</v>
      </c>
      <c r="M6" s="464">
        <f t="shared" si="0"/>
        <v>-193346.05693000002</v>
      </c>
      <c r="N6" s="464">
        <f t="shared" si="0"/>
        <v>-366545.06832999998</v>
      </c>
      <c r="O6" s="464">
        <f t="shared" si="0"/>
        <v>-380589.15208000003</v>
      </c>
      <c r="P6" s="464">
        <f t="shared" si="0"/>
        <v>-481858.68341</v>
      </c>
      <c r="Q6" s="464">
        <f t="shared" si="0"/>
        <v>-442703.74832000001</v>
      </c>
      <c r="R6" s="464">
        <f t="shared" si="0"/>
        <v>-535061.57292000006</v>
      </c>
      <c r="S6" s="464">
        <f t="shared" si="0"/>
        <v>-630498.60841999995</v>
      </c>
      <c r="T6" s="464">
        <f t="shared" si="0"/>
        <v>-629891.28107000014</v>
      </c>
      <c r="U6" s="464">
        <f t="shared" si="0"/>
        <v>-455701.26576000004</v>
      </c>
      <c r="V6" s="464">
        <f t="shared" si="0"/>
        <v>-510181.25333999994</v>
      </c>
      <c r="W6" s="464">
        <f t="shared" si="0"/>
        <v>-445736.86043999996</v>
      </c>
      <c r="X6" s="464">
        <f t="shared" si="0"/>
        <v>-498953.93435</v>
      </c>
      <c r="Y6" s="464">
        <f t="shared" si="0"/>
        <v>-599508.14373999985</v>
      </c>
      <c r="Z6" s="464">
        <f t="shared" si="0"/>
        <v>-527861.03662999999</v>
      </c>
      <c r="AA6" s="464">
        <f t="shared" si="0"/>
        <v>-455119.16972000006</v>
      </c>
      <c r="AB6" s="464">
        <f t="shared" si="0"/>
        <v>-472672.82091000001</v>
      </c>
      <c r="AC6" s="464">
        <f t="shared" si="0"/>
        <v>-463123.48663</v>
      </c>
      <c r="AD6" s="464">
        <f t="shared" si="0"/>
        <v>-478257.27077</v>
      </c>
      <c r="AE6" s="464">
        <f t="shared" si="0"/>
        <v>-1340623.0158500001</v>
      </c>
      <c r="AF6" s="464">
        <f t="shared" si="0"/>
        <v>-464430.46714999998</v>
      </c>
      <c r="AG6" s="464">
        <f t="shared" si="0"/>
        <v>-425207.55244</v>
      </c>
      <c r="AH6" s="464">
        <f t="shared" si="0"/>
        <v>-577102.49446000007</v>
      </c>
      <c r="AI6" s="464">
        <f t="shared" si="0"/>
        <v>-595438.36198999989</v>
      </c>
      <c r="AJ6" s="464">
        <f t="shared" si="0"/>
        <v>-579056.20096000005</v>
      </c>
      <c r="AK6" s="464">
        <f t="shared" si="0"/>
        <v>-542961.29721999995</v>
      </c>
      <c r="AL6" s="464">
        <f t="shared" si="0"/>
        <v>-562008.69765999995</v>
      </c>
    </row>
    <row r="7" spans="1:38">
      <c r="A7" s="11" t="s">
        <v>749</v>
      </c>
      <c r="B7" s="454">
        <f t="shared" ref="B7:AI7" si="1">B15+B41+B67+B111</f>
        <v>0</v>
      </c>
      <c r="C7" s="454">
        <f t="shared" si="1"/>
        <v>0</v>
      </c>
      <c r="D7" s="454">
        <f t="shared" si="1"/>
        <v>0</v>
      </c>
      <c r="E7" s="454">
        <f t="shared" si="1"/>
        <v>0</v>
      </c>
      <c r="F7" s="454">
        <f t="shared" si="1"/>
        <v>0</v>
      </c>
      <c r="G7" s="454">
        <f t="shared" si="1"/>
        <v>0</v>
      </c>
      <c r="H7" s="454">
        <f t="shared" si="1"/>
        <v>0</v>
      </c>
      <c r="I7" s="454">
        <f t="shared" si="1"/>
        <v>0</v>
      </c>
      <c r="J7" s="454">
        <f t="shared" si="1"/>
        <v>-113429.23009999999</v>
      </c>
      <c r="K7" s="454">
        <f t="shared" si="1"/>
        <v>-68390.696930000006</v>
      </c>
      <c r="L7" s="454">
        <f t="shared" si="1"/>
        <v>-65819.772079999995</v>
      </c>
      <c r="M7" s="454">
        <f t="shared" si="1"/>
        <v>-64794.178289999996</v>
      </c>
      <c r="N7" s="454">
        <f t="shared" si="1"/>
        <v>-123270.90938</v>
      </c>
      <c r="O7" s="454">
        <f t="shared" si="1"/>
        <v>-110431.28318</v>
      </c>
      <c r="P7" s="454">
        <f t="shared" si="1"/>
        <v>-168119.22394</v>
      </c>
      <c r="Q7" s="454">
        <f t="shared" si="1"/>
        <v>-150656.28389000002</v>
      </c>
      <c r="R7" s="454">
        <f t="shared" si="1"/>
        <v>-500546.20851999999</v>
      </c>
      <c r="S7" s="454">
        <f t="shared" si="1"/>
        <v>-618883.61307999992</v>
      </c>
      <c r="T7" s="454">
        <f t="shared" si="1"/>
        <v>-519393.38835999998</v>
      </c>
      <c r="U7" s="454">
        <f t="shared" si="1"/>
        <v>-320671.53769000003</v>
      </c>
      <c r="V7" s="454">
        <f t="shared" si="1"/>
        <v>-383565.60189999995</v>
      </c>
      <c r="W7" s="454">
        <f t="shared" si="1"/>
        <v>-362644.59879000002</v>
      </c>
      <c r="X7" s="454">
        <f t="shared" si="1"/>
        <v>-394875.72528000001</v>
      </c>
      <c r="Y7" s="454">
        <f t="shared" si="1"/>
        <v>-499047.03157999989</v>
      </c>
      <c r="Z7" s="454">
        <f t="shared" si="1"/>
        <v>-344336.03067999997</v>
      </c>
      <c r="AA7" s="454">
        <f t="shared" si="1"/>
        <v>-368530.57645000005</v>
      </c>
      <c r="AB7" s="454">
        <f t="shared" si="1"/>
        <v>-382629.25306000002</v>
      </c>
      <c r="AC7" s="454">
        <f t="shared" si="1"/>
        <v>-381114.49315999995</v>
      </c>
      <c r="AD7" s="454">
        <f t="shared" si="1"/>
        <v>-366178.90550000005</v>
      </c>
      <c r="AE7" s="454">
        <f t="shared" si="1"/>
        <v>-976227.16451999999</v>
      </c>
      <c r="AF7" s="454">
        <f t="shared" si="1"/>
        <v>-461479.92710000009</v>
      </c>
      <c r="AG7" s="454">
        <f t="shared" si="1"/>
        <v>-304429.25484999997</v>
      </c>
      <c r="AH7" s="454">
        <f t="shared" si="1"/>
        <v>-453026.82504000003</v>
      </c>
      <c r="AI7" s="454">
        <f t="shared" si="1"/>
        <v>-537909.08487999998</v>
      </c>
      <c r="AJ7" s="454">
        <f>AJ15+AJ41+AJ67+AJ111+AJ154</f>
        <v>-530532.87551000004</v>
      </c>
      <c r="AK7" s="454">
        <f>AK15+AK41+AK67+AK111+AK154</f>
        <v>-490965.3846799999</v>
      </c>
      <c r="AL7" s="454">
        <f>AL15+AL41+AL67+AL111+AL154</f>
        <v>-514700.12080999999</v>
      </c>
    </row>
    <row r="8" spans="1:38">
      <c r="A8" s="11" t="s">
        <v>750</v>
      </c>
      <c r="B8" s="454">
        <f t="shared" ref="B8:AI8" si="2">B16+B42+B68+B112</f>
        <v>0</v>
      </c>
      <c r="C8" s="454">
        <f t="shared" si="2"/>
        <v>0</v>
      </c>
      <c r="D8" s="454">
        <f t="shared" si="2"/>
        <v>0</v>
      </c>
      <c r="E8" s="454">
        <f t="shared" si="2"/>
        <v>0</v>
      </c>
      <c r="F8" s="454">
        <f t="shared" si="2"/>
        <v>0</v>
      </c>
      <c r="G8" s="454">
        <f t="shared" si="2"/>
        <v>0</v>
      </c>
      <c r="H8" s="454">
        <f t="shared" si="2"/>
        <v>0</v>
      </c>
      <c r="I8" s="454">
        <f t="shared" si="2"/>
        <v>0</v>
      </c>
      <c r="J8" s="454">
        <f t="shared" si="2"/>
        <v>-3664.8199599999998</v>
      </c>
      <c r="K8" s="454">
        <f t="shared" si="2"/>
        <v>3476.7986599999995</v>
      </c>
      <c r="L8" s="454">
        <f t="shared" si="2"/>
        <v>3952.3771299999999</v>
      </c>
      <c r="M8" s="454">
        <f t="shared" si="2"/>
        <v>5095.4288599999991</v>
      </c>
      <c r="N8" s="454">
        <f t="shared" si="2"/>
        <v>2397.0780600000003</v>
      </c>
      <c r="O8" s="454">
        <f t="shared" si="2"/>
        <v>1501.2002400000001</v>
      </c>
      <c r="P8" s="454">
        <f t="shared" si="2"/>
        <v>-403.98594999999995</v>
      </c>
      <c r="Q8" s="454">
        <f t="shared" si="2"/>
        <v>335.75257000000005</v>
      </c>
      <c r="R8" s="454">
        <f t="shared" si="2"/>
        <v>-38.314839999999947</v>
      </c>
      <c r="S8" s="454">
        <f t="shared" si="2"/>
        <v>-1101.0298299999999</v>
      </c>
      <c r="T8" s="454">
        <f t="shared" si="2"/>
        <v>212.05643000000003</v>
      </c>
      <c r="U8" s="454">
        <f t="shared" si="2"/>
        <v>-414.01474999999999</v>
      </c>
      <c r="V8" s="454">
        <f t="shared" si="2"/>
        <v>652.59006999999986</v>
      </c>
      <c r="W8" s="454">
        <f t="shared" si="2"/>
        <v>-397.92759000000001</v>
      </c>
      <c r="X8" s="454">
        <f t="shared" si="2"/>
        <v>616.02541000000008</v>
      </c>
      <c r="Y8" s="454">
        <f t="shared" si="2"/>
        <v>2085.2933300000004</v>
      </c>
      <c r="Z8" s="454">
        <f t="shared" si="2"/>
        <v>422.53936000000004</v>
      </c>
      <c r="AA8" s="454">
        <f t="shared" si="2"/>
        <v>289.74244000000022</v>
      </c>
      <c r="AB8" s="454">
        <f t="shared" si="2"/>
        <v>518.50323000000003</v>
      </c>
      <c r="AC8" s="454">
        <f t="shared" si="2"/>
        <v>-445.44114999999988</v>
      </c>
      <c r="AD8" s="454">
        <f t="shared" si="2"/>
        <v>-596.03600000000006</v>
      </c>
      <c r="AE8" s="454">
        <f t="shared" si="2"/>
        <v>-1007.4996399999998</v>
      </c>
      <c r="AF8" s="454">
        <f t="shared" si="2"/>
        <v>30.823360000000008</v>
      </c>
      <c r="AG8" s="454">
        <f t="shared" si="2"/>
        <v>-49.364949999999993</v>
      </c>
      <c r="AH8" s="454">
        <f t="shared" si="2"/>
        <v>30.143390000000021</v>
      </c>
      <c r="AI8" s="454">
        <f t="shared" si="2"/>
        <v>43.006950000000025</v>
      </c>
      <c r="AJ8" s="454">
        <f>AJ16+AJ42+AJ68+AJ112</f>
        <v>-126.93272999999998</v>
      </c>
      <c r="AK8" s="454">
        <f>AK16+AK42+AK68+AK112</f>
        <v>269.69600000000003</v>
      </c>
      <c r="AL8" s="454">
        <f>AL16+AL42+AL68+AL112</f>
        <v>9.2717999999999954</v>
      </c>
    </row>
    <row r="9" spans="1:38">
      <c r="A9" s="11" t="s">
        <v>751</v>
      </c>
      <c r="B9" s="454">
        <f t="shared" ref="B9:AI9" si="3">B17+B43+B69+B113</f>
        <v>0</v>
      </c>
      <c r="C9" s="454">
        <f t="shared" si="3"/>
        <v>0</v>
      </c>
      <c r="D9" s="454">
        <f t="shared" si="3"/>
        <v>0</v>
      </c>
      <c r="E9" s="454">
        <f t="shared" si="3"/>
        <v>0</v>
      </c>
      <c r="F9" s="454">
        <f t="shared" si="3"/>
        <v>0</v>
      </c>
      <c r="G9" s="454">
        <f t="shared" si="3"/>
        <v>0</v>
      </c>
      <c r="H9" s="454">
        <f t="shared" si="3"/>
        <v>0</v>
      </c>
      <c r="I9" s="454">
        <f t="shared" si="3"/>
        <v>0</v>
      </c>
      <c r="J9" s="454">
        <f t="shared" si="3"/>
        <v>-12844.88399</v>
      </c>
      <c r="K9" s="454">
        <f t="shared" si="3"/>
        <v>0</v>
      </c>
      <c r="L9" s="454">
        <f t="shared" si="3"/>
        <v>0</v>
      </c>
      <c r="M9" s="454">
        <f t="shared" si="3"/>
        <v>26.643699999999999</v>
      </c>
      <c r="N9" s="454">
        <f t="shared" si="3"/>
        <v>0</v>
      </c>
      <c r="O9" s="454">
        <f t="shared" si="3"/>
        <v>0</v>
      </c>
      <c r="P9" s="454">
        <f t="shared" si="3"/>
        <v>-6.0790000000000004E-2</v>
      </c>
      <c r="Q9" s="454">
        <f t="shared" si="3"/>
        <v>0</v>
      </c>
      <c r="R9" s="454">
        <f t="shared" si="3"/>
        <v>1945.0128700000002</v>
      </c>
      <c r="S9" s="454">
        <f t="shared" si="3"/>
        <v>-1935.1853400000002</v>
      </c>
      <c r="T9" s="454">
        <f t="shared" si="3"/>
        <v>75.976889999999941</v>
      </c>
      <c r="U9" s="454">
        <f t="shared" si="3"/>
        <v>33687.963349999998</v>
      </c>
      <c r="V9" s="454">
        <f t="shared" si="3"/>
        <v>25091.014090000001</v>
      </c>
      <c r="W9" s="454">
        <f t="shared" si="3"/>
        <v>23387.671700000003</v>
      </c>
      <c r="X9" s="454">
        <f t="shared" si="3"/>
        <v>10655.01936</v>
      </c>
      <c r="Y9" s="454">
        <f t="shared" si="3"/>
        <v>2406.2535400000002</v>
      </c>
      <c r="Z9" s="454">
        <f t="shared" si="3"/>
        <v>2141.7001499999997</v>
      </c>
      <c r="AA9" s="454">
        <f t="shared" si="3"/>
        <v>251.64772000000005</v>
      </c>
      <c r="AB9" s="454">
        <f t="shared" si="3"/>
        <v>2820.7268799999997</v>
      </c>
      <c r="AC9" s="454">
        <f t="shared" si="3"/>
        <v>-32.952259999999995</v>
      </c>
      <c r="AD9" s="454">
        <f t="shared" si="3"/>
        <v>218.25962000000001</v>
      </c>
      <c r="AE9" s="454">
        <f t="shared" si="3"/>
        <v>-2.3200899999999915</v>
      </c>
      <c r="AF9" s="454">
        <f t="shared" si="3"/>
        <v>157.52543</v>
      </c>
      <c r="AG9" s="454">
        <f t="shared" si="3"/>
        <v>-12.59361</v>
      </c>
      <c r="AH9" s="454">
        <f t="shared" si="3"/>
        <v>419.22401000000008</v>
      </c>
      <c r="AI9" s="454">
        <f t="shared" si="3"/>
        <v>-69.562730000000002</v>
      </c>
      <c r="AJ9" s="454">
        <f t="shared" ref="AJ9:AK11" si="4">AJ17+AJ43+AJ69+AJ113+AJ155</f>
        <v>637.91430000000003</v>
      </c>
      <c r="AK9" s="454">
        <f t="shared" si="4"/>
        <v>-110.35955000000001</v>
      </c>
      <c r="AL9" s="454">
        <f>AL17+AL43+AL69+AL113+AL158</f>
        <v>-30.07583</v>
      </c>
    </row>
    <row r="10" spans="1:38">
      <c r="A10" s="11" t="s">
        <v>752</v>
      </c>
      <c r="B10" s="454">
        <f t="shared" ref="B10:AI10" si="5">B18+B44+B70+B114</f>
        <v>0</v>
      </c>
      <c r="C10" s="454">
        <f t="shared" si="5"/>
        <v>0</v>
      </c>
      <c r="D10" s="454">
        <f t="shared" si="5"/>
        <v>0</v>
      </c>
      <c r="E10" s="454">
        <f t="shared" si="5"/>
        <v>0</v>
      </c>
      <c r="F10" s="454">
        <f t="shared" si="5"/>
        <v>0</v>
      </c>
      <c r="G10" s="454">
        <f t="shared" si="5"/>
        <v>0</v>
      </c>
      <c r="H10" s="454">
        <f t="shared" si="5"/>
        <v>0</v>
      </c>
      <c r="I10" s="454">
        <f t="shared" si="5"/>
        <v>0</v>
      </c>
      <c r="J10" s="454">
        <f t="shared" si="5"/>
        <v>76393.864139999947</v>
      </c>
      <c r="K10" s="454">
        <f t="shared" si="5"/>
        <v>-3142.9028600000001</v>
      </c>
      <c r="L10" s="454">
        <f t="shared" si="5"/>
        <v>-4208.8075900000003</v>
      </c>
      <c r="M10" s="454">
        <f t="shared" si="5"/>
        <v>-8133.0368900000003</v>
      </c>
      <c r="N10" s="454">
        <f t="shared" si="5"/>
        <v>-5738.5973000000004</v>
      </c>
      <c r="O10" s="454">
        <f t="shared" si="5"/>
        <v>-40097.424759999994</v>
      </c>
      <c r="P10" s="454">
        <f t="shared" si="5"/>
        <v>-9025.6330699999999</v>
      </c>
      <c r="Q10" s="454">
        <f t="shared" si="5"/>
        <v>-6852.0309000000007</v>
      </c>
      <c r="R10" s="454">
        <f t="shared" si="5"/>
        <v>28929.17123</v>
      </c>
      <c r="S10" s="454">
        <f t="shared" si="5"/>
        <v>57174.192230000001</v>
      </c>
      <c r="T10" s="454">
        <f t="shared" si="5"/>
        <v>-16980.279540000003</v>
      </c>
      <c r="U10" s="454">
        <f t="shared" si="5"/>
        <v>-74794.984469999996</v>
      </c>
      <c r="V10" s="454">
        <f t="shared" si="5"/>
        <v>-49852.593160000004</v>
      </c>
      <c r="W10" s="454">
        <f t="shared" si="5"/>
        <v>-18440.136659999996</v>
      </c>
      <c r="X10" s="454">
        <f t="shared" si="5"/>
        <v>-12808.844629999992</v>
      </c>
      <c r="Y10" s="454">
        <f t="shared" si="5"/>
        <v>11035.444560000004</v>
      </c>
      <c r="Z10" s="454">
        <f t="shared" si="5"/>
        <v>-85456.483730000007</v>
      </c>
      <c r="AA10" s="454">
        <f t="shared" si="5"/>
        <v>1817.4076899999982</v>
      </c>
      <c r="AB10" s="454">
        <f t="shared" si="5"/>
        <v>1332.0480800000014</v>
      </c>
      <c r="AC10" s="454">
        <f t="shared" si="5"/>
        <v>17202.516819999997</v>
      </c>
      <c r="AD10" s="454">
        <f t="shared" si="5"/>
        <v>-8705.2280200000005</v>
      </c>
      <c r="AE10" s="454">
        <f t="shared" si="5"/>
        <v>-248449.41545999993</v>
      </c>
      <c r="AF10" s="454">
        <f t="shared" si="5"/>
        <v>98115.863659999988</v>
      </c>
      <c r="AG10" s="454">
        <f t="shared" si="5"/>
        <v>-2823.186439999999</v>
      </c>
      <c r="AH10" s="454">
        <f t="shared" si="5"/>
        <v>-12227.251890000003</v>
      </c>
      <c r="AI10" s="454">
        <f t="shared" si="5"/>
        <v>50907.171580000002</v>
      </c>
      <c r="AJ10" s="454">
        <f t="shared" si="4"/>
        <v>-4218.9282800000001</v>
      </c>
      <c r="AK10" s="454">
        <f t="shared" si="4"/>
        <v>-11282.808849999999</v>
      </c>
      <c r="AL10" s="454">
        <f>AL18+AL44+AL70+AL114+AL158</f>
        <v>-12720.438749999998</v>
      </c>
    </row>
    <row r="11" spans="1:38">
      <c r="A11" s="11" t="s">
        <v>753</v>
      </c>
      <c r="B11" s="454">
        <f t="shared" ref="B11:AI11" si="6">B19+B45+B71+B115</f>
        <v>0</v>
      </c>
      <c r="C11" s="454">
        <f t="shared" si="6"/>
        <v>0</v>
      </c>
      <c r="D11" s="454">
        <f t="shared" si="6"/>
        <v>0</v>
      </c>
      <c r="E11" s="454">
        <f t="shared" si="6"/>
        <v>0</v>
      </c>
      <c r="F11" s="454">
        <f t="shared" si="6"/>
        <v>0</v>
      </c>
      <c r="G11" s="454">
        <f t="shared" si="6"/>
        <v>0</v>
      </c>
      <c r="H11" s="454">
        <f t="shared" si="6"/>
        <v>0</v>
      </c>
      <c r="I11" s="454">
        <f t="shared" si="6"/>
        <v>0</v>
      </c>
      <c r="J11" s="454">
        <f t="shared" si="6"/>
        <v>-3994.6771500000004</v>
      </c>
      <c r="K11" s="454">
        <f t="shared" si="6"/>
        <v>-4323.9695899999997</v>
      </c>
      <c r="L11" s="454">
        <f t="shared" si="6"/>
        <v>-5473.8820200000009</v>
      </c>
      <c r="M11" s="454">
        <f t="shared" si="6"/>
        <v>-6589.4165599999997</v>
      </c>
      <c r="N11" s="454">
        <f t="shared" si="6"/>
        <v>-23021.466959999998</v>
      </c>
      <c r="O11" s="454">
        <f t="shared" si="6"/>
        <v>-18721.54681</v>
      </c>
      <c r="P11" s="454">
        <f t="shared" si="6"/>
        <v>-20703.091939999998</v>
      </c>
      <c r="Q11" s="454">
        <f t="shared" si="6"/>
        <v>-21046.627690000001</v>
      </c>
      <c r="R11" s="454">
        <f t="shared" si="6"/>
        <v>-21073.989979999998</v>
      </c>
      <c r="S11" s="454">
        <f t="shared" si="6"/>
        <v>-19347.984210000002</v>
      </c>
      <c r="T11" s="454">
        <f t="shared" si="6"/>
        <v>-24428.28832</v>
      </c>
      <c r="U11" s="454">
        <f t="shared" si="6"/>
        <v>-31165.029450000002</v>
      </c>
      <c r="V11" s="454">
        <f t="shared" si="6"/>
        <v>-27227.110659999998</v>
      </c>
      <c r="W11" s="454">
        <f t="shared" si="6"/>
        <v>-24227.785190000002</v>
      </c>
      <c r="X11" s="454">
        <f t="shared" si="6"/>
        <v>-29990.501340000003</v>
      </c>
      <c r="Y11" s="454">
        <f t="shared" si="6"/>
        <v>-27645.124559999997</v>
      </c>
      <c r="Z11" s="454">
        <f t="shared" si="6"/>
        <v>-29359.409510000001</v>
      </c>
      <c r="AA11" s="454">
        <f t="shared" si="6"/>
        <v>-25256.496569999999</v>
      </c>
      <c r="AB11" s="454">
        <f t="shared" si="6"/>
        <v>-28476.484039999999</v>
      </c>
      <c r="AC11" s="454">
        <f t="shared" si="6"/>
        <v>-27922.144390000001</v>
      </c>
      <c r="AD11" s="454">
        <f t="shared" si="6"/>
        <v>-27629.215530000001</v>
      </c>
      <c r="AE11" s="454">
        <f t="shared" si="6"/>
        <v>-27539.684869999997</v>
      </c>
      <c r="AF11" s="454">
        <f t="shared" si="6"/>
        <v>-33777.794769999993</v>
      </c>
      <c r="AG11" s="454">
        <f t="shared" si="6"/>
        <v>-40292.372589999999</v>
      </c>
      <c r="AH11" s="454">
        <f t="shared" si="6"/>
        <v>-39820.861969999998</v>
      </c>
      <c r="AI11" s="454">
        <f t="shared" si="6"/>
        <v>-42541.869380000004</v>
      </c>
      <c r="AJ11" s="454">
        <f t="shared" si="4"/>
        <v>-44815.37874</v>
      </c>
      <c r="AK11" s="454">
        <f t="shared" si="4"/>
        <v>-40872.440140000006</v>
      </c>
      <c r="AL11" s="454">
        <f>AL19+AL45+AL71+AL115+AL159</f>
        <v>-34567.334069999997</v>
      </c>
    </row>
    <row r="12" spans="1:38">
      <c r="A12" s="11"/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</row>
    <row r="13" spans="1:38" ht="24.4" customHeight="1">
      <c r="A13" s="625" t="s">
        <v>754</v>
      </c>
      <c r="B13" s="626" t="s">
        <v>228</v>
      </c>
      <c r="C13" s="626" t="s">
        <v>229</v>
      </c>
      <c r="D13" s="626" t="s">
        <v>230</v>
      </c>
      <c r="E13" s="626" t="s">
        <v>231</v>
      </c>
      <c r="F13" s="626" t="s">
        <v>232</v>
      </c>
      <c r="G13" s="626" t="s">
        <v>233</v>
      </c>
      <c r="H13" s="626" t="s">
        <v>234</v>
      </c>
      <c r="I13" s="626" t="s">
        <v>235</v>
      </c>
      <c r="J13" s="626" t="s">
        <v>236</v>
      </c>
      <c r="K13" s="626" t="s">
        <v>237</v>
      </c>
      <c r="L13" s="626" t="s">
        <v>238</v>
      </c>
      <c r="M13" s="626" t="s">
        <v>239</v>
      </c>
      <c r="N13" s="626" t="s">
        <v>240</v>
      </c>
      <c r="O13" s="626" t="s">
        <v>241</v>
      </c>
      <c r="P13" s="626" t="s">
        <v>242</v>
      </c>
      <c r="Q13" s="626" t="s">
        <v>243</v>
      </c>
      <c r="R13" s="626" t="s">
        <v>244</v>
      </c>
      <c r="S13" s="626" t="s">
        <v>245</v>
      </c>
      <c r="T13" s="626" t="s">
        <v>246</v>
      </c>
      <c r="U13" s="626" t="s">
        <v>247</v>
      </c>
      <c r="V13" s="626" t="s">
        <v>248</v>
      </c>
      <c r="W13" s="626" t="s">
        <v>249</v>
      </c>
      <c r="X13" s="626" t="s">
        <v>250</v>
      </c>
      <c r="Y13" s="626" t="s">
        <v>215</v>
      </c>
      <c r="Z13" s="626" t="s">
        <v>252</v>
      </c>
      <c r="AA13" s="626" t="s">
        <v>253</v>
      </c>
      <c r="AB13" s="626" t="s">
        <v>254</v>
      </c>
      <c r="AC13" s="626" t="s">
        <v>219</v>
      </c>
      <c r="AD13" s="626" t="s">
        <v>223</v>
      </c>
      <c r="AE13" s="626" t="s">
        <v>256</v>
      </c>
      <c r="AF13" s="626" t="s">
        <v>357</v>
      </c>
      <c r="AG13" s="626" t="s">
        <v>358</v>
      </c>
      <c r="AH13" s="626" t="s">
        <v>359</v>
      </c>
      <c r="AI13" s="626" t="s">
        <v>1115</v>
      </c>
      <c r="AJ13" s="626" t="s">
        <v>1116</v>
      </c>
      <c r="AK13" s="675" t="s">
        <v>1117</v>
      </c>
      <c r="AL13" s="645" t="s">
        <v>1124</v>
      </c>
    </row>
    <row r="14" spans="1:38">
      <c r="A14" s="9" t="s">
        <v>477</v>
      </c>
      <c r="B14" s="449">
        <v>-113970.07094000001</v>
      </c>
      <c r="C14" s="449">
        <v>-106592.92770000006</v>
      </c>
      <c r="D14" s="449">
        <v>-215256.17722999994</v>
      </c>
      <c r="E14" s="449">
        <v>-77450.877120000005</v>
      </c>
      <c r="F14" s="449">
        <v>-148155.50269000002</v>
      </c>
      <c r="G14" s="449">
        <v>-136202.22310999999</v>
      </c>
      <c r="H14" s="449">
        <v>-237158.07703999995</v>
      </c>
      <c r="I14" s="449">
        <v>-42681.867850000002</v>
      </c>
      <c r="J14" s="464">
        <v>-157140.41107999999</v>
      </c>
      <c r="K14" s="464">
        <v>-114065.30188</v>
      </c>
      <c r="L14" s="464">
        <v>-156644.37211000003</v>
      </c>
      <c r="M14" s="464">
        <v>-62011.903230000011</v>
      </c>
      <c r="N14" s="464">
        <v>-133931.1637</v>
      </c>
      <c r="O14" s="464">
        <v>-172960.48825999998</v>
      </c>
      <c r="P14" s="464">
        <v>-226326.90495000003</v>
      </c>
      <c r="Q14" s="464">
        <v>-199769.90021999998</v>
      </c>
      <c r="R14" s="464">
        <v>-272928.38083000004</v>
      </c>
      <c r="S14" s="464">
        <v>-322269.76231999998</v>
      </c>
      <c r="T14" s="464">
        <v>-306137.47528000007</v>
      </c>
      <c r="U14" s="464">
        <v>-170481.91832000003</v>
      </c>
      <c r="V14" s="464">
        <v>-205357.06245</v>
      </c>
      <c r="W14" s="464">
        <v>-171984.34445999999</v>
      </c>
      <c r="X14" s="449">
        <f t="shared" ref="X14:AF14" si="7">SUM(X15:X19)</f>
        <v>-190208.87760000004</v>
      </c>
      <c r="Y14" s="449">
        <f t="shared" si="7"/>
        <v>-270665.50329999992</v>
      </c>
      <c r="Z14" s="449">
        <f t="shared" si="7"/>
        <v>-213307.15824999995</v>
      </c>
      <c r="AA14" s="449">
        <f t="shared" si="7"/>
        <v>-187259.32535000003</v>
      </c>
      <c r="AB14" s="449">
        <f t="shared" si="7"/>
        <v>-186025.80690999998</v>
      </c>
      <c r="AC14" s="464">
        <f t="shared" si="7"/>
        <v>-143199.76876000001</v>
      </c>
      <c r="AD14" s="464">
        <f t="shared" si="7"/>
        <v>-202708.62267000001</v>
      </c>
      <c r="AE14" s="464">
        <f t="shared" si="7"/>
        <v>-672404.94429000001</v>
      </c>
      <c r="AF14" s="464">
        <f t="shared" si="7"/>
        <v>-144119.12762000004</v>
      </c>
      <c r="AG14" s="464">
        <f t="shared" ref="AG14:AL14" si="8">SUM(AG15:AG19)</f>
        <v>-174116.09</v>
      </c>
      <c r="AH14" s="464">
        <f t="shared" si="8"/>
        <v>-249330.60993000004</v>
      </c>
      <c r="AI14" s="464">
        <f t="shared" si="8"/>
        <v>-270071.45023999998</v>
      </c>
      <c r="AJ14" s="464">
        <f t="shared" si="8"/>
        <v>-267179.78699000005</v>
      </c>
      <c r="AK14" s="464">
        <f t="shared" si="8"/>
        <v>-248602.33673999994</v>
      </c>
      <c r="AL14" s="464">
        <f t="shared" si="8"/>
        <v>-270274.20556999993</v>
      </c>
    </row>
    <row r="15" spans="1:38">
      <c r="A15" s="11" t="s">
        <v>749</v>
      </c>
      <c r="B15" s="454">
        <v>0</v>
      </c>
      <c r="C15" s="454">
        <v>0</v>
      </c>
      <c r="D15" s="454">
        <v>0</v>
      </c>
      <c r="E15" s="454">
        <v>0</v>
      </c>
      <c r="F15" s="454">
        <v>0</v>
      </c>
      <c r="G15" s="454">
        <v>0</v>
      </c>
      <c r="H15" s="454">
        <v>0</v>
      </c>
      <c r="I15" s="454">
        <v>0</v>
      </c>
      <c r="J15" s="465">
        <v>0</v>
      </c>
      <c r="K15" s="465">
        <v>0</v>
      </c>
      <c r="L15" s="465">
        <v>0</v>
      </c>
      <c r="M15" s="465">
        <v>0</v>
      </c>
      <c r="N15" s="465">
        <v>0</v>
      </c>
      <c r="O15" s="465">
        <v>0</v>
      </c>
      <c r="P15" s="465">
        <v>0</v>
      </c>
      <c r="Q15" s="465">
        <v>0</v>
      </c>
      <c r="R15" s="465">
        <f t="shared" ref="R15:AL15" si="9">R23+R32</f>
        <v>-290957.25568999996</v>
      </c>
      <c r="S15" s="465">
        <f t="shared" si="9"/>
        <v>-343783.43307999999</v>
      </c>
      <c r="T15" s="465">
        <f t="shared" si="9"/>
        <v>-296566.97583000001</v>
      </c>
      <c r="U15" s="465">
        <f t="shared" si="9"/>
        <v>-148161.20683000001</v>
      </c>
      <c r="V15" s="465">
        <f t="shared" si="9"/>
        <v>-196231.03946</v>
      </c>
      <c r="W15" s="465">
        <f t="shared" si="9"/>
        <v>-208799.50953000004</v>
      </c>
      <c r="X15" s="465">
        <f t="shared" si="9"/>
        <v>-194860.54948000005</v>
      </c>
      <c r="Y15" s="465">
        <f t="shared" si="9"/>
        <v>-279800.29096999997</v>
      </c>
      <c r="Z15" s="465">
        <f t="shared" si="9"/>
        <v>-176427.62705999997</v>
      </c>
      <c r="AA15" s="465">
        <f t="shared" si="9"/>
        <v>-200396.08351000003</v>
      </c>
      <c r="AB15" s="465">
        <f t="shared" si="9"/>
        <v>-185999.05889000001</v>
      </c>
      <c r="AC15" s="465">
        <f t="shared" si="9"/>
        <v>-166921.15711999999</v>
      </c>
      <c r="AD15" s="465">
        <f t="shared" si="9"/>
        <v>-201018.78657000003</v>
      </c>
      <c r="AE15" s="465">
        <f t="shared" si="9"/>
        <v>-494016.68022000004</v>
      </c>
      <c r="AF15" s="465">
        <f t="shared" si="9"/>
        <v>-282218.26141000004</v>
      </c>
      <c r="AG15" s="465">
        <f t="shared" si="9"/>
        <v>-188243.33299999998</v>
      </c>
      <c r="AH15" s="465">
        <f t="shared" si="9"/>
        <v>-262995.14916000003</v>
      </c>
      <c r="AI15" s="465">
        <f t="shared" si="9"/>
        <v>-265381.12805</v>
      </c>
      <c r="AJ15" s="465">
        <f t="shared" si="9"/>
        <v>-270717.66153000004</v>
      </c>
      <c r="AK15" s="465">
        <f t="shared" si="9"/>
        <v>-246521.42714999994</v>
      </c>
      <c r="AL15" s="465">
        <f t="shared" si="9"/>
        <v>-269658.58338999999</v>
      </c>
    </row>
    <row r="16" spans="1:38">
      <c r="A16" s="11" t="s">
        <v>750</v>
      </c>
      <c r="B16" s="454">
        <v>0</v>
      </c>
      <c r="C16" s="454">
        <v>0</v>
      </c>
      <c r="D16" s="454">
        <v>0</v>
      </c>
      <c r="E16" s="454">
        <v>0</v>
      </c>
      <c r="F16" s="454">
        <v>0</v>
      </c>
      <c r="G16" s="454">
        <v>0</v>
      </c>
      <c r="H16" s="454">
        <v>0</v>
      </c>
      <c r="I16" s="454">
        <v>0</v>
      </c>
      <c r="J16" s="465">
        <v>0</v>
      </c>
      <c r="K16" s="465">
        <v>0</v>
      </c>
      <c r="L16" s="465">
        <v>0</v>
      </c>
      <c r="M16" s="465">
        <v>0</v>
      </c>
      <c r="N16" s="465">
        <v>0</v>
      </c>
      <c r="O16" s="465">
        <v>0</v>
      </c>
      <c r="P16" s="465">
        <v>0</v>
      </c>
      <c r="Q16" s="465">
        <v>0</v>
      </c>
      <c r="R16" s="465">
        <f t="shared" ref="R16:AL16" si="10">R24+R33</f>
        <v>-49.238340000000001</v>
      </c>
      <c r="S16" s="465">
        <f t="shared" si="10"/>
        <v>-35.787730000000003</v>
      </c>
      <c r="T16" s="465">
        <f t="shared" si="10"/>
        <v>-36.648919999999997</v>
      </c>
      <c r="U16" s="465">
        <f t="shared" si="10"/>
        <v>1.1117900000000001</v>
      </c>
      <c r="V16" s="465">
        <f t="shared" si="10"/>
        <v>1.0279699999999998</v>
      </c>
      <c r="W16" s="465">
        <f t="shared" si="10"/>
        <v>2.5388999999999999</v>
      </c>
      <c r="X16" s="465">
        <f t="shared" si="10"/>
        <v>1.7646400000000002</v>
      </c>
      <c r="Y16" s="465">
        <f t="shared" si="10"/>
        <v>18.386200000000002</v>
      </c>
      <c r="Z16" s="465">
        <f t="shared" si="10"/>
        <v>1.11524</v>
      </c>
      <c r="AA16" s="465">
        <f t="shared" si="10"/>
        <v>1.0403399999999998</v>
      </c>
      <c r="AB16" s="465">
        <f t="shared" si="10"/>
        <v>0.75445000000000007</v>
      </c>
      <c r="AC16" s="465">
        <f t="shared" si="10"/>
        <v>-4.4676999999999998</v>
      </c>
      <c r="AD16" s="465">
        <f t="shared" si="10"/>
        <v>1.5021399999999998</v>
      </c>
      <c r="AE16" s="465">
        <f t="shared" si="10"/>
        <v>0.8821</v>
      </c>
      <c r="AF16" s="465">
        <f t="shared" si="10"/>
        <v>0.81303999999999998</v>
      </c>
      <c r="AG16" s="465">
        <f t="shared" si="10"/>
        <v>-13.385</v>
      </c>
      <c r="AH16" s="465">
        <f t="shared" si="10"/>
        <v>1.44502</v>
      </c>
      <c r="AI16" s="465">
        <f t="shared" si="10"/>
        <v>1.2062999999999999</v>
      </c>
      <c r="AJ16" s="465">
        <f t="shared" si="10"/>
        <v>0.88688000000000011</v>
      </c>
      <c r="AK16" s="465">
        <f t="shared" si="10"/>
        <v>0.99817</v>
      </c>
      <c r="AL16" s="465">
        <f t="shared" si="10"/>
        <v>1.7084700000000002</v>
      </c>
    </row>
    <row r="17" spans="1:69">
      <c r="A17" s="11" t="s">
        <v>751</v>
      </c>
      <c r="B17" s="454">
        <v>0</v>
      </c>
      <c r="C17" s="454">
        <v>0</v>
      </c>
      <c r="D17" s="454">
        <v>0</v>
      </c>
      <c r="E17" s="454">
        <v>0</v>
      </c>
      <c r="F17" s="454">
        <v>0</v>
      </c>
      <c r="G17" s="454">
        <v>0</v>
      </c>
      <c r="H17" s="454">
        <v>0</v>
      </c>
      <c r="I17" s="454">
        <v>0</v>
      </c>
      <c r="J17" s="465">
        <v>0</v>
      </c>
      <c r="K17" s="465">
        <v>0</v>
      </c>
      <c r="L17" s="465">
        <v>0</v>
      </c>
      <c r="M17" s="465">
        <v>0</v>
      </c>
      <c r="N17" s="465">
        <v>0</v>
      </c>
      <c r="O17" s="465">
        <v>0</v>
      </c>
      <c r="P17" s="465">
        <v>0</v>
      </c>
      <c r="Q17" s="465">
        <v>0</v>
      </c>
      <c r="R17" s="465">
        <f t="shared" ref="R17:AL17" si="11">R25+R34</f>
        <v>1935.8749100000002</v>
      </c>
      <c r="S17" s="465">
        <f t="shared" si="11"/>
        <v>229.14383000000001</v>
      </c>
      <c r="T17" s="465">
        <f t="shared" si="11"/>
        <v>37.926300000000005</v>
      </c>
      <c r="U17" s="465">
        <f t="shared" si="11"/>
        <v>34821.984019999996</v>
      </c>
      <c r="V17" s="465">
        <f t="shared" si="11"/>
        <v>25397.644560000001</v>
      </c>
      <c r="W17" s="465">
        <f t="shared" si="11"/>
        <v>22777.644350000002</v>
      </c>
      <c r="X17" s="465">
        <f t="shared" si="11"/>
        <v>10285.43288</v>
      </c>
      <c r="Y17" s="465">
        <f t="shared" si="11"/>
        <v>2562.8838100000003</v>
      </c>
      <c r="Z17" s="465">
        <f t="shared" si="11"/>
        <v>934.85275999999988</v>
      </c>
      <c r="AA17" s="465">
        <f t="shared" si="11"/>
        <v>307.19087000000002</v>
      </c>
      <c r="AB17" s="465">
        <f t="shared" si="11"/>
        <v>277.11543</v>
      </c>
      <c r="AC17" s="465">
        <f t="shared" si="11"/>
        <v>0</v>
      </c>
      <c r="AD17" s="465">
        <f t="shared" si="11"/>
        <v>0</v>
      </c>
      <c r="AE17" s="465">
        <f t="shared" si="11"/>
        <v>0</v>
      </c>
      <c r="AF17" s="465">
        <f t="shared" si="11"/>
        <v>-6.8110000000000004E-2</v>
      </c>
      <c r="AG17" s="465">
        <f t="shared" si="11"/>
        <v>0</v>
      </c>
      <c r="AH17" s="465">
        <f t="shared" si="11"/>
        <v>0</v>
      </c>
      <c r="AI17" s="465">
        <f t="shared" si="11"/>
        <v>0</v>
      </c>
      <c r="AJ17" s="465">
        <f t="shared" si="11"/>
        <v>350.07459</v>
      </c>
      <c r="AK17" s="465">
        <f t="shared" si="11"/>
        <v>0</v>
      </c>
      <c r="AL17" s="465">
        <f t="shared" si="11"/>
        <v>0</v>
      </c>
    </row>
    <row r="18" spans="1:69">
      <c r="A18" s="11" t="s">
        <v>752</v>
      </c>
      <c r="B18" s="454">
        <v>0</v>
      </c>
      <c r="C18" s="454">
        <v>0</v>
      </c>
      <c r="D18" s="454">
        <v>0</v>
      </c>
      <c r="E18" s="454">
        <v>0</v>
      </c>
      <c r="F18" s="454">
        <v>0</v>
      </c>
      <c r="G18" s="454">
        <v>0</v>
      </c>
      <c r="H18" s="454">
        <v>0</v>
      </c>
      <c r="I18" s="454">
        <v>0</v>
      </c>
      <c r="J18" s="465">
        <v>0</v>
      </c>
      <c r="K18" s="465">
        <v>0</v>
      </c>
      <c r="L18" s="465">
        <v>0</v>
      </c>
      <c r="M18" s="465">
        <v>0</v>
      </c>
      <c r="N18" s="465">
        <v>0</v>
      </c>
      <c r="O18" s="465">
        <v>0</v>
      </c>
      <c r="P18" s="465">
        <v>0</v>
      </c>
      <c r="Q18" s="465">
        <v>0</v>
      </c>
      <c r="R18" s="465">
        <f t="shared" ref="R18:AL18" si="12">R26+R35</f>
        <v>16933.805510000002</v>
      </c>
      <c r="S18" s="465">
        <f t="shared" si="12"/>
        <v>22231.143700000001</v>
      </c>
      <c r="T18" s="465">
        <f t="shared" si="12"/>
        <v>-8813.2089000000014</v>
      </c>
      <c r="U18" s="465">
        <f t="shared" si="12"/>
        <v>-56309.044370000003</v>
      </c>
      <c r="V18" s="465">
        <f t="shared" si="12"/>
        <v>-33807.184630000003</v>
      </c>
      <c r="W18" s="465">
        <f t="shared" si="12"/>
        <v>14686.494049999998</v>
      </c>
      <c r="X18" s="465">
        <f t="shared" si="12"/>
        <v>-5155.5018500000006</v>
      </c>
      <c r="Y18" s="465">
        <f t="shared" si="12"/>
        <v>6921.7634400000006</v>
      </c>
      <c r="Z18" s="465">
        <f t="shared" si="12"/>
        <v>-37530.792410000002</v>
      </c>
      <c r="AA18" s="465">
        <f t="shared" si="12"/>
        <v>13024.00416</v>
      </c>
      <c r="AB18" s="465">
        <f t="shared" si="12"/>
        <v>-178.09956999999895</v>
      </c>
      <c r="AC18" s="465">
        <f t="shared" si="12"/>
        <v>23916.56539</v>
      </c>
      <c r="AD18" s="465">
        <f t="shared" si="12"/>
        <v>-1564.8125599999998</v>
      </c>
      <c r="AE18" s="465">
        <f t="shared" si="12"/>
        <v>-178070.46300999995</v>
      </c>
      <c r="AF18" s="465">
        <f t="shared" si="12"/>
        <v>138237.47115</v>
      </c>
      <c r="AG18" s="465">
        <f t="shared" si="12"/>
        <v>14338.048000000001</v>
      </c>
      <c r="AH18" s="465">
        <f t="shared" si="12"/>
        <v>13859.585449999999</v>
      </c>
      <c r="AI18" s="465">
        <f t="shared" si="12"/>
        <v>-4496.3848099999996</v>
      </c>
      <c r="AJ18" s="465">
        <f t="shared" si="12"/>
        <v>3339.0477599999995</v>
      </c>
      <c r="AK18" s="465">
        <f t="shared" si="12"/>
        <v>-1810.1164999999992</v>
      </c>
      <c r="AL18" s="465">
        <f t="shared" si="12"/>
        <v>-416.43514999999979</v>
      </c>
    </row>
    <row r="19" spans="1:69">
      <c r="A19" s="11" t="s">
        <v>753</v>
      </c>
      <c r="B19" s="454">
        <v>0</v>
      </c>
      <c r="C19" s="454">
        <v>0</v>
      </c>
      <c r="D19" s="454">
        <v>0</v>
      </c>
      <c r="E19" s="454">
        <v>0</v>
      </c>
      <c r="F19" s="454">
        <v>0</v>
      </c>
      <c r="G19" s="454">
        <v>0</v>
      </c>
      <c r="H19" s="454">
        <v>0</v>
      </c>
      <c r="I19" s="454">
        <v>0</v>
      </c>
      <c r="J19" s="465">
        <v>0</v>
      </c>
      <c r="K19" s="465">
        <v>0</v>
      </c>
      <c r="L19" s="465">
        <v>0</v>
      </c>
      <c r="M19" s="465">
        <v>0</v>
      </c>
      <c r="N19" s="465">
        <v>0</v>
      </c>
      <c r="O19" s="465">
        <v>0</v>
      </c>
      <c r="P19" s="465">
        <v>0</v>
      </c>
      <c r="Q19" s="465">
        <v>0</v>
      </c>
      <c r="R19" s="465">
        <f t="shared" ref="R19:AL19" si="13">R27+R36</f>
        <v>-791.56722000000002</v>
      </c>
      <c r="S19" s="465">
        <f t="shared" si="13"/>
        <v>-910.82904000000008</v>
      </c>
      <c r="T19" s="465">
        <f t="shared" si="13"/>
        <v>-758.56792999999993</v>
      </c>
      <c r="U19" s="465">
        <f t="shared" si="13"/>
        <v>-834.76292999999998</v>
      </c>
      <c r="V19" s="465">
        <f t="shared" si="13"/>
        <v>-717.51089000000002</v>
      </c>
      <c r="W19" s="465">
        <f t="shared" si="13"/>
        <v>-651.51222999999993</v>
      </c>
      <c r="X19" s="465">
        <f t="shared" si="13"/>
        <v>-480.02379000000002</v>
      </c>
      <c r="Y19" s="465">
        <f t="shared" si="13"/>
        <v>-368.24577999999997</v>
      </c>
      <c r="Z19" s="465">
        <f t="shared" si="13"/>
        <v>-284.70678000000004</v>
      </c>
      <c r="AA19" s="465">
        <f t="shared" si="13"/>
        <v>-195.47721000000001</v>
      </c>
      <c r="AB19" s="465">
        <f t="shared" si="13"/>
        <v>-126.51833000000001</v>
      </c>
      <c r="AC19" s="465">
        <f t="shared" si="13"/>
        <v>-190.70932999999999</v>
      </c>
      <c r="AD19" s="465">
        <f t="shared" si="13"/>
        <v>-126.52567999999999</v>
      </c>
      <c r="AE19" s="465">
        <f t="shared" si="13"/>
        <v>-318.68316000000004</v>
      </c>
      <c r="AF19" s="465">
        <f t="shared" si="13"/>
        <v>-139.08229</v>
      </c>
      <c r="AG19" s="465">
        <f t="shared" si="13"/>
        <v>-197.42</v>
      </c>
      <c r="AH19" s="465">
        <f t="shared" si="13"/>
        <v>-196.49124</v>
      </c>
      <c r="AI19" s="465">
        <f t="shared" si="13"/>
        <v>-195.14367999999999</v>
      </c>
      <c r="AJ19" s="465">
        <f t="shared" si="13"/>
        <v>-152.13469000000001</v>
      </c>
      <c r="AK19" s="465">
        <f t="shared" si="13"/>
        <v>-271.79126000000002</v>
      </c>
      <c r="AL19" s="465">
        <f t="shared" si="13"/>
        <v>-200.8955</v>
      </c>
    </row>
    <row r="20" spans="1:69">
      <c r="W20" s="20"/>
      <c r="X20" s="20"/>
      <c r="Y20" s="20"/>
      <c r="Z20" s="454"/>
      <c r="AA20" s="454"/>
      <c r="AB20" s="454"/>
      <c r="AC20" s="454"/>
      <c r="AD20" s="454"/>
      <c r="AE20" s="454"/>
      <c r="AF20" s="454"/>
      <c r="AG20" s="454"/>
      <c r="AH20" s="454"/>
      <c r="AI20" s="454"/>
      <c r="AJ20" s="454"/>
      <c r="AK20" s="454"/>
      <c r="AL20" s="454"/>
    </row>
    <row r="21" spans="1:69" s="482" customFormat="1">
      <c r="A21" s="179" t="s">
        <v>755</v>
      </c>
      <c r="B21" s="180" t="s">
        <v>228</v>
      </c>
      <c r="C21" s="180" t="s">
        <v>229</v>
      </c>
      <c r="D21" s="180" t="s">
        <v>230</v>
      </c>
      <c r="E21" s="180" t="s">
        <v>231</v>
      </c>
      <c r="F21" s="180" t="s">
        <v>232</v>
      </c>
      <c r="G21" s="180" t="s">
        <v>233</v>
      </c>
      <c r="H21" s="180" t="s">
        <v>234</v>
      </c>
      <c r="I21" s="180" t="s">
        <v>235</v>
      </c>
      <c r="J21" s="180" t="s">
        <v>236</v>
      </c>
      <c r="K21" s="180" t="s">
        <v>237</v>
      </c>
      <c r="L21" s="180" t="s">
        <v>238</v>
      </c>
      <c r="M21" s="180" t="s">
        <v>239</v>
      </c>
      <c r="N21" s="180" t="s">
        <v>240</v>
      </c>
      <c r="O21" s="180" t="s">
        <v>241</v>
      </c>
      <c r="P21" s="180" t="s">
        <v>242</v>
      </c>
      <c r="Q21" s="180" t="s">
        <v>243</v>
      </c>
      <c r="R21" s="180" t="s">
        <v>244</v>
      </c>
      <c r="S21" s="180" t="s">
        <v>245</v>
      </c>
      <c r="T21" s="180" t="s">
        <v>246</v>
      </c>
      <c r="U21" s="180" t="s">
        <v>247</v>
      </c>
      <c r="V21" s="180" t="s">
        <v>248</v>
      </c>
      <c r="W21" s="180" t="s">
        <v>249</v>
      </c>
      <c r="X21" s="180" t="s">
        <v>250</v>
      </c>
      <c r="Y21" s="180" t="s">
        <v>215</v>
      </c>
      <c r="Z21" s="180" t="s">
        <v>252</v>
      </c>
      <c r="AA21" s="180" t="s">
        <v>253</v>
      </c>
      <c r="AB21" s="180" t="s">
        <v>254</v>
      </c>
      <c r="AC21" s="180" t="s">
        <v>219</v>
      </c>
      <c r="AD21" s="180" t="s">
        <v>223</v>
      </c>
      <c r="AE21" s="180" t="s">
        <v>256</v>
      </c>
      <c r="AF21" s="180" t="s">
        <v>357</v>
      </c>
      <c r="AG21" s="180" t="s">
        <v>358</v>
      </c>
      <c r="AH21" s="180" t="s">
        <v>359</v>
      </c>
      <c r="AI21" s="180" t="s">
        <v>1115</v>
      </c>
      <c r="AJ21" s="180" t="s">
        <v>1116</v>
      </c>
      <c r="AK21" s="180" t="s">
        <v>1117</v>
      </c>
      <c r="AL21" s="180" t="s">
        <v>1124</v>
      </c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</row>
    <row r="22" spans="1:69">
      <c r="A22" s="9" t="s">
        <v>477</v>
      </c>
      <c r="B22" s="449">
        <v>0</v>
      </c>
      <c r="C22" s="449">
        <v>0</v>
      </c>
      <c r="D22" s="449">
        <v>0</v>
      </c>
      <c r="E22" s="449">
        <v>0</v>
      </c>
      <c r="F22" s="449">
        <v>0</v>
      </c>
      <c r="G22" s="449">
        <v>0</v>
      </c>
      <c r="H22" s="449">
        <v>0</v>
      </c>
      <c r="I22" s="449">
        <v>0</v>
      </c>
      <c r="J22" s="449">
        <v>0</v>
      </c>
      <c r="K22" s="449">
        <v>0</v>
      </c>
      <c r="L22" s="449">
        <v>0</v>
      </c>
      <c r="M22" s="449">
        <v>0</v>
      </c>
      <c r="N22" s="449">
        <v>0</v>
      </c>
      <c r="O22" s="449">
        <v>0</v>
      </c>
      <c r="P22" s="449">
        <v>0</v>
      </c>
      <c r="Q22" s="449">
        <v>0</v>
      </c>
      <c r="R22" s="464">
        <f t="shared" ref="R22:AI22" si="14">SUM(R23:R27)</f>
        <v>-3.68092</v>
      </c>
      <c r="S22" s="464">
        <f t="shared" si="14"/>
        <v>-1869.6102400000002</v>
      </c>
      <c r="T22" s="464">
        <f t="shared" si="14"/>
        <v>-6381.4806100000005</v>
      </c>
      <c r="U22" s="464">
        <f t="shared" si="14"/>
        <v>-10297.81437</v>
      </c>
      <c r="V22" s="464">
        <f t="shared" si="14"/>
        <v>-16360.247710000003</v>
      </c>
      <c r="W22" s="464">
        <f t="shared" si="14"/>
        <v>-6889.4889499999999</v>
      </c>
      <c r="X22" s="464">
        <f t="shared" si="14"/>
        <v>-17098.054629999999</v>
      </c>
      <c r="Y22" s="464">
        <f t="shared" si="14"/>
        <v>-28045.972039999993</v>
      </c>
      <c r="Z22" s="464">
        <f t="shared" si="14"/>
        <v>-25368.674360000001</v>
      </c>
      <c r="AA22" s="464">
        <f t="shared" si="14"/>
        <v>-34411.787670000005</v>
      </c>
      <c r="AB22" s="464">
        <f t="shared" si="14"/>
        <v>-29207.529090000004</v>
      </c>
      <c r="AC22" s="464">
        <f t="shared" si="14"/>
        <v>-34999.568599999999</v>
      </c>
      <c r="AD22" s="464">
        <f t="shared" si="14"/>
        <v>-46425.163330000003</v>
      </c>
      <c r="AE22" s="464">
        <f t="shared" si="14"/>
        <v>-275588.74575</v>
      </c>
      <c r="AF22" s="464">
        <f t="shared" si="14"/>
        <v>44553.528530000011</v>
      </c>
      <c r="AG22" s="464">
        <f t="shared" si="14"/>
        <v>-61541.807000000001</v>
      </c>
      <c r="AH22" s="464">
        <f t="shared" si="14"/>
        <v>-54331.444770000016</v>
      </c>
      <c r="AI22" s="464">
        <f t="shared" si="14"/>
        <v>-88113.083199999994</v>
      </c>
      <c r="AJ22" s="464">
        <f t="shared" ref="AJ22" si="15">SUM(AJ23:AJ27)</f>
        <v>-83056.977669999993</v>
      </c>
      <c r="AK22" s="464">
        <f>SUM(AK23:AK27)</f>
        <v>-92278.988039999997</v>
      </c>
      <c r="AL22" s="464">
        <f>SUM(AL23:AL27)</f>
        <v>-102320.51674000001</v>
      </c>
    </row>
    <row r="23" spans="1:69">
      <c r="A23" s="11" t="s">
        <v>749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454">
        <v>0</v>
      </c>
      <c r="K23" s="454">
        <v>0</v>
      </c>
      <c r="L23" s="454">
        <v>0</v>
      </c>
      <c r="M23" s="454">
        <v>0</v>
      </c>
      <c r="N23" s="454">
        <v>0</v>
      </c>
      <c r="O23" s="454">
        <v>0</v>
      </c>
      <c r="P23" s="454">
        <v>0</v>
      </c>
      <c r="Q23" s="454">
        <v>0</v>
      </c>
      <c r="R23" s="465">
        <v>0</v>
      </c>
      <c r="S23" s="465">
        <v>-799.67147</v>
      </c>
      <c r="T23" s="465">
        <v>-3379.3186000000001</v>
      </c>
      <c r="U23" s="465">
        <v>-4218.3972300000005</v>
      </c>
      <c r="V23" s="465">
        <v>-7624.9279500000002</v>
      </c>
      <c r="W23" s="465">
        <v>-8228.8112700000001</v>
      </c>
      <c r="X23" s="465">
        <v>-10585.982609999999</v>
      </c>
      <c r="Y23" s="465">
        <v>-21297.538029999992</v>
      </c>
      <c r="Z23" s="465">
        <v>-21360.92268</v>
      </c>
      <c r="AA23" s="465">
        <v>-27506.829010000001</v>
      </c>
      <c r="AB23" s="465">
        <v>-25077.326370000002</v>
      </c>
      <c r="AC23" s="465">
        <v>-28164.918279999998</v>
      </c>
      <c r="AD23" s="465">
        <v>-42728.23545</v>
      </c>
      <c r="AE23" s="465">
        <v>-122502.02834000002</v>
      </c>
      <c r="AF23" s="465">
        <v>-73116.128559999997</v>
      </c>
      <c r="AG23" s="465">
        <v>-64205.627999999997</v>
      </c>
      <c r="AH23" s="465">
        <v>-64853.463430000018</v>
      </c>
      <c r="AI23" s="465">
        <v>-80417.359289999993</v>
      </c>
      <c r="AJ23" s="465">
        <v>-83231.673999999999</v>
      </c>
      <c r="AK23" s="465">
        <v>-85728.322579999993</v>
      </c>
      <c r="AL23" s="465">
        <v>-100359.73996000001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</row>
    <row r="24" spans="1:69">
      <c r="A24" s="11" t="s">
        <v>750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454">
        <v>0</v>
      </c>
      <c r="K24" s="454">
        <v>0</v>
      </c>
      <c r="L24" s="454">
        <v>0</v>
      </c>
      <c r="M24" s="454">
        <v>0</v>
      </c>
      <c r="N24" s="454">
        <v>0</v>
      </c>
      <c r="O24" s="454">
        <v>0</v>
      </c>
      <c r="P24" s="454">
        <v>0</v>
      </c>
      <c r="Q24" s="454">
        <v>0</v>
      </c>
      <c r="R24" s="465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0</v>
      </c>
      <c r="AC24" s="465">
        <v>0</v>
      </c>
      <c r="AD24" s="465">
        <v>0</v>
      </c>
      <c r="AE24" s="465">
        <v>0</v>
      </c>
      <c r="AF24" s="465">
        <v>0</v>
      </c>
      <c r="AG24" s="465">
        <v>0</v>
      </c>
      <c r="AH24" s="465">
        <v>0</v>
      </c>
      <c r="AI24" s="465">
        <v>0</v>
      </c>
      <c r="AJ24" s="465">
        <v>0</v>
      </c>
      <c r="AK24" s="465">
        <v>0</v>
      </c>
      <c r="AL24" s="465">
        <v>0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</row>
    <row r="25" spans="1:69">
      <c r="A25" s="11" t="s">
        <v>751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454">
        <v>0</v>
      </c>
      <c r="K25" s="454">
        <v>0</v>
      </c>
      <c r="L25" s="454">
        <v>0</v>
      </c>
      <c r="M25" s="454">
        <v>0</v>
      </c>
      <c r="N25" s="454">
        <v>0</v>
      </c>
      <c r="O25" s="454">
        <v>0</v>
      </c>
      <c r="P25" s="454">
        <v>0</v>
      </c>
      <c r="Q25" s="454">
        <v>0</v>
      </c>
      <c r="R25" s="465">
        <v>0</v>
      </c>
      <c r="S25" s="465">
        <v>0</v>
      </c>
      <c r="T25" s="465">
        <v>0</v>
      </c>
      <c r="U25" s="465">
        <v>0</v>
      </c>
      <c r="V25" s="465">
        <v>0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0</v>
      </c>
      <c r="AD25" s="465">
        <v>0</v>
      </c>
      <c r="AE25" s="465">
        <v>0</v>
      </c>
      <c r="AF25" s="465">
        <v>0</v>
      </c>
      <c r="AG25" s="465">
        <v>0</v>
      </c>
      <c r="AH25" s="465">
        <v>0</v>
      </c>
      <c r="AI25" s="465">
        <v>0</v>
      </c>
      <c r="AJ25" s="465">
        <v>0</v>
      </c>
      <c r="AK25" s="465">
        <v>0</v>
      </c>
      <c r="AL25" s="465"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</row>
    <row r="26" spans="1:69">
      <c r="A26" s="11" t="s">
        <v>752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454">
        <v>0</v>
      </c>
      <c r="K26" s="454">
        <v>0</v>
      </c>
      <c r="L26" s="454">
        <v>0</v>
      </c>
      <c r="M26" s="454">
        <v>0</v>
      </c>
      <c r="N26" s="454">
        <v>0</v>
      </c>
      <c r="O26" s="454">
        <v>0</v>
      </c>
      <c r="P26" s="454">
        <v>0</v>
      </c>
      <c r="Q26" s="454">
        <v>0</v>
      </c>
      <c r="R26" s="465">
        <v>-3.68092</v>
      </c>
      <c r="S26" s="465">
        <v>-1069.9387700000002</v>
      </c>
      <c r="T26" s="465">
        <v>-3002.1620100000005</v>
      </c>
      <c r="U26" s="465">
        <v>-6079.4171399999996</v>
      </c>
      <c r="V26" s="465">
        <v>-8735.3197600000021</v>
      </c>
      <c r="W26" s="465">
        <v>1339.3223200000002</v>
      </c>
      <c r="X26" s="465">
        <v>-6512.0720200000005</v>
      </c>
      <c r="Y26" s="465">
        <v>-6748.4340100000009</v>
      </c>
      <c r="Z26" s="465">
        <v>-4007.7516800000008</v>
      </c>
      <c r="AA26" s="465">
        <v>-6904.9586600000011</v>
      </c>
      <c r="AB26" s="465">
        <v>-4130.2027199999993</v>
      </c>
      <c r="AC26" s="465">
        <v>-6834.6503199999997</v>
      </c>
      <c r="AD26" s="465">
        <v>-3696.9278799999997</v>
      </c>
      <c r="AE26" s="465">
        <v>-153086.71740999995</v>
      </c>
      <c r="AF26" s="465">
        <v>117669.65709000001</v>
      </c>
      <c r="AG26" s="465">
        <v>2663.8209999999999</v>
      </c>
      <c r="AH26" s="465">
        <v>10522.01866</v>
      </c>
      <c r="AI26" s="465">
        <v>-7695.7239099999997</v>
      </c>
      <c r="AJ26" s="465">
        <v>174.69632999999951</v>
      </c>
      <c r="AK26" s="465">
        <v>-6550.6654600000002</v>
      </c>
      <c r="AL26" s="465">
        <v>-1960.7767799999999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</row>
    <row r="27" spans="1:69">
      <c r="A27" s="11" t="s">
        <v>753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454">
        <v>0</v>
      </c>
      <c r="K27" s="454">
        <v>0</v>
      </c>
      <c r="L27" s="454">
        <v>0</v>
      </c>
      <c r="M27" s="454">
        <v>0</v>
      </c>
      <c r="N27" s="454">
        <v>0</v>
      </c>
      <c r="O27" s="454">
        <v>0</v>
      </c>
      <c r="P27" s="454">
        <v>0</v>
      </c>
      <c r="Q27" s="454">
        <v>0</v>
      </c>
      <c r="R27" s="465">
        <v>0</v>
      </c>
      <c r="S27" s="465">
        <v>0</v>
      </c>
      <c r="T27" s="465">
        <v>0</v>
      </c>
      <c r="U27" s="465">
        <v>0</v>
      </c>
      <c r="V27" s="465">
        <v>0</v>
      </c>
      <c r="W27" s="465">
        <v>0</v>
      </c>
      <c r="X27" s="465">
        <v>0</v>
      </c>
      <c r="Y27" s="465">
        <v>0</v>
      </c>
      <c r="Z27" s="465">
        <v>0</v>
      </c>
      <c r="AA27" s="465">
        <v>0</v>
      </c>
      <c r="AB27" s="465">
        <v>0</v>
      </c>
      <c r="AC27" s="465">
        <v>0</v>
      </c>
      <c r="AD27" s="465">
        <v>0</v>
      </c>
      <c r="AE27" s="465">
        <v>0</v>
      </c>
      <c r="AF27" s="465">
        <v>0</v>
      </c>
      <c r="AG27" s="465">
        <v>0</v>
      </c>
      <c r="AH27" s="465">
        <v>0</v>
      </c>
      <c r="AI27" s="465">
        <v>0</v>
      </c>
      <c r="AJ27" s="465">
        <v>0</v>
      </c>
      <c r="AK27" s="465">
        <v>0</v>
      </c>
      <c r="AL27" s="465"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</row>
    <row r="28" spans="1:69">
      <c r="J28" s="451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452"/>
      <c r="AE28" s="452"/>
      <c r="AF28" s="452"/>
      <c r="AG28" s="452"/>
      <c r="AH28" s="452"/>
      <c r="AI28" s="452"/>
      <c r="AJ28" s="452"/>
      <c r="AK28" s="452"/>
      <c r="AL28" s="452"/>
    </row>
    <row r="29" spans="1:69">
      <c r="J29" s="451"/>
      <c r="AD29" s="114"/>
      <c r="AE29" s="114"/>
      <c r="AF29" s="114"/>
      <c r="AG29" s="114"/>
      <c r="AH29" s="114"/>
      <c r="AI29" s="114"/>
      <c r="AJ29" s="114"/>
      <c r="AK29" s="114"/>
      <c r="AL29" s="114"/>
    </row>
    <row r="30" spans="1:69" s="482" customFormat="1">
      <c r="A30" s="179" t="s">
        <v>756</v>
      </c>
      <c r="B30" s="180" t="s">
        <v>228</v>
      </c>
      <c r="C30" s="180" t="s">
        <v>229</v>
      </c>
      <c r="D30" s="180" t="s">
        <v>230</v>
      </c>
      <c r="E30" s="180" t="s">
        <v>231</v>
      </c>
      <c r="F30" s="180" t="s">
        <v>232</v>
      </c>
      <c r="G30" s="180" t="s">
        <v>233</v>
      </c>
      <c r="H30" s="180" t="s">
        <v>234</v>
      </c>
      <c r="I30" s="180" t="s">
        <v>235</v>
      </c>
      <c r="J30" s="180" t="s">
        <v>236</v>
      </c>
      <c r="K30" s="180" t="s">
        <v>237</v>
      </c>
      <c r="L30" s="180" t="s">
        <v>238</v>
      </c>
      <c r="M30" s="180" t="s">
        <v>239</v>
      </c>
      <c r="N30" s="180" t="s">
        <v>240</v>
      </c>
      <c r="O30" s="180" t="s">
        <v>241</v>
      </c>
      <c r="P30" s="180" t="s">
        <v>242</v>
      </c>
      <c r="Q30" s="180" t="s">
        <v>243</v>
      </c>
      <c r="R30" s="180" t="s">
        <v>244</v>
      </c>
      <c r="S30" s="180" t="s">
        <v>245</v>
      </c>
      <c r="T30" s="180" t="s">
        <v>246</v>
      </c>
      <c r="U30" s="180" t="s">
        <v>247</v>
      </c>
      <c r="V30" s="180" t="s">
        <v>248</v>
      </c>
      <c r="W30" s="180" t="s">
        <v>249</v>
      </c>
      <c r="X30" s="180" t="s">
        <v>250</v>
      </c>
      <c r="Y30" s="180" t="s">
        <v>215</v>
      </c>
      <c r="Z30" s="180" t="s">
        <v>252</v>
      </c>
      <c r="AA30" s="180" t="s">
        <v>253</v>
      </c>
      <c r="AB30" s="180" t="s">
        <v>254</v>
      </c>
      <c r="AC30" s="180" t="s">
        <v>219</v>
      </c>
      <c r="AD30" s="180" t="s">
        <v>223</v>
      </c>
      <c r="AE30" s="180" t="s">
        <v>256</v>
      </c>
      <c r="AF30" s="180" t="s">
        <v>357</v>
      </c>
      <c r="AG30" s="180" t="s">
        <v>358</v>
      </c>
      <c r="AH30" s="180" t="s">
        <v>359</v>
      </c>
      <c r="AI30" s="180" t="s">
        <v>1115</v>
      </c>
      <c r="AJ30" s="180" t="s">
        <v>1116</v>
      </c>
      <c r="AK30" s="180" t="s">
        <v>1117</v>
      </c>
      <c r="AL30" s="180" t="s">
        <v>1124</v>
      </c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</row>
    <row r="31" spans="1:69">
      <c r="A31" s="9" t="s">
        <v>477</v>
      </c>
      <c r="B31" s="449">
        <v>-113970.07094000001</v>
      </c>
      <c r="C31" s="449">
        <v>-106592.92770000006</v>
      </c>
      <c r="D31" s="449">
        <v>-215256.17722999994</v>
      </c>
      <c r="E31" s="449">
        <v>-77450.877120000005</v>
      </c>
      <c r="F31" s="449">
        <v>-148155.50269000002</v>
      </c>
      <c r="G31" s="449">
        <v>-136202.22310999999</v>
      </c>
      <c r="H31" s="449">
        <v>-237158.07703999995</v>
      </c>
      <c r="I31" s="449">
        <v>-42681.867850000002</v>
      </c>
      <c r="J31" s="464">
        <f t="shared" ref="J31:AI31" si="16">SUM(J32:J36)</f>
        <v>0</v>
      </c>
      <c r="K31" s="464">
        <f t="shared" si="16"/>
        <v>0</v>
      </c>
      <c r="L31" s="464">
        <f t="shared" si="16"/>
        <v>0</v>
      </c>
      <c r="M31" s="464">
        <f t="shared" si="16"/>
        <v>0</v>
      </c>
      <c r="N31" s="464">
        <f t="shared" si="16"/>
        <v>0</v>
      </c>
      <c r="O31" s="464">
        <f t="shared" si="16"/>
        <v>0</v>
      </c>
      <c r="P31" s="464">
        <f t="shared" si="16"/>
        <v>0</v>
      </c>
      <c r="Q31" s="464">
        <f t="shared" si="16"/>
        <v>0</v>
      </c>
      <c r="R31" s="464">
        <f t="shared" si="16"/>
        <v>-272924.69990999997</v>
      </c>
      <c r="S31" s="464">
        <f t="shared" si="16"/>
        <v>-320400.15207999991</v>
      </c>
      <c r="T31" s="464">
        <f t="shared" si="16"/>
        <v>-299755.99467000004</v>
      </c>
      <c r="U31" s="464">
        <f t="shared" si="16"/>
        <v>-160184.10395000002</v>
      </c>
      <c r="V31" s="464">
        <f t="shared" si="16"/>
        <v>-188996.81473999997</v>
      </c>
      <c r="W31" s="464">
        <f t="shared" si="16"/>
        <v>-165094.85551000002</v>
      </c>
      <c r="X31" s="464">
        <f t="shared" si="16"/>
        <v>-173110.82297000004</v>
      </c>
      <c r="Y31" s="464">
        <f t="shared" si="16"/>
        <v>-242619.53125999999</v>
      </c>
      <c r="Z31" s="464">
        <f t="shared" si="16"/>
        <v>-187938.48388999997</v>
      </c>
      <c r="AA31" s="464">
        <f t="shared" si="16"/>
        <v>-152847.53768000004</v>
      </c>
      <c r="AB31" s="464">
        <f t="shared" si="16"/>
        <v>-156818.27781999999</v>
      </c>
      <c r="AC31" s="464">
        <f t="shared" si="16"/>
        <v>-108200.20015999998</v>
      </c>
      <c r="AD31" s="464">
        <f t="shared" si="16"/>
        <v>-156283.45934</v>
      </c>
      <c r="AE31" s="464">
        <f t="shared" si="16"/>
        <v>-396816.19854000001</v>
      </c>
      <c r="AF31" s="464">
        <f t="shared" si="16"/>
        <v>-188672.65615</v>
      </c>
      <c r="AG31" s="464">
        <f t="shared" si="16"/>
        <v>-112574.283</v>
      </c>
      <c r="AH31" s="464">
        <f t="shared" si="16"/>
        <v>-194999.16516</v>
      </c>
      <c r="AI31" s="464">
        <f t="shared" si="16"/>
        <v>-181958.36704000001</v>
      </c>
      <c r="AJ31" s="464">
        <f t="shared" ref="AJ31:AK31" si="17">SUM(AJ32:AJ36)</f>
        <v>-184122.80932</v>
      </c>
      <c r="AK31" s="464">
        <f t="shared" si="17"/>
        <v>-156323.34869999994</v>
      </c>
      <c r="AL31" s="464">
        <f>SUM(AL32:AL36)</f>
        <v>-167953.68882999997</v>
      </c>
    </row>
    <row r="32" spans="1:69">
      <c r="A32" s="11" t="s">
        <v>749</v>
      </c>
      <c r="B32" s="8">
        <v>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454">
        <v>0</v>
      </c>
      <c r="K32" s="454">
        <v>0</v>
      </c>
      <c r="L32" s="454">
        <v>0</v>
      </c>
      <c r="M32" s="454">
        <v>0</v>
      </c>
      <c r="N32" s="454">
        <v>0</v>
      </c>
      <c r="O32" s="454">
        <v>0</v>
      </c>
      <c r="P32" s="454">
        <v>0</v>
      </c>
      <c r="Q32" s="454">
        <v>0</v>
      </c>
      <c r="R32" s="465">
        <v>-290957.25568999996</v>
      </c>
      <c r="S32" s="465">
        <v>-342983.76160999999</v>
      </c>
      <c r="T32" s="465">
        <v>-293187.65723000001</v>
      </c>
      <c r="U32" s="465">
        <v>-143942.80960000001</v>
      </c>
      <c r="V32" s="465">
        <v>-188606.11150999999</v>
      </c>
      <c r="W32" s="465">
        <v>-200570.69826000003</v>
      </c>
      <c r="X32" s="465">
        <v>-184274.56687000004</v>
      </c>
      <c r="Y32" s="465">
        <v>-258502.75294000001</v>
      </c>
      <c r="Z32" s="465">
        <v>-155066.70437999998</v>
      </c>
      <c r="AA32" s="465">
        <v>-172889.25450000001</v>
      </c>
      <c r="AB32" s="465">
        <v>-160921.73252000002</v>
      </c>
      <c r="AC32" s="465">
        <v>-138756.23883999998</v>
      </c>
      <c r="AD32" s="465">
        <v>-158290.55112000002</v>
      </c>
      <c r="AE32" s="465">
        <v>-371514.65188000002</v>
      </c>
      <c r="AF32" s="465">
        <v>-209102.13285000002</v>
      </c>
      <c r="AG32" s="465">
        <v>-124037.705</v>
      </c>
      <c r="AH32" s="465">
        <v>-198141.68573000003</v>
      </c>
      <c r="AI32" s="465">
        <v>-184963.76876000001</v>
      </c>
      <c r="AJ32" s="465">
        <v>-187485.98753000001</v>
      </c>
      <c r="AK32" s="465">
        <v>-160793.10456999997</v>
      </c>
      <c r="AL32" s="465">
        <v>-169298.84342999998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</row>
    <row r="33" spans="1:94">
      <c r="A33" s="11" t="s">
        <v>750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454">
        <v>0</v>
      </c>
      <c r="K33" s="454">
        <v>0</v>
      </c>
      <c r="L33" s="454">
        <v>0</v>
      </c>
      <c r="M33" s="454">
        <v>0</v>
      </c>
      <c r="N33" s="454">
        <v>0</v>
      </c>
      <c r="O33" s="454">
        <v>0</v>
      </c>
      <c r="P33" s="454">
        <v>0</v>
      </c>
      <c r="Q33" s="454">
        <v>0</v>
      </c>
      <c r="R33" s="465">
        <v>-49.238340000000001</v>
      </c>
      <c r="S33" s="465">
        <v>-35.787730000000003</v>
      </c>
      <c r="T33" s="465">
        <v>-36.648919999999997</v>
      </c>
      <c r="U33" s="465">
        <v>1.1117900000000001</v>
      </c>
      <c r="V33" s="465">
        <v>1.0279699999999998</v>
      </c>
      <c r="W33" s="465">
        <v>2.5388999999999999</v>
      </c>
      <c r="X33" s="465">
        <v>1.7646400000000002</v>
      </c>
      <c r="Y33" s="465">
        <v>18.386200000000002</v>
      </c>
      <c r="Z33" s="465">
        <v>1.11524</v>
      </c>
      <c r="AA33" s="465">
        <v>1.0403399999999998</v>
      </c>
      <c r="AB33" s="465">
        <v>0.75445000000000007</v>
      </c>
      <c r="AC33" s="465">
        <v>-4.4676999999999998</v>
      </c>
      <c r="AD33" s="465">
        <v>1.5021399999999998</v>
      </c>
      <c r="AE33" s="465">
        <v>0.8821</v>
      </c>
      <c r="AF33" s="465">
        <v>0.81303999999999998</v>
      </c>
      <c r="AG33" s="465">
        <v>-13.385</v>
      </c>
      <c r="AH33" s="465">
        <v>1.44502</v>
      </c>
      <c r="AI33" s="465">
        <v>1.2062999999999999</v>
      </c>
      <c r="AJ33" s="465">
        <v>0.88688000000000011</v>
      </c>
      <c r="AK33" s="465">
        <v>0.99817</v>
      </c>
      <c r="AL33" s="465">
        <v>1.7084700000000002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</row>
    <row r="34" spans="1:94">
      <c r="A34" s="11" t="s">
        <v>751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454">
        <v>0</v>
      </c>
      <c r="K34" s="454">
        <v>0</v>
      </c>
      <c r="L34" s="454">
        <v>0</v>
      </c>
      <c r="M34" s="454">
        <v>0</v>
      </c>
      <c r="N34" s="454">
        <v>0</v>
      </c>
      <c r="O34" s="454">
        <v>0</v>
      </c>
      <c r="P34" s="454">
        <v>0</v>
      </c>
      <c r="Q34" s="454">
        <v>0</v>
      </c>
      <c r="R34" s="465">
        <v>1935.8749100000002</v>
      </c>
      <c r="S34" s="465">
        <v>229.14383000000001</v>
      </c>
      <c r="T34" s="465">
        <v>37.926300000000005</v>
      </c>
      <c r="U34" s="465">
        <v>34821.984019999996</v>
      </c>
      <c r="V34" s="465">
        <v>25397.644560000001</v>
      </c>
      <c r="W34" s="465">
        <v>22777.644350000002</v>
      </c>
      <c r="X34" s="465">
        <v>10285.43288</v>
      </c>
      <c r="Y34" s="465">
        <v>2562.8838100000003</v>
      </c>
      <c r="Z34" s="465">
        <v>934.85275999999988</v>
      </c>
      <c r="AA34" s="465">
        <v>307.19087000000002</v>
      </c>
      <c r="AB34" s="465">
        <v>277.11543</v>
      </c>
      <c r="AC34" s="465">
        <v>0</v>
      </c>
      <c r="AD34" s="465">
        <v>0</v>
      </c>
      <c r="AE34" s="465">
        <v>0</v>
      </c>
      <c r="AF34" s="465">
        <v>-6.8110000000000004E-2</v>
      </c>
      <c r="AG34" s="465">
        <v>0</v>
      </c>
      <c r="AH34" s="465">
        <v>0</v>
      </c>
      <c r="AI34" s="465">
        <v>0</v>
      </c>
      <c r="AJ34" s="465">
        <v>350.07459</v>
      </c>
      <c r="AK34" s="465">
        <v>0</v>
      </c>
      <c r="AL34" s="465">
        <v>0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</row>
    <row r="35" spans="1:94">
      <c r="A35" s="11" t="s">
        <v>752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454">
        <v>0</v>
      </c>
      <c r="K35" s="454">
        <v>0</v>
      </c>
      <c r="L35" s="454">
        <v>0</v>
      </c>
      <c r="M35" s="454">
        <v>0</v>
      </c>
      <c r="N35" s="454">
        <v>0</v>
      </c>
      <c r="O35" s="454">
        <v>0</v>
      </c>
      <c r="P35" s="454">
        <v>0</v>
      </c>
      <c r="Q35" s="454">
        <v>0</v>
      </c>
      <c r="R35" s="465">
        <v>16937.486430000001</v>
      </c>
      <c r="S35" s="465">
        <v>23301.082470000001</v>
      </c>
      <c r="T35" s="465">
        <v>-5811.0468900000005</v>
      </c>
      <c r="U35" s="465">
        <v>-50229.627230000006</v>
      </c>
      <c r="V35" s="465">
        <v>-25071.864870000001</v>
      </c>
      <c r="W35" s="465">
        <v>13347.171729999998</v>
      </c>
      <c r="X35" s="465">
        <v>1356.5701700000004</v>
      </c>
      <c r="Y35" s="465">
        <v>13670.197450000001</v>
      </c>
      <c r="Z35" s="465">
        <v>-33523.040730000001</v>
      </c>
      <c r="AA35" s="465">
        <v>19928.962820000001</v>
      </c>
      <c r="AB35" s="465">
        <v>3952.1031500000004</v>
      </c>
      <c r="AC35" s="465">
        <v>30751.21571</v>
      </c>
      <c r="AD35" s="465">
        <v>2132.1153199999999</v>
      </c>
      <c r="AE35" s="465">
        <v>-24983.745599999995</v>
      </c>
      <c r="AF35" s="465">
        <v>20567.814059999997</v>
      </c>
      <c r="AG35" s="465">
        <v>11674.227000000001</v>
      </c>
      <c r="AH35" s="465">
        <v>3337.5667899999999</v>
      </c>
      <c r="AI35" s="465">
        <v>3199.3390999999997</v>
      </c>
      <c r="AJ35" s="465">
        <v>3164.3514300000002</v>
      </c>
      <c r="AK35" s="465">
        <v>4740.548960000001</v>
      </c>
      <c r="AL35" s="465">
        <v>1544.3416300000001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</row>
    <row r="36" spans="1:94">
      <c r="A36" s="11" t="s">
        <v>753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454">
        <v>0</v>
      </c>
      <c r="K36" s="454">
        <v>0</v>
      </c>
      <c r="L36" s="454">
        <v>0</v>
      </c>
      <c r="M36" s="454">
        <v>0</v>
      </c>
      <c r="N36" s="454">
        <v>0</v>
      </c>
      <c r="O36" s="454">
        <v>0</v>
      </c>
      <c r="P36" s="454">
        <v>0</v>
      </c>
      <c r="Q36" s="454">
        <v>0</v>
      </c>
      <c r="R36" s="465">
        <v>-791.56722000000002</v>
      </c>
      <c r="S36" s="465">
        <v>-910.82904000000008</v>
      </c>
      <c r="T36" s="465">
        <v>-758.56792999999993</v>
      </c>
      <c r="U36" s="465">
        <v>-834.76292999999998</v>
      </c>
      <c r="V36" s="465">
        <v>-717.51089000000002</v>
      </c>
      <c r="W36" s="465">
        <v>-651.51222999999993</v>
      </c>
      <c r="X36" s="465">
        <v>-480.02379000000002</v>
      </c>
      <c r="Y36" s="465">
        <v>-368.24577999999997</v>
      </c>
      <c r="Z36" s="465">
        <v>-284.70678000000004</v>
      </c>
      <c r="AA36" s="465">
        <v>-195.47721000000001</v>
      </c>
      <c r="AB36" s="465">
        <v>-126.51833000000001</v>
      </c>
      <c r="AC36" s="465">
        <v>-190.70932999999999</v>
      </c>
      <c r="AD36" s="465">
        <v>-126.52567999999999</v>
      </c>
      <c r="AE36" s="465">
        <v>-318.68316000000004</v>
      </c>
      <c r="AF36" s="465">
        <v>-139.08229</v>
      </c>
      <c r="AG36" s="465">
        <v>-197.42</v>
      </c>
      <c r="AH36" s="465">
        <v>-196.49124</v>
      </c>
      <c r="AI36" s="465">
        <v>-195.14367999999999</v>
      </c>
      <c r="AJ36" s="465">
        <v>-152.13469000000001</v>
      </c>
      <c r="AK36" s="465">
        <v>-271.79126000000002</v>
      </c>
      <c r="AL36" s="465">
        <v>-200.8955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</row>
    <row r="37" spans="1:94">
      <c r="A37" s="11"/>
      <c r="B37" s="8"/>
      <c r="C37" s="8"/>
      <c r="D37" s="8"/>
      <c r="E37" s="8"/>
      <c r="F37" s="8"/>
      <c r="G37" s="8"/>
      <c r="H37" s="8"/>
      <c r="I37" s="8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  <c r="W37" s="454"/>
      <c r="X37" s="454"/>
      <c r="Y37" s="454"/>
      <c r="Z37" s="454"/>
      <c r="AA37" s="454"/>
      <c r="AB37" s="454"/>
      <c r="AC37" s="454"/>
      <c r="AD37" s="454"/>
      <c r="AE37" s="454"/>
      <c r="AF37" s="454"/>
      <c r="AG37" s="454"/>
      <c r="AH37" s="454"/>
      <c r="AI37" s="454"/>
      <c r="AJ37" s="454"/>
      <c r="AK37" s="454"/>
      <c r="AL37" s="454"/>
    </row>
    <row r="38" spans="1:94">
      <c r="A38" s="11"/>
      <c r="B38" s="8"/>
      <c r="C38" s="8"/>
      <c r="D38" s="8"/>
      <c r="E38" s="8"/>
      <c r="F38" s="8"/>
      <c r="G38" s="8"/>
      <c r="H38" s="8"/>
      <c r="I38" s="8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454"/>
      <c r="X38" s="454"/>
      <c r="Y38" s="454"/>
      <c r="Z38" s="454"/>
      <c r="AA38" s="454"/>
      <c r="AB38" s="454"/>
      <c r="AC38" s="454"/>
      <c r="AD38" s="454"/>
      <c r="AE38" s="454"/>
      <c r="AF38" s="454"/>
      <c r="AG38" s="454"/>
      <c r="AH38" s="454"/>
      <c r="AI38" s="454"/>
      <c r="AJ38" s="454"/>
      <c r="AK38" s="454"/>
      <c r="AL38" s="454"/>
    </row>
    <row r="39" spans="1:94" ht="24.4" customHeight="1">
      <c r="A39" s="625" t="s">
        <v>757</v>
      </c>
      <c r="B39" s="626" t="s">
        <v>228</v>
      </c>
      <c r="C39" s="626" t="s">
        <v>229</v>
      </c>
      <c r="D39" s="626" t="s">
        <v>230</v>
      </c>
      <c r="E39" s="626" t="s">
        <v>231</v>
      </c>
      <c r="F39" s="626" t="s">
        <v>232</v>
      </c>
      <c r="G39" s="626" t="s">
        <v>233</v>
      </c>
      <c r="H39" s="626" t="s">
        <v>234</v>
      </c>
      <c r="I39" s="626" t="s">
        <v>235</v>
      </c>
      <c r="J39" s="626" t="s">
        <v>236</v>
      </c>
      <c r="K39" s="626" t="s">
        <v>237</v>
      </c>
      <c r="L39" s="626" t="s">
        <v>238</v>
      </c>
      <c r="M39" s="626" t="s">
        <v>239</v>
      </c>
      <c r="N39" s="626" t="s">
        <v>240</v>
      </c>
      <c r="O39" s="626" t="s">
        <v>241</v>
      </c>
      <c r="P39" s="626" t="s">
        <v>242</v>
      </c>
      <c r="Q39" s="626" t="s">
        <v>243</v>
      </c>
      <c r="R39" s="626" t="s">
        <v>244</v>
      </c>
      <c r="S39" s="626" t="s">
        <v>245</v>
      </c>
      <c r="T39" s="626" t="s">
        <v>246</v>
      </c>
      <c r="U39" s="626" t="s">
        <v>247</v>
      </c>
      <c r="V39" s="626" t="s">
        <v>248</v>
      </c>
      <c r="W39" s="626" t="s">
        <v>249</v>
      </c>
      <c r="X39" s="626" t="s">
        <v>250</v>
      </c>
      <c r="Y39" s="626" t="s">
        <v>215</v>
      </c>
      <c r="Z39" s="626" t="s">
        <v>252</v>
      </c>
      <c r="AA39" s="626" t="s">
        <v>253</v>
      </c>
      <c r="AB39" s="626" t="s">
        <v>254</v>
      </c>
      <c r="AC39" s="626" t="s">
        <v>219</v>
      </c>
      <c r="AD39" s="626" t="s">
        <v>223</v>
      </c>
      <c r="AE39" s="626" t="s">
        <v>256</v>
      </c>
      <c r="AF39" s="626" t="s">
        <v>357</v>
      </c>
      <c r="AG39" s="626" t="s">
        <v>358</v>
      </c>
      <c r="AH39" s="626" t="s">
        <v>359</v>
      </c>
      <c r="AI39" s="626" t="s">
        <v>1115</v>
      </c>
      <c r="AJ39" s="626" t="s">
        <v>1116</v>
      </c>
      <c r="AK39" s="675" t="s">
        <v>1117</v>
      </c>
      <c r="AL39" s="645" t="s">
        <v>1124</v>
      </c>
    </row>
    <row r="40" spans="1:94">
      <c r="A40" s="9" t="s">
        <v>477</v>
      </c>
      <c r="B40" s="449">
        <v>-18135.522350000036</v>
      </c>
      <c r="C40" s="449">
        <v>-11951.372020000003</v>
      </c>
      <c r="D40" s="449">
        <v>-11479.836759999998</v>
      </c>
      <c r="E40" s="449">
        <v>-18716.292389999999</v>
      </c>
      <c r="F40" s="449">
        <v>-14207.028410000001</v>
      </c>
      <c r="G40" s="449">
        <v>-8974.5616099999988</v>
      </c>
      <c r="H40" s="449">
        <v>-14401.269200000001</v>
      </c>
      <c r="I40" s="449">
        <v>-19867.12112</v>
      </c>
      <c r="J40" s="464">
        <f t="shared" ref="J40:AA40" si="18">SUM(J41:J45)</f>
        <v>-20805.082989999999</v>
      </c>
      <c r="K40" s="464">
        <f t="shared" si="18"/>
        <v>-14929.311660000001</v>
      </c>
      <c r="L40" s="464">
        <f t="shared" si="18"/>
        <v>-16749.333240000004</v>
      </c>
      <c r="M40" s="464">
        <f t="shared" si="18"/>
        <v>-15207.086649999997</v>
      </c>
      <c r="N40" s="464">
        <f t="shared" si="18"/>
        <v>-18277.391600000003</v>
      </c>
      <c r="O40" s="464">
        <f t="shared" si="18"/>
        <v>-16452.765820000001</v>
      </c>
      <c r="P40" s="464">
        <f t="shared" si="18"/>
        <v>-23203.749759999999</v>
      </c>
      <c r="Q40" s="464">
        <f t="shared" si="18"/>
        <v>-17563.199550000001</v>
      </c>
      <c r="R40" s="464">
        <f t="shared" si="18"/>
        <v>-18514.517250000001</v>
      </c>
      <c r="S40" s="464">
        <f t="shared" si="18"/>
        <v>-16730.015740000003</v>
      </c>
      <c r="T40" s="464">
        <f t="shared" si="18"/>
        <v>-21805.780839999999</v>
      </c>
      <c r="U40" s="464">
        <f t="shared" si="18"/>
        <v>-30839.96228</v>
      </c>
      <c r="V40" s="464">
        <f t="shared" si="18"/>
        <v>-26441.809229999999</v>
      </c>
      <c r="W40" s="464">
        <f t="shared" si="18"/>
        <v>-20001.745910000001</v>
      </c>
      <c r="X40" s="464">
        <f t="shared" si="18"/>
        <v>-25775.778789999997</v>
      </c>
      <c r="Y40" s="464">
        <f t="shared" si="18"/>
        <v>-24456.988169999997</v>
      </c>
      <c r="Z40" s="464">
        <f t="shared" si="18"/>
        <v>-23635.408690000004</v>
      </c>
      <c r="AA40" s="464">
        <f t="shared" si="18"/>
        <v>-18169.812469999997</v>
      </c>
      <c r="AB40" s="464">
        <f t="shared" ref="AB40:AF40" si="19">SUM(AB41:AB45)</f>
        <v>-25004.633440000005</v>
      </c>
      <c r="AC40" s="464">
        <f t="shared" si="19"/>
        <v>-35984.25129</v>
      </c>
      <c r="AD40" s="464">
        <f t="shared" si="19"/>
        <v>-33180.729440000003</v>
      </c>
      <c r="AE40" s="464">
        <f t="shared" si="19"/>
        <v>-39143.756580000001</v>
      </c>
      <c r="AF40" s="464">
        <f t="shared" si="19"/>
        <v>-48782.991869999998</v>
      </c>
      <c r="AG40" s="464">
        <f t="shared" ref="AG40:AK40" si="20">SUM(AG41:AG45)</f>
        <v>-38814.121640000005</v>
      </c>
      <c r="AH40" s="464">
        <f t="shared" si="20"/>
        <v>-36239.772600000004</v>
      </c>
      <c r="AI40" s="464">
        <f t="shared" si="20"/>
        <v>-35449.678959999997</v>
      </c>
      <c r="AJ40" s="464">
        <f t="shared" si="20"/>
        <v>-37305.516749999995</v>
      </c>
      <c r="AK40" s="464">
        <f t="shared" si="20"/>
        <v>-35831.477169999998</v>
      </c>
      <c r="AL40" s="464">
        <f>SUM(AL41:AL45)</f>
        <v>-31996.913909999996</v>
      </c>
    </row>
    <row r="41" spans="1:94">
      <c r="A41" s="11" t="s">
        <v>749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-16669.720560000002</v>
      </c>
      <c r="K41" s="465">
        <f t="shared" ref="K41:AL41" si="21">K49+K58</f>
        <v>-10995.166300000001</v>
      </c>
      <c r="L41" s="465">
        <f t="shared" si="21"/>
        <v>-11160.317690000003</v>
      </c>
      <c r="M41" s="465">
        <f t="shared" si="21"/>
        <v>-8754.8725599999998</v>
      </c>
      <c r="N41" s="465">
        <f t="shared" si="21"/>
        <v>-11281.614960000001</v>
      </c>
      <c r="O41" s="465">
        <f t="shared" si="21"/>
        <v>-7334.7512200000001</v>
      </c>
      <c r="P41" s="465">
        <f t="shared" si="21"/>
        <v>-15831.01021</v>
      </c>
      <c r="Q41" s="465">
        <f t="shared" si="21"/>
        <v>-10313.525589999999</v>
      </c>
      <c r="R41" s="465">
        <f t="shared" si="21"/>
        <v>-10640.28729</v>
      </c>
      <c r="S41" s="465">
        <f t="shared" si="21"/>
        <v>-9246.507160000001</v>
      </c>
      <c r="T41" s="465">
        <f t="shared" si="21"/>
        <v>-10807.125179999999</v>
      </c>
      <c r="U41" s="465">
        <f t="shared" si="21"/>
        <v>-13524.666099999999</v>
      </c>
      <c r="V41" s="465">
        <f t="shared" si="21"/>
        <v>-12777.161</v>
      </c>
      <c r="W41" s="465">
        <f t="shared" si="21"/>
        <v>-10059.399450000001</v>
      </c>
      <c r="X41" s="465">
        <f t="shared" si="21"/>
        <v>-13000.823729999998</v>
      </c>
      <c r="Y41" s="465">
        <f t="shared" si="21"/>
        <v>-10898.849099999999</v>
      </c>
      <c r="Z41" s="465">
        <f t="shared" si="21"/>
        <v>-13600.58915</v>
      </c>
      <c r="AA41" s="465">
        <f t="shared" si="21"/>
        <v>-7845.82071</v>
      </c>
      <c r="AB41" s="465">
        <f t="shared" si="21"/>
        <v>-13526.417490000002</v>
      </c>
      <c r="AC41" s="465">
        <f t="shared" si="21"/>
        <v>-21089.186320000001</v>
      </c>
      <c r="AD41" s="465">
        <f t="shared" si="21"/>
        <v>-17535.492729999998</v>
      </c>
      <c r="AE41" s="465">
        <f t="shared" si="21"/>
        <v>-22272.534909999998</v>
      </c>
      <c r="AF41" s="465">
        <f t="shared" si="21"/>
        <v>-26326.066140000003</v>
      </c>
      <c r="AG41" s="465">
        <f t="shared" si="21"/>
        <v>-11278.62385</v>
      </c>
      <c r="AH41" s="465">
        <f t="shared" si="21"/>
        <v>-11840.317370000001</v>
      </c>
      <c r="AI41" s="465">
        <f t="shared" si="21"/>
        <v>-9170.7275399999999</v>
      </c>
      <c r="AJ41" s="465">
        <f t="shared" si="21"/>
        <v>-9517.3205799999996</v>
      </c>
      <c r="AK41" s="465">
        <f t="shared" si="21"/>
        <v>-16173.38206</v>
      </c>
      <c r="AL41" s="465">
        <f t="shared" si="21"/>
        <v>-12374.853919999998</v>
      </c>
      <c r="AM41" s="455"/>
      <c r="AN41" s="455"/>
      <c r="AO41" s="455"/>
      <c r="AP41" s="455"/>
      <c r="AQ41" s="455"/>
      <c r="AR41" s="455"/>
      <c r="AS41" s="455"/>
      <c r="AT41" s="455"/>
      <c r="AU41" s="455"/>
      <c r="AV41" s="455"/>
      <c r="AW41" s="455"/>
      <c r="AX41" s="455"/>
      <c r="AY41" s="455"/>
      <c r="AZ41" s="455"/>
      <c r="BA41" s="455"/>
      <c r="BB41" s="455"/>
      <c r="BC41" s="455"/>
      <c r="BD41" s="455"/>
      <c r="BE41" s="455"/>
      <c r="BF41" s="455"/>
      <c r="BG41" s="455"/>
      <c r="BH41" s="455"/>
      <c r="BI41" s="455"/>
      <c r="BJ41" s="455"/>
      <c r="BK41" s="455"/>
      <c r="BL41" s="455"/>
      <c r="BM41" s="455"/>
      <c r="BN41" s="455"/>
      <c r="BO41" s="455"/>
      <c r="BP41" s="455"/>
      <c r="BQ41" s="455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</row>
    <row r="42" spans="1:94">
      <c r="A42" s="11" t="s">
        <v>750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-1.60514</v>
      </c>
      <c r="K42" s="465">
        <f t="shared" ref="K42:AL42" si="22">K50+K59</f>
        <v>177.77030999999999</v>
      </c>
      <c r="L42" s="465">
        <f t="shared" si="22"/>
        <v>-209.45860000000005</v>
      </c>
      <c r="M42" s="465">
        <f t="shared" si="22"/>
        <v>0.25778999999999996</v>
      </c>
      <c r="N42" s="465">
        <f t="shared" si="22"/>
        <v>0.25590000000000002</v>
      </c>
      <c r="O42" s="465">
        <f t="shared" si="22"/>
        <v>9.6970000000000001E-2</v>
      </c>
      <c r="P42" s="465">
        <f t="shared" si="22"/>
        <v>0.20595999999999998</v>
      </c>
      <c r="Q42" s="465">
        <f t="shared" si="22"/>
        <v>-43.830549999999995</v>
      </c>
      <c r="R42" s="465">
        <f t="shared" si="22"/>
        <v>1.464E-2</v>
      </c>
      <c r="S42" s="465">
        <f t="shared" si="22"/>
        <v>-0.86871999999999994</v>
      </c>
      <c r="T42" s="465">
        <f t="shared" si="22"/>
        <v>6.2500000000000003E-3</v>
      </c>
      <c r="U42" s="465">
        <f t="shared" si="22"/>
        <v>6.13E-3</v>
      </c>
      <c r="V42" s="465">
        <f t="shared" si="22"/>
        <v>6.5100000000000002E-3</v>
      </c>
      <c r="W42" s="465">
        <f t="shared" si="22"/>
        <v>6.6699999999999997E-3</v>
      </c>
      <c r="X42" s="465">
        <f t="shared" si="22"/>
        <v>6.6400000000000009E-3</v>
      </c>
      <c r="Y42" s="465">
        <f t="shared" si="22"/>
        <v>6.6299999999999996E-3</v>
      </c>
      <c r="Z42" s="465">
        <f t="shared" si="22"/>
        <v>6.8700000000000002E-3</v>
      </c>
      <c r="AA42" s="465">
        <f t="shared" si="22"/>
        <v>6.5799999999999999E-3</v>
      </c>
      <c r="AB42" s="465">
        <f t="shared" si="22"/>
        <v>0</v>
      </c>
      <c r="AC42" s="465">
        <f t="shared" si="22"/>
        <v>20.27948</v>
      </c>
      <c r="AD42" s="465">
        <f t="shared" si="22"/>
        <v>102.94117</v>
      </c>
      <c r="AE42" s="465">
        <f t="shared" si="22"/>
        <v>124.99742000000001</v>
      </c>
      <c r="AF42" s="465">
        <f t="shared" si="22"/>
        <v>78.093819999999994</v>
      </c>
      <c r="AG42" s="465">
        <f t="shared" si="22"/>
        <v>41.695859999999996</v>
      </c>
      <c r="AH42" s="465">
        <f t="shared" si="22"/>
        <v>0</v>
      </c>
      <c r="AI42" s="465">
        <f t="shared" si="22"/>
        <v>174.25792000000001</v>
      </c>
      <c r="AJ42" s="465">
        <f t="shared" si="22"/>
        <v>62.551459999999999</v>
      </c>
      <c r="AK42" s="465">
        <f t="shared" si="22"/>
        <v>98.432010000000005</v>
      </c>
      <c r="AL42" s="465">
        <f t="shared" si="22"/>
        <v>59.569830000000003</v>
      </c>
    </row>
    <row r="43" spans="1:94">
      <c r="A43" s="11" t="s">
        <v>751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465">
        <f t="shared" ref="K43:AL43" si="23">K51+K60</f>
        <v>0</v>
      </c>
      <c r="L43" s="465">
        <f t="shared" si="23"/>
        <v>0</v>
      </c>
      <c r="M43" s="465">
        <f t="shared" si="23"/>
        <v>26.643699999999999</v>
      </c>
      <c r="N43" s="465">
        <f t="shared" si="23"/>
        <v>0</v>
      </c>
      <c r="O43" s="465">
        <f t="shared" si="23"/>
        <v>0</v>
      </c>
      <c r="P43" s="465">
        <f t="shared" si="23"/>
        <v>-0.11479</v>
      </c>
      <c r="Q43" s="465">
        <f t="shared" si="23"/>
        <v>0</v>
      </c>
      <c r="R43" s="465">
        <f t="shared" si="23"/>
        <v>9.2109100000000002</v>
      </c>
      <c r="S43" s="465">
        <f t="shared" si="23"/>
        <v>-2166.0974200000001</v>
      </c>
      <c r="T43" s="465">
        <f t="shared" si="23"/>
        <v>-28.670590000000061</v>
      </c>
      <c r="U43" s="465">
        <f t="shared" si="23"/>
        <v>-1278.4553699999999</v>
      </c>
      <c r="V43" s="465">
        <f t="shared" si="23"/>
        <v>-349.65296000000001</v>
      </c>
      <c r="W43" s="465">
        <f t="shared" si="23"/>
        <v>608.93868000000009</v>
      </c>
      <c r="X43" s="465">
        <f t="shared" si="23"/>
        <v>343.09598000000005</v>
      </c>
      <c r="Y43" s="465">
        <f t="shared" si="23"/>
        <v>-167.70885000000001</v>
      </c>
      <c r="Z43" s="465">
        <f t="shared" si="23"/>
        <v>1183.1744699999999</v>
      </c>
      <c r="AA43" s="465">
        <f t="shared" si="23"/>
        <v>-101.93755999999999</v>
      </c>
      <c r="AB43" s="465">
        <f t="shared" si="23"/>
        <v>2542.3931299999999</v>
      </c>
      <c r="AC43" s="465">
        <f t="shared" si="23"/>
        <v>-33.869399999999999</v>
      </c>
      <c r="AD43" s="465">
        <f t="shared" si="23"/>
        <v>209.93438</v>
      </c>
      <c r="AE43" s="465">
        <f t="shared" si="23"/>
        <v>-62.933199999999999</v>
      </c>
      <c r="AF43" s="465">
        <f t="shared" si="23"/>
        <v>157.59353999999999</v>
      </c>
      <c r="AG43" s="465">
        <f t="shared" si="23"/>
        <v>-12.59361</v>
      </c>
      <c r="AH43" s="465">
        <f t="shared" si="23"/>
        <v>419.22401000000008</v>
      </c>
      <c r="AI43" s="465">
        <f t="shared" si="23"/>
        <v>-69.562730000000002</v>
      </c>
      <c r="AJ43" s="465">
        <f t="shared" si="23"/>
        <v>107.23399000000002</v>
      </c>
      <c r="AK43" s="465">
        <f t="shared" si="23"/>
        <v>-119.04759000000001</v>
      </c>
      <c r="AL43" s="465">
        <f t="shared" si="23"/>
        <v>-51.825690000000002</v>
      </c>
    </row>
    <row r="44" spans="1:94">
      <c r="A44" s="11" t="s">
        <v>752</v>
      </c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-139.08013999999997</v>
      </c>
      <c r="K44" s="465">
        <f t="shared" ref="K44:AL44" si="24">K52+K61</f>
        <v>107.70818999999999</v>
      </c>
      <c r="L44" s="465">
        <f t="shared" si="24"/>
        <v>-109.99696</v>
      </c>
      <c r="M44" s="465">
        <f t="shared" si="24"/>
        <v>-39.098390000000009</v>
      </c>
      <c r="N44" s="465">
        <f t="shared" si="24"/>
        <v>-137.83293000000003</v>
      </c>
      <c r="O44" s="465">
        <f t="shared" si="24"/>
        <v>-143.41408999999996</v>
      </c>
      <c r="P44" s="465">
        <f t="shared" si="24"/>
        <v>-132.33328</v>
      </c>
      <c r="Q44" s="465">
        <f t="shared" si="24"/>
        <v>-140.45968999999999</v>
      </c>
      <c r="R44" s="465">
        <f t="shared" si="24"/>
        <v>-720.63475999999991</v>
      </c>
      <c r="S44" s="465">
        <f t="shared" si="24"/>
        <v>-639.46282999999994</v>
      </c>
      <c r="T44" s="465">
        <f t="shared" si="24"/>
        <v>-620.34487000000013</v>
      </c>
      <c r="U44" s="465">
        <f t="shared" si="24"/>
        <v>-531.48439000000008</v>
      </c>
      <c r="V44" s="465">
        <f t="shared" si="24"/>
        <v>-433.31882000000002</v>
      </c>
      <c r="W44" s="465">
        <f t="shared" si="24"/>
        <v>967.38513000000012</v>
      </c>
      <c r="X44" s="465">
        <f t="shared" si="24"/>
        <v>-18.545789999999954</v>
      </c>
      <c r="Y44" s="465">
        <f t="shared" si="24"/>
        <v>109.22722999999999</v>
      </c>
      <c r="Z44" s="465">
        <f t="shared" si="24"/>
        <v>3026.9368199999999</v>
      </c>
      <c r="AA44" s="465">
        <f t="shared" si="24"/>
        <v>466.53233</v>
      </c>
      <c r="AB44" s="465">
        <f t="shared" si="24"/>
        <v>140.91563000000002</v>
      </c>
      <c r="AC44" s="465">
        <f t="shared" si="24"/>
        <v>168.89676</v>
      </c>
      <c r="AD44" s="465">
        <f t="shared" si="24"/>
        <v>-312.42151000000001</v>
      </c>
      <c r="AE44" s="465">
        <f t="shared" si="24"/>
        <v>-423.20989000000003</v>
      </c>
      <c r="AF44" s="465">
        <f t="shared" si="24"/>
        <v>-48.909159999999943</v>
      </c>
      <c r="AG44" s="465">
        <f t="shared" si="24"/>
        <v>158.34151999999997</v>
      </c>
      <c r="AH44" s="465">
        <f t="shared" si="24"/>
        <v>65.072730000000007</v>
      </c>
      <c r="AI44" s="465">
        <f t="shared" si="24"/>
        <v>93.260319999999993</v>
      </c>
      <c r="AJ44" s="465">
        <f t="shared" si="24"/>
        <v>561.59154000000001</v>
      </c>
      <c r="AK44" s="465">
        <f t="shared" si="24"/>
        <v>-38.350909999999992</v>
      </c>
      <c r="AL44" s="465">
        <f t="shared" si="24"/>
        <v>-217.76148000000001</v>
      </c>
    </row>
    <row r="45" spans="1:94">
      <c r="A45" s="11" t="s">
        <v>753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-3994.6771500000004</v>
      </c>
      <c r="K45" s="465">
        <f t="shared" ref="K45:AL45" si="25">K53+K62</f>
        <v>-4219.6238599999997</v>
      </c>
      <c r="L45" s="465">
        <f t="shared" si="25"/>
        <v>-5269.5599900000007</v>
      </c>
      <c r="M45" s="465">
        <f t="shared" si="25"/>
        <v>-6440.0171899999996</v>
      </c>
      <c r="N45" s="465">
        <f t="shared" si="25"/>
        <v>-6858.1996099999997</v>
      </c>
      <c r="O45" s="465">
        <f t="shared" si="25"/>
        <v>-8974.6974800000007</v>
      </c>
      <c r="P45" s="465">
        <f t="shared" si="25"/>
        <v>-7240.4974399999992</v>
      </c>
      <c r="Q45" s="465">
        <f t="shared" si="25"/>
        <v>-7065.3837200000007</v>
      </c>
      <c r="R45" s="465">
        <f t="shared" si="25"/>
        <v>-7162.8207499999999</v>
      </c>
      <c r="S45" s="465">
        <f t="shared" si="25"/>
        <v>-4677.0796100000007</v>
      </c>
      <c r="T45" s="465">
        <f t="shared" si="25"/>
        <v>-10349.64645</v>
      </c>
      <c r="U45" s="465">
        <f t="shared" si="25"/>
        <v>-15505.362550000002</v>
      </c>
      <c r="V45" s="465">
        <f t="shared" si="25"/>
        <v>-12881.68296</v>
      </c>
      <c r="W45" s="465">
        <f t="shared" si="25"/>
        <v>-11518.676940000001</v>
      </c>
      <c r="X45" s="465">
        <f t="shared" si="25"/>
        <v>-13099.51189</v>
      </c>
      <c r="Y45" s="465">
        <f t="shared" si="25"/>
        <v>-13499.664079999999</v>
      </c>
      <c r="Z45" s="465">
        <f t="shared" si="25"/>
        <v>-14244.9377</v>
      </c>
      <c r="AA45" s="465">
        <f t="shared" si="25"/>
        <v>-10688.593109999998</v>
      </c>
      <c r="AB45" s="465">
        <f t="shared" si="25"/>
        <v>-14161.524710000002</v>
      </c>
      <c r="AC45" s="465">
        <f t="shared" si="25"/>
        <v>-15050.371810000001</v>
      </c>
      <c r="AD45" s="465">
        <f t="shared" si="25"/>
        <v>-15645.690750000002</v>
      </c>
      <c r="AE45" s="465">
        <f t="shared" si="25"/>
        <v>-16510.076000000001</v>
      </c>
      <c r="AF45" s="465">
        <f t="shared" si="25"/>
        <v>-22643.703929999996</v>
      </c>
      <c r="AG45" s="465">
        <f t="shared" si="25"/>
        <v>-27722.941560000003</v>
      </c>
      <c r="AH45" s="465">
        <f t="shared" si="25"/>
        <v>-24883.751970000001</v>
      </c>
      <c r="AI45" s="465">
        <f t="shared" si="25"/>
        <v>-26476.906929999997</v>
      </c>
      <c r="AJ45" s="465">
        <f t="shared" si="25"/>
        <v>-28519.57316</v>
      </c>
      <c r="AK45" s="465">
        <f t="shared" si="25"/>
        <v>-19599.12862</v>
      </c>
      <c r="AL45" s="465">
        <f t="shared" si="25"/>
        <v>-19412.042649999999</v>
      </c>
    </row>
    <row r="46" spans="1:94">
      <c r="A46" s="11"/>
      <c r="B46" s="450"/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68"/>
      <c r="U46" s="468"/>
      <c r="V46" s="468"/>
      <c r="W46" s="468"/>
      <c r="X46" s="468"/>
      <c r="Y46" s="468"/>
      <c r="Z46" s="454"/>
      <c r="AA46" s="454"/>
      <c r="AB46" s="454"/>
      <c r="AC46" s="454"/>
      <c r="AD46" s="454"/>
      <c r="AE46" s="454"/>
      <c r="AF46" s="454"/>
      <c r="AG46" s="454"/>
      <c r="AH46" s="454"/>
      <c r="AI46" s="454"/>
      <c r="AJ46" s="454"/>
      <c r="AK46" s="454"/>
      <c r="AL46" s="454"/>
    </row>
    <row r="47" spans="1:94" s="482" customFormat="1">
      <c r="A47" s="179" t="s">
        <v>758</v>
      </c>
      <c r="B47" s="180" t="s">
        <v>228</v>
      </c>
      <c r="C47" s="180" t="s">
        <v>229</v>
      </c>
      <c r="D47" s="180" t="s">
        <v>230</v>
      </c>
      <c r="E47" s="180" t="s">
        <v>231</v>
      </c>
      <c r="F47" s="180" t="s">
        <v>232</v>
      </c>
      <c r="G47" s="180" t="s">
        <v>233</v>
      </c>
      <c r="H47" s="180" t="s">
        <v>234</v>
      </c>
      <c r="I47" s="180" t="s">
        <v>235</v>
      </c>
      <c r="J47" s="180" t="s">
        <v>236</v>
      </c>
      <c r="K47" s="180" t="s">
        <v>237</v>
      </c>
      <c r="L47" s="180" t="s">
        <v>238</v>
      </c>
      <c r="M47" s="180" t="s">
        <v>239</v>
      </c>
      <c r="N47" s="180" t="s">
        <v>240</v>
      </c>
      <c r="O47" s="180" t="s">
        <v>241</v>
      </c>
      <c r="P47" s="180" t="s">
        <v>242</v>
      </c>
      <c r="Q47" s="180" t="s">
        <v>243</v>
      </c>
      <c r="R47" s="180" t="s">
        <v>244</v>
      </c>
      <c r="S47" s="180" t="s">
        <v>245</v>
      </c>
      <c r="T47" s="180" t="s">
        <v>246</v>
      </c>
      <c r="U47" s="180" t="s">
        <v>247</v>
      </c>
      <c r="V47" s="180" t="s">
        <v>248</v>
      </c>
      <c r="W47" s="180" t="s">
        <v>249</v>
      </c>
      <c r="X47" s="180" t="s">
        <v>250</v>
      </c>
      <c r="Y47" s="180" t="s">
        <v>215</v>
      </c>
      <c r="Z47" s="180" t="s">
        <v>252</v>
      </c>
      <c r="AA47" s="180" t="s">
        <v>253</v>
      </c>
      <c r="AB47" s="180" t="s">
        <v>254</v>
      </c>
      <c r="AC47" s="180" t="s">
        <v>219</v>
      </c>
      <c r="AD47" s="180" t="s">
        <v>223</v>
      </c>
      <c r="AE47" s="180" t="s">
        <v>256</v>
      </c>
      <c r="AF47" s="180" t="s">
        <v>357</v>
      </c>
      <c r="AG47" s="180" t="s">
        <v>358</v>
      </c>
      <c r="AH47" s="180" t="s">
        <v>359</v>
      </c>
      <c r="AI47" s="180" t="s">
        <v>1115</v>
      </c>
      <c r="AJ47" s="180" t="s">
        <v>1116</v>
      </c>
      <c r="AK47" s="180" t="s">
        <v>1117</v>
      </c>
      <c r="AL47" s="180" t="s">
        <v>1124</v>
      </c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</row>
    <row r="48" spans="1:94">
      <c r="A48" s="9" t="s">
        <v>477</v>
      </c>
      <c r="B48" s="449">
        <v>0</v>
      </c>
      <c r="C48" s="449">
        <v>0</v>
      </c>
      <c r="D48" s="449">
        <v>0</v>
      </c>
      <c r="E48" s="449">
        <v>0</v>
      </c>
      <c r="F48" s="449">
        <v>0</v>
      </c>
      <c r="G48" s="449">
        <v>0</v>
      </c>
      <c r="H48" s="449">
        <v>0</v>
      </c>
      <c r="I48" s="449">
        <v>0</v>
      </c>
      <c r="J48" s="449">
        <v>0</v>
      </c>
      <c r="K48" s="449">
        <v>0</v>
      </c>
      <c r="L48" s="449">
        <v>0</v>
      </c>
      <c r="M48" s="449">
        <v>0</v>
      </c>
      <c r="N48" s="449">
        <v>0</v>
      </c>
      <c r="O48" s="449">
        <v>0</v>
      </c>
      <c r="P48" s="449">
        <v>0</v>
      </c>
      <c r="Q48" s="464">
        <f t="shared" ref="Q48:AE48" si="26">SUM(Q49:Q53)</f>
        <v>0</v>
      </c>
      <c r="R48" s="464">
        <f t="shared" si="26"/>
        <v>-745.43736999999987</v>
      </c>
      <c r="S48" s="464">
        <f t="shared" si="26"/>
        <v>-6947.3066699999999</v>
      </c>
      <c r="T48" s="464">
        <f t="shared" si="26"/>
        <v>-8174.5902299999998</v>
      </c>
      <c r="U48" s="464">
        <f t="shared" si="26"/>
        <v>-19319.018100000001</v>
      </c>
      <c r="V48" s="464">
        <f t="shared" si="26"/>
        <v>-17376.158499999998</v>
      </c>
      <c r="W48" s="464">
        <f t="shared" si="26"/>
        <v>-14938.758000000002</v>
      </c>
      <c r="X48" s="464">
        <f t="shared" si="26"/>
        <v>-18366.151749999997</v>
      </c>
      <c r="Y48" s="464">
        <f t="shared" si="26"/>
        <v>-18035.109</v>
      </c>
      <c r="Z48" s="464">
        <f t="shared" si="26"/>
        <v>-15934.081269999999</v>
      </c>
      <c r="AA48" s="464">
        <f t="shared" si="26"/>
        <v>-13538.313249999999</v>
      </c>
      <c r="AB48" s="464">
        <f t="shared" si="26"/>
        <v>-20327.670000000002</v>
      </c>
      <c r="AC48" s="464">
        <f t="shared" si="26"/>
        <v>-29037.102999999999</v>
      </c>
      <c r="AD48" s="464">
        <f t="shared" si="26"/>
        <v>-28661.507450000001</v>
      </c>
      <c r="AE48" s="464">
        <f t="shared" si="26"/>
        <v>-24657.349499999997</v>
      </c>
      <c r="AF48" s="464">
        <f t="shared" ref="AF48:AK48" si="27">SUM(AF49:AF53)</f>
        <v>-30518.17785</v>
      </c>
      <c r="AG48" s="464">
        <f t="shared" si="27"/>
        <v>-35842.912000000004</v>
      </c>
      <c r="AH48" s="464">
        <f t="shared" si="27"/>
        <v>-33406.17553</v>
      </c>
      <c r="AI48" s="464">
        <f t="shared" si="27"/>
        <v>-33456.715409999997</v>
      </c>
      <c r="AJ48" s="464">
        <f t="shared" si="27"/>
        <v>-35396.494050000001</v>
      </c>
      <c r="AK48" s="464">
        <f t="shared" si="27"/>
        <v>-33405.771500000003</v>
      </c>
      <c r="AL48" s="464">
        <f>SUM(AL49:AL53)</f>
        <v>-29359.278709999995</v>
      </c>
    </row>
    <row r="49" spans="1:69">
      <c r="A49" s="11" t="s">
        <v>749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-201.40823</v>
      </c>
      <c r="S49" s="8">
        <v>-1515.8099500000001</v>
      </c>
      <c r="T49" s="8">
        <v>-3338.2077799999997</v>
      </c>
      <c r="U49" s="8">
        <v>-7046.57863</v>
      </c>
      <c r="V49" s="8">
        <v>-6954.9564200000004</v>
      </c>
      <c r="W49" s="8">
        <v>-6155.4540000000006</v>
      </c>
      <c r="X49" s="8">
        <v>-7928.7197899999992</v>
      </c>
      <c r="Y49" s="8">
        <v>-7197.37691</v>
      </c>
      <c r="Z49" s="8">
        <v>-9119.4408599999988</v>
      </c>
      <c r="AA49" s="8">
        <v>-5253.2217700000001</v>
      </c>
      <c r="AB49" s="8">
        <v>-10150.837640000002</v>
      </c>
      <c r="AC49" s="465">
        <v>-15970.94153</v>
      </c>
      <c r="AD49" s="465">
        <v>-14693.495359999999</v>
      </c>
      <c r="AE49" s="465">
        <v>-9697.9345699999994</v>
      </c>
      <c r="AF49" s="465">
        <v>-8684.0180799999998</v>
      </c>
      <c r="AG49" s="465">
        <v>-9085.4608499999995</v>
      </c>
      <c r="AH49" s="465">
        <v>-9760.6520500000006</v>
      </c>
      <c r="AI49" s="465">
        <v>-7811.4909300000008</v>
      </c>
      <c r="AJ49" s="465">
        <v>-7584.1966399999992</v>
      </c>
      <c r="AK49" s="465">
        <v>-14472.327810000001</v>
      </c>
      <c r="AL49" s="465">
        <v>-10287.853089999999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</row>
    <row r="50" spans="1:69">
      <c r="A50" s="11" t="s">
        <v>750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/>
      <c r="T50" s="8"/>
      <c r="U50" s="8"/>
      <c r="V50" s="8"/>
      <c r="W50" s="8"/>
      <c r="X50" s="8"/>
      <c r="Y50" s="8"/>
      <c r="Z50" s="8"/>
      <c r="AA50" s="8"/>
      <c r="AB50" s="8"/>
      <c r="AC50" s="465">
        <v>20.214919999999999</v>
      </c>
      <c r="AD50" s="465">
        <v>102.94117</v>
      </c>
      <c r="AE50" s="465">
        <v>124.99742000000001</v>
      </c>
      <c r="AF50" s="456">
        <v>78.093819999999994</v>
      </c>
      <c r="AG50" s="110">
        <v>41.695859999999996</v>
      </c>
      <c r="AH50" s="465"/>
      <c r="AI50" s="465">
        <v>174.25792000000001</v>
      </c>
      <c r="AJ50" s="465">
        <v>62.551459999999999</v>
      </c>
      <c r="AK50" s="465">
        <v>98.432010000000005</v>
      </c>
      <c r="AL50" s="465">
        <v>59.569830000000003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</row>
    <row r="51" spans="1:69">
      <c r="A51" s="11" t="s">
        <v>751</v>
      </c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-2166.0974200000001</v>
      </c>
      <c r="T51" s="8">
        <v>-28.670590000000061</v>
      </c>
      <c r="U51" s="8">
        <v>-1278.4553699999999</v>
      </c>
      <c r="V51" s="8">
        <v>-936.10895000000005</v>
      </c>
      <c r="W51" s="8">
        <v>-501.15539000000001</v>
      </c>
      <c r="X51" s="8">
        <v>-314.93633</v>
      </c>
      <c r="Y51" s="8">
        <v>-163.63176000000001</v>
      </c>
      <c r="Z51" s="8">
        <v>1185.20543</v>
      </c>
      <c r="AA51" s="8">
        <v>-101.8706</v>
      </c>
      <c r="AB51" s="8">
        <v>2518.8193000000001</v>
      </c>
      <c r="AC51" s="465">
        <v>-53.159120000000001</v>
      </c>
      <c r="AD51" s="465">
        <v>206.72814</v>
      </c>
      <c r="AE51" s="465">
        <v>-85.673259999999999</v>
      </c>
      <c r="AF51" s="465">
        <v>153.77952999999999</v>
      </c>
      <c r="AG51" s="465">
        <v>-23.966609999999999</v>
      </c>
      <c r="AH51" s="465">
        <v>397.91658000000007</v>
      </c>
      <c r="AI51" s="465">
        <v>-61.361469999999997</v>
      </c>
      <c r="AJ51" s="465">
        <v>121.83201000000003</v>
      </c>
      <c r="AK51" s="465">
        <v>-114.36234000000002</v>
      </c>
      <c r="AL51" s="465">
        <v>-55.192700000000002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</row>
    <row r="52" spans="1:69">
      <c r="A52" s="11" t="s">
        <v>752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-544.02913999999987</v>
      </c>
      <c r="S52" s="8">
        <v>-808.58699000000001</v>
      </c>
      <c r="T52" s="8">
        <v>-320.74134000000004</v>
      </c>
      <c r="U52" s="8">
        <v>-630.22199000000001</v>
      </c>
      <c r="V52" s="8">
        <v>-461.46033</v>
      </c>
      <c r="W52" s="8">
        <v>-316.39618999999999</v>
      </c>
      <c r="X52" s="8">
        <v>-159.36536999999998</v>
      </c>
      <c r="Y52" s="8">
        <v>-82.801620000000014</v>
      </c>
      <c r="Z52" s="8">
        <v>2777.45334</v>
      </c>
      <c r="AA52" s="8">
        <v>-3.61327</v>
      </c>
      <c r="AB52" s="8">
        <v>-5.1152599999999993</v>
      </c>
      <c r="AC52" s="465">
        <v>-3.86517</v>
      </c>
      <c r="AD52" s="465">
        <v>-19.840169999999997</v>
      </c>
      <c r="AE52" s="465">
        <v>-7.7013300000000005</v>
      </c>
      <c r="AF52" s="465">
        <v>69.764929999999993</v>
      </c>
      <c r="AG52" s="465">
        <v>-1.4708399999999999</v>
      </c>
      <c r="AH52" s="465">
        <v>19.310490000000001</v>
      </c>
      <c r="AI52" s="465">
        <v>-3.9632900000000002</v>
      </c>
      <c r="AJ52" s="465">
        <v>25.496279999999999</v>
      </c>
      <c r="AK52" s="465">
        <v>-6.0663699999999992</v>
      </c>
      <c r="AL52" s="465">
        <v>-2.2833700000000001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</row>
    <row r="53" spans="1:69">
      <c r="A53" s="11" t="s">
        <v>753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-2456.8123100000003</v>
      </c>
      <c r="T53" s="8">
        <v>-4486.9705199999999</v>
      </c>
      <c r="U53" s="8">
        <v>-10363.762110000001</v>
      </c>
      <c r="V53" s="8">
        <v>-9023.6327999999994</v>
      </c>
      <c r="W53" s="8">
        <v>-7965.7524200000007</v>
      </c>
      <c r="X53" s="8">
        <v>-9963.1302599999999</v>
      </c>
      <c r="Y53" s="8">
        <v>-10591.298709999999</v>
      </c>
      <c r="Z53" s="8">
        <v>-10777.29918</v>
      </c>
      <c r="AA53" s="8">
        <v>-8179.6076099999991</v>
      </c>
      <c r="AB53" s="8">
        <v>-12690.536400000001</v>
      </c>
      <c r="AC53" s="8">
        <v>-13029.3521</v>
      </c>
      <c r="AD53" s="465">
        <v>-14257.841230000002</v>
      </c>
      <c r="AE53" s="465">
        <v>-14991.037759999999</v>
      </c>
      <c r="AF53" s="465">
        <v>-22135.798049999998</v>
      </c>
      <c r="AG53" s="465">
        <v>-26773.709560000003</v>
      </c>
      <c r="AH53" s="465">
        <v>-24062.750550000001</v>
      </c>
      <c r="AI53" s="465">
        <v>-25754.157639999998</v>
      </c>
      <c r="AJ53" s="465">
        <v>-28022.177159999999</v>
      </c>
      <c r="AK53" s="465">
        <v>-18911.44699</v>
      </c>
      <c r="AL53" s="465">
        <v>-19073.519379999998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</row>
    <row r="54" spans="1:69" ht="11.25" customHeight="1">
      <c r="A54" s="11"/>
      <c r="B54" s="8"/>
      <c r="C54" s="8"/>
      <c r="D54" s="8"/>
      <c r="E54" s="8"/>
      <c r="F54" s="8"/>
      <c r="G54" s="8"/>
      <c r="H54" s="8"/>
      <c r="I54" s="8"/>
      <c r="J54" s="454"/>
      <c r="K54" s="454"/>
      <c r="L54" s="454"/>
      <c r="M54" s="454"/>
      <c r="N54" s="454"/>
      <c r="O54" s="454"/>
      <c r="P54" s="454"/>
      <c r="Q54" s="454"/>
      <c r="R54" s="465"/>
      <c r="S54" s="465"/>
      <c r="T54" s="465"/>
      <c r="U54" s="465"/>
      <c r="V54" s="465"/>
      <c r="W54" s="465"/>
      <c r="X54" s="465"/>
      <c r="Y54" s="465"/>
      <c r="Z54" s="454"/>
      <c r="AA54" s="454"/>
      <c r="AB54" s="454"/>
      <c r="AC54" s="454"/>
      <c r="AD54" s="454"/>
      <c r="AE54" s="454"/>
      <c r="AF54" s="454"/>
      <c r="AG54" s="454"/>
      <c r="AH54" s="454"/>
      <c r="AI54" s="454"/>
      <c r="AJ54" s="454"/>
      <c r="AK54" s="454"/>
      <c r="AL54" s="454"/>
    </row>
    <row r="55" spans="1:69">
      <c r="A55" s="11"/>
      <c r="B55" s="8"/>
      <c r="C55" s="8"/>
      <c r="D55" s="8"/>
      <c r="E55" s="8"/>
      <c r="F55" s="8"/>
      <c r="G55" s="8"/>
      <c r="H55" s="8"/>
      <c r="I55" s="8"/>
      <c r="J55" s="454"/>
      <c r="K55" s="454"/>
      <c r="L55" s="454"/>
      <c r="M55" s="454"/>
      <c r="N55" s="454"/>
      <c r="O55" s="454"/>
      <c r="P55" s="454"/>
      <c r="Q55" s="454"/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/>
      <c r="AD55" s="465"/>
      <c r="AE55" s="465"/>
      <c r="AF55" s="465"/>
      <c r="AG55" s="465"/>
      <c r="AH55" s="465"/>
      <c r="AI55" s="465"/>
      <c r="AJ55" s="465"/>
      <c r="AK55" s="465"/>
      <c r="AL55" s="465"/>
    </row>
    <row r="56" spans="1:69" s="482" customFormat="1">
      <c r="A56" s="179" t="s">
        <v>759</v>
      </c>
      <c r="B56" s="180" t="s">
        <v>228</v>
      </c>
      <c r="C56" s="180" t="s">
        <v>229</v>
      </c>
      <c r="D56" s="180" t="s">
        <v>230</v>
      </c>
      <c r="E56" s="180" t="s">
        <v>231</v>
      </c>
      <c r="F56" s="180" t="s">
        <v>232</v>
      </c>
      <c r="G56" s="180" t="s">
        <v>233</v>
      </c>
      <c r="H56" s="180" t="s">
        <v>234</v>
      </c>
      <c r="I56" s="180" t="s">
        <v>235</v>
      </c>
      <c r="J56" s="180" t="s">
        <v>236</v>
      </c>
      <c r="K56" s="180" t="s">
        <v>237</v>
      </c>
      <c r="L56" s="180" t="s">
        <v>238</v>
      </c>
      <c r="M56" s="180" t="s">
        <v>239</v>
      </c>
      <c r="N56" s="180" t="s">
        <v>240</v>
      </c>
      <c r="O56" s="180" t="s">
        <v>241</v>
      </c>
      <c r="P56" s="180" t="s">
        <v>242</v>
      </c>
      <c r="Q56" s="180" t="s">
        <v>243</v>
      </c>
      <c r="R56" s="180" t="s">
        <v>244</v>
      </c>
      <c r="S56" s="180" t="s">
        <v>245</v>
      </c>
      <c r="T56" s="180" t="s">
        <v>246</v>
      </c>
      <c r="U56" s="180" t="s">
        <v>247</v>
      </c>
      <c r="V56" s="180" t="s">
        <v>248</v>
      </c>
      <c r="W56" s="180" t="s">
        <v>249</v>
      </c>
      <c r="X56" s="180" t="s">
        <v>250</v>
      </c>
      <c r="Y56" s="180" t="s">
        <v>215</v>
      </c>
      <c r="Z56" s="180" t="s">
        <v>252</v>
      </c>
      <c r="AA56" s="180" t="s">
        <v>253</v>
      </c>
      <c r="AB56" s="180" t="s">
        <v>254</v>
      </c>
      <c r="AC56" s="180" t="s">
        <v>219</v>
      </c>
      <c r="AD56" s="180" t="s">
        <v>223</v>
      </c>
      <c r="AE56" s="180" t="s">
        <v>256</v>
      </c>
      <c r="AF56" s="180" t="s">
        <v>357</v>
      </c>
      <c r="AG56" s="180" t="s">
        <v>358</v>
      </c>
      <c r="AH56" s="180" t="s">
        <v>359</v>
      </c>
      <c r="AI56" s="180" t="s">
        <v>1115</v>
      </c>
      <c r="AJ56" s="180" t="s">
        <v>1116</v>
      </c>
      <c r="AK56" s="180" t="s">
        <v>1117</v>
      </c>
      <c r="AL56" s="180" t="s">
        <v>1124</v>
      </c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</row>
    <row r="57" spans="1:69">
      <c r="A57" s="9" t="s">
        <v>477</v>
      </c>
      <c r="B57" s="449">
        <v>-18135.522350000036</v>
      </c>
      <c r="C57" s="449">
        <v>-11951.372020000003</v>
      </c>
      <c r="D57" s="449">
        <v>-11479.836759999998</v>
      </c>
      <c r="E57" s="449">
        <v>-18716.292389999999</v>
      </c>
      <c r="F57" s="449">
        <v>-14207.028410000001</v>
      </c>
      <c r="G57" s="449">
        <v>-8974.5616099999988</v>
      </c>
      <c r="H57" s="449">
        <v>-14401.269200000001</v>
      </c>
      <c r="I57" s="449">
        <v>-19867.12112</v>
      </c>
      <c r="J57" s="464">
        <f t="shared" ref="J57:AE57" si="28">SUM(J58:J62)</f>
        <v>-20805.082989999999</v>
      </c>
      <c r="K57" s="464">
        <f t="shared" si="28"/>
        <v>-14929.311660000001</v>
      </c>
      <c r="L57" s="464">
        <f t="shared" si="28"/>
        <v>-16749.333240000004</v>
      </c>
      <c r="M57" s="464">
        <f t="shared" si="28"/>
        <v>-15207.086649999997</v>
      </c>
      <c r="N57" s="464">
        <f t="shared" si="28"/>
        <v>-18277.391600000003</v>
      </c>
      <c r="O57" s="464">
        <f t="shared" si="28"/>
        <v>-16452.765820000001</v>
      </c>
      <c r="P57" s="464">
        <f t="shared" si="28"/>
        <v>-23203.749759999999</v>
      </c>
      <c r="Q57" s="464">
        <f t="shared" si="28"/>
        <v>-17563.199550000001</v>
      </c>
      <c r="R57" s="464">
        <f t="shared" si="28"/>
        <v>-17769.079880000001</v>
      </c>
      <c r="S57" s="464">
        <f t="shared" si="28"/>
        <v>-9782.7090700000008</v>
      </c>
      <c r="T57" s="464">
        <f t="shared" si="28"/>
        <v>-13631.19061</v>
      </c>
      <c r="U57" s="464">
        <f t="shared" si="28"/>
        <v>-11520.944179999999</v>
      </c>
      <c r="V57" s="464">
        <f t="shared" si="28"/>
        <v>-9065.6507299999994</v>
      </c>
      <c r="W57" s="464">
        <f t="shared" si="28"/>
        <v>-5062.9879099999998</v>
      </c>
      <c r="X57" s="464">
        <f t="shared" si="28"/>
        <v>-7409.6270399999985</v>
      </c>
      <c r="Y57" s="464">
        <f t="shared" si="28"/>
        <v>-6421.8791700000002</v>
      </c>
      <c r="Z57" s="464">
        <f t="shared" si="28"/>
        <v>-7701.3274200000005</v>
      </c>
      <c r="AA57" s="464">
        <f t="shared" si="28"/>
        <v>-4631.4992199999997</v>
      </c>
      <c r="AB57" s="464">
        <f t="shared" si="28"/>
        <v>-4676.9634399999995</v>
      </c>
      <c r="AC57" s="464">
        <f t="shared" si="28"/>
        <v>-6947.148290000001</v>
      </c>
      <c r="AD57" s="464">
        <f t="shared" si="28"/>
        <v>-4519.22199</v>
      </c>
      <c r="AE57" s="464">
        <f t="shared" si="28"/>
        <v>-14486.407079999999</v>
      </c>
      <c r="AF57" s="464">
        <f t="shared" ref="AF57:AK57" si="29">SUM(AF58:AF62)</f>
        <v>-18264.814020000002</v>
      </c>
      <c r="AG57" s="464">
        <f t="shared" si="29"/>
        <v>-2971.20964</v>
      </c>
      <c r="AH57" s="464">
        <f t="shared" si="29"/>
        <v>-2833.5970700000003</v>
      </c>
      <c r="AI57" s="464">
        <f t="shared" si="29"/>
        <v>-1992.9635499999999</v>
      </c>
      <c r="AJ57" s="464">
        <f t="shared" si="29"/>
        <v>-1909.0226999999998</v>
      </c>
      <c r="AK57" s="464">
        <f t="shared" si="29"/>
        <v>-2425.7056699999998</v>
      </c>
      <c r="AL57" s="464">
        <f>SUM(AL58:AL62)</f>
        <v>-2637.6352000000002</v>
      </c>
    </row>
    <row r="58" spans="1:69">
      <c r="A58" s="11" t="s">
        <v>749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-16669.720560000002</v>
      </c>
      <c r="K58" s="8">
        <v>-10995.166300000001</v>
      </c>
      <c r="L58" s="8">
        <v>-11160.317690000003</v>
      </c>
      <c r="M58" s="8">
        <v>-8754.8725599999998</v>
      </c>
      <c r="N58" s="8">
        <v>-11281.614960000001</v>
      </c>
      <c r="O58" s="8">
        <v>-7334.7512200000001</v>
      </c>
      <c r="P58" s="8">
        <v>-15831.01021</v>
      </c>
      <c r="Q58" s="8">
        <v>-10313.525589999999</v>
      </c>
      <c r="R58" s="8">
        <v>-10438.879060000001</v>
      </c>
      <c r="S58" s="8">
        <v>-7730.6972100000003</v>
      </c>
      <c r="T58" s="8">
        <v>-7468.9174000000003</v>
      </c>
      <c r="U58" s="8">
        <v>-6478.0874699999995</v>
      </c>
      <c r="V58" s="8">
        <v>-5822.2045799999996</v>
      </c>
      <c r="W58" s="8">
        <v>-3903.9454499999997</v>
      </c>
      <c r="X58" s="8">
        <v>-5072.1039399999991</v>
      </c>
      <c r="Y58" s="8">
        <v>-3701.4721899999995</v>
      </c>
      <c r="Z58" s="8">
        <v>-4481.1482900000001</v>
      </c>
      <c r="AA58" s="8">
        <v>-2592.5989399999999</v>
      </c>
      <c r="AB58" s="8">
        <v>-3375.5798499999996</v>
      </c>
      <c r="AC58" s="465">
        <v>-5118.2447899999997</v>
      </c>
      <c r="AD58" s="465">
        <v>-2841.9973699999996</v>
      </c>
      <c r="AE58" s="465">
        <v>-12574.600339999999</v>
      </c>
      <c r="AF58" s="465">
        <v>-17642.048060000001</v>
      </c>
      <c r="AG58" s="465">
        <v>-2193.163</v>
      </c>
      <c r="AH58" s="465">
        <v>-2079.6653200000001</v>
      </c>
      <c r="AI58" s="465">
        <v>-1359.2366099999999</v>
      </c>
      <c r="AJ58" s="465">
        <v>-1933.1239399999999</v>
      </c>
      <c r="AK58" s="465">
        <v>-1701.0542499999999</v>
      </c>
      <c r="AL58" s="465">
        <v>-2087.00083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</row>
    <row r="59" spans="1:69">
      <c r="A59" s="11" t="s">
        <v>750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-1.60514</v>
      </c>
      <c r="K59" s="8">
        <v>177.77030999999999</v>
      </c>
      <c r="L59" s="8">
        <v>-209.45860000000005</v>
      </c>
      <c r="M59" s="8">
        <v>0.25778999999999996</v>
      </c>
      <c r="N59" s="8">
        <v>0.25590000000000002</v>
      </c>
      <c r="O59" s="8">
        <v>9.6970000000000001E-2</v>
      </c>
      <c r="P59" s="8">
        <v>0.20595999999999998</v>
      </c>
      <c r="Q59" s="8">
        <v>-43.830549999999995</v>
      </c>
      <c r="R59" s="8">
        <v>1.464E-2</v>
      </c>
      <c r="S59" s="8">
        <v>-0.86871999999999994</v>
      </c>
      <c r="T59" s="8">
        <v>6.2500000000000003E-3</v>
      </c>
      <c r="U59" s="8">
        <v>6.13E-3</v>
      </c>
      <c r="V59" s="8">
        <v>6.5100000000000002E-3</v>
      </c>
      <c r="W59" s="8">
        <v>6.6699999999999997E-3</v>
      </c>
      <c r="X59" s="8">
        <v>6.6400000000000009E-3</v>
      </c>
      <c r="Y59" s="8">
        <v>6.6299999999999996E-3</v>
      </c>
      <c r="Z59" s="8">
        <v>6.8700000000000002E-3</v>
      </c>
      <c r="AA59" s="8">
        <v>6.5799999999999999E-3</v>
      </c>
      <c r="AB59" s="8">
        <v>0</v>
      </c>
      <c r="AC59" s="465">
        <v>6.4560000000000006E-2</v>
      </c>
      <c r="AD59" s="465">
        <v>0</v>
      </c>
      <c r="AE59" s="465">
        <v>0</v>
      </c>
      <c r="AF59" s="465">
        <v>0</v>
      </c>
      <c r="AG59" s="465">
        <v>0</v>
      </c>
      <c r="AH59" s="465">
        <v>0</v>
      </c>
      <c r="AI59" s="465">
        <v>0</v>
      </c>
      <c r="AJ59" s="465">
        <v>0</v>
      </c>
      <c r="AK59" s="465">
        <v>0</v>
      </c>
      <c r="AL59" s="465">
        <v>0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</row>
    <row r="60" spans="1:69">
      <c r="A60" s="11" t="s">
        <v>751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26.643699999999999</v>
      </c>
      <c r="N60" s="8">
        <v>0</v>
      </c>
      <c r="O60" s="8">
        <v>0</v>
      </c>
      <c r="P60" s="8">
        <v>-0.11479</v>
      </c>
      <c r="Q60" s="8">
        <v>0</v>
      </c>
      <c r="R60" s="8">
        <v>9.2109100000000002</v>
      </c>
      <c r="S60" s="8">
        <v>0</v>
      </c>
      <c r="T60" s="8">
        <v>0</v>
      </c>
      <c r="U60" s="8">
        <v>0</v>
      </c>
      <c r="V60" s="8">
        <v>586.45599000000004</v>
      </c>
      <c r="W60" s="8">
        <v>1110.0940700000001</v>
      </c>
      <c r="X60" s="8">
        <v>658.03231000000005</v>
      </c>
      <c r="Y60" s="8">
        <v>-4.0770900000000001</v>
      </c>
      <c r="Z60" s="8">
        <v>-2.0309599999999999</v>
      </c>
      <c r="AA60" s="8">
        <v>-6.6959999999999353E-2</v>
      </c>
      <c r="AB60" s="8">
        <v>23.573830000000001</v>
      </c>
      <c r="AC60" s="465">
        <v>19.289719999999999</v>
      </c>
      <c r="AD60" s="465">
        <v>3.2062399999999998</v>
      </c>
      <c r="AE60" s="465">
        <v>22.74006</v>
      </c>
      <c r="AF60" s="465">
        <v>3.8140100000000001</v>
      </c>
      <c r="AG60" s="465">
        <v>11.372999999999999</v>
      </c>
      <c r="AH60" s="465">
        <v>21.30743</v>
      </c>
      <c r="AI60" s="465">
        <v>-8.2012599999999996</v>
      </c>
      <c r="AJ60" s="465">
        <v>-14.59802</v>
      </c>
      <c r="AK60" s="465">
        <v>-4.6852499999999999</v>
      </c>
      <c r="AL60" s="465">
        <v>3.3670100000000005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</row>
    <row r="61" spans="1:69">
      <c r="A61" s="11" t="s">
        <v>752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-139.08013999999997</v>
      </c>
      <c r="K61" s="8">
        <v>107.70818999999999</v>
      </c>
      <c r="L61" s="8">
        <v>-109.99696</v>
      </c>
      <c r="M61" s="8">
        <v>-39.098390000000009</v>
      </c>
      <c r="N61" s="8">
        <v>-137.83293000000003</v>
      </c>
      <c r="O61" s="8">
        <v>-143.41408999999996</v>
      </c>
      <c r="P61" s="8">
        <v>-132.33328</v>
      </c>
      <c r="Q61" s="8">
        <v>-140.45968999999999</v>
      </c>
      <c r="R61" s="8">
        <v>-176.60561999999999</v>
      </c>
      <c r="S61" s="8">
        <v>169.12416000000005</v>
      </c>
      <c r="T61" s="8">
        <v>-299.60353000000003</v>
      </c>
      <c r="U61" s="8">
        <v>98.737599999999986</v>
      </c>
      <c r="V61" s="8">
        <v>28.141510000000004</v>
      </c>
      <c r="W61" s="8">
        <v>1283.7813200000001</v>
      </c>
      <c r="X61" s="8">
        <v>140.81958000000003</v>
      </c>
      <c r="Y61" s="8">
        <v>192.02885000000001</v>
      </c>
      <c r="Z61" s="8">
        <v>249.48347999999999</v>
      </c>
      <c r="AA61" s="8">
        <v>470.1456</v>
      </c>
      <c r="AB61" s="8">
        <v>146.03089000000003</v>
      </c>
      <c r="AC61" s="465">
        <v>172.76193000000001</v>
      </c>
      <c r="AD61" s="465">
        <v>-292.58134000000001</v>
      </c>
      <c r="AE61" s="465">
        <v>-415.50856000000005</v>
      </c>
      <c r="AF61" s="465">
        <v>-118.67408999999994</v>
      </c>
      <c r="AG61" s="465">
        <v>159.81235999999998</v>
      </c>
      <c r="AH61" s="465">
        <v>45.762240000000006</v>
      </c>
      <c r="AI61" s="465">
        <v>97.223609999999994</v>
      </c>
      <c r="AJ61" s="465">
        <v>536.09526000000005</v>
      </c>
      <c r="AK61" s="465">
        <v>-32.284539999999993</v>
      </c>
      <c r="AL61" s="465">
        <v>-215.47811000000002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</row>
    <row r="62" spans="1:69">
      <c r="A62" s="11" t="s">
        <v>753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-3994.6771500000004</v>
      </c>
      <c r="K62" s="8">
        <v>-4219.6238599999997</v>
      </c>
      <c r="L62" s="8">
        <v>-5269.5599900000007</v>
      </c>
      <c r="M62" s="8">
        <v>-6440.0171899999996</v>
      </c>
      <c r="N62" s="8">
        <v>-6858.1996099999997</v>
      </c>
      <c r="O62" s="8">
        <v>-8974.6974800000007</v>
      </c>
      <c r="P62" s="8">
        <v>-7240.4974399999992</v>
      </c>
      <c r="Q62" s="8">
        <v>-7065.3837200000007</v>
      </c>
      <c r="R62" s="8">
        <v>-7162.8207499999999</v>
      </c>
      <c r="S62" s="8">
        <v>-2220.2673</v>
      </c>
      <c r="T62" s="8">
        <v>-5862.6759299999994</v>
      </c>
      <c r="U62" s="8">
        <v>-5141.6004400000002</v>
      </c>
      <c r="V62" s="8">
        <v>-3858.0501600000002</v>
      </c>
      <c r="W62" s="8">
        <v>-3552.92452</v>
      </c>
      <c r="X62" s="8">
        <v>-3136.3816299999999</v>
      </c>
      <c r="Y62" s="8">
        <v>-2908.36537</v>
      </c>
      <c r="Z62" s="8">
        <v>-3467.6385200000004</v>
      </c>
      <c r="AA62" s="8">
        <v>-2508.9854999999998</v>
      </c>
      <c r="AB62" s="8">
        <v>-1470.98831</v>
      </c>
      <c r="AC62" s="465">
        <v>-2021.0197100000003</v>
      </c>
      <c r="AD62" s="465">
        <v>-1387.84952</v>
      </c>
      <c r="AE62" s="465">
        <v>-1519.0382400000001</v>
      </c>
      <c r="AF62" s="465">
        <v>-507.90588000000002</v>
      </c>
      <c r="AG62" s="465">
        <v>-949.23199999999997</v>
      </c>
      <c r="AH62" s="465">
        <v>-821.00142000000005</v>
      </c>
      <c r="AI62" s="465">
        <v>-722.74929000000009</v>
      </c>
      <c r="AJ62" s="465">
        <v>-497.39599999999996</v>
      </c>
      <c r="AK62" s="465">
        <v>-687.68163000000004</v>
      </c>
      <c r="AL62" s="465">
        <v>-338.52326999999997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</row>
    <row r="63" spans="1:69">
      <c r="Z63" s="454"/>
      <c r="AA63" s="454"/>
      <c r="AB63" s="454"/>
      <c r="AC63" s="454"/>
      <c r="AD63" s="454"/>
      <c r="AE63" s="454"/>
      <c r="AF63" s="454"/>
      <c r="AG63" s="454"/>
      <c r="AH63" s="454"/>
      <c r="AI63" s="454"/>
      <c r="AJ63" s="454"/>
      <c r="AK63" s="454"/>
      <c r="AL63" s="454"/>
    </row>
    <row r="64" spans="1:69">
      <c r="Z64" s="454"/>
      <c r="AA64" s="454"/>
      <c r="AB64" s="454"/>
      <c r="AC64" s="454"/>
      <c r="AD64" s="454"/>
      <c r="AE64" s="454"/>
      <c r="AF64" s="454"/>
      <c r="AG64" s="454"/>
      <c r="AH64" s="454"/>
      <c r="AI64" s="454"/>
      <c r="AJ64" s="454"/>
      <c r="AK64" s="454"/>
      <c r="AL64" s="454"/>
    </row>
    <row r="65" spans="1:94" ht="24.4" customHeight="1">
      <c r="A65" s="625" t="s">
        <v>760</v>
      </c>
      <c r="B65" s="626" t="s">
        <v>228</v>
      </c>
      <c r="C65" s="626" t="s">
        <v>229</v>
      </c>
      <c r="D65" s="626" t="s">
        <v>230</v>
      </c>
      <c r="E65" s="626" t="s">
        <v>231</v>
      </c>
      <c r="F65" s="626" t="s">
        <v>232</v>
      </c>
      <c r="G65" s="626" t="s">
        <v>233</v>
      </c>
      <c r="H65" s="626" t="s">
        <v>234</v>
      </c>
      <c r="I65" s="626" t="s">
        <v>235</v>
      </c>
      <c r="J65" s="626" t="s">
        <v>236</v>
      </c>
      <c r="K65" s="626" t="s">
        <v>237</v>
      </c>
      <c r="L65" s="626" t="s">
        <v>238</v>
      </c>
      <c r="M65" s="626" t="s">
        <v>239</v>
      </c>
      <c r="N65" s="626" t="s">
        <v>240</v>
      </c>
      <c r="O65" s="626" t="s">
        <v>241</v>
      </c>
      <c r="P65" s="626" t="s">
        <v>242</v>
      </c>
      <c r="Q65" s="626" t="s">
        <v>243</v>
      </c>
      <c r="R65" s="626" t="s">
        <v>244</v>
      </c>
      <c r="S65" s="626" t="s">
        <v>245</v>
      </c>
      <c r="T65" s="626" t="s">
        <v>246</v>
      </c>
      <c r="U65" s="626" t="s">
        <v>247</v>
      </c>
      <c r="V65" s="626" t="s">
        <v>248</v>
      </c>
      <c r="W65" s="626" t="s">
        <v>249</v>
      </c>
      <c r="X65" s="626" t="s">
        <v>250</v>
      </c>
      <c r="Y65" s="626" t="s">
        <v>215</v>
      </c>
      <c r="Z65" s="626" t="s">
        <v>252</v>
      </c>
      <c r="AA65" s="626" t="s">
        <v>253</v>
      </c>
      <c r="AB65" s="626" t="s">
        <v>254</v>
      </c>
      <c r="AC65" s="626" t="s">
        <v>219</v>
      </c>
      <c r="AD65" s="626" t="s">
        <v>223</v>
      </c>
      <c r="AE65" s="626" t="s">
        <v>256</v>
      </c>
      <c r="AF65" s="626" t="s">
        <v>357</v>
      </c>
      <c r="AG65" s="626" t="s">
        <v>358</v>
      </c>
      <c r="AH65" s="626" t="s">
        <v>359</v>
      </c>
      <c r="AI65" s="626" t="s">
        <v>1115</v>
      </c>
      <c r="AJ65" s="626" t="s">
        <v>1116</v>
      </c>
      <c r="AK65" s="675" t="s">
        <v>1117</v>
      </c>
      <c r="AL65" s="645" t="s">
        <v>1124</v>
      </c>
    </row>
    <row r="66" spans="1:94">
      <c r="A66" s="9" t="s">
        <v>477</v>
      </c>
      <c r="B66" s="449">
        <v>-27752.933150000004</v>
      </c>
      <c r="C66" s="449">
        <v>-34060.101639999993</v>
      </c>
      <c r="D66" s="449">
        <v>-38179.237910000018</v>
      </c>
      <c r="E66" s="449">
        <v>-49050.140639999998</v>
      </c>
      <c r="F66" s="449">
        <v>-47660.746920000005</v>
      </c>
      <c r="G66" s="449">
        <v>-41201.127320000014</v>
      </c>
      <c r="H66" s="449">
        <v>-52355.155130000021</v>
      </c>
      <c r="I66" s="449">
        <v>-47306.482049999991</v>
      </c>
      <c r="J66" s="464">
        <f t="shared" ref="J66:AF66" si="30">SUM(J67:J71)</f>
        <v>-36734.664070000028</v>
      </c>
      <c r="K66" s="464">
        <f t="shared" si="30"/>
        <v>-57451.459060000001</v>
      </c>
      <c r="L66" s="464">
        <f t="shared" si="30"/>
        <v>-54800.751320000003</v>
      </c>
      <c r="M66" s="464">
        <f t="shared" si="30"/>
        <v>-59187.472529999999</v>
      </c>
      <c r="N66" s="464">
        <f t="shared" si="30"/>
        <v>-52799.603740000006</v>
      </c>
      <c r="O66" s="464">
        <f t="shared" si="30"/>
        <v>-61709.894189999999</v>
      </c>
      <c r="P66" s="464">
        <f t="shared" si="30"/>
        <v>-76201.933129999976</v>
      </c>
      <c r="Q66" s="464">
        <f t="shared" si="30"/>
        <v>-65269.623100000004</v>
      </c>
      <c r="R66" s="464">
        <f t="shared" si="30"/>
        <v>-87362.306820000027</v>
      </c>
      <c r="S66" s="464">
        <f t="shared" si="30"/>
        <v>-96922.757000000012</v>
      </c>
      <c r="T66" s="464">
        <f t="shared" si="30"/>
        <v>-95331.214159999989</v>
      </c>
      <c r="U66" s="464">
        <f t="shared" si="30"/>
        <v>-82396.643689999997</v>
      </c>
      <c r="V66" s="464">
        <f t="shared" si="30"/>
        <v>-93998.455149999994</v>
      </c>
      <c r="W66" s="464">
        <f t="shared" si="30"/>
        <v>-82509.732279999997</v>
      </c>
      <c r="X66" s="464">
        <f t="shared" si="30"/>
        <v>-98769.450529999987</v>
      </c>
      <c r="Y66" s="464">
        <f t="shared" si="30"/>
        <v>-93304.884480000008</v>
      </c>
      <c r="Z66" s="464">
        <f t="shared" si="30"/>
        <v>-94364.657850000003</v>
      </c>
      <c r="AA66" s="464">
        <f t="shared" si="30"/>
        <v>-64528.425709999996</v>
      </c>
      <c r="AB66" s="464">
        <f t="shared" si="30"/>
        <v>-73802.218730000008</v>
      </c>
      <c r="AC66" s="464">
        <f t="shared" si="30"/>
        <v>-109437.42298</v>
      </c>
      <c r="AD66" s="464">
        <f t="shared" si="30"/>
        <v>-55113.421880000009</v>
      </c>
      <c r="AE66" s="464">
        <f t="shared" si="30"/>
        <v>-430257.39234000002</v>
      </c>
      <c r="AF66" s="464">
        <f t="shared" si="30"/>
        <v>-95176.059399999998</v>
      </c>
      <c r="AG66" s="464">
        <f t="shared" ref="AG66:AJ66" si="31">SUM(AG67:AG71)</f>
        <v>-33414.512439999999</v>
      </c>
      <c r="AH66" s="464">
        <f t="shared" si="31"/>
        <v>-101944.50098</v>
      </c>
      <c r="AI66" s="464">
        <f t="shared" si="31"/>
        <v>-103464.98870999998</v>
      </c>
      <c r="AJ66" s="464">
        <f t="shared" si="31"/>
        <v>-94004.585720000003</v>
      </c>
      <c r="AK66" s="464">
        <f>SUM(AK67:AK71)</f>
        <v>-81657.979860000007</v>
      </c>
      <c r="AL66" s="464">
        <f>SUM(AL67:AL71)</f>
        <v>-69166.210619999998</v>
      </c>
    </row>
    <row r="67" spans="1:94">
      <c r="A67" s="11" t="s">
        <v>749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454">
        <v>-96759.509539999985</v>
      </c>
      <c r="K67" s="454">
        <v>-57395.530630000001</v>
      </c>
      <c r="L67" s="465">
        <f t="shared" ref="L67:AL67" si="32">L75+L93</f>
        <v>-54659.454389999999</v>
      </c>
      <c r="M67" s="465">
        <f t="shared" si="32"/>
        <v>-56039.305729999993</v>
      </c>
      <c r="N67" s="465">
        <f t="shared" si="32"/>
        <v>-51306.259890000008</v>
      </c>
      <c r="O67" s="465">
        <f t="shared" si="32"/>
        <v>-35074.850910000001</v>
      </c>
      <c r="P67" s="465">
        <f t="shared" si="32"/>
        <v>-67606.76436999999</v>
      </c>
      <c r="Q67" s="465">
        <f t="shared" si="32"/>
        <v>-59310.424310000002</v>
      </c>
      <c r="R67" s="465">
        <f t="shared" si="32"/>
        <v>-93155.599080000015</v>
      </c>
      <c r="S67" s="465">
        <f t="shared" si="32"/>
        <v>-134617.06801000002</v>
      </c>
      <c r="T67" s="465">
        <f t="shared" si="32"/>
        <v>-91425.881710000001</v>
      </c>
      <c r="U67" s="465">
        <f t="shared" si="32"/>
        <v>-73223.932939999999</v>
      </c>
      <c r="V67" s="465">
        <f t="shared" si="32"/>
        <v>-85457.034339999984</v>
      </c>
      <c r="W67" s="465">
        <f t="shared" si="32"/>
        <v>-56524.323980000001</v>
      </c>
      <c r="X67" s="465">
        <f t="shared" si="32"/>
        <v>-73125.429569999993</v>
      </c>
      <c r="Y67" s="465">
        <f t="shared" si="32"/>
        <v>-78151.292560000002</v>
      </c>
      <c r="Z67" s="465">
        <f t="shared" si="32"/>
        <v>-53055.155489999997</v>
      </c>
      <c r="AA67" s="465">
        <f t="shared" si="32"/>
        <v>-60995.92856</v>
      </c>
      <c r="AB67" s="465">
        <f t="shared" si="32"/>
        <v>-73925.986870000008</v>
      </c>
      <c r="AC67" s="465">
        <f t="shared" si="32"/>
        <v>-103002.2809</v>
      </c>
      <c r="AD67" s="465">
        <f t="shared" si="32"/>
        <v>-48874.740460000001</v>
      </c>
      <c r="AE67" s="465">
        <f t="shared" si="32"/>
        <v>-362387.98551000003</v>
      </c>
      <c r="AF67" s="465">
        <f t="shared" si="32"/>
        <v>-57360.305700000004</v>
      </c>
      <c r="AG67" s="465">
        <f t="shared" si="32"/>
        <v>-15763.119000000001</v>
      </c>
      <c r="AH67" s="465">
        <f t="shared" si="32"/>
        <v>-75489.458259999999</v>
      </c>
      <c r="AI67" s="465">
        <f t="shared" si="32"/>
        <v>-151965.31865999999</v>
      </c>
      <c r="AJ67" s="465">
        <f t="shared" si="32"/>
        <v>-86219.58024000001</v>
      </c>
      <c r="AK67" s="465">
        <f t="shared" si="32"/>
        <v>-82280.745800000004</v>
      </c>
      <c r="AL67" s="465">
        <f t="shared" si="32"/>
        <v>-56645.512669999996</v>
      </c>
    </row>
    <row r="68" spans="1:94">
      <c r="A68" s="11" t="s">
        <v>750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454">
        <v>-3663.2148199999997</v>
      </c>
      <c r="K68" s="454">
        <v>3299.0283499999996</v>
      </c>
      <c r="L68" s="465">
        <f t="shared" ref="L68:AL68" si="33">L76+L94</f>
        <v>4161.8357299999998</v>
      </c>
      <c r="M68" s="465">
        <f t="shared" si="33"/>
        <v>5095.1710699999994</v>
      </c>
      <c r="N68" s="465">
        <f t="shared" si="33"/>
        <v>2632.8727800000001</v>
      </c>
      <c r="O68" s="465">
        <f t="shared" si="33"/>
        <v>1697.13157</v>
      </c>
      <c r="P68" s="465">
        <f t="shared" si="33"/>
        <v>-388.11295999999999</v>
      </c>
      <c r="Q68" s="465">
        <f t="shared" si="33"/>
        <v>34.673710000000007</v>
      </c>
      <c r="R68" s="465">
        <f t="shared" si="33"/>
        <v>346.28577000000001</v>
      </c>
      <c r="S68" s="465">
        <f t="shared" si="33"/>
        <v>178.03323999999998</v>
      </c>
      <c r="T68" s="465">
        <f t="shared" si="33"/>
        <v>489.09873000000005</v>
      </c>
      <c r="U68" s="465">
        <f t="shared" si="33"/>
        <v>-213.01220000000001</v>
      </c>
      <c r="V68" s="465">
        <f t="shared" si="33"/>
        <v>-26.587149999999998</v>
      </c>
      <c r="W68" s="465">
        <f t="shared" si="33"/>
        <v>-246.71003000000002</v>
      </c>
      <c r="X68" s="465">
        <f t="shared" si="33"/>
        <v>52.888130000000004</v>
      </c>
      <c r="Y68" s="465">
        <f t="shared" si="33"/>
        <v>254.26683</v>
      </c>
      <c r="Z68" s="465">
        <f t="shared" si="33"/>
        <v>-485.63231000000002</v>
      </c>
      <c r="AA68" s="465">
        <f t="shared" si="33"/>
        <v>-280.73096999999996</v>
      </c>
      <c r="AB68" s="465">
        <f t="shared" si="33"/>
        <v>-215.70101</v>
      </c>
      <c r="AC68" s="465">
        <f t="shared" si="33"/>
        <v>86.498740000000012</v>
      </c>
      <c r="AD68" s="465">
        <f t="shared" si="33"/>
        <v>-96.576669999999993</v>
      </c>
      <c r="AE68" s="465">
        <f t="shared" si="33"/>
        <v>-58.833599999999997</v>
      </c>
      <c r="AF68" s="465">
        <f t="shared" si="33"/>
        <v>58.989930000000001</v>
      </c>
      <c r="AG68" s="465">
        <f t="shared" si="33"/>
        <v>-58.210999999999999</v>
      </c>
      <c r="AH68" s="465">
        <f t="shared" si="33"/>
        <v>-2.0449800000000007</v>
      </c>
      <c r="AI68" s="465">
        <f t="shared" si="33"/>
        <v>-86.778019999999984</v>
      </c>
      <c r="AJ68" s="465">
        <f t="shared" si="33"/>
        <v>-234.89737</v>
      </c>
      <c r="AK68" s="465">
        <f t="shared" si="33"/>
        <v>-18.689889999999998</v>
      </c>
      <c r="AL68" s="465">
        <f t="shared" si="33"/>
        <v>-59.194720000000004</v>
      </c>
    </row>
    <row r="69" spans="1:94">
      <c r="A69" s="11" t="s">
        <v>751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454">
        <v>-12844.88399</v>
      </c>
      <c r="K69" s="454">
        <v>0</v>
      </c>
      <c r="L69" s="465">
        <f t="shared" ref="L69:AL69" si="34">L77+L95</f>
        <v>0</v>
      </c>
      <c r="M69" s="465">
        <f t="shared" si="34"/>
        <v>0</v>
      </c>
      <c r="N69" s="465">
        <f t="shared" si="34"/>
        <v>0</v>
      </c>
      <c r="O69" s="465">
        <f t="shared" si="34"/>
        <v>0</v>
      </c>
      <c r="P69" s="465">
        <f t="shared" si="34"/>
        <v>5.3999999999999999E-2</v>
      </c>
      <c r="Q69" s="465">
        <f t="shared" si="34"/>
        <v>0</v>
      </c>
      <c r="R69" s="465">
        <f t="shared" si="34"/>
        <v>0</v>
      </c>
      <c r="S69" s="465">
        <f t="shared" si="34"/>
        <v>1.6012500000000001</v>
      </c>
      <c r="T69" s="465">
        <f t="shared" si="34"/>
        <v>58.277479999999997</v>
      </c>
      <c r="U69" s="465">
        <f t="shared" si="34"/>
        <v>147.64532</v>
      </c>
      <c r="V69" s="465">
        <f t="shared" si="34"/>
        <v>39.740559999999995</v>
      </c>
      <c r="W69" s="465">
        <f t="shared" si="34"/>
        <v>2.8054000000000001</v>
      </c>
      <c r="X69" s="465">
        <f t="shared" si="34"/>
        <v>26.5</v>
      </c>
      <c r="Y69" s="465">
        <f t="shared" si="34"/>
        <v>11.078580000000001</v>
      </c>
      <c r="Z69" s="465">
        <f t="shared" si="34"/>
        <v>23.672919999999998</v>
      </c>
      <c r="AA69" s="465">
        <f t="shared" si="34"/>
        <v>46.394410000000008</v>
      </c>
      <c r="AB69" s="465">
        <f t="shared" si="34"/>
        <v>1.2183199999999998</v>
      </c>
      <c r="AC69" s="465">
        <f t="shared" si="34"/>
        <v>0.91713999999999996</v>
      </c>
      <c r="AD69" s="465">
        <f t="shared" si="34"/>
        <v>8.3252400000000009</v>
      </c>
      <c r="AE69" s="465">
        <f t="shared" si="34"/>
        <v>48.264530000000008</v>
      </c>
      <c r="AF69" s="465">
        <f t="shared" si="34"/>
        <v>0</v>
      </c>
      <c r="AG69" s="465">
        <f t="shared" si="34"/>
        <v>0</v>
      </c>
      <c r="AH69" s="465">
        <f t="shared" si="34"/>
        <v>0</v>
      </c>
      <c r="AI69" s="465">
        <f t="shared" si="34"/>
        <v>0</v>
      </c>
      <c r="AJ69" s="465">
        <f t="shared" si="34"/>
        <v>180.60572000000002</v>
      </c>
      <c r="AK69" s="465">
        <f t="shared" si="34"/>
        <v>8.6880400000000009</v>
      </c>
      <c r="AL69" s="465">
        <f t="shared" si="34"/>
        <v>21.749860000000002</v>
      </c>
    </row>
    <row r="70" spans="1:94">
      <c r="A70" s="11" t="s">
        <v>752</v>
      </c>
      <c r="B70" s="8">
        <v>0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454">
        <v>76532.944279999952</v>
      </c>
      <c r="K70" s="454">
        <v>-3250.61105</v>
      </c>
      <c r="L70" s="465">
        <f t="shared" ref="L70:AL70" si="35">L78+L96</f>
        <v>-4098.8106299999999</v>
      </c>
      <c r="M70" s="465">
        <f t="shared" si="35"/>
        <v>-8093.9385000000002</v>
      </c>
      <c r="N70" s="465">
        <f t="shared" si="35"/>
        <v>-3995.1945200000005</v>
      </c>
      <c r="O70" s="465">
        <f t="shared" si="35"/>
        <v>-28115.920529999999</v>
      </c>
      <c r="P70" s="465">
        <f t="shared" si="35"/>
        <v>-7969.4211500000001</v>
      </c>
      <c r="Q70" s="465">
        <f t="shared" si="35"/>
        <v>-5778.0719000000008</v>
      </c>
      <c r="R70" s="465">
        <f t="shared" si="35"/>
        <v>5578.9733699999988</v>
      </c>
      <c r="S70" s="465">
        <f t="shared" si="35"/>
        <v>37642.350170000005</v>
      </c>
      <c r="T70" s="465">
        <f t="shared" si="35"/>
        <v>-4217.2774100000006</v>
      </c>
      <c r="U70" s="465">
        <f t="shared" si="35"/>
        <v>-9014.8191100000004</v>
      </c>
      <c r="V70" s="465">
        <f t="shared" si="35"/>
        <v>-8523.0037999999986</v>
      </c>
      <c r="W70" s="465">
        <f t="shared" si="35"/>
        <v>-25730.138419999996</v>
      </c>
      <c r="X70" s="465">
        <f t="shared" si="35"/>
        <v>-25702.608669999998</v>
      </c>
      <c r="Y70" s="465">
        <f t="shared" si="35"/>
        <v>-15394.365090000001</v>
      </c>
      <c r="Z70" s="465">
        <f t="shared" si="35"/>
        <v>-40394.58526</v>
      </c>
      <c r="AA70" s="465">
        <f t="shared" si="35"/>
        <v>-3233.3850100000018</v>
      </c>
      <c r="AB70" s="465">
        <f t="shared" si="35"/>
        <v>398.5632800000003</v>
      </c>
      <c r="AC70" s="465">
        <f t="shared" si="35"/>
        <v>-6483.4607999999998</v>
      </c>
      <c r="AD70" s="465">
        <f t="shared" si="35"/>
        <v>-6118.959170000001</v>
      </c>
      <c r="AE70" s="465">
        <f t="shared" si="35"/>
        <v>-67853.38437</v>
      </c>
      <c r="AF70" s="465">
        <f t="shared" si="35"/>
        <v>-37859.921220000004</v>
      </c>
      <c r="AG70" s="465">
        <f t="shared" si="35"/>
        <v>-17583.08944</v>
      </c>
      <c r="AH70" s="465">
        <f t="shared" si="35"/>
        <v>-26382.769980000001</v>
      </c>
      <c r="AI70" s="465">
        <f t="shared" si="35"/>
        <v>48619.617150000005</v>
      </c>
      <c r="AJ70" s="465">
        <f t="shared" si="35"/>
        <v>-7723.5267599999997</v>
      </c>
      <c r="AK70" s="465">
        <f t="shared" si="35"/>
        <v>849.81052999999895</v>
      </c>
      <c r="AL70" s="465">
        <f t="shared" si="35"/>
        <v>-12317.140929999998</v>
      </c>
      <c r="AM70" s="455"/>
      <c r="AN70" s="455"/>
      <c r="AO70" s="455"/>
      <c r="AP70" s="455"/>
      <c r="AQ70" s="455"/>
      <c r="AR70" s="455"/>
      <c r="AS70" s="455"/>
      <c r="AT70" s="455"/>
      <c r="AU70" s="455"/>
      <c r="AV70" s="455"/>
      <c r="AW70" s="455"/>
      <c r="AX70" s="455"/>
      <c r="AY70" s="455"/>
      <c r="AZ70" s="455"/>
      <c r="BA70" s="455"/>
      <c r="BB70" s="455"/>
      <c r="BC70" s="455"/>
      <c r="BD70" s="455"/>
      <c r="BE70" s="455"/>
      <c r="BF70" s="455"/>
      <c r="BG70" s="455"/>
      <c r="BH70" s="455"/>
      <c r="BI70" s="455"/>
      <c r="BJ70" s="455"/>
      <c r="BK70" s="455"/>
      <c r="BL70" s="455"/>
      <c r="BM70" s="455"/>
      <c r="BN70" s="455"/>
      <c r="BO70" s="455"/>
      <c r="BP70" s="455"/>
      <c r="BQ70" s="455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</row>
    <row r="71" spans="1:94">
      <c r="A71" s="11" t="s">
        <v>753</v>
      </c>
      <c r="B71" s="8">
        <v>0</v>
      </c>
      <c r="C71" s="8">
        <v>0</v>
      </c>
      <c r="D71" s="8">
        <v>0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  <c r="J71" s="454">
        <v>0</v>
      </c>
      <c r="K71" s="454">
        <v>-104.34573000000002</v>
      </c>
      <c r="L71" s="465">
        <f t="shared" ref="L71:AL71" si="36">L79+L97</f>
        <v>-204.32203000000001</v>
      </c>
      <c r="M71" s="465">
        <f t="shared" si="36"/>
        <v>-149.39937</v>
      </c>
      <c r="N71" s="465">
        <f t="shared" si="36"/>
        <v>-131.02211</v>
      </c>
      <c r="O71" s="465">
        <f t="shared" si="36"/>
        <v>-216.25432000000001</v>
      </c>
      <c r="P71" s="465">
        <f t="shared" si="36"/>
        <v>-237.68865000000002</v>
      </c>
      <c r="Q71" s="465">
        <f t="shared" si="36"/>
        <v>-215.8006</v>
      </c>
      <c r="R71" s="465">
        <f t="shared" si="36"/>
        <v>-131.96688</v>
      </c>
      <c r="S71" s="465">
        <f t="shared" si="36"/>
        <v>-127.67364999999999</v>
      </c>
      <c r="T71" s="465">
        <f t="shared" si="36"/>
        <v>-235.43125000000001</v>
      </c>
      <c r="U71" s="465">
        <f t="shared" si="36"/>
        <v>-92.524760000000015</v>
      </c>
      <c r="V71" s="465">
        <f t="shared" si="36"/>
        <v>-31.570419999999999</v>
      </c>
      <c r="W71" s="465">
        <f t="shared" si="36"/>
        <v>-11.36525</v>
      </c>
      <c r="X71" s="465">
        <f t="shared" si="36"/>
        <v>-20.800419999999999</v>
      </c>
      <c r="Y71" s="465">
        <f t="shared" si="36"/>
        <v>-24.572240000000001</v>
      </c>
      <c r="Z71" s="465">
        <f t="shared" si="36"/>
        <v>-452.95770999999996</v>
      </c>
      <c r="AA71" s="465">
        <f t="shared" si="36"/>
        <v>-64.775580000000005</v>
      </c>
      <c r="AB71" s="465">
        <f t="shared" si="36"/>
        <v>-60.312449999999998</v>
      </c>
      <c r="AC71" s="465">
        <f t="shared" si="36"/>
        <v>-39.097160000000002</v>
      </c>
      <c r="AD71" s="465">
        <f t="shared" si="36"/>
        <v>-31.47082</v>
      </c>
      <c r="AE71" s="465">
        <f t="shared" si="36"/>
        <v>-5.4533899999999988</v>
      </c>
      <c r="AF71" s="465">
        <f t="shared" si="36"/>
        <v>-14.82241</v>
      </c>
      <c r="AG71" s="465">
        <f t="shared" si="36"/>
        <v>-10.093</v>
      </c>
      <c r="AH71" s="465">
        <f t="shared" si="36"/>
        <v>-70.227759999999989</v>
      </c>
      <c r="AI71" s="465">
        <f t="shared" si="36"/>
        <v>-32.509180000000001</v>
      </c>
      <c r="AJ71" s="465">
        <f t="shared" si="36"/>
        <v>-7.1870699999999994</v>
      </c>
      <c r="AK71" s="465">
        <f t="shared" si="36"/>
        <v>-217.04274000000001</v>
      </c>
      <c r="AL71" s="465">
        <f t="shared" si="36"/>
        <v>-166.11216000000002</v>
      </c>
      <c r="AM71" s="455"/>
      <c r="AN71" s="455"/>
      <c r="AO71" s="455"/>
      <c r="AP71" s="455"/>
      <c r="AQ71" s="455"/>
      <c r="AR71" s="455"/>
      <c r="AS71" s="455"/>
      <c r="AT71" s="455"/>
      <c r="AU71" s="455"/>
      <c r="AV71" s="455"/>
      <c r="AW71" s="455"/>
      <c r="AX71" s="455"/>
      <c r="AY71" s="455"/>
      <c r="AZ71" s="455"/>
      <c r="BA71" s="455"/>
      <c r="BB71" s="455"/>
      <c r="BC71" s="455"/>
      <c r="BD71" s="455"/>
      <c r="BE71" s="455"/>
      <c r="BF71" s="455"/>
      <c r="BG71" s="455"/>
      <c r="BH71" s="455"/>
      <c r="BI71" s="455"/>
      <c r="BJ71" s="455"/>
      <c r="BK71" s="455"/>
      <c r="BL71" s="455"/>
      <c r="BM71" s="455"/>
      <c r="BN71" s="455"/>
      <c r="BO71" s="455"/>
      <c r="BP71" s="455"/>
      <c r="BQ71" s="455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</row>
    <row r="72" spans="1:94">
      <c r="N72" s="171"/>
      <c r="O72" s="171"/>
      <c r="P72" s="171"/>
      <c r="Q72" s="171"/>
      <c r="R72" s="171"/>
      <c r="S72" s="171"/>
      <c r="T72" s="8"/>
      <c r="Z72" s="454"/>
      <c r="AA72" s="454"/>
      <c r="AB72" s="454"/>
      <c r="AC72" s="454"/>
      <c r="AD72" s="454"/>
      <c r="AE72" s="454"/>
      <c r="AF72" s="454"/>
      <c r="AG72" s="454"/>
      <c r="AH72" s="454"/>
      <c r="AI72" s="454"/>
      <c r="AJ72" s="454"/>
      <c r="AK72" s="454"/>
      <c r="AL72" s="454"/>
    </row>
    <row r="73" spans="1:94" s="482" customFormat="1" ht="17.850000000000001" customHeight="1">
      <c r="A73" s="179" t="s">
        <v>761</v>
      </c>
      <c r="B73" s="180" t="s">
        <v>228</v>
      </c>
      <c r="C73" s="180" t="s">
        <v>229</v>
      </c>
      <c r="D73" s="180" t="s">
        <v>230</v>
      </c>
      <c r="E73" s="180" t="s">
        <v>231</v>
      </c>
      <c r="F73" s="180" t="s">
        <v>232</v>
      </c>
      <c r="G73" s="180" t="s">
        <v>233</v>
      </c>
      <c r="H73" s="180" t="s">
        <v>234</v>
      </c>
      <c r="I73" s="180" t="s">
        <v>235</v>
      </c>
      <c r="J73" s="180" t="s">
        <v>236</v>
      </c>
      <c r="K73" s="180" t="s">
        <v>237</v>
      </c>
      <c r="L73" s="180" t="s">
        <v>238</v>
      </c>
      <c r="M73" s="180" t="s">
        <v>239</v>
      </c>
      <c r="N73" s="180" t="s">
        <v>240</v>
      </c>
      <c r="O73" s="180" t="s">
        <v>241</v>
      </c>
      <c r="P73" s="180" t="s">
        <v>242</v>
      </c>
      <c r="Q73" s="180" t="s">
        <v>243</v>
      </c>
      <c r="R73" s="180" t="s">
        <v>244</v>
      </c>
      <c r="S73" s="180" t="s">
        <v>245</v>
      </c>
      <c r="T73" s="180" t="s">
        <v>246</v>
      </c>
      <c r="U73" s="180" t="s">
        <v>247</v>
      </c>
      <c r="V73" s="180" t="s">
        <v>248</v>
      </c>
      <c r="W73" s="180" t="s">
        <v>249</v>
      </c>
      <c r="X73" s="180" t="s">
        <v>250</v>
      </c>
      <c r="Y73" s="180" t="s">
        <v>215</v>
      </c>
      <c r="Z73" s="180" t="s">
        <v>252</v>
      </c>
      <c r="AA73" s="180" t="s">
        <v>253</v>
      </c>
      <c r="AB73" s="180" t="s">
        <v>254</v>
      </c>
      <c r="AC73" s="180" t="s">
        <v>219</v>
      </c>
      <c r="AD73" s="180" t="s">
        <v>223</v>
      </c>
      <c r="AE73" s="180" t="s">
        <v>256</v>
      </c>
      <c r="AF73" s="180" t="s">
        <v>357</v>
      </c>
      <c r="AG73" s="180" t="s">
        <v>358</v>
      </c>
      <c r="AH73" s="180" t="s">
        <v>359</v>
      </c>
      <c r="AI73" s="180" t="s">
        <v>1115</v>
      </c>
      <c r="AJ73" s="180" t="s">
        <v>1116</v>
      </c>
      <c r="AK73" s="180" t="s">
        <v>1117</v>
      </c>
      <c r="AL73" s="180" t="s">
        <v>1124</v>
      </c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</row>
    <row r="74" spans="1:94">
      <c r="A74" s="9" t="s">
        <v>477</v>
      </c>
      <c r="B74" s="449">
        <v>0</v>
      </c>
      <c r="C74" s="449">
        <v>0</v>
      </c>
      <c r="D74" s="449">
        <v>0</v>
      </c>
      <c r="E74" s="449">
        <v>0</v>
      </c>
      <c r="F74" s="449">
        <v>0</v>
      </c>
      <c r="G74" s="449">
        <v>0</v>
      </c>
      <c r="H74" s="449">
        <v>0</v>
      </c>
      <c r="I74" s="449">
        <v>0</v>
      </c>
      <c r="J74" s="449">
        <v>0</v>
      </c>
      <c r="K74" s="449">
        <v>0</v>
      </c>
      <c r="L74" s="449">
        <v>0</v>
      </c>
      <c r="M74" s="449">
        <v>0</v>
      </c>
      <c r="N74" s="449">
        <v>0</v>
      </c>
      <c r="O74" s="464">
        <f t="shared" ref="O74:AC74" si="37">SUM(O75:O79)</f>
        <v>0</v>
      </c>
      <c r="P74" s="464">
        <f t="shared" si="37"/>
        <v>-76201.933129999976</v>
      </c>
      <c r="Q74" s="464">
        <f t="shared" si="37"/>
        <v>-65269.623100000004</v>
      </c>
      <c r="R74" s="464">
        <f t="shared" si="37"/>
        <v>-87362.306820000027</v>
      </c>
      <c r="S74" s="464">
        <f t="shared" si="37"/>
        <v>-96922.757000000012</v>
      </c>
      <c r="T74" s="464">
        <f t="shared" si="37"/>
        <v>-95331.214159999989</v>
      </c>
      <c r="U74" s="464">
        <f t="shared" si="37"/>
        <v>-82396.643689999997</v>
      </c>
      <c r="V74" s="464">
        <f t="shared" si="37"/>
        <v>-93998.455149999994</v>
      </c>
      <c r="W74" s="464">
        <f t="shared" si="37"/>
        <v>-82509.732279999997</v>
      </c>
      <c r="X74" s="464">
        <f t="shared" si="37"/>
        <v>-98769.450529999987</v>
      </c>
      <c r="Y74" s="464">
        <f t="shared" si="37"/>
        <v>-93304.884480000008</v>
      </c>
      <c r="Z74" s="464">
        <f t="shared" si="37"/>
        <v>-94364.657850000003</v>
      </c>
      <c r="AA74" s="464">
        <f t="shared" si="37"/>
        <v>-64528.425709999996</v>
      </c>
      <c r="AB74" s="464">
        <f t="shared" si="37"/>
        <v>-73802.218730000008</v>
      </c>
      <c r="AC74" s="464">
        <f t="shared" si="37"/>
        <v>-109437.42298</v>
      </c>
      <c r="AD74" s="464">
        <f t="shared" ref="AD74:AE74" si="38">SUM(AD75:AD79)</f>
        <v>-55113.421880000009</v>
      </c>
      <c r="AE74" s="464">
        <f t="shared" si="38"/>
        <v>-430257.39234000002</v>
      </c>
      <c r="AF74" s="464">
        <f t="shared" ref="AF74:AJ74" si="39">SUM(AF75:AF79)</f>
        <v>-95176.059399999998</v>
      </c>
      <c r="AG74" s="464">
        <f t="shared" si="39"/>
        <v>-33414.512439999999</v>
      </c>
      <c r="AH74" s="464">
        <f t="shared" si="39"/>
        <v>-101944.50098</v>
      </c>
      <c r="AI74" s="464">
        <f t="shared" si="39"/>
        <v>-103464.98870999998</v>
      </c>
      <c r="AJ74" s="464">
        <f t="shared" si="39"/>
        <v>-94004.585720000003</v>
      </c>
      <c r="AK74" s="464">
        <f>SUM(AK75:AK79)</f>
        <v>-81657.979860000007</v>
      </c>
      <c r="AL74" s="464">
        <f>SUM(AL75:AL79)</f>
        <v>-69166.210619999998</v>
      </c>
    </row>
    <row r="75" spans="1:94">
      <c r="A75" s="11" t="s">
        <v>749</v>
      </c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454">
        <v>0</v>
      </c>
      <c r="K75" s="454">
        <v>0</v>
      </c>
      <c r="L75" s="454">
        <v>0</v>
      </c>
      <c r="M75" s="454">
        <v>0</v>
      </c>
      <c r="N75" s="454">
        <v>0</v>
      </c>
      <c r="O75" s="454">
        <v>0</v>
      </c>
      <c r="P75" s="454">
        <v>-67606.76436999999</v>
      </c>
      <c r="Q75" s="454">
        <v>-59310.424310000002</v>
      </c>
      <c r="R75" s="454">
        <v>-93155.599080000015</v>
      </c>
      <c r="S75" s="454">
        <v>-134617.06801000002</v>
      </c>
      <c r="T75" s="454">
        <v>-91425.881710000001</v>
      </c>
      <c r="U75" s="454">
        <v>-73223.932939999999</v>
      </c>
      <c r="V75" s="454">
        <v>-85457.034339999984</v>
      </c>
      <c r="W75" s="454">
        <v>-56524.323980000001</v>
      </c>
      <c r="X75" s="454">
        <v>-73125.429569999993</v>
      </c>
      <c r="Y75" s="454">
        <v>-78151.292560000002</v>
      </c>
      <c r="Z75" s="454">
        <v>-53055.155489999997</v>
      </c>
      <c r="AA75" s="454">
        <v>-60995.92856</v>
      </c>
      <c r="AB75" s="454">
        <v>-73925.986870000008</v>
      </c>
      <c r="AC75" s="454">
        <v>-103002.2809</v>
      </c>
      <c r="AD75" s="454">
        <v>-48874.740460000001</v>
      </c>
      <c r="AE75" s="454">
        <v>-362387.98551000003</v>
      </c>
      <c r="AF75" s="454">
        <v>-57360.305700000004</v>
      </c>
      <c r="AG75" s="454">
        <v>-15763.119000000001</v>
      </c>
      <c r="AH75" s="454">
        <v>-75489.458259999999</v>
      </c>
      <c r="AI75" s="454">
        <v>-151965.31865999999</v>
      </c>
      <c r="AJ75" s="454">
        <v>-86219.58024000001</v>
      </c>
      <c r="AK75" s="454">
        <v>-82280.745800000004</v>
      </c>
      <c r="AL75" s="454">
        <v>-56645.512669999996</v>
      </c>
    </row>
    <row r="76" spans="1:94">
      <c r="A76" s="11" t="s">
        <v>750</v>
      </c>
      <c r="B76" s="8">
        <v>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454">
        <v>0</v>
      </c>
      <c r="K76" s="454">
        <v>0</v>
      </c>
      <c r="L76" s="454">
        <v>0</v>
      </c>
      <c r="M76" s="454">
        <v>0</v>
      </c>
      <c r="N76" s="454">
        <v>0</v>
      </c>
      <c r="O76" s="454">
        <v>0</v>
      </c>
      <c r="P76" s="454">
        <v>-388.11295999999999</v>
      </c>
      <c r="Q76" s="454">
        <v>34.673710000000007</v>
      </c>
      <c r="R76" s="454">
        <v>346.28577000000001</v>
      </c>
      <c r="S76" s="454">
        <v>178.03323999999998</v>
      </c>
      <c r="T76" s="454">
        <v>489.09873000000005</v>
      </c>
      <c r="U76" s="454">
        <v>-213.01220000000001</v>
      </c>
      <c r="V76" s="454">
        <v>-26.587149999999998</v>
      </c>
      <c r="W76" s="454">
        <v>-246.71003000000002</v>
      </c>
      <c r="X76" s="454">
        <v>52.888130000000004</v>
      </c>
      <c r="Y76" s="454">
        <v>254.26683</v>
      </c>
      <c r="Z76" s="454">
        <v>-485.63231000000002</v>
      </c>
      <c r="AA76" s="454">
        <v>-280.73096999999996</v>
      </c>
      <c r="AB76" s="454">
        <v>-215.70101</v>
      </c>
      <c r="AC76" s="454">
        <v>86.498740000000012</v>
      </c>
      <c r="AD76" s="454">
        <v>-96.576669999999993</v>
      </c>
      <c r="AE76" s="454">
        <v>-58.833599999999997</v>
      </c>
      <c r="AF76" s="454">
        <v>58.989930000000001</v>
      </c>
      <c r="AG76" s="454">
        <v>-58.210999999999999</v>
      </c>
      <c r="AH76" s="454">
        <v>-2.0449800000000007</v>
      </c>
      <c r="AI76" s="454">
        <v>-86.778019999999984</v>
      </c>
      <c r="AJ76" s="454">
        <v>-234.89737</v>
      </c>
      <c r="AK76" s="454">
        <v>-18.689889999999998</v>
      </c>
      <c r="AL76" s="454">
        <v>-59.194720000000004</v>
      </c>
    </row>
    <row r="77" spans="1:94">
      <c r="A77" s="11" t="s">
        <v>751</v>
      </c>
      <c r="B77" s="8">
        <v>0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454">
        <v>0</v>
      </c>
      <c r="K77" s="454">
        <v>0</v>
      </c>
      <c r="L77" s="454">
        <v>0</v>
      </c>
      <c r="M77" s="454">
        <v>0</v>
      </c>
      <c r="N77" s="454">
        <v>0</v>
      </c>
      <c r="O77" s="454">
        <v>0</v>
      </c>
      <c r="P77" s="454">
        <v>5.3999999999999999E-2</v>
      </c>
      <c r="Q77" s="454">
        <v>0</v>
      </c>
      <c r="R77" s="454">
        <v>0</v>
      </c>
      <c r="S77" s="454">
        <v>1.6012500000000001</v>
      </c>
      <c r="T77" s="454">
        <v>58.277479999999997</v>
      </c>
      <c r="U77" s="454">
        <v>147.64532</v>
      </c>
      <c r="V77" s="454">
        <v>39.740559999999995</v>
      </c>
      <c r="W77" s="454">
        <v>2.8054000000000001</v>
      </c>
      <c r="X77" s="454">
        <v>26.5</v>
      </c>
      <c r="Y77" s="454">
        <v>11.078580000000001</v>
      </c>
      <c r="Z77" s="454">
        <v>23.672919999999998</v>
      </c>
      <c r="AA77" s="454">
        <v>46.394410000000008</v>
      </c>
      <c r="AB77" s="454">
        <v>1.2183199999999998</v>
      </c>
      <c r="AC77" s="454">
        <v>0.91713999999999996</v>
      </c>
      <c r="AD77" s="454">
        <v>8.3252400000000009</v>
      </c>
      <c r="AE77" s="454">
        <v>48.264530000000008</v>
      </c>
      <c r="AF77" s="454">
        <v>0</v>
      </c>
      <c r="AG77" s="454">
        <v>0</v>
      </c>
      <c r="AH77" s="454">
        <v>0</v>
      </c>
      <c r="AI77" s="454">
        <v>0</v>
      </c>
      <c r="AJ77" s="454">
        <v>180.60572000000002</v>
      </c>
      <c r="AK77" s="454">
        <v>8.6880400000000009</v>
      </c>
      <c r="AL77" s="454">
        <v>21.749860000000002</v>
      </c>
    </row>
    <row r="78" spans="1:94">
      <c r="A78" s="11" t="s">
        <v>752</v>
      </c>
      <c r="B78" s="8">
        <v>0</v>
      </c>
      <c r="C78" s="8">
        <v>0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454">
        <v>0</v>
      </c>
      <c r="K78" s="454">
        <v>0</v>
      </c>
      <c r="L78" s="454">
        <v>0</v>
      </c>
      <c r="M78" s="454">
        <v>0</v>
      </c>
      <c r="N78" s="454">
        <v>0</v>
      </c>
      <c r="O78" s="454">
        <v>0</v>
      </c>
      <c r="P78" s="454">
        <v>-7969.4211500000001</v>
      </c>
      <c r="Q78" s="454">
        <v>-5778.0719000000008</v>
      </c>
      <c r="R78" s="454">
        <v>5578.9733699999988</v>
      </c>
      <c r="S78" s="454">
        <v>37642.350170000005</v>
      </c>
      <c r="T78" s="454">
        <v>-4217.2774100000006</v>
      </c>
      <c r="U78" s="454">
        <v>-9014.8191100000004</v>
      </c>
      <c r="V78" s="454">
        <v>-8523.0037999999986</v>
      </c>
      <c r="W78" s="454">
        <v>-25730.138419999996</v>
      </c>
      <c r="X78" s="454">
        <v>-25702.608669999998</v>
      </c>
      <c r="Y78" s="454">
        <v>-15394.365090000001</v>
      </c>
      <c r="Z78" s="454">
        <v>-40394.58526</v>
      </c>
      <c r="AA78" s="454">
        <v>-3233.3850100000018</v>
      </c>
      <c r="AB78" s="454">
        <v>398.5632800000003</v>
      </c>
      <c r="AC78" s="454">
        <v>-6483.4607999999998</v>
      </c>
      <c r="AD78" s="454">
        <v>-6118.959170000001</v>
      </c>
      <c r="AE78" s="454">
        <v>-67853.38437</v>
      </c>
      <c r="AF78" s="454">
        <v>-37859.921220000004</v>
      </c>
      <c r="AG78" s="454">
        <v>-17583.08944</v>
      </c>
      <c r="AH78" s="454">
        <v>-26382.769980000001</v>
      </c>
      <c r="AI78" s="454">
        <v>48619.617150000005</v>
      </c>
      <c r="AJ78" s="454">
        <v>-7723.5267599999997</v>
      </c>
      <c r="AK78" s="454">
        <v>849.81052999999895</v>
      </c>
      <c r="AL78" s="454">
        <v>-12317.140929999998</v>
      </c>
    </row>
    <row r="79" spans="1:94">
      <c r="A79" s="11" t="s">
        <v>753</v>
      </c>
      <c r="B79" s="8">
        <v>0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454">
        <v>0</v>
      </c>
      <c r="K79" s="454">
        <v>0</v>
      </c>
      <c r="L79" s="454">
        <v>0</v>
      </c>
      <c r="M79" s="454">
        <v>0</v>
      </c>
      <c r="N79" s="454">
        <v>0</v>
      </c>
      <c r="O79" s="454">
        <v>0</v>
      </c>
      <c r="P79" s="454">
        <v>-237.68865000000002</v>
      </c>
      <c r="Q79" s="454">
        <v>-215.8006</v>
      </c>
      <c r="R79" s="454">
        <v>-131.96688</v>
      </c>
      <c r="S79" s="454">
        <v>-127.67364999999999</v>
      </c>
      <c r="T79" s="454">
        <v>-235.43125000000001</v>
      </c>
      <c r="U79" s="454">
        <v>-92.524760000000015</v>
      </c>
      <c r="V79" s="454">
        <v>-31.570419999999999</v>
      </c>
      <c r="W79" s="454">
        <v>-11.36525</v>
      </c>
      <c r="X79" s="454">
        <v>-20.800419999999999</v>
      </c>
      <c r="Y79" s="454">
        <v>-24.572240000000001</v>
      </c>
      <c r="Z79" s="454">
        <v>-452.95770999999996</v>
      </c>
      <c r="AA79" s="454">
        <v>-64.775580000000005</v>
      </c>
      <c r="AB79" s="454">
        <v>-60.312449999999998</v>
      </c>
      <c r="AC79" s="454">
        <v>-39.097160000000002</v>
      </c>
      <c r="AD79" s="454">
        <v>-31.47082</v>
      </c>
      <c r="AE79" s="454">
        <v>-5.4533899999999988</v>
      </c>
      <c r="AF79" s="454">
        <v>-14.82241</v>
      </c>
      <c r="AG79" s="454">
        <v>-10.093</v>
      </c>
      <c r="AH79" s="454">
        <v>-70.227759999999989</v>
      </c>
      <c r="AI79" s="454">
        <v>-32.509180000000001</v>
      </c>
      <c r="AJ79" s="454">
        <v>-7.1870699999999994</v>
      </c>
      <c r="AK79" s="454">
        <v>-217.04274000000001</v>
      </c>
      <c r="AL79" s="454">
        <v>-166.11216000000002</v>
      </c>
    </row>
    <row r="80" spans="1:94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71"/>
      <c r="O80" s="171"/>
      <c r="P80" s="171"/>
      <c r="Q80" s="171"/>
      <c r="R80" s="171"/>
      <c r="S80" s="171"/>
      <c r="T80" s="8"/>
      <c r="U80" s="20"/>
      <c r="V80" s="20"/>
      <c r="Z80" s="454"/>
      <c r="AA80" s="454"/>
      <c r="AB80" s="454"/>
      <c r="AC80" s="454"/>
      <c r="AD80" s="454"/>
      <c r="AE80" s="454"/>
      <c r="AF80" s="454"/>
      <c r="AG80" s="454"/>
      <c r="AH80" s="454"/>
      <c r="AI80" s="454"/>
      <c r="AJ80" s="454"/>
      <c r="AK80" s="454"/>
      <c r="AL80" s="454"/>
    </row>
    <row r="81" spans="1:69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171"/>
      <c r="O81" s="171"/>
      <c r="P81" s="171"/>
      <c r="Q81" s="171"/>
      <c r="R81" s="171"/>
      <c r="S81" s="171"/>
      <c r="T81" s="8"/>
      <c r="U81" s="20"/>
      <c r="V81" s="20"/>
      <c r="AA81" s="8"/>
    </row>
    <row r="82" spans="1:69" s="482" customFormat="1">
      <c r="A82" s="179" t="s">
        <v>762</v>
      </c>
      <c r="B82" s="180" t="s">
        <v>228</v>
      </c>
      <c r="C82" s="180" t="s">
        <v>229</v>
      </c>
      <c r="D82" s="180" t="s">
        <v>230</v>
      </c>
      <c r="E82" s="180" t="s">
        <v>231</v>
      </c>
      <c r="F82" s="180" t="s">
        <v>232</v>
      </c>
      <c r="G82" s="180" t="s">
        <v>233</v>
      </c>
      <c r="H82" s="180" t="s">
        <v>234</v>
      </c>
      <c r="I82" s="180" t="s">
        <v>235</v>
      </c>
      <c r="J82" s="180" t="s">
        <v>236</v>
      </c>
      <c r="K82" s="180" t="s">
        <v>237</v>
      </c>
      <c r="L82" s="180" t="s">
        <v>238</v>
      </c>
      <c r="M82" s="180" t="s">
        <v>239</v>
      </c>
      <c r="N82" s="180" t="s">
        <v>240</v>
      </c>
      <c r="O82" s="180" t="s">
        <v>241</v>
      </c>
      <c r="P82" s="180" t="s">
        <v>242</v>
      </c>
      <c r="Q82" s="180" t="s">
        <v>243</v>
      </c>
      <c r="R82" s="180" t="s">
        <v>244</v>
      </c>
      <c r="S82" s="180" t="s">
        <v>245</v>
      </c>
      <c r="T82" s="180" t="s">
        <v>246</v>
      </c>
      <c r="U82" s="180" t="s">
        <v>247</v>
      </c>
      <c r="V82" s="180" t="s">
        <v>248</v>
      </c>
      <c r="W82" s="180" t="s">
        <v>249</v>
      </c>
      <c r="X82" s="180" t="s">
        <v>250</v>
      </c>
      <c r="Y82" s="180" t="s">
        <v>215</v>
      </c>
      <c r="Z82" s="180" t="s">
        <v>252</v>
      </c>
      <c r="AA82" s="180" t="s">
        <v>253</v>
      </c>
      <c r="AB82" s="180" t="s">
        <v>254</v>
      </c>
      <c r="AC82" s="180" t="s">
        <v>219</v>
      </c>
      <c r="AD82" s="180" t="s">
        <v>223</v>
      </c>
      <c r="AE82" s="180" t="s">
        <v>256</v>
      </c>
      <c r="AF82" s="180" t="s">
        <v>357</v>
      </c>
      <c r="AG82" s="180" t="s">
        <v>358</v>
      </c>
      <c r="AH82" s="180" t="s">
        <v>359</v>
      </c>
      <c r="AI82" s="180" t="s">
        <v>1115</v>
      </c>
      <c r="AJ82" s="180" t="s">
        <v>1116</v>
      </c>
      <c r="AK82" s="180" t="s">
        <v>1117</v>
      </c>
      <c r="AL82" s="180" t="s">
        <v>1124</v>
      </c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</row>
    <row r="83" spans="1:69">
      <c r="A83" s="9" t="s">
        <v>477</v>
      </c>
      <c r="B83" s="449">
        <v>0</v>
      </c>
      <c r="C83" s="449">
        <v>0</v>
      </c>
      <c r="D83" s="449">
        <v>0</v>
      </c>
      <c r="E83" s="449">
        <v>0</v>
      </c>
      <c r="F83" s="449">
        <v>0</v>
      </c>
      <c r="G83" s="449">
        <v>0</v>
      </c>
      <c r="H83" s="449">
        <v>0</v>
      </c>
      <c r="I83" s="449">
        <v>0</v>
      </c>
      <c r="J83" s="449">
        <v>0</v>
      </c>
      <c r="K83" s="449">
        <v>0</v>
      </c>
      <c r="L83" s="449">
        <v>0</v>
      </c>
      <c r="M83" s="449">
        <v>0</v>
      </c>
      <c r="N83" s="449">
        <v>0</v>
      </c>
      <c r="O83" s="464">
        <f t="shared" ref="O83:AE83" si="40">SUM(O84:O88)</f>
        <v>0</v>
      </c>
      <c r="P83" s="464">
        <f t="shared" si="40"/>
        <v>-76201.933129999976</v>
      </c>
      <c r="Q83" s="464">
        <f t="shared" si="40"/>
        <v>-65269.623100000004</v>
      </c>
      <c r="R83" s="464">
        <f t="shared" si="40"/>
        <v>-86490.203680000021</v>
      </c>
      <c r="S83" s="464">
        <f t="shared" si="40"/>
        <v>-92267.021959999998</v>
      </c>
      <c r="T83" s="464">
        <f t="shared" si="40"/>
        <v>-90758.66979</v>
      </c>
      <c r="U83" s="464">
        <f t="shared" si="40"/>
        <v>-72100.400089999996</v>
      </c>
      <c r="V83" s="464">
        <f t="shared" si="40"/>
        <v>-74345.013869999995</v>
      </c>
      <c r="W83" s="464">
        <f t="shared" si="40"/>
        <v>-69207.487900000007</v>
      </c>
      <c r="X83" s="464">
        <f t="shared" si="40"/>
        <v>-77816.511989999999</v>
      </c>
      <c r="Y83" s="464">
        <f t="shared" si="40"/>
        <v>-58845.572799999994</v>
      </c>
      <c r="Z83" s="464">
        <f t="shared" si="40"/>
        <v>-65967.21431000001</v>
      </c>
      <c r="AA83" s="464">
        <f t="shared" si="40"/>
        <v>-14969.591109999998</v>
      </c>
      <c r="AB83" s="464">
        <f t="shared" si="40"/>
        <v>-32071.272419999998</v>
      </c>
      <c r="AC83" s="464">
        <f t="shared" si="40"/>
        <v>-64939.47101999999</v>
      </c>
      <c r="AD83" s="464">
        <f t="shared" si="40"/>
        <v>-12119.309279999994</v>
      </c>
      <c r="AE83" s="464">
        <f t="shared" si="40"/>
        <v>-299392.97924000002</v>
      </c>
      <c r="AF83" s="464">
        <f t="shared" ref="AF83:AK83" si="41">SUM(AF84:AF88)</f>
        <v>-54342.606810000005</v>
      </c>
      <c r="AG83" s="464">
        <f t="shared" si="41"/>
        <v>-33414.512439999999</v>
      </c>
      <c r="AH83" s="464">
        <f t="shared" si="41"/>
        <v>-101944.50098</v>
      </c>
      <c r="AI83" s="464">
        <f t="shared" si="41"/>
        <v>-103464.98870999998</v>
      </c>
      <c r="AJ83" s="464">
        <f t="shared" si="41"/>
        <v>-94004.585720000003</v>
      </c>
      <c r="AK83" s="464">
        <f t="shared" si="41"/>
        <v>-81657.979710000014</v>
      </c>
      <c r="AL83" s="464">
        <f>SUM(AL84:AL88)</f>
        <v>-69166.210619999998</v>
      </c>
    </row>
    <row r="84" spans="1:69">
      <c r="A84" s="11" t="s">
        <v>749</v>
      </c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-67606.76436999999</v>
      </c>
      <c r="Q84" s="8">
        <v>-59310.424310000002</v>
      </c>
      <c r="R84" s="8">
        <v>-92294.871300000013</v>
      </c>
      <c r="S84" s="8">
        <v>-130332.34436000002</v>
      </c>
      <c r="T84" s="8">
        <v>-86600.674310000002</v>
      </c>
      <c r="U84" s="8">
        <v>-64756.23414</v>
      </c>
      <c r="V84" s="8">
        <v>-67127.471759999986</v>
      </c>
      <c r="W84" s="8">
        <v>-48185.256820000002</v>
      </c>
      <c r="X84" s="8">
        <v>-53850.904699999999</v>
      </c>
      <c r="Y84" s="8">
        <v>-54303.047780000001</v>
      </c>
      <c r="Z84" s="8">
        <v>-30002.293249999999</v>
      </c>
      <c r="AA84" s="8">
        <v>-32581.077499999999</v>
      </c>
      <c r="AB84" s="8">
        <v>-40438.689030000001</v>
      </c>
      <c r="AC84" s="465">
        <v>-60212.383559999995</v>
      </c>
      <c r="AD84" s="465">
        <v>-17385.149409999998</v>
      </c>
      <c r="AE84" s="465">
        <v>-251825.83284000002</v>
      </c>
      <c r="AF84" s="465">
        <v>-22512.92007</v>
      </c>
      <c r="AG84" s="465">
        <v>-15763.119000000001</v>
      </c>
      <c r="AH84" s="465">
        <v>-75489.458259999999</v>
      </c>
      <c r="AI84" s="465">
        <v>-151965.31865999999</v>
      </c>
      <c r="AJ84" s="465">
        <v>-86219.58024000001</v>
      </c>
      <c r="AK84" s="454">
        <v>-82280.745800000004</v>
      </c>
      <c r="AL84" s="465">
        <v>-56645.512669999996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</row>
    <row r="85" spans="1:69">
      <c r="A85" s="11" t="s">
        <v>750</v>
      </c>
      <c r="B85" s="8">
        <v>0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-388.11295999999999</v>
      </c>
      <c r="Q85" s="8">
        <v>34.673710000000007</v>
      </c>
      <c r="R85" s="8">
        <v>346.28577000000001</v>
      </c>
      <c r="S85" s="8">
        <v>178.03323999999998</v>
      </c>
      <c r="T85" s="8">
        <v>489.09873000000005</v>
      </c>
      <c r="U85" s="8">
        <v>-213.01220000000001</v>
      </c>
      <c r="V85" s="8">
        <v>-26.587149999999998</v>
      </c>
      <c r="W85" s="8">
        <v>-246.71003000000002</v>
      </c>
      <c r="X85" s="8">
        <v>52.888130000000004</v>
      </c>
      <c r="Y85" s="8">
        <v>254.26683</v>
      </c>
      <c r="Z85" s="8">
        <v>-485.63231000000002</v>
      </c>
      <c r="AA85" s="8">
        <v>-280.73096999999996</v>
      </c>
      <c r="AB85" s="8">
        <v>-215.70101</v>
      </c>
      <c r="AC85" s="465">
        <v>86.498740000000012</v>
      </c>
      <c r="AD85" s="465">
        <v>-96.576669999999993</v>
      </c>
      <c r="AE85" s="465">
        <v>-58.833599999999997</v>
      </c>
      <c r="AF85" s="465">
        <v>58.989930000000001</v>
      </c>
      <c r="AG85" s="465">
        <v>-58.210999999999999</v>
      </c>
      <c r="AH85" s="465">
        <v>-2.0449800000000007</v>
      </c>
      <c r="AI85" s="465">
        <v>-86.778019999999984</v>
      </c>
      <c r="AJ85" s="465">
        <v>-234.89737</v>
      </c>
      <c r="AK85" s="454">
        <v>-18.689889999999998</v>
      </c>
      <c r="AL85" s="465">
        <v>-59.194720000000004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</row>
    <row r="86" spans="1:69">
      <c r="A86" s="11" t="s">
        <v>751</v>
      </c>
      <c r="B86" s="8">
        <v>0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5.3999999999999999E-2</v>
      </c>
      <c r="Q86" s="8">
        <v>0</v>
      </c>
      <c r="R86" s="8">
        <v>0</v>
      </c>
      <c r="S86" s="8">
        <v>1.6012500000000001</v>
      </c>
      <c r="T86" s="8">
        <v>58.277479999999997</v>
      </c>
      <c r="U86" s="8">
        <v>147.64532</v>
      </c>
      <c r="V86" s="8">
        <v>35.740559999999995</v>
      </c>
      <c r="W86" s="8">
        <v>1.8806400000000001</v>
      </c>
      <c r="X86" s="8">
        <v>26.5</v>
      </c>
      <c r="Y86" s="8">
        <v>11.078580000000001</v>
      </c>
      <c r="Z86" s="8">
        <v>23.672919999999998</v>
      </c>
      <c r="AA86" s="8">
        <v>38.086940000000006</v>
      </c>
      <c r="AB86" s="8">
        <v>1.2183199999999998</v>
      </c>
      <c r="AC86" s="465">
        <v>0.91713999999999996</v>
      </c>
      <c r="AD86" s="465">
        <v>2.88978</v>
      </c>
      <c r="AE86" s="465">
        <v>19.277090000000001</v>
      </c>
      <c r="AF86" s="465">
        <v>0</v>
      </c>
      <c r="AG86" s="465">
        <v>0</v>
      </c>
      <c r="AH86" s="465">
        <v>0</v>
      </c>
      <c r="AI86" s="465">
        <v>0</v>
      </c>
      <c r="AJ86" s="465">
        <v>180.60572000000002</v>
      </c>
      <c r="AK86" s="454">
        <v>8.6880400000000009</v>
      </c>
      <c r="AL86" s="465">
        <v>21.749860000000002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</row>
    <row r="87" spans="1:69">
      <c r="A87" s="11" t="s">
        <v>752</v>
      </c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-7969.4211500000001</v>
      </c>
      <c r="Q87" s="8">
        <v>-5778.0719000000008</v>
      </c>
      <c r="R87" s="8">
        <v>5590.3487299999988</v>
      </c>
      <c r="S87" s="8">
        <v>38013.361560000005</v>
      </c>
      <c r="T87" s="8">
        <v>-4469.9404400000003</v>
      </c>
      <c r="U87" s="8">
        <v>-7186.2743099999998</v>
      </c>
      <c r="V87" s="8">
        <v>-7195.1250999999993</v>
      </c>
      <c r="W87" s="8">
        <v>-20766.036439999996</v>
      </c>
      <c r="X87" s="8">
        <v>-24041.620239999997</v>
      </c>
      <c r="Y87" s="8">
        <v>-4806.902399999999</v>
      </c>
      <c r="Z87" s="8">
        <v>-35502.496939999997</v>
      </c>
      <c r="AA87" s="8">
        <v>17854.437619999997</v>
      </c>
      <c r="AB87" s="8">
        <v>8582.2020400000001</v>
      </c>
      <c r="AC87" s="465">
        <v>-4814.0507600000001</v>
      </c>
      <c r="AD87" s="465">
        <v>5359.873340000001</v>
      </c>
      <c r="AE87" s="465">
        <v>-47527.247470000002</v>
      </c>
      <c r="AF87" s="465">
        <v>-31884.759040000004</v>
      </c>
      <c r="AG87" s="465">
        <v>-17583.08944</v>
      </c>
      <c r="AH87" s="465">
        <v>-26382.769980000001</v>
      </c>
      <c r="AI87" s="465">
        <v>48619.617150000005</v>
      </c>
      <c r="AJ87" s="465">
        <v>-7723.5267599999997</v>
      </c>
      <c r="AK87" s="454">
        <v>849.81067999999982</v>
      </c>
      <c r="AL87" s="465">
        <v>-12317.140929999998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</row>
    <row r="88" spans="1:69">
      <c r="A88" s="11" t="s">
        <v>753</v>
      </c>
      <c r="B88" s="8">
        <v>0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-237.68865000000002</v>
      </c>
      <c r="Q88" s="8">
        <v>-215.8006</v>
      </c>
      <c r="R88" s="8">
        <v>-131.96688</v>
      </c>
      <c r="S88" s="8">
        <v>-127.67364999999999</v>
      </c>
      <c r="T88" s="8">
        <v>-235.43125000000001</v>
      </c>
      <c r="U88" s="8">
        <v>-92.524760000000015</v>
      </c>
      <c r="V88" s="8">
        <v>-31.570419999999999</v>
      </c>
      <c r="W88" s="8">
        <v>-11.36525</v>
      </c>
      <c r="X88" s="8">
        <v>-3.3751800000000003</v>
      </c>
      <c r="Y88" s="8">
        <v>-0.96802999999999995</v>
      </c>
      <c r="Z88" s="8">
        <v>-0.46473000000000003</v>
      </c>
      <c r="AA88" s="8">
        <v>-0.30719999999999997</v>
      </c>
      <c r="AB88" s="8">
        <v>-0.30274000000000001</v>
      </c>
      <c r="AC88" s="465">
        <v>-0.45258000000000004</v>
      </c>
      <c r="AD88" s="465">
        <v>-0.34632000000000002</v>
      </c>
      <c r="AE88" s="465">
        <v>-0.34241999999999995</v>
      </c>
      <c r="AF88" s="465">
        <v>-3.9176300000000004</v>
      </c>
      <c r="AG88" s="465">
        <v>-10.093</v>
      </c>
      <c r="AH88" s="465">
        <v>-70.227759999999989</v>
      </c>
      <c r="AI88" s="465">
        <v>-32.509180000000001</v>
      </c>
      <c r="AJ88" s="465">
        <v>-7.1870699999999994</v>
      </c>
      <c r="AK88" s="454">
        <v>-217.04274000000001</v>
      </c>
      <c r="AL88" s="465">
        <v>-166.11216000000002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</row>
    <row r="89" spans="1:69" ht="18" customHeight="1">
      <c r="N89" s="171"/>
      <c r="O89" s="171"/>
      <c r="P89" s="171"/>
      <c r="Q89" s="171"/>
      <c r="R89" s="171"/>
      <c r="S89" s="171"/>
      <c r="T89" s="8"/>
      <c r="Z89" s="454"/>
      <c r="AA89" s="454"/>
      <c r="AB89" s="454"/>
      <c r="AC89" s="454"/>
      <c r="AD89" s="454"/>
      <c r="AE89" s="454"/>
      <c r="AF89" s="454"/>
      <c r="AG89" s="454"/>
      <c r="AH89" s="454"/>
      <c r="AI89" s="454"/>
      <c r="AJ89" s="454"/>
      <c r="AK89" s="454"/>
      <c r="AL89" s="454"/>
    </row>
    <row r="90" spans="1:69">
      <c r="N90" s="171"/>
      <c r="O90" s="171"/>
      <c r="P90" s="171"/>
      <c r="Q90" s="171"/>
      <c r="R90" s="171"/>
      <c r="S90" s="171"/>
      <c r="T90" s="8"/>
      <c r="AA90" s="8"/>
    </row>
    <row r="91" spans="1:69" s="482" customFormat="1">
      <c r="A91" s="179" t="s">
        <v>763</v>
      </c>
      <c r="B91" s="180" t="s">
        <v>228</v>
      </c>
      <c r="C91" s="180" t="s">
        <v>229</v>
      </c>
      <c r="D91" s="180" t="s">
        <v>230</v>
      </c>
      <c r="E91" s="180" t="s">
        <v>231</v>
      </c>
      <c r="F91" s="180" t="s">
        <v>232</v>
      </c>
      <c r="G91" s="180" t="s">
        <v>233</v>
      </c>
      <c r="H91" s="180" t="s">
        <v>234</v>
      </c>
      <c r="I91" s="180" t="s">
        <v>235</v>
      </c>
      <c r="J91" s="180" t="s">
        <v>236</v>
      </c>
      <c r="K91" s="180" t="s">
        <v>237</v>
      </c>
      <c r="L91" s="180" t="s">
        <v>238</v>
      </c>
      <c r="M91" s="180" t="s">
        <v>239</v>
      </c>
      <c r="N91" s="180" t="s">
        <v>240</v>
      </c>
      <c r="O91" s="180" t="s">
        <v>241</v>
      </c>
      <c r="P91" s="180" t="s">
        <v>242</v>
      </c>
      <c r="Q91" s="180" t="s">
        <v>243</v>
      </c>
      <c r="R91" s="180" t="s">
        <v>244</v>
      </c>
      <c r="S91" s="180" t="s">
        <v>245</v>
      </c>
      <c r="T91" s="180" t="s">
        <v>246</v>
      </c>
      <c r="U91" s="180" t="s">
        <v>247</v>
      </c>
      <c r="V91" s="180" t="s">
        <v>248</v>
      </c>
      <c r="W91" s="180" t="s">
        <v>249</v>
      </c>
      <c r="X91" s="180" t="s">
        <v>250</v>
      </c>
      <c r="Y91" s="180" t="s">
        <v>215</v>
      </c>
      <c r="Z91" s="180" t="s">
        <v>252</v>
      </c>
      <c r="AA91" s="180" t="s">
        <v>253</v>
      </c>
      <c r="AB91" s="180" t="s">
        <v>254</v>
      </c>
      <c r="AC91" s="180" t="s">
        <v>219</v>
      </c>
      <c r="AD91" s="180" t="s">
        <v>223</v>
      </c>
      <c r="AE91" s="180" t="s">
        <v>256</v>
      </c>
      <c r="AF91" s="180" t="s">
        <v>357</v>
      </c>
      <c r="AG91" s="180" t="s">
        <v>358</v>
      </c>
      <c r="AH91" s="180" t="s">
        <v>359</v>
      </c>
      <c r="AI91" s="180" t="s">
        <v>1115</v>
      </c>
      <c r="AJ91" s="180" t="s">
        <v>1116</v>
      </c>
      <c r="AK91" s="180" t="s">
        <v>1117</v>
      </c>
      <c r="AL91" s="180" t="s">
        <v>1124</v>
      </c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</row>
    <row r="92" spans="1:69">
      <c r="A92" s="9" t="s">
        <v>477</v>
      </c>
      <c r="B92" s="449">
        <v>0</v>
      </c>
      <c r="C92" s="449">
        <v>0</v>
      </c>
      <c r="D92" s="449">
        <v>0</v>
      </c>
      <c r="E92" s="449">
        <v>0</v>
      </c>
      <c r="F92" s="449">
        <v>0</v>
      </c>
      <c r="G92" s="449">
        <v>0</v>
      </c>
      <c r="H92" s="449">
        <v>0</v>
      </c>
      <c r="I92" s="449">
        <v>0</v>
      </c>
      <c r="J92" s="449">
        <v>-46327.93333</v>
      </c>
      <c r="K92" s="449">
        <v>-57451.459060000001</v>
      </c>
      <c r="L92" s="449">
        <v>-54800.751320000003</v>
      </c>
      <c r="M92" s="449">
        <v>-59187.472529999999</v>
      </c>
      <c r="N92" s="449">
        <v>-52799.603739999991</v>
      </c>
      <c r="O92" s="449">
        <v>-61709.894189999999</v>
      </c>
      <c r="P92" s="449">
        <v>0</v>
      </c>
      <c r="Q92" s="449">
        <v>0</v>
      </c>
      <c r="R92" s="449">
        <v>0</v>
      </c>
      <c r="S92" s="449">
        <v>0</v>
      </c>
      <c r="T92" s="464">
        <v>0</v>
      </c>
      <c r="U92" s="464">
        <v>0</v>
      </c>
      <c r="V92" s="464">
        <v>0</v>
      </c>
      <c r="W92" s="464">
        <v>0</v>
      </c>
      <c r="X92" s="464">
        <v>0</v>
      </c>
      <c r="Y92" s="464">
        <v>0</v>
      </c>
      <c r="Z92" s="449">
        <v>0</v>
      </c>
      <c r="AA92" s="449">
        <v>0</v>
      </c>
      <c r="AB92" s="449">
        <v>0</v>
      </c>
      <c r="AC92" s="464">
        <v>0</v>
      </c>
      <c r="AD92" s="464">
        <v>0</v>
      </c>
      <c r="AE92" s="464">
        <v>0</v>
      </c>
      <c r="AF92" s="464">
        <v>0</v>
      </c>
      <c r="AG92" s="464">
        <v>0</v>
      </c>
      <c r="AH92" s="464">
        <v>0</v>
      </c>
      <c r="AI92" s="464">
        <v>0</v>
      </c>
      <c r="AJ92" s="464">
        <v>0</v>
      </c>
      <c r="AK92" s="464">
        <v>0</v>
      </c>
      <c r="AL92" s="464">
        <v>0</v>
      </c>
    </row>
    <row r="93" spans="1:69">
      <c r="A93" s="11" t="s">
        <v>749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454">
        <v>-45556.784740000003</v>
      </c>
      <c r="K93" s="454">
        <v>-57395.530630000001</v>
      </c>
      <c r="L93" s="454">
        <v>-54659.454389999999</v>
      </c>
      <c r="M93" s="454">
        <v>-56039.305729999993</v>
      </c>
      <c r="N93" s="454">
        <v>-51306.259890000008</v>
      </c>
      <c r="O93" s="454">
        <v>-35074.850910000001</v>
      </c>
      <c r="P93" s="454">
        <v>0</v>
      </c>
      <c r="Q93" s="454">
        <v>0</v>
      </c>
      <c r="R93" s="454">
        <v>0</v>
      </c>
      <c r="S93" s="454">
        <v>0</v>
      </c>
      <c r="T93" s="454">
        <v>0</v>
      </c>
      <c r="U93" s="454">
        <v>0</v>
      </c>
      <c r="V93" s="454">
        <v>0</v>
      </c>
      <c r="W93" s="454">
        <v>0</v>
      </c>
      <c r="X93" s="454">
        <v>0</v>
      </c>
      <c r="Y93" s="454">
        <v>0</v>
      </c>
      <c r="Z93" s="454">
        <v>0</v>
      </c>
      <c r="AA93" s="454">
        <v>0</v>
      </c>
      <c r="AB93" s="454">
        <v>0</v>
      </c>
      <c r="AC93" s="465">
        <v>0</v>
      </c>
      <c r="AD93" s="465">
        <v>0</v>
      </c>
      <c r="AE93" s="465">
        <v>0</v>
      </c>
      <c r="AF93" s="465">
        <v>0</v>
      </c>
      <c r="AG93" s="465">
        <v>0</v>
      </c>
      <c r="AH93" s="465">
        <v>0</v>
      </c>
      <c r="AI93" s="465">
        <v>0</v>
      </c>
      <c r="AJ93" s="465">
        <v>0</v>
      </c>
      <c r="AK93" s="465">
        <v>0</v>
      </c>
      <c r="AL93" s="465">
        <v>0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</row>
    <row r="94" spans="1:69">
      <c r="A94" s="11" t="s">
        <v>750</v>
      </c>
      <c r="B94" s="8">
        <v>0</v>
      </c>
      <c r="C94" s="8">
        <v>0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454">
        <v>1358.3481399999998</v>
      </c>
      <c r="K94" s="454">
        <v>3299.0283499999996</v>
      </c>
      <c r="L94" s="454">
        <v>4161.8357299999998</v>
      </c>
      <c r="M94" s="454">
        <v>5095.1710699999994</v>
      </c>
      <c r="N94" s="454">
        <v>2632.8727800000001</v>
      </c>
      <c r="O94" s="454">
        <v>1697.13157</v>
      </c>
      <c r="P94" s="454">
        <v>0</v>
      </c>
      <c r="Q94" s="454">
        <v>0</v>
      </c>
      <c r="R94" s="454">
        <v>0</v>
      </c>
      <c r="S94" s="454">
        <v>0</v>
      </c>
      <c r="T94" s="454">
        <v>0</v>
      </c>
      <c r="U94" s="454">
        <v>0</v>
      </c>
      <c r="V94" s="454">
        <v>0</v>
      </c>
      <c r="W94" s="454">
        <v>0</v>
      </c>
      <c r="X94" s="454">
        <v>0</v>
      </c>
      <c r="Y94" s="454">
        <v>0</v>
      </c>
      <c r="Z94" s="454">
        <v>0</v>
      </c>
      <c r="AA94" s="454">
        <v>0</v>
      </c>
      <c r="AB94" s="454">
        <v>0</v>
      </c>
      <c r="AC94" s="465">
        <v>0</v>
      </c>
      <c r="AD94" s="465">
        <v>0</v>
      </c>
      <c r="AE94" s="465">
        <v>0</v>
      </c>
      <c r="AF94" s="465">
        <v>0</v>
      </c>
      <c r="AG94" s="465">
        <v>0</v>
      </c>
      <c r="AH94" s="465">
        <v>0</v>
      </c>
      <c r="AI94" s="465">
        <v>0</v>
      </c>
      <c r="AJ94" s="465">
        <v>0</v>
      </c>
      <c r="AK94" s="465">
        <v>0</v>
      </c>
      <c r="AL94" s="465">
        <v>0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</row>
    <row r="95" spans="1:69">
      <c r="A95" s="11" t="s">
        <v>751</v>
      </c>
      <c r="B95" s="8">
        <v>0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454">
        <v>1.27</v>
      </c>
      <c r="K95" s="454">
        <v>0</v>
      </c>
      <c r="L95" s="454">
        <v>0</v>
      </c>
      <c r="M95" s="454">
        <v>0</v>
      </c>
      <c r="N95" s="454">
        <v>0</v>
      </c>
      <c r="O95" s="454">
        <v>0</v>
      </c>
      <c r="P95" s="454">
        <v>0</v>
      </c>
      <c r="Q95" s="454">
        <v>0</v>
      </c>
      <c r="R95" s="454">
        <v>0</v>
      </c>
      <c r="S95" s="454">
        <v>0</v>
      </c>
      <c r="T95" s="454">
        <v>0</v>
      </c>
      <c r="U95" s="454">
        <v>0</v>
      </c>
      <c r="V95" s="454">
        <v>0</v>
      </c>
      <c r="W95" s="454">
        <v>0</v>
      </c>
      <c r="X95" s="454">
        <v>0</v>
      </c>
      <c r="Y95" s="454">
        <v>0</v>
      </c>
      <c r="Z95" s="454">
        <v>0</v>
      </c>
      <c r="AA95" s="454">
        <v>0</v>
      </c>
      <c r="AB95" s="454">
        <v>0</v>
      </c>
      <c r="AC95" s="465">
        <v>0</v>
      </c>
      <c r="AD95" s="465">
        <v>0</v>
      </c>
      <c r="AE95" s="465">
        <v>0</v>
      </c>
      <c r="AF95" s="465">
        <v>0</v>
      </c>
      <c r="AG95" s="465">
        <v>0</v>
      </c>
      <c r="AH95" s="465">
        <v>0</v>
      </c>
      <c r="AI95" s="465">
        <v>0</v>
      </c>
      <c r="AJ95" s="465">
        <v>0</v>
      </c>
      <c r="AK95" s="465">
        <v>0</v>
      </c>
      <c r="AL95" s="465">
        <v>0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</row>
    <row r="96" spans="1:69">
      <c r="A96" s="11" t="s">
        <v>752</v>
      </c>
      <c r="B96" s="8">
        <v>0</v>
      </c>
      <c r="C96" s="8">
        <v>0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454">
        <v>-1996.20973</v>
      </c>
      <c r="K96" s="454">
        <v>-3250.61105</v>
      </c>
      <c r="L96" s="454">
        <v>-4098.8106299999999</v>
      </c>
      <c r="M96" s="454">
        <v>-8093.9385000000002</v>
      </c>
      <c r="N96" s="454">
        <v>-3995.1945200000005</v>
      </c>
      <c r="O96" s="454">
        <v>-28115.920529999999</v>
      </c>
      <c r="P96" s="454">
        <v>0</v>
      </c>
      <c r="Q96" s="454">
        <v>0</v>
      </c>
      <c r="R96" s="454">
        <v>0</v>
      </c>
      <c r="S96" s="454">
        <v>0</v>
      </c>
      <c r="T96" s="454">
        <v>0</v>
      </c>
      <c r="U96" s="454">
        <v>0</v>
      </c>
      <c r="V96" s="454">
        <v>0</v>
      </c>
      <c r="W96" s="454">
        <v>0</v>
      </c>
      <c r="X96" s="454">
        <v>0</v>
      </c>
      <c r="Y96" s="454">
        <v>0</v>
      </c>
      <c r="Z96" s="454">
        <v>0</v>
      </c>
      <c r="AA96" s="454">
        <v>0</v>
      </c>
      <c r="AB96" s="454">
        <v>0</v>
      </c>
      <c r="AC96" s="465">
        <v>0</v>
      </c>
      <c r="AD96" s="465">
        <v>0</v>
      </c>
      <c r="AE96" s="465">
        <v>0</v>
      </c>
      <c r="AF96" s="465">
        <v>0</v>
      </c>
      <c r="AG96" s="465">
        <v>0</v>
      </c>
      <c r="AH96" s="465">
        <v>0</v>
      </c>
      <c r="AI96" s="465">
        <v>0</v>
      </c>
      <c r="AJ96" s="465">
        <v>0</v>
      </c>
      <c r="AK96" s="465">
        <v>0</v>
      </c>
      <c r="AL96" s="465">
        <v>0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</row>
    <row r="97" spans="1:69">
      <c r="A97" s="11" t="s">
        <v>753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454">
        <v>-134.55699999999999</v>
      </c>
      <c r="K97" s="454">
        <v>-104.34573000000002</v>
      </c>
      <c r="L97" s="454">
        <v>-204.32203000000001</v>
      </c>
      <c r="M97" s="454">
        <v>-149.39937</v>
      </c>
      <c r="N97" s="454">
        <v>-131.02211</v>
      </c>
      <c r="O97" s="454">
        <v>-216.25432000000001</v>
      </c>
      <c r="P97" s="454">
        <v>0</v>
      </c>
      <c r="Q97" s="454">
        <v>0</v>
      </c>
      <c r="R97" s="454">
        <v>0</v>
      </c>
      <c r="S97" s="454">
        <v>0</v>
      </c>
      <c r="T97" s="454">
        <v>0</v>
      </c>
      <c r="U97" s="454">
        <v>0</v>
      </c>
      <c r="V97" s="454">
        <v>0</v>
      </c>
      <c r="W97" s="454">
        <v>0</v>
      </c>
      <c r="X97" s="454">
        <v>0</v>
      </c>
      <c r="Y97" s="454">
        <v>0</v>
      </c>
      <c r="Z97" s="454">
        <v>0</v>
      </c>
      <c r="AA97" s="454">
        <v>0</v>
      </c>
      <c r="AB97" s="454">
        <v>0</v>
      </c>
      <c r="AC97" s="465">
        <v>0</v>
      </c>
      <c r="AD97" s="465">
        <v>0</v>
      </c>
      <c r="AE97" s="465">
        <v>0</v>
      </c>
      <c r="AF97" s="465">
        <v>0</v>
      </c>
      <c r="AG97" s="465">
        <v>0</v>
      </c>
      <c r="AH97" s="465">
        <v>0</v>
      </c>
      <c r="AI97" s="465">
        <v>0</v>
      </c>
      <c r="AJ97" s="465">
        <v>0</v>
      </c>
      <c r="AK97" s="465">
        <v>0</v>
      </c>
      <c r="AL97" s="465">
        <v>0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</row>
    <row r="98" spans="1:69">
      <c r="N98" s="171"/>
      <c r="O98" s="171"/>
      <c r="P98" s="171"/>
      <c r="Q98" s="171"/>
      <c r="R98" s="171"/>
      <c r="S98" s="171"/>
      <c r="T98" s="8"/>
      <c r="AB98" s="467"/>
    </row>
    <row r="99" spans="1:69">
      <c r="N99" s="171"/>
      <c r="O99" s="171"/>
      <c r="P99" s="171"/>
      <c r="Q99" s="171"/>
      <c r="R99" s="171"/>
      <c r="S99" s="171"/>
      <c r="T99" s="8"/>
    </row>
    <row r="100" spans="1:69" s="482" customFormat="1">
      <c r="A100" s="179" t="s">
        <v>764</v>
      </c>
      <c r="B100" s="180" t="s">
        <v>228</v>
      </c>
      <c r="C100" s="180" t="s">
        <v>229</v>
      </c>
      <c r="D100" s="180" t="s">
        <v>230</v>
      </c>
      <c r="E100" s="180" t="s">
        <v>231</v>
      </c>
      <c r="F100" s="180" t="s">
        <v>232</v>
      </c>
      <c r="G100" s="180" t="s">
        <v>233</v>
      </c>
      <c r="H100" s="180" t="s">
        <v>234</v>
      </c>
      <c r="I100" s="180" t="s">
        <v>235</v>
      </c>
      <c r="J100" s="180" t="s">
        <v>236</v>
      </c>
      <c r="K100" s="180" t="s">
        <v>237</v>
      </c>
      <c r="L100" s="180" t="s">
        <v>238</v>
      </c>
      <c r="M100" s="180" t="s">
        <v>239</v>
      </c>
      <c r="N100" s="180" t="s">
        <v>240</v>
      </c>
      <c r="O100" s="180" t="s">
        <v>241</v>
      </c>
      <c r="P100" s="180" t="s">
        <v>242</v>
      </c>
      <c r="Q100" s="180" t="s">
        <v>243</v>
      </c>
      <c r="R100" s="180" t="s">
        <v>244</v>
      </c>
      <c r="S100" s="180" t="s">
        <v>245</v>
      </c>
      <c r="T100" s="180" t="s">
        <v>246</v>
      </c>
      <c r="U100" s="180" t="s">
        <v>247</v>
      </c>
      <c r="V100" s="180" t="s">
        <v>248</v>
      </c>
      <c r="W100" s="180" t="s">
        <v>249</v>
      </c>
      <c r="X100" s="180" t="s">
        <v>250</v>
      </c>
      <c r="Y100" s="180" t="s">
        <v>215</v>
      </c>
      <c r="Z100" s="180" t="s">
        <v>252</v>
      </c>
      <c r="AA100" s="180" t="s">
        <v>253</v>
      </c>
      <c r="AB100" s="180" t="s">
        <v>254</v>
      </c>
      <c r="AC100" s="180" t="s">
        <v>219</v>
      </c>
      <c r="AD100" s="180" t="s">
        <v>223</v>
      </c>
      <c r="AE100" s="180" t="s">
        <v>256</v>
      </c>
      <c r="AF100" s="180" t="s">
        <v>357</v>
      </c>
      <c r="AG100" s="180" t="s">
        <v>358</v>
      </c>
      <c r="AH100" s="180" t="s">
        <v>359</v>
      </c>
      <c r="AI100" s="180" t="s">
        <v>1115</v>
      </c>
      <c r="AJ100" s="180" t="s">
        <v>1116</v>
      </c>
      <c r="AK100" s="180" t="s">
        <v>1117</v>
      </c>
      <c r="AL100" s="180" t="s">
        <v>1124</v>
      </c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</row>
    <row r="101" spans="1:69">
      <c r="A101" s="9" t="s">
        <v>477</v>
      </c>
      <c r="B101" s="449">
        <v>0</v>
      </c>
      <c r="C101" s="449">
        <v>0</v>
      </c>
      <c r="D101" s="449">
        <v>0</v>
      </c>
      <c r="E101" s="449">
        <v>0</v>
      </c>
      <c r="F101" s="449">
        <v>0</v>
      </c>
      <c r="G101" s="449">
        <v>0</v>
      </c>
      <c r="H101" s="449">
        <v>0</v>
      </c>
      <c r="I101" s="449">
        <v>0</v>
      </c>
      <c r="J101" s="449">
        <v>0</v>
      </c>
      <c r="K101" s="449">
        <v>0</v>
      </c>
      <c r="L101" s="449">
        <v>0</v>
      </c>
      <c r="M101" s="449">
        <v>0</v>
      </c>
      <c r="N101" s="449">
        <v>0</v>
      </c>
      <c r="O101" s="449">
        <v>0</v>
      </c>
      <c r="P101" s="449">
        <v>0</v>
      </c>
      <c r="Q101" s="449">
        <v>0</v>
      </c>
      <c r="R101" s="464">
        <f t="shared" ref="R101:AE101" si="42">SUM(R102:R106)</f>
        <v>-872.10314000000005</v>
      </c>
      <c r="S101" s="464">
        <f t="shared" si="42"/>
        <v>-4655.7350400000005</v>
      </c>
      <c r="T101" s="464">
        <f t="shared" si="42"/>
        <v>-4572.5443700000005</v>
      </c>
      <c r="U101" s="464">
        <f t="shared" si="42"/>
        <v>-10296.2436</v>
      </c>
      <c r="V101" s="464">
        <f t="shared" si="42"/>
        <v>-19653.441279999999</v>
      </c>
      <c r="W101" s="464">
        <f t="shared" si="42"/>
        <v>-13302.24438</v>
      </c>
      <c r="X101" s="464">
        <f t="shared" si="42"/>
        <v>-20952.938539999999</v>
      </c>
      <c r="Y101" s="464">
        <f t="shared" si="42"/>
        <v>-34459.311679999999</v>
      </c>
      <c r="Z101" s="464">
        <f t="shared" si="42"/>
        <v>-28397.443539999997</v>
      </c>
      <c r="AA101" s="464">
        <f t="shared" si="42"/>
        <v>-49558.834599999995</v>
      </c>
      <c r="AB101" s="464">
        <f t="shared" si="42"/>
        <v>-41730.946310000007</v>
      </c>
      <c r="AC101" s="464">
        <f t="shared" si="42"/>
        <v>-44497.951960000006</v>
      </c>
      <c r="AD101" s="464">
        <f t="shared" si="42"/>
        <v>-42994.1126</v>
      </c>
      <c r="AE101" s="464">
        <f t="shared" si="42"/>
        <v>-130864.41310000001</v>
      </c>
      <c r="AF101" s="464">
        <f>SUM(AF102:AF106)</f>
        <v>-40833.452590000001</v>
      </c>
      <c r="AG101" s="464">
        <f>SUM(AG102:AG106)</f>
        <v>0</v>
      </c>
      <c r="AH101" s="464">
        <v>0</v>
      </c>
      <c r="AI101" s="464">
        <v>0</v>
      </c>
      <c r="AJ101" s="464">
        <v>0</v>
      </c>
      <c r="AK101" s="464">
        <v>0</v>
      </c>
      <c r="AL101" s="464">
        <v>0</v>
      </c>
    </row>
    <row r="102" spans="1:69">
      <c r="A102" s="11" t="s">
        <v>749</v>
      </c>
      <c r="B102" s="8">
        <v>0</v>
      </c>
      <c r="C102" s="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454">
        <v>0</v>
      </c>
      <c r="K102" s="454">
        <v>0</v>
      </c>
      <c r="L102" s="454">
        <v>0</v>
      </c>
      <c r="M102" s="454">
        <v>0</v>
      </c>
      <c r="N102" s="454">
        <v>0</v>
      </c>
      <c r="O102" s="454">
        <v>0</v>
      </c>
      <c r="P102" s="454">
        <v>0</v>
      </c>
      <c r="Q102" s="454">
        <v>0</v>
      </c>
      <c r="R102" s="454">
        <v>-860.72778000000005</v>
      </c>
      <c r="S102" s="454">
        <v>-4284.7236500000008</v>
      </c>
      <c r="T102" s="454">
        <v>-4825.2074000000002</v>
      </c>
      <c r="U102" s="454">
        <v>-8467.6988000000001</v>
      </c>
      <c r="V102" s="454">
        <v>-18329.562579999998</v>
      </c>
      <c r="W102" s="454">
        <v>-8339.0671600000005</v>
      </c>
      <c r="X102" s="454">
        <v>-19274.524869999997</v>
      </c>
      <c r="Y102" s="454">
        <v>-23848.244779999997</v>
      </c>
      <c r="Z102" s="454">
        <v>-23052.862239999999</v>
      </c>
      <c r="AA102" s="454">
        <v>-28414.851060000001</v>
      </c>
      <c r="AB102" s="454">
        <v>-33487.297840000007</v>
      </c>
      <c r="AC102" s="465">
        <v>-42789.897340000003</v>
      </c>
      <c r="AD102" s="465">
        <v>-31489.591050000003</v>
      </c>
      <c r="AE102" s="465">
        <v>-110562.15267000001</v>
      </c>
      <c r="AF102" s="465">
        <v>-34847.385630000004</v>
      </c>
      <c r="AG102" s="465">
        <v>0</v>
      </c>
      <c r="AH102" s="465">
        <v>0</v>
      </c>
      <c r="AI102" s="465">
        <v>0</v>
      </c>
      <c r="AJ102" s="465">
        <v>0</v>
      </c>
      <c r="AK102" s="465">
        <v>0</v>
      </c>
      <c r="AL102" s="465">
        <v>0</v>
      </c>
    </row>
    <row r="103" spans="1:69">
      <c r="A103" s="11" t="s">
        <v>750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4">
        <v>0</v>
      </c>
      <c r="Y103" s="454">
        <v>0</v>
      </c>
      <c r="Z103" s="454">
        <v>0</v>
      </c>
      <c r="AA103" s="454">
        <v>0</v>
      </c>
      <c r="AB103" s="454">
        <v>0</v>
      </c>
      <c r="AC103" s="465">
        <v>0</v>
      </c>
      <c r="AD103" s="465">
        <v>0</v>
      </c>
      <c r="AE103" s="465">
        <v>0</v>
      </c>
      <c r="AF103" s="465">
        <v>0</v>
      </c>
      <c r="AG103" s="465">
        <v>0</v>
      </c>
      <c r="AH103" s="465">
        <v>0</v>
      </c>
      <c r="AI103" s="465">
        <v>0</v>
      </c>
      <c r="AJ103" s="465">
        <v>0</v>
      </c>
      <c r="AK103" s="465">
        <v>0</v>
      </c>
      <c r="AL103" s="465">
        <v>0</v>
      </c>
    </row>
    <row r="104" spans="1:69">
      <c r="A104" s="11" t="s">
        <v>751</v>
      </c>
      <c r="B104" s="8">
        <v>0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454">
        <v>0</v>
      </c>
      <c r="K104" s="454">
        <v>0</v>
      </c>
      <c r="L104" s="454">
        <v>0</v>
      </c>
      <c r="M104" s="454">
        <v>0</v>
      </c>
      <c r="N104" s="454">
        <v>0</v>
      </c>
      <c r="O104" s="454">
        <v>0</v>
      </c>
      <c r="P104" s="454">
        <v>0</v>
      </c>
      <c r="Q104" s="454">
        <v>0</v>
      </c>
      <c r="R104" s="454">
        <v>0</v>
      </c>
      <c r="S104" s="454">
        <v>0</v>
      </c>
      <c r="T104" s="454">
        <v>0</v>
      </c>
      <c r="U104" s="454">
        <v>0</v>
      </c>
      <c r="V104" s="454">
        <v>4</v>
      </c>
      <c r="W104" s="454">
        <v>0.92476000000000003</v>
      </c>
      <c r="X104" s="454">
        <v>0</v>
      </c>
      <c r="Y104" s="454">
        <v>0</v>
      </c>
      <c r="Z104" s="454">
        <v>0</v>
      </c>
      <c r="AA104" s="454">
        <v>8.3074699999999986</v>
      </c>
      <c r="AB104" s="454">
        <v>0</v>
      </c>
      <c r="AC104" s="465">
        <v>0</v>
      </c>
      <c r="AD104" s="465">
        <v>5.43546</v>
      </c>
      <c r="AE104" s="465">
        <v>28.987440000000003</v>
      </c>
      <c r="AF104" s="465">
        <v>0</v>
      </c>
      <c r="AG104" s="465">
        <v>0</v>
      </c>
      <c r="AH104" s="465">
        <v>0</v>
      </c>
      <c r="AI104" s="465">
        <v>0</v>
      </c>
      <c r="AJ104" s="465">
        <v>0</v>
      </c>
      <c r="AK104" s="465">
        <v>0</v>
      </c>
      <c r="AL104" s="465">
        <v>0</v>
      </c>
    </row>
    <row r="105" spans="1:69">
      <c r="A105" s="11" t="s">
        <v>752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454">
        <v>0</v>
      </c>
      <c r="K105" s="454">
        <v>0</v>
      </c>
      <c r="L105" s="454">
        <v>0</v>
      </c>
      <c r="M105" s="454">
        <v>0</v>
      </c>
      <c r="N105" s="454">
        <v>0</v>
      </c>
      <c r="O105" s="454">
        <v>0</v>
      </c>
      <c r="P105" s="454">
        <v>0</v>
      </c>
      <c r="Q105" s="454">
        <v>0</v>
      </c>
      <c r="R105" s="454">
        <v>-11.375360000000001</v>
      </c>
      <c r="S105" s="454">
        <v>-371.01139000000001</v>
      </c>
      <c r="T105" s="454">
        <v>252.66302999999996</v>
      </c>
      <c r="U105" s="454">
        <v>-1828.5448000000001</v>
      </c>
      <c r="V105" s="454">
        <v>-1327.8787</v>
      </c>
      <c r="W105" s="454">
        <v>-4964.1019800000004</v>
      </c>
      <c r="X105" s="454">
        <v>-1660.9884300000001</v>
      </c>
      <c r="Y105" s="454">
        <v>-10587.462690000002</v>
      </c>
      <c r="Z105" s="454">
        <v>-4892.0883200000007</v>
      </c>
      <c r="AA105" s="454">
        <v>-21087.822629999999</v>
      </c>
      <c r="AB105" s="454">
        <v>-8183.6387599999998</v>
      </c>
      <c r="AC105" s="465">
        <v>-1669.41004</v>
      </c>
      <c r="AD105" s="465">
        <v>-11478.832510000002</v>
      </c>
      <c r="AE105" s="465">
        <v>-20326.136899999998</v>
      </c>
      <c r="AF105" s="465">
        <v>-5975.1621799999994</v>
      </c>
      <c r="AG105" s="465">
        <v>0</v>
      </c>
      <c r="AH105" s="465">
        <v>0</v>
      </c>
      <c r="AI105" s="465">
        <v>0</v>
      </c>
      <c r="AJ105" s="465">
        <v>0</v>
      </c>
      <c r="AK105" s="465">
        <v>0</v>
      </c>
      <c r="AL105" s="465">
        <v>0</v>
      </c>
    </row>
    <row r="106" spans="1:69">
      <c r="A106" s="11" t="s">
        <v>753</v>
      </c>
      <c r="B106" s="8">
        <v>0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454">
        <v>0</v>
      </c>
      <c r="K106" s="454">
        <v>0</v>
      </c>
      <c r="L106" s="454">
        <v>0</v>
      </c>
      <c r="M106" s="454">
        <v>0</v>
      </c>
      <c r="N106" s="454">
        <v>0</v>
      </c>
      <c r="O106" s="454">
        <v>0</v>
      </c>
      <c r="P106" s="454">
        <v>0</v>
      </c>
      <c r="Q106" s="454">
        <v>0</v>
      </c>
      <c r="R106" s="454">
        <v>0</v>
      </c>
      <c r="S106" s="454">
        <v>0</v>
      </c>
      <c r="T106" s="454">
        <v>0</v>
      </c>
      <c r="U106" s="454">
        <v>0</v>
      </c>
      <c r="V106" s="454">
        <v>0</v>
      </c>
      <c r="W106" s="454">
        <v>0</v>
      </c>
      <c r="X106" s="454">
        <v>-17.425239999999999</v>
      </c>
      <c r="Y106" s="454">
        <v>-23.604210000000002</v>
      </c>
      <c r="Z106" s="454">
        <v>-452.49297999999999</v>
      </c>
      <c r="AA106" s="454">
        <v>-64.46838000000001</v>
      </c>
      <c r="AB106" s="454">
        <v>-60.009709999999998</v>
      </c>
      <c r="AC106" s="465">
        <v>-38.644580000000005</v>
      </c>
      <c r="AD106" s="465">
        <v>-31.124500000000001</v>
      </c>
      <c r="AE106" s="465">
        <v>-5.1109699999999991</v>
      </c>
      <c r="AF106" s="465">
        <v>-10.904779999999999</v>
      </c>
      <c r="AG106" s="465">
        <v>0</v>
      </c>
      <c r="AH106" s="465">
        <v>0</v>
      </c>
      <c r="AI106" s="465">
        <v>0</v>
      </c>
      <c r="AJ106" s="465">
        <v>0</v>
      </c>
      <c r="AK106" s="465">
        <v>0</v>
      </c>
      <c r="AL106" s="465">
        <v>0</v>
      </c>
    </row>
    <row r="107" spans="1:69">
      <c r="N107" s="171"/>
      <c r="O107" s="171"/>
      <c r="P107" s="171"/>
      <c r="Q107" s="171"/>
      <c r="R107" s="171"/>
      <c r="S107" s="171"/>
      <c r="T107" s="8"/>
      <c r="Z107" s="454"/>
      <c r="AA107" s="454"/>
      <c r="AB107" s="454"/>
      <c r="AC107" s="454"/>
      <c r="AD107" s="454"/>
      <c r="AE107" s="454"/>
      <c r="AF107" s="454"/>
      <c r="AG107" s="454"/>
      <c r="AH107" s="454"/>
      <c r="AI107" s="454"/>
      <c r="AJ107" s="454"/>
      <c r="AK107" s="454"/>
      <c r="AL107" s="454"/>
    </row>
    <row r="108" spans="1:69">
      <c r="N108" s="171"/>
      <c r="O108" s="171"/>
      <c r="P108" s="171"/>
      <c r="Q108" s="171"/>
      <c r="R108" s="171"/>
      <c r="S108" s="171"/>
      <c r="T108" s="8"/>
    </row>
    <row r="109" spans="1:69" ht="24.4" customHeight="1">
      <c r="A109" s="625" t="s">
        <v>765</v>
      </c>
      <c r="B109" s="626" t="s">
        <v>228</v>
      </c>
      <c r="C109" s="626" t="s">
        <v>229</v>
      </c>
      <c r="D109" s="626" t="s">
        <v>230</v>
      </c>
      <c r="E109" s="626" t="s">
        <v>231</v>
      </c>
      <c r="F109" s="626" t="s">
        <v>232</v>
      </c>
      <c r="G109" s="626" t="s">
        <v>233</v>
      </c>
      <c r="H109" s="626" t="s">
        <v>234</v>
      </c>
      <c r="I109" s="626" t="s">
        <v>235</v>
      </c>
      <c r="J109" s="626" t="s">
        <v>236</v>
      </c>
      <c r="K109" s="626" t="s">
        <v>237</v>
      </c>
      <c r="L109" s="626" t="s">
        <v>238</v>
      </c>
      <c r="M109" s="626" t="s">
        <v>239</v>
      </c>
      <c r="N109" s="626" t="s">
        <v>240</v>
      </c>
      <c r="O109" s="626" t="s">
        <v>241</v>
      </c>
      <c r="P109" s="626" t="s">
        <v>242</v>
      </c>
      <c r="Q109" s="626" t="s">
        <v>243</v>
      </c>
      <c r="R109" s="626" t="s">
        <v>244</v>
      </c>
      <c r="S109" s="626" t="s">
        <v>245</v>
      </c>
      <c r="T109" s="626" t="s">
        <v>246</v>
      </c>
      <c r="U109" s="626" t="s">
        <v>247</v>
      </c>
      <c r="V109" s="626" t="s">
        <v>248</v>
      </c>
      <c r="W109" s="626" t="s">
        <v>249</v>
      </c>
      <c r="X109" s="626" t="s">
        <v>250</v>
      </c>
      <c r="Y109" s="626" t="s">
        <v>215</v>
      </c>
      <c r="Z109" s="626" t="s">
        <v>252</v>
      </c>
      <c r="AA109" s="626" t="s">
        <v>253</v>
      </c>
      <c r="AB109" s="626" t="s">
        <v>254</v>
      </c>
      <c r="AC109" s="626" t="s">
        <v>219</v>
      </c>
      <c r="AD109" s="626" t="s">
        <v>223</v>
      </c>
      <c r="AE109" s="626" t="s">
        <v>256</v>
      </c>
      <c r="AF109" s="626" t="s">
        <v>357</v>
      </c>
      <c r="AG109" s="626" t="s">
        <v>358</v>
      </c>
      <c r="AH109" s="626" t="s">
        <v>359</v>
      </c>
      <c r="AI109" s="626" t="s">
        <v>1115</v>
      </c>
      <c r="AJ109" s="626" t="s">
        <v>1116</v>
      </c>
      <c r="AK109" s="675" t="s">
        <v>1117</v>
      </c>
      <c r="AL109" s="645" t="s">
        <v>1124</v>
      </c>
    </row>
    <row r="110" spans="1:69">
      <c r="A110" s="9" t="s">
        <v>477</v>
      </c>
      <c r="B110" s="449">
        <v>-67985.238670000021</v>
      </c>
      <c r="C110" s="449">
        <v>-68031.385040000008</v>
      </c>
      <c r="D110" s="449">
        <v>-101493.81909000002</v>
      </c>
      <c r="E110" s="449">
        <v>-53857.009979999981</v>
      </c>
      <c r="F110" s="449">
        <v>-59701.02310000002</v>
      </c>
      <c r="G110" s="449">
        <v>-100773.73054999999</v>
      </c>
      <c r="H110" s="449">
        <v>-87380.660969999997</v>
      </c>
      <c r="I110" s="449">
        <v>-63064.431260000005</v>
      </c>
      <c r="J110" s="449">
        <v>-81125.952929999985</v>
      </c>
      <c r="K110" s="449">
        <v>-74851.964460000003</v>
      </c>
      <c r="L110" s="449">
        <v>-71454.64052000003</v>
      </c>
      <c r="M110" s="449">
        <v>-46487.504829999998</v>
      </c>
      <c r="N110" s="464">
        <f t="shared" ref="N110:AG110" si="43">SUM(N111:N115)</f>
        <v>-78556.900239999988</v>
      </c>
      <c r="O110" s="464">
        <f t="shared" si="43"/>
        <v>-89586.394500000009</v>
      </c>
      <c r="P110" s="464">
        <f t="shared" si="43"/>
        <v>-98846.312799999985</v>
      </c>
      <c r="Q110" s="464">
        <f t="shared" si="43"/>
        <v>-95386.367260000028</v>
      </c>
      <c r="R110" s="464">
        <f t="shared" si="43"/>
        <v>-111979.12434000004</v>
      </c>
      <c r="S110" s="464">
        <f t="shared" si="43"/>
        <v>-148171.08517000001</v>
      </c>
      <c r="T110" s="464">
        <f t="shared" si="43"/>
        <v>-137239.45262000003</v>
      </c>
      <c r="U110" s="464">
        <f t="shared" si="43"/>
        <v>-109639.07872</v>
      </c>
      <c r="V110" s="464">
        <f t="shared" si="43"/>
        <v>-109104.37472999998</v>
      </c>
      <c r="W110" s="464">
        <f t="shared" si="43"/>
        <v>-107826.95387999999</v>
      </c>
      <c r="X110" s="464">
        <f t="shared" si="43"/>
        <v>-111649.91956000001</v>
      </c>
      <c r="Y110" s="464">
        <f t="shared" si="43"/>
        <v>-122737.78875999994</v>
      </c>
      <c r="Z110" s="464">
        <f t="shared" si="43"/>
        <v>-125280.45961999998</v>
      </c>
      <c r="AA110" s="464">
        <f t="shared" si="43"/>
        <v>-121470.71164000002</v>
      </c>
      <c r="AB110" s="464">
        <f t="shared" si="43"/>
        <v>-121601.79982999999</v>
      </c>
      <c r="AC110" s="464">
        <f t="shared" si="43"/>
        <v>-103691.07111</v>
      </c>
      <c r="AD110" s="464">
        <f t="shared" si="43"/>
        <v>-111888.35144000001</v>
      </c>
      <c r="AE110" s="464">
        <f t="shared" si="43"/>
        <v>-111419.99136999997</v>
      </c>
      <c r="AF110" s="464">
        <f t="shared" si="43"/>
        <v>-108875.33052999999</v>
      </c>
      <c r="AG110" s="464">
        <f t="shared" si="43"/>
        <v>-101262.04836</v>
      </c>
      <c r="AH110" s="464">
        <f t="shared" ref="AH110:AK110" si="44">SUM(AH111:AH115)</f>
        <v>-117110.68798999998</v>
      </c>
      <c r="AI110" s="464">
        <f t="shared" si="44"/>
        <v>-120584.22055000001</v>
      </c>
      <c r="AJ110" s="464">
        <f t="shared" si="44"/>
        <v>-115165.54528999998</v>
      </c>
      <c r="AK110" s="464">
        <f t="shared" si="44"/>
        <v>-108144.48136000002</v>
      </c>
      <c r="AL110" s="464">
        <f>SUM(AL111:AL115)</f>
        <v>-115551.60692999998</v>
      </c>
    </row>
    <row r="111" spans="1:69">
      <c r="A111" s="11" t="s">
        <v>749</v>
      </c>
      <c r="B111" s="8">
        <v>0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454">
        <v>0</v>
      </c>
      <c r="K111" s="454">
        <v>0</v>
      </c>
      <c r="L111" s="454">
        <v>0</v>
      </c>
      <c r="M111" s="454">
        <v>0</v>
      </c>
      <c r="N111" s="465">
        <f t="shared" ref="N111:AL111" si="45">N119+N137</f>
        <v>-60683.03452999999</v>
      </c>
      <c r="O111" s="465">
        <f t="shared" si="45"/>
        <v>-68021.681049999999</v>
      </c>
      <c r="P111" s="465">
        <f t="shared" si="45"/>
        <v>-84681.449359999999</v>
      </c>
      <c r="Q111" s="465">
        <f t="shared" si="45"/>
        <v>-81032.333990000028</v>
      </c>
      <c r="R111" s="465">
        <f t="shared" si="45"/>
        <v>-105793.06646000003</v>
      </c>
      <c r="S111" s="465">
        <f t="shared" si="45"/>
        <v>-131236.60483</v>
      </c>
      <c r="T111" s="465">
        <f t="shared" si="45"/>
        <v>-120593.40564000004</v>
      </c>
      <c r="U111" s="465">
        <f t="shared" si="45"/>
        <v>-85761.731820000015</v>
      </c>
      <c r="V111" s="465">
        <f t="shared" si="45"/>
        <v>-89100.367099999974</v>
      </c>
      <c r="W111" s="465">
        <f t="shared" si="45"/>
        <v>-87261.365829999981</v>
      </c>
      <c r="X111" s="465">
        <f t="shared" si="45"/>
        <v>-113888.9225</v>
      </c>
      <c r="Y111" s="465">
        <f t="shared" si="45"/>
        <v>-130196.59894999994</v>
      </c>
      <c r="Z111" s="465">
        <f t="shared" si="45"/>
        <v>-101252.65897999998</v>
      </c>
      <c r="AA111" s="465">
        <f t="shared" si="45"/>
        <v>-99292.743670000025</v>
      </c>
      <c r="AB111" s="465">
        <f t="shared" si="45"/>
        <v>-109177.78980999999</v>
      </c>
      <c r="AC111" s="465">
        <f t="shared" si="45"/>
        <v>-90101.868820000003</v>
      </c>
      <c r="AD111" s="465">
        <f t="shared" si="45"/>
        <v>-98749.885740000012</v>
      </c>
      <c r="AE111" s="465">
        <f t="shared" si="45"/>
        <v>-97549.963879999981</v>
      </c>
      <c r="AF111" s="465">
        <f t="shared" si="45"/>
        <v>-95575.293849999987</v>
      </c>
      <c r="AG111" s="465">
        <f t="shared" si="45"/>
        <v>-89144.178999999989</v>
      </c>
      <c r="AH111" s="465">
        <f t="shared" si="45"/>
        <v>-102701.90024999998</v>
      </c>
      <c r="AI111" s="465">
        <f t="shared" si="45"/>
        <v>-111391.91063000001</v>
      </c>
      <c r="AJ111" s="465">
        <f t="shared" si="45"/>
        <v>-98677.546949999989</v>
      </c>
      <c r="AK111" s="465">
        <f t="shared" si="45"/>
        <v>-77264.807580000022</v>
      </c>
      <c r="AL111" s="465">
        <f t="shared" si="45"/>
        <v>-101001.41019999998</v>
      </c>
    </row>
    <row r="112" spans="1:69">
      <c r="A112" s="11" t="s">
        <v>750</v>
      </c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454">
        <v>0</v>
      </c>
      <c r="K112" s="454">
        <v>0</v>
      </c>
      <c r="L112" s="454">
        <v>0</v>
      </c>
      <c r="M112" s="454">
        <v>0</v>
      </c>
      <c r="N112" s="465">
        <f t="shared" ref="N112:AL112" si="46">N120+N138</f>
        <v>-236.05062000000001</v>
      </c>
      <c r="O112" s="465">
        <f t="shared" si="46"/>
        <v>-196.02830000000003</v>
      </c>
      <c r="P112" s="465">
        <f t="shared" si="46"/>
        <v>-16.078949999999988</v>
      </c>
      <c r="Q112" s="465">
        <f t="shared" si="46"/>
        <v>344.90941000000004</v>
      </c>
      <c r="R112" s="465">
        <f t="shared" si="46"/>
        <v>-335.37690999999995</v>
      </c>
      <c r="S112" s="465">
        <f t="shared" si="46"/>
        <v>-1242.40662</v>
      </c>
      <c r="T112" s="465">
        <f t="shared" si="46"/>
        <v>-240.39963</v>
      </c>
      <c r="U112" s="465">
        <f t="shared" si="46"/>
        <v>-202.12046999999998</v>
      </c>
      <c r="V112" s="465">
        <f t="shared" si="46"/>
        <v>678.14273999999989</v>
      </c>
      <c r="W112" s="465">
        <f t="shared" si="46"/>
        <v>-153.76313000000002</v>
      </c>
      <c r="X112" s="465">
        <f t="shared" si="46"/>
        <v>561.3660000000001</v>
      </c>
      <c r="Y112" s="465">
        <f t="shared" si="46"/>
        <v>1812.6336700000002</v>
      </c>
      <c r="Z112" s="465">
        <f t="shared" si="46"/>
        <v>907.04956000000004</v>
      </c>
      <c r="AA112" s="465">
        <f t="shared" si="46"/>
        <v>569.42649000000017</v>
      </c>
      <c r="AB112" s="465">
        <f t="shared" si="46"/>
        <v>733.44979000000001</v>
      </c>
      <c r="AC112" s="465">
        <f t="shared" si="46"/>
        <v>-547.75166999999988</v>
      </c>
      <c r="AD112" s="465">
        <f t="shared" si="46"/>
        <v>-603.90264000000002</v>
      </c>
      <c r="AE112" s="465">
        <f t="shared" si="46"/>
        <v>-1074.5455599999998</v>
      </c>
      <c r="AF112" s="465">
        <f t="shared" si="46"/>
        <v>-107.07343</v>
      </c>
      <c r="AG112" s="465">
        <f t="shared" si="46"/>
        <v>-19.464809999999996</v>
      </c>
      <c r="AH112" s="465">
        <f t="shared" si="46"/>
        <v>30.743350000000021</v>
      </c>
      <c r="AI112" s="465">
        <f t="shared" si="46"/>
        <v>-45.679250000000003</v>
      </c>
      <c r="AJ112" s="465">
        <f t="shared" si="46"/>
        <v>44.526300000000006</v>
      </c>
      <c r="AK112" s="465">
        <f t="shared" si="46"/>
        <v>188.95571000000001</v>
      </c>
      <c r="AL112" s="465">
        <f t="shared" si="46"/>
        <v>7.1882199999999976</v>
      </c>
    </row>
    <row r="113" spans="1:69">
      <c r="A113" s="11" t="s">
        <v>751</v>
      </c>
      <c r="B113" s="8">
        <v>0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454">
        <v>0</v>
      </c>
      <c r="K113" s="454">
        <v>0</v>
      </c>
      <c r="L113" s="454">
        <v>0</v>
      </c>
      <c r="M113" s="454">
        <v>0</v>
      </c>
      <c r="N113" s="465">
        <f t="shared" ref="N113:AL113" si="47">N121+N139</f>
        <v>0</v>
      </c>
      <c r="O113" s="465">
        <f t="shared" si="47"/>
        <v>0</v>
      </c>
      <c r="P113" s="465">
        <f t="shared" si="47"/>
        <v>0</v>
      </c>
      <c r="Q113" s="465">
        <f t="shared" si="47"/>
        <v>0</v>
      </c>
      <c r="R113" s="465">
        <f t="shared" si="47"/>
        <v>-7.2950000000000001E-2</v>
      </c>
      <c r="S113" s="465">
        <f t="shared" si="47"/>
        <v>0.16700000000000001</v>
      </c>
      <c r="T113" s="465">
        <f t="shared" si="47"/>
        <v>8.4436999999999998</v>
      </c>
      <c r="U113" s="465">
        <f t="shared" si="47"/>
        <v>-3.21062</v>
      </c>
      <c r="V113" s="465">
        <f t="shared" si="47"/>
        <v>3.28193</v>
      </c>
      <c r="W113" s="465">
        <f t="shared" si="47"/>
        <v>-1.7167300000000001</v>
      </c>
      <c r="X113" s="465">
        <f t="shared" si="47"/>
        <v>-9.4999999999999998E-3</v>
      </c>
      <c r="Y113" s="465">
        <f t="shared" si="47"/>
        <v>0</v>
      </c>
      <c r="Z113" s="465">
        <f t="shared" si="47"/>
        <v>0</v>
      </c>
      <c r="AA113" s="465">
        <f t="shared" si="47"/>
        <v>0</v>
      </c>
      <c r="AB113" s="465">
        <f t="shared" si="47"/>
        <v>0</v>
      </c>
      <c r="AC113" s="465">
        <f t="shared" si="47"/>
        <v>0</v>
      </c>
      <c r="AD113" s="465">
        <f t="shared" si="47"/>
        <v>0</v>
      </c>
      <c r="AE113" s="465">
        <f t="shared" si="47"/>
        <v>12.34858</v>
      </c>
      <c r="AF113" s="465">
        <f t="shared" si="47"/>
        <v>0</v>
      </c>
      <c r="AG113" s="465">
        <f t="shared" si="47"/>
        <v>0</v>
      </c>
      <c r="AH113" s="465">
        <f t="shared" si="47"/>
        <v>0</v>
      </c>
      <c r="AI113" s="465">
        <f t="shared" si="47"/>
        <v>0</v>
      </c>
      <c r="AJ113" s="465">
        <f t="shared" si="47"/>
        <v>0</v>
      </c>
      <c r="AK113" s="465">
        <f t="shared" si="47"/>
        <v>0</v>
      </c>
      <c r="AL113" s="465">
        <f t="shared" si="47"/>
        <v>0</v>
      </c>
    </row>
    <row r="114" spans="1:69">
      <c r="A114" s="11" t="s">
        <v>752</v>
      </c>
      <c r="B114" s="8">
        <v>0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454">
        <v>0</v>
      </c>
      <c r="K114" s="454">
        <v>0</v>
      </c>
      <c r="L114" s="454">
        <v>0</v>
      </c>
      <c r="M114" s="454">
        <v>0</v>
      </c>
      <c r="N114" s="465">
        <f t="shared" ref="N114:AL114" si="48">N122+N140</f>
        <v>-1605.5698499999999</v>
      </c>
      <c r="O114" s="465">
        <f t="shared" si="48"/>
        <v>-11838.090139999998</v>
      </c>
      <c r="P114" s="465">
        <f t="shared" si="48"/>
        <v>-923.8786399999999</v>
      </c>
      <c r="Q114" s="465">
        <f t="shared" si="48"/>
        <v>-933.49930999999992</v>
      </c>
      <c r="R114" s="465">
        <f t="shared" si="48"/>
        <v>7137.0271099999982</v>
      </c>
      <c r="S114" s="465">
        <f t="shared" si="48"/>
        <v>-2059.8388100000006</v>
      </c>
      <c r="T114" s="465">
        <f t="shared" si="48"/>
        <v>-3329.4483599999999</v>
      </c>
      <c r="U114" s="465">
        <f t="shared" si="48"/>
        <v>-8939.6366000000016</v>
      </c>
      <c r="V114" s="465">
        <f t="shared" si="48"/>
        <v>-7089.0859100000025</v>
      </c>
      <c r="W114" s="465">
        <f t="shared" si="48"/>
        <v>-8363.8774199999989</v>
      </c>
      <c r="X114" s="465">
        <f t="shared" si="48"/>
        <v>18067.811680000006</v>
      </c>
      <c r="Y114" s="465">
        <f t="shared" si="48"/>
        <v>19398.818980000004</v>
      </c>
      <c r="Z114" s="465">
        <f t="shared" si="48"/>
        <v>-10558.042880000001</v>
      </c>
      <c r="AA114" s="465">
        <f t="shared" si="48"/>
        <v>-8439.7437900000004</v>
      </c>
      <c r="AB114" s="465">
        <f t="shared" si="48"/>
        <v>970.66874000000007</v>
      </c>
      <c r="AC114" s="465">
        <f t="shared" si="48"/>
        <v>-399.48452999999995</v>
      </c>
      <c r="AD114" s="465">
        <f t="shared" si="48"/>
        <v>-709.03478000000007</v>
      </c>
      <c r="AE114" s="465">
        <f t="shared" si="48"/>
        <v>-2102.3581899999999</v>
      </c>
      <c r="AF114" s="465">
        <f t="shared" si="48"/>
        <v>-2212.77711</v>
      </c>
      <c r="AG114" s="465">
        <f t="shared" si="48"/>
        <v>263.51348000000002</v>
      </c>
      <c r="AH114" s="465">
        <f t="shared" si="48"/>
        <v>230.85990999999999</v>
      </c>
      <c r="AI114" s="465">
        <f t="shared" si="48"/>
        <v>6690.6789200000003</v>
      </c>
      <c r="AJ114" s="465">
        <f t="shared" si="48"/>
        <v>-396.04082000000017</v>
      </c>
      <c r="AK114" s="465">
        <f t="shared" si="48"/>
        <v>-10284.151969999999</v>
      </c>
      <c r="AL114" s="465">
        <f t="shared" si="48"/>
        <v>230.89881000000003</v>
      </c>
    </row>
    <row r="115" spans="1:69">
      <c r="A115" s="11" t="s">
        <v>753</v>
      </c>
      <c r="B115" s="8">
        <v>0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454">
        <v>0</v>
      </c>
      <c r="K115" s="454">
        <v>0</v>
      </c>
      <c r="L115" s="454">
        <v>0</v>
      </c>
      <c r="M115" s="454">
        <v>0</v>
      </c>
      <c r="N115" s="465">
        <f t="shared" ref="N115:AL115" si="49">N123+N141</f>
        <v>-16032.245239999998</v>
      </c>
      <c r="O115" s="465">
        <f t="shared" si="49"/>
        <v>-9530.5950100000009</v>
      </c>
      <c r="P115" s="465">
        <f t="shared" si="49"/>
        <v>-13224.905850000001</v>
      </c>
      <c r="Q115" s="465">
        <f t="shared" si="49"/>
        <v>-13765.443370000001</v>
      </c>
      <c r="R115" s="465">
        <f t="shared" si="49"/>
        <v>-12987.635129999999</v>
      </c>
      <c r="S115" s="465">
        <f t="shared" si="49"/>
        <v>-13632.401910000002</v>
      </c>
      <c r="T115" s="465">
        <f t="shared" si="49"/>
        <v>-13084.642689999999</v>
      </c>
      <c r="U115" s="465">
        <f t="shared" si="49"/>
        <v>-14732.379210000001</v>
      </c>
      <c r="V115" s="465">
        <f t="shared" si="49"/>
        <v>-13596.346389999997</v>
      </c>
      <c r="W115" s="465">
        <f t="shared" si="49"/>
        <v>-12046.23077</v>
      </c>
      <c r="X115" s="465">
        <f t="shared" si="49"/>
        <v>-16390.165240000002</v>
      </c>
      <c r="Y115" s="465">
        <f t="shared" si="49"/>
        <v>-13752.642459999999</v>
      </c>
      <c r="Z115" s="465">
        <f t="shared" si="49"/>
        <v>-14376.80732</v>
      </c>
      <c r="AA115" s="465">
        <f t="shared" si="49"/>
        <v>-14307.650670000001</v>
      </c>
      <c r="AB115" s="465">
        <f t="shared" si="49"/>
        <v>-14128.128549999998</v>
      </c>
      <c r="AC115" s="465">
        <f t="shared" si="49"/>
        <v>-12641.96609</v>
      </c>
      <c r="AD115" s="465">
        <f t="shared" si="49"/>
        <v>-11825.52828</v>
      </c>
      <c r="AE115" s="465">
        <f t="shared" si="49"/>
        <v>-10705.472319999999</v>
      </c>
      <c r="AF115" s="465">
        <f t="shared" si="49"/>
        <v>-10980.18614</v>
      </c>
      <c r="AG115" s="465">
        <f t="shared" si="49"/>
        <v>-12361.918030000001</v>
      </c>
      <c r="AH115" s="465">
        <f t="shared" si="49"/>
        <v>-14670.390999999998</v>
      </c>
      <c r="AI115" s="465">
        <f t="shared" si="49"/>
        <v>-15837.309590000001</v>
      </c>
      <c r="AJ115" s="465">
        <f t="shared" si="49"/>
        <v>-16136.483819999999</v>
      </c>
      <c r="AK115" s="465">
        <f t="shared" si="49"/>
        <v>-20784.477520000004</v>
      </c>
      <c r="AL115" s="465">
        <f t="shared" si="49"/>
        <v>-14788.283759999998</v>
      </c>
    </row>
    <row r="116" spans="1:69" ht="15.75" customHeight="1">
      <c r="N116" s="171"/>
      <c r="O116" s="171"/>
      <c r="P116" s="171"/>
      <c r="Q116" s="171"/>
      <c r="R116" s="171"/>
      <c r="S116" s="171"/>
      <c r="T116" s="171"/>
      <c r="Z116" s="454"/>
      <c r="AA116" s="454"/>
      <c r="AB116" s="454"/>
      <c r="AC116" s="454"/>
      <c r="AD116" s="454"/>
      <c r="AE116" s="454"/>
      <c r="AF116" s="454"/>
      <c r="AG116" s="454"/>
      <c r="AH116" s="454"/>
      <c r="AI116" s="454"/>
      <c r="AJ116" s="454"/>
      <c r="AK116" s="454"/>
      <c r="AL116" s="454"/>
    </row>
    <row r="117" spans="1:69" s="482" customFormat="1">
      <c r="A117" s="179" t="s">
        <v>766</v>
      </c>
      <c r="B117" s="180" t="s">
        <v>228</v>
      </c>
      <c r="C117" s="180" t="s">
        <v>229</v>
      </c>
      <c r="D117" s="180" t="s">
        <v>230</v>
      </c>
      <c r="E117" s="180" t="s">
        <v>231</v>
      </c>
      <c r="F117" s="180" t="s">
        <v>232</v>
      </c>
      <c r="G117" s="180" t="s">
        <v>233</v>
      </c>
      <c r="H117" s="180" t="s">
        <v>234</v>
      </c>
      <c r="I117" s="180" t="s">
        <v>235</v>
      </c>
      <c r="J117" s="180" t="s">
        <v>236</v>
      </c>
      <c r="K117" s="180" t="s">
        <v>237</v>
      </c>
      <c r="L117" s="180" t="s">
        <v>238</v>
      </c>
      <c r="M117" s="180" t="s">
        <v>239</v>
      </c>
      <c r="N117" s="180" t="s">
        <v>240</v>
      </c>
      <c r="O117" s="180" t="s">
        <v>241</v>
      </c>
      <c r="P117" s="180" t="s">
        <v>242</v>
      </c>
      <c r="Q117" s="180" t="s">
        <v>243</v>
      </c>
      <c r="R117" s="180" t="s">
        <v>244</v>
      </c>
      <c r="S117" s="180" t="s">
        <v>245</v>
      </c>
      <c r="T117" s="180" t="s">
        <v>246</v>
      </c>
      <c r="U117" s="180" t="s">
        <v>247</v>
      </c>
      <c r="V117" s="180" t="s">
        <v>248</v>
      </c>
      <c r="W117" s="180" t="s">
        <v>249</v>
      </c>
      <c r="X117" s="180" t="s">
        <v>250</v>
      </c>
      <c r="Y117" s="180" t="s">
        <v>215</v>
      </c>
      <c r="Z117" s="180" t="s">
        <v>252</v>
      </c>
      <c r="AA117" s="180" t="s">
        <v>253</v>
      </c>
      <c r="AB117" s="180" t="s">
        <v>254</v>
      </c>
      <c r="AC117" s="180" t="s">
        <v>219</v>
      </c>
      <c r="AD117" s="180" t="s">
        <v>223</v>
      </c>
      <c r="AE117" s="180" t="s">
        <v>256</v>
      </c>
      <c r="AF117" s="180" t="s">
        <v>357</v>
      </c>
      <c r="AG117" s="180" t="s">
        <v>358</v>
      </c>
      <c r="AH117" s="180" t="s">
        <v>359</v>
      </c>
      <c r="AI117" s="180" t="s">
        <v>1115</v>
      </c>
      <c r="AJ117" s="180" t="s">
        <v>1116</v>
      </c>
      <c r="AK117" s="180" t="s">
        <v>1117</v>
      </c>
      <c r="AL117" s="180" t="s">
        <v>1124</v>
      </c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</row>
    <row r="118" spans="1:69">
      <c r="A118" s="9" t="s">
        <v>477</v>
      </c>
      <c r="B118" s="449">
        <v>0</v>
      </c>
      <c r="C118" s="464">
        <f t="shared" ref="C118:M118" si="50">SUM(C119:C123)</f>
        <v>0</v>
      </c>
      <c r="D118" s="464">
        <f t="shared" si="50"/>
        <v>0</v>
      </c>
      <c r="E118" s="464">
        <f t="shared" si="50"/>
        <v>0</v>
      </c>
      <c r="F118" s="464">
        <f t="shared" si="50"/>
        <v>0</v>
      </c>
      <c r="G118" s="464">
        <f t="shared" si="50"/>
        <v>0</v>
      </c>
      <c r="H118" s="464">
        <f t="shared" si="50"/>
        <v>0</v>
      </c>
      <c r="I118" s="464">
        <f t="shared" si="50"/>
        <v>0</v>
      </c>
      <c r="J118" s="464">
        <f t="shared" si="50"/>
        <v>0</v>
      </c>
      <c r="K118" s="464">
        <f t="shared" si="50"/>
        <v>0</v>
      </c>
      <c r="L118" s="464">
        <f t="shared" si="50"/>
        <v>0</v>
      </c>
      <c r="M118" s="464">
        <f t="shared" si="50"/>
        <v>0</v>
      </c>
      <c r="N118" s="464">
        <f t="shared" ref="N118:AE118" si="51">SUM(N119:N123)</f>
        <v>-4135.2276099999999</v>
      </c>
      <c r="O118" s="464">
        <f t="shared" si="51"/>
        <v>-2494.3320100000001</v>
      </c>
      <c r="P118" s="464">
        <f t="shared" si="51"/>
        <v>-98516.760669999989</v>
      </c>
      <c r="Q118" s="464">
        <f t="shared" si="51"/>
        <v>-95059.891150000039</v>
      </c>
      <c r="R118" s="464">
        <f t="shared" si="51"/>
        <v>-111146.86748000003</v>
      </c>
      <c r="S118" s="464">
        <f t="shared" si="51"/>
        <v>-146208.26618999999</v>
      </c>
      <c r="T118" s="464">
        <f t="shared" si="51"/>
        <v>-137848.93184000003</v>
      </c>
      <c r="U118" s="464">
        <f t="shared" si="51"/>
        <v>-107549.54375000001</v>
      </c>
      <c r="V118" s="464">
        <f t="shared" si="51"/>
        <v>-107800.02142999998</v>
      </c>
      <c r="W118" s="464">
        <f t="shared" si="51"/>
        <v>-105653.80549999999</v>
      </c>
      <c r="X118" s="464">
        <f t="shared" si="51"/>
        <v>-110116.66149</v>
      </c>
      <c r="Y118" s="464">
        <f t="shared" si="51"/>
        <v>-123134.56583999995</v>
      </c>
      <c r="Z118" s="464">
        <f t="shared" si="51"/>
        <v>-124040.22671999998</v>
      </c>
      <c r="AA118" s="464">
        <f t="shared" si="51"/>
        <v>-120239.39070000003</v>
      </c>
      <c r="AB118" s="464">
        <f t="shared" si="51"/>
        <v>-120911.76079999997</v>
      </c>
      <c r="AC118" s="464">
        <f t="shared" si="51"/>
        <v>-102806.9166</v>
      </c>
      <c r="AD118" s="464">
        <f t="shared" si="51"/>
        <v>-111094.15360000001</v>
      </c>
      <c r="AE118" s="464">
        <f t="shared" si="51"/>
        <v>-109750.07933999998</v>
      </c>
      <c r="AF118" s="464">
        <f t="shared" ref="AF118:AK118" si="52">SUM(AF119:AF123)</f>
        <v>-108769.7885</v>
      </c>
      <c r="AG118" s="464">
        <f t="shared" si="52"/>
        <v>-98855.874840000004</v>
      </c>
      <c r="AH118" s="464">
        <f t="shared" si="52"/>
        <v>-115705.76845999998</v>
      </c>
      <c r="AI118" s="464">
        <f t="shared" si="52"/>
        <v>-117739.07469000002</v>
      </c>
      <c r="AJ118" s="464">
        <f t="shared" si="52"/>
        <v>-112717.86757999999</v>
      </c>
      <c r="AK118" s="464">
        <f t="shared" si="52"/>
        <v>-106079.79513000003</v>
      </c>
      <c r="AL118" s="464">
        <f>SUM(AL119:AL123)</f>
        <v>-116402.96688999998</v>
      </c>
    </row>
    <row r="119" spans="1:69">
      <c r="A119" s="11" t="s">
        <v>749</v>
      </c>
      <c r="B119" s="8">
        <v>0</v>
      </c>
      <c r="C119" s="454">
        <v>0</v>
      </c>
      <c r="D119" s="454">
        <v>0</v>
      </c>
      <c r="E119" s="454">
        <v>0</v>
      </c>
      <c r="F119" s="454">
        <v>0</v>
      </c>
      <c r="G119" s="454">
        <v>0</v>
      </c>
      <c r="H119" s="454">
        <v>0</v>
      </c>
      <c r="I119" s="454">
        <v>0</v>
      </c>
      <c r="J119" s="454">
        <v>0</v>
      </c>
      <c r="K119" s="454">
        <v>0</v>
      </c>
      <c r="L119" s="454">
        <v>0</v>
      </c>
      <c r="M119" s="454">
        <v>0</v>
      </c>
      <c r="N119" s="454">
        <v>-3765.4027500000002</v>
      </c>
      <c r="O119" s="454">
        <v>-2216.1147999999998</v>
      </c>
      <c r="P119" s="454">
        <v>-84494.816720000003</v>
      </c>
      <c r="Q119" s="454">
        <v>-80648.276850000024</v>
      </c>
      <c r="R119" s="454">
        <v>-104986.96087000002</v>
      </c>
      <c r="S119" s="454">
        <v>-129291.44303999998</v>
      </c>
      <c r="T119" s="454">
        <v>-121167.42137000004</v>
      </c>
      <c r="U119" s="454">
        <v>-84362.86179000001</v>
      </c>
      <c r="V119" s="454">
        <v>-87966.392029999974</v>
      </c>
      <c r="W119" s="454">
        <v>-86051.389739999984</v>
      </c>
      <c r="X119" s="454">
        <v>-112125.07678</v>
      </c>
      <c r="Y119" s="454">
        <v>-130112.91803999995</v>
      </c>
      <c r="Z119" s="454">
        <v>-99897.721599999975</v>
      </c>
      <c r="AA119" s="454">
        <v>-98600.984410000019</v>
      </c>
      <c r="AB119" s="454">
        <v>-108479.36893999999</v>
      </c>
      <c r="AC119" s="454">
        <v>-89083.37904</v>
      </c>
      <c r="AD119" s="454">
        <v>-98045.688650000011</v>
      </c>
      <c r="AE119" s="454">
        <v>-95016.463319999981</v>
      </c>
      <c r="AF119" s="454">
        <v>-95467.319569999992</v>
      </c>
      <c r="AG119" s="454">
        <v>-86745.861999999994</v>
      </c>
      <c r="AH119" s="454">
        <v>-101308.19027999998</v>
      </c>
      <c r="AI119" s="454">
        <v>-108527.67589000001</v>
      </c>
      <c r="AJ119" s="454">
        <v>-96342.424149999992</v>
      </c>
      <c r="AK119" s="454">
        <v>-76147.12003000002</v>
      </c>
      <c r="AL119" s="454">
        <v>-101451.47826999998</v>
      </c>
    </row>
    <row r="120" spans="1:69">
      <c r="A120" s="11" t="s">
        <v>750</v>
      </c>
      <c r="B120" s="8">
        <v>0</v>
      </c>
      <c r="C120" s="454">
        <v>0</v>
      </c>
      <c r="D120" s="454">
        <v>0</v>
      </c>
      <c r="E120" s="454">
        <v>0</v>
      </c>
      <c r="F120" s="454">
        <v>0</v>
      </c>
      <c r="G120" s="454">
        <v>0</v>
      </c>
      <c r="H120" s="454">
        <v>0</v>
      </c>
      <c r="I120" s="454">
        <v>0</v>
      </c>
      <c r="J120" s="454">
        <v>0</v>
      </c>
      <c r="K120" s="454">
        <v>0</v>
      </c>
      <c r="L120" s="454">
        <v>0</v>
      </c>
      <c r="M120" s="454">
        <v>0</v>
      </c>
      <c r="N120" s="454">
        <v>0</v>
      </c>
      <c r="O120" s="454">
        <v>0</v>
      </c>
      <c r="P120" s="454">
        <v>-16.078949999999988</v>
      </c>
      <c r="Q120" s="454">
        <v>344.90941000000004</v>
      </c>
      <c r="R120" s="454">
        <v>-335.37690999999995</v>
      </c>
      <c r="S120" s="454">
        <v>-1242.40662</v>
      </c>
      <c r="T120" s="454">
        <v>-240.39963</v>
      </c>
      <c r="U120" s="454">
        <v>-202.12046999999998</v>
      </c>
      <c r="V120" s="454">
        <v>678.14273999999989</v>
      </c>
      <c r="W120" s="454">
        <v>-153.76313000000002</v>
      </c>
      <c r="X120" s="454">
        <v>561.3660000000001</v>
      </c>
      <c r="Y120" s="454">
        <v>1812.6336700000002</v>
      </c>
      <c r="Z120" s="454">
        <v>907.04956000000004</v>
      </c>
      <c r="AA120" s="454">
        <v>569.42649000000017</v>
      </c>
      <c r="AB120" s="454">
        <v>733.44979000000001</v>
      </c>
      <c r="AC120" s="454">
        <v>-547.75166999999988</v>
      </c>
      <c r="AD120" s="454">
        <v>-603.90264000000002</v>
      </c>
      <c r="AE120" s="454">
        <v>-1074.5455599999998</v>
      </c>
      <c r="AF120" s="454">
        <v>-107.07343</v>
      </c>
      <c r="AG120" s="454">
        <v>-19.464809999999996</v>
      </c>
      <c r="AH120" s="454">
        <v>30.743350000000021</v>
      </c>
      <c r="AI120" s="454">
        <v>-45.679250000000003</v>
      </c>
      <c r="AJ120" s="454">
        <v>44.526300000000006</v>
      </c>
      <c r="AK120" s="454">
        <v>188.95571000000001</v>
      </c>
      <c r="AL120" s="454">
        <v>7.1882199999999976</v>
      </c>
    </row>
    <row r="121" spans="1:69">
      <c r="A121" s="11" t="s">
        <v>751</v>
      </c>
      <c r="B121" s="8">
        <v>0</v>
      </c>
      <c r="C121" s="454">
        <v>0</v>
      </c>
      <c r="D121" s="454">
        <v>0</v>
      </c>
      <c r="E121" s="454">
        <v>0</v>
      </c>
      <c r="F121" s="454">
        <v>0</v>
      </c>
      <c r="G121" s="454">
        <v>0</v>
      </c>
      <c r="H121" s="454">
        <v>0</v>
      </c>
      <c r="I121" s="454">
        <v>0</v>
      </c>
      <c r="J121" s="454">
        <v>0</v>
      </c>
      <c r="K121" s="454">
        <v>0</v>
      </c>
      <c r="L121" s="454">
        <v>0</v>
      </c>
      <c r="M121" s="454">
        <v>0</v>
      </c>
      <c r="N121" s="454">
        <v>0</v>
      </c>
      <c r="O121" s="454">
        <v>0</v>
      </c>
      <c r="P121" s="454">
        <v>0</v>
      </c>
      <c r="Q121" s="454">
        <v>0</v>
      </c>
      <c r="R121" s="454">
        <v>-7.2950000000000001E-2</v>
      </c>
      <c r="S121" s="454">
        <v>0.16700000000000001</v>
      </c>
      <c r="T121" s="454">
        <v>8.4436999999999998</v>
      </c>
      <c r="U121" s="454">
        <v>-3.21062</v>
      </c>
      <c r="V121" s="454">
        <v>3.28193</v>
      </c>
      <c r="W121" s="454">
        <v>-1.7167300000000001</v>
      </c>
      <c r="X121" s="454">
        <v>-9.4999999999999998E-3</v>
      </c>
      <c r="Y121" s="454">
        <v>0</v>
      </c>
      <c r="Z121" s="454">
        <v>0</v>
      </c>
      <c r="AA121" s="454">
        <v>0</v>
      </c>
      <c r="AB121" s="454">
        <v>0</v>
      </c>
      <c r="AC121" s="454">
        <v>0</v>
      </c>
      <c r="AD121" s="454">
        <v>0</v>
      </c>
      <c r="AE121" s="454">
        <v>0</v>
      </c>
      <c r="AF121" s="454">
        <v>0</v>
      </c>
      <c r="AG121" s="454">
        <v>0</v>
      </c>
      <c r="AH121" s="454">
        <v>0</v>
      </c>
      <c r="AI121" s="454">
        <v>0</v>
      </c>
      <c r="AJ121" s="454">
        <v>0</v>
      </c>
      <c r="AK121" s="454">
        <v>0</v>
      </c>
      <c r="AL121" s="454">
        <v>0</v>
      </c>
    </row>
    <row r="122" spans="1:69">
      <c r="A122" s="11" t="s">
        <v>752</v>
      </c>
      <c r="B122" s="8">
        <v>0</v>
      </c>
      <c r="C122" s="454">
        <v>0</v>
      </c>
      <c r="D122" s="454">
        <v>0</v>
      </c>
      <c r="E122" s="454">
        <v>0</v>
      </c>
      <c r="F122" s="454">
        <v>0</v>
      </c>
      <c r="G122" s="454">
        <v>0</v>
      </c>
      <c r="H122" s="454">
        <v>0</v>
      </c>
      <c r="I122" s="454">
        <v>0</v>
      </c>
      <c r="J122" s="454">
        <v>0</v>
      </c>
      <c r="K122" s="454">
        <v>0</v>
      </c>
      <c r="L122" s="454">
        <v>0</v>
      </c>
      <c r="M122" s="454">
        <v>0</v>
      </c>
      <c r="N122" s="454">
        <v>-79.565250000000006</v>
      </c>
      <c r="O122" s="454">
        <v>2.1379600000000063</v>
      </c>
      <c r="P122" s="454">
        <v>-890.7603499999999</v>
      </c>
      <c r="Q122" s="454">
        <v>-933.13595999999995</v>
      </c>
      <c r="R122" s="454">
        <v>7163.1783799999985</v>
      </c>
      <c r="S122" s="454">
        <v>-2043.8799100000006</v>
      </c>
      <c r="T122" s="454">
        <v>-3336.4224199999999</v>
      </c>
      <c r="U122" s="454">
        <v>-8259.1094600000015</v>
      </c>
      <c r="V122" s="454">
        <v>-6930.7468100000024</v>
      </c>
      <c r="W122" s="454">
        <v>-7414.2453699999987</v>
      </c>
      <c r="X122" s="454">
        <v>17837.136030000005</v>
      </c>
      <c r="Y122" s="454">
        <v>18918.360990000005</v>
      </c>
      <c r="Z122" s="454">
        <v>-10666.103930000001</v>
      </c>
      <c r="AA122" s="454">
        <v>-7903.289310000001</v>
      </c>
      <c r="AB122" s="454">
        <v>962.28690000000006</v>
      </c>
      <c r="AC122" s="454">
        <v>-533.81979999999999</v>
      </c>
      <c r="AD122" s="454">
        <v>-619.03403000000003</v>
      </c>
      <c r="AE122" s="454">
        <v>-2953.5981399999996</v>
      </c>
      <c r="AF122" s="454">
        <v>-2215.2093599999998</v>
      </c>
      <c r="AG122" s="454">
        <v>271.37</v>
      </c>
      <c r="AH122" s="454">
        <v>242.06947</v>
      </c>
      <c r="AI122" s="454">
        <v>6671.59004</v>
      </c>
      <c r="AJ122" s="454">
        <v>-283.48591000000016</v>
      </c>
      <c r="AK122" s="454">
        <v>-9337.1532899999984</v>
      </c>
      <c r="AL122" s="454">
        <v>-170.39307999999994</v>
      </c>
    </row>
    <row r="123" spans="1:69">
      <c r="A123" s="11" t="s">
        <v>753</v>
      </c>
      <c r="B123" s="8">
        <v>0</v>
      </c>
      <c r="C123" s="454">
        <v>0</v>
      </c>
      <c r="D123" s="454">
        <v>0</v>
      </c>
      <c r="E123" s="454">
        <v>0</v>
      </c>
      <c r="F123" s="454">
        <v>0</v>
      </c>
      <c r="G123" s="454">
        <v>0</v>
      </c>
      <c r="H123" s="454">
        <v>0</v>
      </c>
      <c r="I123" s="454">
        <v>0</v>
      </c>
      <c r="J123" s="454">
        <v>0</v>
      </c>
      <c r="K123" s="454">
        <v>0</v>
      </c>
      <c r="L123" s="454">
        <v>0</v>
      </c>
      <c r="M123" s="454">
        <v>0</v>
      </c>
      <c r="N123" s="454">
        <v>-290.25961000000001</v>
      </c>
      <c r="O123" s="454">
        <v>-280.35517000000004</v>
      </c>
      <c r="P123" s="454">
        <v>-13115.104650000001</v>
      </c>
      <c r="Q123" s="454">
        <v>-13823.387750000002</v>
      </c>
      <c r="R123" s="454">
        <v>-12987.635129999999</v>
      </c>
      <c r="S123" s="454">
        <v>-13630.703620000002</v>
      </c>
      <c r="T123" s="454">
        <v>-13113.132119999998</v>
      </c>
      <c r="U123" s="454">
        <v>-14722.241410000001</v>
      </c>
      <c r="V123" s="454">
        <v>-13584.307259999998</v>
      </c>
      <c r="W123" s="454">
        <v>-12032.69053</v>
      </c>
      <c r="X123" s="454">
        <v>-16390.077240000002</v>
      </c>
      <c r="Y123" s="454">
        <v>-13752.642459999999</v>
      </c>
      <c r="Z123" s="454">
        <v>-14383.45075</v>
      </c>
      <c r="AA123" s="454">
        <v>-14304.543470000001</v>
      </c>
      <c r="AB123" s="454">
        <v>-14128.128549999998</v>
      </c>
      <c r="AC123" s="454">
        <v>-12641.96609</v>
      </c>
      <c r="AD123" s="454">
        <v>-11825.52828</v>
      </c>
      <c r="AE123" s="454">
        <v>-10705.472319999999</v>
      </c>
      <c r="AF123" s="454">
        <v>-10980.18614</v>
      </c>
      <c r="AG123" s="454">
        <v>-12361.918030000001</v>
      </c>
      <c r="AH123" s="454">
        <v>-14670.390999999998</v>
      </c>
      <c r="AI123" s="454">
        <v>-15837.309590000001</v>
      </c>
      <c r="AJ123" s="454">
        <v>-16136.483819999999</v>
      </c>
      <c r="AK123" s="454">
        <v>-20784.477520000004</v>
      </c>
      <c r="AL123" s="454">
        <v>-14788.283759999998</v>
      </c>
    </row>
    <row r="124" spans="1:69">
      <c r="A124" s="11"/>
      <c r="B124" s="20"/>
      <c r="C124" s="20"/>
      <c r="D124" s="20"/>
      <c r="E124" s="20"/>
      <c r="F124" s="20"/>
      <c r="G124" s="20"/>
      <c r="H124" s="20"/>
      <c r="I124" s="20"/>
      <c r="J124" s="450"/>
      <c r="K124" s="450"/>
      <c r="L124" s="450"/>
      <c r="M124" s="450"/>
      <c r="N124" s="450"/>
      <c r="O124" s="450"/>
      <c r="P124" s="450"/>
      <c r="Q124" s="450"/>
      <c r="R124" s="450"/>
      <c r="S124" s="450"/>
      <c r="T124" s="450"/>
      <c r="U124" s="450"/>
      <c r="V124" s="450"/>
      <c r="W124" s="450"/>
      <c r="X124" s="450"/>
      <c r="Y124" s="450"/>
      <c r="Z124" s="454"/>
      <c r="AA124" s="454"/>
      <c r="AB124" s="454"/>
      <c r="AC124" s="454"/>
      <c r="AD124" s="454"/>
      <c r="AE124" s="454"/>
      <c r="AF124" s="454"/>
      <c r="AG124" s="454"/>
      <c r="AH124" s="454"/>
      <c r="AI124" s="454"/>
      <c r="AJ124" s="454"/>
      <c r="AK124" s="454"/>
      <c r="AL124" s="454"/>
    </row>
    <row r="125" spans="1:69">
      <c r="A125" s="11"/>
      <c r="B125" s="20"/>
      <c r="C125" s="20"/>
      <c r="D125" s="20"/>
      <c r="E125" s="20"/>
      <c r="F125" s="20"/>
      <c r="G125" s="20"/>
      <c r="H125" s="20"/>
      <c r="I125" s="20"/>
      <c r="J125" s="450"/>
      <c r="K125" s="450"/>
      <c r="L125" s="450"/>
      <c r="M125" s="450"/>
      <c r="N125" s="450"/>
      <c r="O125" s="450"/>
      <c r="P125" s="450"/>
      <c r="Q125" s="450"/>
      <c r="R125" s="450"/>
      <c r="S125" s="450"/>
      <c r="T125" s="450"/>
      <c r="U125" s="450"/>
      <c r="V125" s="450"/>
      <c r="W125" s="450"/>
      <c r="X125" s="450"/>
      <c r="Y125" s="450"/>
      <c r="Z125" s="450"/>
      <c r="AA125" s="450"/>
      <c r="AB125" s="450"/>
      <c r="AC125" s="450"/>
      <c r="AD125" s="450"/>
      <c r="AE125" s="450"/>
      <c r="AF125" s="450"/>
      <c r="AG125" s="450"/>
      <c r="AH125" s="450"/>
      <c r="AI125" s="450"/>
      <c r="AJ125" s="450"/>
      <c r="AK125" s="450"/>
      <c r="AL125" s="450"/>
    </row>
    <row r="126" spans="1:69" s="482" customFormat="1">
      <c r="A126" s="179" t="s">
        <v>767</v>
      </c>
      <c r="B126" s="180" t="s">
        <v>228</v>
      </c>
      <c r="C126" s="180" t="s">
        <v>229</v>
      </c>
      <c r="D126" s="180" t="s">
        <v>230</v>
      </c>
      <c r="E126" s="180" t="s">
        <v>231</v>
      </c>
      <c r="F126" s="180" t="s">
        <v>232</v>
      </c>
      <c r="G126" s="180" t="s">
        <v>233</v>
      </c>
      <c r="H126" s="180" t="s">
        <v>234</v>
      </c>
      <c r="I126" s="180" t="s">
        <v>235</v>
      </c>
      <c r="J126" s="180" t="s">
        <v>236</v>
      </c>
      <c r="K126" s="180" t="s">
        <v>237</v>
      </c>
      <c r="L126" s="180" t="s">
        <v>238</v>
      </c>
      <c r="M126" s="180" t="s">
        <v>239</v>
      </c>
      <c r="N126" s="180" t="s">
        <v>240</v>
      </c>
      <c r="O126" s="180" t="s">
        <v>241</v>
      </c>
      <c r="P126" s="180" t="s">
        <v>242</v>
      </c>
      <c r="Q126" s="180" t="s">
        <v>243</v>
      </c>
      <c r="R126" s="180" t="s">
        <v>244</v>
      </c>
      <c r="S126" s="180" t="s">
        <v>245</v>
      </c>
      <c r="T126" s="180" t="s">
        <v>246</v>
      </c>
      <c r="U126" s="180" t="s">
        <v>247</v>
      </c>
      <c r="V126" s="180" t="s">
        <v>248</v>
      </c>
      <c r="W126" s="180" t="s">
        <v>249</v>
      </c>
      <c r="X126" s="180" t="s">
        <v>250</v>
      </c>
      <c r="Y126" s="180" t="s">
        <v>215</v>
      </c>
      <c r="Z126" s="180" t="s">
        <v>252</v>
      </c>
      <c r="AA126" s="180" t="s">
        <v>253</v>
      </c>
      <c r="AB126" s="180" t="s">
        <v>254</v>
      </c>
      <c r="AC126" s="180" t="s">
        <v>219</v>
      </c>
      <c r="AD126" s="180" t="s">
        <v>223</v>
      </c>
      <c r="AE126" s="180" t="s">
        <v>256</v>
      </c>
      <c r="AF126" s="180" t="s">
        <v>357</v>
      </c>
      <c r="AG126" s="180" t="s">
        <v>358</v>
      </c>
      <c r="AH126" s="180" t="s">
        <v>359</v>
      </c>
      <c r="AI126" s="180" t="s">
        <v>1115</v>
      </c>
      <c r="AJ126" s="180" t="s">
        <v>1116</v>
      </c>
      <c r="AK126" s="180" t="s">
        <v>1117</v>
      </c>
      <c r="AL126" s="180" t="s">
        <v>1124</v>
      </c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</row>
    <row r="127" spans="1:69">
      <c r="A127" s="9" t="s">
        <v>477</v>
      </c>
      <c r="B127" s="449">
        <v>0</v>
      </c>
      <c r="C127" s="449">
        <v>0</v>
      </c>
      <c r="D127" s="449">
        <v>0</v>
      </c>
      <c r="E127" s="449">
        <v>0</v>
      </c>
      <c r="F127" s="449">
        <v>0</v>
      </c>
      <c r="G127" s="449">
        <v>0</v>
      </c>
      <c r="H127" s="449">
        <v>0</v>
      </c>
      <c r="I127" s="449">
        <v>0</v>
      </c>
      <c r="J127" s="449">
        <v>-3584.0027799999993</v>
      </c>
      <c r="K127" s="449">
        <v>-3173.4881399999995</v>
      </c>
      <c r="L127" s="449">
        <v>-3756.9468299999999</v>
      </c>
      <c r="M127" s="449">
        <v>-2955.4332899999999</v>
      </c>
      <c r="N127" s="464">
        <f t="shared" ref="N127:AE127" si="53">SUM(N128:N132)</f>
        <v>-4135.2276099999999</v>
      </c>
      <c r="O127" s="464">
        <f t="shared" si="53"/>
        <v>-2494.3320100000001</v>
      </c>
      <c r="P127" s="464">
        <f t="shared" si="53"/>
        <v>-98516.760669999989</v>
      </c>
      <c r="Q127" s="464">
        <f t="shared" si="53"/>
        <v>-95059.891150000039</v>
      </c>
      <c r="R127" s="464">
        <f t="shared" si="53"/>
        <v>-110337.25997000003</v>
      </c>
      <c r="S127" s="464">
        <f t="shared" si="53"/>
        <v>-142875.04145999998</v>
      </c>
      <c r="T127" s="464">
        <f t="shared" si="53"/>
        <v>-134682.74858000004</v>
      </c>
      <c r="U127" s="464">
        <f t="shared" si="53"/>
        <v>-101862.99542000001</v>
      </c>
      <c r="V127" s="464">
        <f t="shared" si="53"/>
        <v>-99234.162779999984</v>
      </c>
      <c r="W127" s="464">
        <f t="shared" si="53"/>
        <v>-95864.809779999996</v>
      </c>
      <c r="X127" s="464">
        <f t="shared" si="53"/>
        <v>-89746.436539999995</v>
      </c>
      <c r="Y127" s="464">
        <f t="shared" si="53"/>
        <v>-102314.68544999995</v>
      </c>
      <c r="Z127" s="464">
        <f t="shared" si="53"/>
        <v>-101362.69655999997</v>
      </c>
      <c r="AA127" s="464">
        <f t="shared" si="53"/>
        <v>-94474.179350000006</v>
      </c>
      <c r="AB127" s="464">
        <f t="shared" si="53"/>
        <v>-95955.492109999977</v>
      </c>
      <c r="AC127" s="464">
        <f t="shared" si="53"/>
        <v>-74559.428669999994</v>
      </c>
      <c r="AD127" s="464">
        <f t="shared" si="53"/>
        <v>-80192.710120000018</v>
      </c>
      <c r="AE127" s="464">
        <f t="shared" si="53"/>
        <v>-83434.92230999998</v>
      </c>
      <c r="AF127" s="464">
        <f t="shared" ref="AF127:AH127" si="54">SUM(AF128:AF132)</f>
        <v>-90019.181540000005</v>
      </c>
      <c r="AG127" s="464">
        <f t="shared" si="54"/>
        <v>-98901.03489000001</v>
      </c>
      <c r="AH127" s="464">
        <f t="shared" si="54"/>
        <v>-115705.76845999998</v>
      </c>
      <c r="AI127" s="464">
        <f>SUM(AI128:AI132)</f>
        <v>-117739.07469000002</v>
      </c>
      <c r="AJ127" s="464">
        <f>SUM(AJ128:AJ132)</f>
        <v>-112717.86757999999</v>
      </c>
      <c r="AK127" s="464">
        <f>SUM(AK128:AK132)</f>
        <v>-106079.79513000003</v>
      </c>
      <c r="AL127" s="464">
        <f>SUM(AL128:AL132)</f>
        <v>-116402.96688999998</v>
      </c>
    </row>
    <row r="128" spans="1:69">
      <c r="A128" s="11" t="s">
        <v>749</v>
      </c>
      <c r="B128" s="8">
        <v>0</v>
      </c>
      <c r="C128" s="8">
        <v>0</v>
      </c>
      <c r="D128" s="8">
        <v>0</v>
      </c>
      <c r="E128" s="454">
        <v>0</v>
      </c>
      <c r="F128" s="454">
        <v>0</v>
      </c>
      <c r="G128" s="454">
        <v>0</v>
      </c>
      <c r="H128" s="454">
        <v>0</v>
      </c>
      <c r="I128" s="454">
        <v>0</v>
      </c>
      <c r="J128" s="454">
        <v>0</v>
      </c>
      <c r="K128" s="454">
        <v>0</v>
      </c>
      <c r="L128" s="454">
        <v>0</v>
      </c>
      <c r="M128" s="454">
        <v>0</v>
      </c>
      <c r="N128" s="454">
        <v>-3765.4027500000002</v>
      </c>
      <c r="O128" s="454">
        <v>-2216.1147999999998</v>
      </c>
      <c r="P128" s="454">
        <v>-84494.816720000003</v>
      </c>
      <c r="Q128" s="454">
        <v>-80648.276850000024</v>
      </c>
      <c r="R128" s="454">
        <v>-104187.53123000002</v>
      </c>
      <c r="S128" s="454">
        <v>-126097.86966999999</v>
      </c>
      <c r="T128" s="454">
        <v>-117878.66487000004</v>
      </c>
      <c r="U128" s="454">
        <v>-79670.619150000013</v>
      </c>
      <c r="V128" s="454">
        <v>-80112.225909999979</v>
      </c>
      <c r="W128" s="454">
        <v>-77500.226619999987</v>
      </c>
      <c r="X128" s="454">
        <v>-100361.42568</v>
      </c>
      <c r="Y128" s="454">
        <v>-116992.73956999995</v>
      </c>
      <c r="Z128" s="454">
        <v>-85939.006109999973</v>
      </c>
      <c r="AA128" s="454">
        <v>-86123.18594000001</v>
      </c>
      <c r="AB128" s="454">
        <v>-93334.350099999981</v>
      </c>
      <c r="AC128" s="465">
        <v>-69708.340060000002</v>
      </c>
      <c r="AD128" s="465">
        <v>-77027.933460000015</v>
      </c>
      <c r="AE128" s="465">
        <v>-76833.383969999981</v>
      </c>
      <c r="AF128" s="465">
        <v>-81858.614529999992</v>
      </c>
      <c r="AG128" s="465">
        <v>-86745.861999999994</v>
      </c>
      <c r="AH128" s="465">
        <v>-101308.19027999998</v>
      </c>
      <c r="AI128" s="465">
        <v>-108527.67589000001</v>
      </c>
      <c r="AJ128" s="465">
        <v>-96342.424149999992</v>
      </c>
      <c r="AK128" s="465">
        <v>-76147.12003000002</v>
      </c>
      <c r="AL128" s="465">
        <v>-101451.47826999998</v>
      </c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</row>
    <row r="129" spans="1:69">
      <c r="A129" s="11" t="s">
        <v>750</v>
      </c>
      <c r="B129" s="8">
        <v>0</v>
      </c>
      <c r="C129" s="8">
        <v>0</v>
      </c>
      <c r="D129" s="8">
        <v>0</v>
      </c>
      <c r="E129" s="454">
        <v>0</v>
      </c>
      <c r="F129" s="454">
        <v>0</v>
      </c>
      <c r="G129" s="454">
        <v>0</v>
      </c>
      <c r="H129" s="454">
        <v>0</v>
      </c>
      <c r="I129" s="454">
        <v>0</v>
      </c>
      <c r="J129" s="454">
        <v>0</v>
      </c>
      <c r="K129" s="454">
        <v>0</v>
      </c>
      <c r="L129" s="454">
        <v>0</v>
      </c>
      <c r="M129" s="454">
        <v>0</v>
      </c>
      <c r="N129" s="454">
        <v>0</v>
      </c>
      <c r="O129" s="454">
        <v>0</v>
      </c>
      <c r="P129" s="454">
        <v>-16.078949999999988</v>
      </c>
      <c r="Q129" s="454">
        <v>344.90941000000004</v>
      </c>
      <c r="R129" s="454">
        <v>-335.37690999999995</v>
      </c>
      <c r="S129" s="454">
        <v>-1242.40662</v>
      </c>
      <c r="T129" s="454">
        <v>-240.39963</v>
      </c>
      <c r="U129" s="454">
        <v>-202.12046999999998</v>
      </c>
      <c r="V129" s="454">
        <v>678.14273999999989</v>
      </c>
      <c r="W129" s="454">
        <v>-153.76313000000002</v>
      </c>
      <c r="X129" s="454">
        <v>561.3660000000001</v>
      </c>
      <c r="Y129" s="454">
        <v>1812.6336700000002</v>
      </c>
      <c r="Z129" s="454">
        <v>907.04956000000004</v>
      </c>
      <c r="AA129" s="454">
        <v>569.42649000000017</v>
      </c>
      <c r="AB129" s="454">
        <v>733.44979000000001</v>
      </c>
      <c r="AC129" s="465">
        <v>-547.75166999999988</v>
      </c>
      <c r="AD129" s="465">
        <v>-603.90264000000002</v>
      </c>
      <c r="AE129" s="465">
        <v>-1074.5455599999998</v>
      </c>
      <c r="AF129" s="465">
        <v>-107.07343</v>
      </c>
      <c r="AG129" s="465">
        <v>-19.464809999999996</v>
      </c>
      <c r="AH129" s="465">
        <v>30.743350000000021</v>
      </c>
      <c r="AI129" s="465">
        <v>-45.679250000000003</v>
      </c>
      <c r="AJ129" s="465">
        <v>44.526300000000006</v>
      </c>
      <c r="AK129" s="465">
        <v>188.95571000000001</v>
      </c>
      <c r="AL129" s="465">
        <v>7.1882199999999976</v>
      </c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</row>
    <row r="130" spans="1:69">
      <c r="A130" s="11" t="s">
        <v>751</v>
      </c>
      <c r="B130" s="8">
        <v>0</v>
      </c>
      <c r="C130" s="8">
        <v>0</v>
      </c>
      <c r="D130" s="8">
        <v>0</v>
      </c>
      <c r="E130" s="454">
        <v>0</v>
      </c>
      <c r="F130" s="454">
        <v>0</v>
      </c>
      <c r="G130" s="454">
        <v>0</v>
      </c>
      <c r="H130" s="454">
        <v>0</v>
      </c>
      <c r="I130" s="454">
        <v>0</v>
      </c>
      <c r="J130" s="454">
        <v>0</v>
      </c>
      <c r="K130" s="454">
        <v>0</v>
      </c>
      <c r="L130" s="454">
        <v>0</v>
      </c>
      <c r="M130" s="454">
        <v>0</v>
      </c>
      <c r="N130" s="454">
        <v>0</v>
      </c>
      <c r="O130" s="454">
        <v>0</v>
      </c>
      <c r="P130" s="454">
        <v>0</v>
      </c>
      <c r="Q130" s="454">
        <v>0</v>
      </c>
      <c r="R130" s="454">
        <v>-7.2950000000000001E-2</v>
      </c>
      <c r="S130" s="454">
        <v>0.16700000000000001</v>
      </c>
      <c r="T130" s="454">
        <v>8.4436999999999998</v>
      </c>
      <c r="U130" s="454">
        <v>-3.21062</v>
      </c>
      <c r="V130" s="454">
        <v>3.28193</v>
      </c>
      <c r="W130" s="454">
        <v>-1.7167300000000001</v>
      </c>
      <c r="X130" s="454">
        <v>-9.4999999999999998E-3</v>
      </c>
      <c r="Y130" s="454">
        <v>0</v>
      </c>
      <c r="Z130" s="454">
        <v>0</v>
      </c>
      <c r="AA130" s="454">
        <v>0</v>
      </c>
      <c r="AB130" s="454">
        <v>0</v>
      </c>
      <c r="AC130" s="465">
        <v>0</v>
      </c>
      <c r="AD130" s="465">
        <v>0</v>
      </c>
      <c r="AE130" s="465">
        <v>0</v>
      </c>
      <c r="AF130" s="465">
        <v>0</v>
      </c>
      <c r="AG130" s="465">
        <v>0</v>
      </c>
      <c r="AH130" s="465">
        <v>0</v>
      </c>
      <c r="AI130" s="465">
        <v>0</v>
      </c>
      <c r="AJ130" s="465">
        <v>0</v>
      </c>
      <c r="AK130">
        <v>0</v>
      </c>
      <c r="AL130" s="465">
        <v>0</v>
      </c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</row>
    <row r="131" spans="1:69">
      <c r="A131" s="11" t="s">
        <v>752</v>
      </c>
      <c r="B131" s="8">
        <v>0</v>
      </c>
      <c r="C131" s="8">
        <v>0</v>
      </c>
      <c r="D131" s="8">
        <v>0</v>
      </c>
      <c r="E131" s="454">
        <v>0</v>
      </c>
      <c r="F131" s="454">
        <v>0</v>
      </c>
      <c r="G131" s="454">
        <v>0</v>
      </c>
      <c r="H131" s="454">
        <v>0</v>
      </c>
      <c r="I131" s="454">
        <v>0</v>
      </c>
      <c r="J131" s="454">
        <v>0</v>
      </c>
      <c r="K131" s="454">
        <v>0</v>
      </c>
      <c r="L131" s="454">
        <v>0</v>
      </c>
      <c r="M131" s="454">
        <v>0</v>
      </c>
      <c r="N131" s="454">
        <v>-79.565250000000006</v>
      </c>
      <c r="O131" s="454">
        <v>2.1379600000000063</v>
      </c>
      <c r="P131" s="454">
        <v>-890.7603499999999</v>
      </c>
      <c r="Q131" s="454">
        <v>-933.13595999999995</v>
      </c>
      <c r="R131" s="454">
        <v>7173.3562499999989</v>
      </c>
      <c r="S131" s="454">
        <v>-1904.2285500000005</v>
      </c>
      <c r="T131" s="454">
        <v>-3458.99566</v>
      </c>
      <c r="U131" s="454">
        <v>-7264.8037700000014</v>
      </c>
      <c r="V131" s="454">
        <v>-6219.0542800000021</v>
      </c>
      <c r="W131" s="454">
        <v>-6284.8542899999984</v>
      </c>
      <c r="X131" s="454">
        <v>17462.022000000004</v>
      </c>
      <c r="Y131" s="454">
        <v>20006.034780000005</v>
      </c>
      <c r="Z131" s="454">
        <v>-9968.3244400000003</v>
      </c>
      <c r="AA131" s="454">
        <v>-2964.8954899999999</v>
      </c>
      <c r="AB131" s="454">
        <v>1773.0906500000001</v>
      </c>
      <c r="AC131" s="465">
        <v>-442.23911999999996</v>
      </c>
      <c r="AD131" s="465">
        <v>1103.05576</v>
      </c>
      <c r="AE131" s="465">
        <v>-2527.7715699999999</v>
      </c>
      <c r="AF131" s="465">
        <v>-2200.1121199999998</v>
      </c>
      <c r="AG131" s="465">
        <v>271.37</v>
      </c>
      <c r="AH131" s="465">
        <v>242.06947</v>
      </c>
      <c r="AI131" s="465">
        <v>6671.59004</v>
      </c>
      <c r="AJ131" s="465">
        <v>-283.48591000000016</v>
      </c>
      <c r="AK131" s="465">
        <v>-9337.1532899999984</v>
      </c>
      <c r="AL131" s="465">
        <v>-170.39307999999994</v>
      </c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</row>
    <row r="132" spans="1:69">
      <c r="A132" s="11" t="s">
        <v>753</v>
      </c>
      <c r="B132" s="8">
        <v>0</v>
      </c>
      <c r="C132" s="8">
        <v>0</v>
      </c>
      <c r="D132" s="8">
        <v>0</v>
      </c>
      <c r="E132" s="454">
        <v>0</v>
      </c>
      <c r="F132" s="454">
        <v>0</v>
      </c>
      <c r="G132" s="454">
        <v>0</v>
      </c>
      <c r="H132" s="454">
        <v>0</v>
      </c>
      <c r="I132" s="454">
        <v>0</v>
      </c>
      <c r="J132" s="454">
        <v>0</v>
      </c>
      <c r="K132" s="454">
        <v>0</v>
      </c>
      <c r="L132" s="454">
        <v>0</v>
      </c>
      <c r="M132" s="454">
        <v>0</v>
      </c>
      <c r="N132" s="454">
        <v>-290.25961000000001</v>
      </c>
      <c r="O132" s="454">
        <v>-280.35517000000004</v>
      </c>
      <c r="P132" s="454">
        <v>-13115.104650000001</v>
      </c>
      <c r="Q132" s="454">
        <v>-13823.387750000002</v>
      </c>
      <c r="R132" s="454">
        <v>-12987.635129999999</v>
      </c>
      <c r="S132" s="454">
        <v>-13630.703620000002</v>
      </c>
      <c r="T132" s="454">
        <v>-13113.132119999998</v>
      </c>
      <c r="U132" s="454">
        <v>-14722.241410000001</v>
      </c>
      <c r="V132" s="454">
        <v>-13584.307259999998</v>
      </c>
      <c r="W132" s="454">
        <v>-11924.24901</v>
      </c>
      <c r="X132" s="454">
        <v>-7408.3893600000001</v>
      </c>
      <c r="Y132" s="454">
        <v>-7140.6143299999994</v>
      </c>
      <c r="Z132" s="454">
        <v>-6362.4155700000001</v>
      </c>
      <c r="AA132" s="454">
        <v>-5955.52441</v>
      </c>
      <c r="AB132" s="454">
        <v>-5127.6824499999993</v>
      </c>
      <c r="AC132" s="465">
        <v>-3861.0978199999995</v>
      </c>
      <c r="AD132" s="465">
        <v>-3663.9297800000004</v>
      </c>
      <c r="AE132" s="465">
        <v>-2999.2212099999997</v>
      </c>
      <c r="AF132" s="465">
        <v>-5853.3814599999996</v>
      </c>
      <c r="AG132" s="465">
        <v>-12407.078079999999</v>
      </c>
      <c r="AH132" s="465">
        <v>-14670.390999999998</v>
      </c>
      <c r="AI132" s="465">
        <v>-15837.309590000001</v>
      </c>
      <c r="AJ132" s="465">
        <v>-16136.483819999999</v>
      </c>
      <c r="AK132" s="465">
        <v>-20784.477520000004</v>
      </c>
      <c r="AL132" s="465">
        <v>-14788.283759999998</v>
      </c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</row>
    <row r="133" spans="1:69">
      <c r="Z133" s="454"/>
      <c r="AA133" s="454"/>
      <c r="AB133" s="454"/>
      <c r="AC133" s="454"/>
      <c r="AD133" s="454"/>
      <c r="AE133" s="454"/>
      <c r="AF133" s="454"/>
      <c r="AG133" s="454"/>
      <c r="AH133" s="454"/>
      <c r="AI133" s="454"/>
      <c r="AJ133" s="454"/>
      <c r="AK133" s="454"/>
      <c r="AL133" s="454"/>
    </row>
    <row r="134" spans="1:69"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69" s="482" customFormat="1">
      <c r="A135" s="179" t="s">
        <v>768</v>
      </c>
      <c r="B135" s="180" t="s">
        <v>228</v>
      </c>
      <c r="C135" s="180" t="s">
        <v>229</v>
      </c>
      <c r="D135" s="180" t="s">
        <v>230</v>
      </c>
      <c r="E135" s="180" t="s">
        <v>231</v>
      </c>
      <c r="F135" s="180" t="s">
        <v>232</v>
      </c>
      <c r="G135" s="180" t="s">
        <v>233</v>
      </c>
      <c r="H135" s="180" t="s">
        <v>234</v>
      </c>
      <c r="I135" s="180" t="s">
        <v>235</v>
      </c>
      <c r="J135" s="180" t="s">
        <v>236</v>
      </c>
      <c r="K135" s="180" t="s">
        <v>237</v>
      </c>
      <c r="L135" s="180" t="s">
        <v>238</v>
      </c>
      <c r="M135" s="180" t="s">
        <v>239</v>
      </c>
      <c r="N135" s="180" t="s">
        <v>240</v>
      </c>
      <c r="O135" s="180" t="s">
        <v>241</v>
      </c>
      <c r="P135" s="180" t="s">
        <v>242</v>
      </c>
      <c r="Q135" s="180" t="s">
        <v>243</v>
      </c>
      <c r="R135" s="180" t="s">
        <v>244</v>
      </c>
      <c r="S135" s="180" t="s">
        <v>245</v>
      </c>
      <c r="T135" s="180" t="s">
        <v>246</v>
      </c>
      <c r="U135" s="180" t="s">
        <v>247</v>
      </c>
      <c r="V135" s="180" t="s">
        <v>248</v>
      </c>
      <c r="W135" s="180" t="s">
        <v>249</v>
      </c>
      <c r="X135" s="180" t="s">
        <v>250</v>
      </c>
      <c r="Y135" s="180" t="s">
        <v>215</v>
      </c>
      <c r="Z135" s="180" t="s">
        <v>252</v>
      </c>
      <c r="AA135" s="180" t="s">
        <v>253</v>
      </c>
      <c r="AB135" s="180" t="s">
        <v>254</v>
      </c>
      <c r="AC135" s="180" t="s">
        <v>219</v>
      </c>
      <c r="AD135" s="180" t="s">
        <v>223</v>
      </c>
      <c r="AE135" s="180" t="s">
        <v>256</v>
      </c>
      <c r="AF135" s="180" t="s">
        <v>357</v>
      </c>
      <c r="AG135" s="180" t="s">
        <v>358</v>
      </c>
      <c r="AH135" s="180" t="s">
        <v>359</v>
      </c>
      <c r="AI135" s="180" t="s">
        <v>1115</v>
      </c>
      <c r="AJ135" s="180" t="s">
        <v>1116</v>
      </c>
      <c r="AK135" s="180" t="s">
        <v>1117</v>
      </c>
      <c r="AL135" s="180" t="s">
        <v>1124</v>
      </c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</row>
    <row r="136" spans="1:69">
      <c r="A136" s="9" t="s">
        <v>477</v>
      </c>
      <c r="B136" s="449">
        <v>0</v>
      </c>
      <c r="C136" s="449">
        <v>0</v>
      </c>
      <c r="D136" s="449">
        <v>0</v>
      </c>
      <c r="E136" s="449">
        <v>0</v>
      </c>
      <c r="F136" s="449">
        <v>0</v>
      </c>
      <c r="G136" s="449">
        <v>0</v>
      </c>
      <c r="H136" s="449">
        <v>0</v>
      </c>
      <c r="I136" s="449">
        <v>0</v>
      </c>
      <c r="J136" s="464">
        <f t="shared" ref="J136:AH136" si="55">SUM(J137:J141)</f>
        <v>-77541.950150000004</v>
      </c>
      <c r="K136" s="464">
        <f t="shared" si="55"/>
        <v>-71678.476320000016</v>
      </c>
      <c r="L136" s="464">
        <f t="shared" si="55"/>
        <v>-67697.693689999986</v>
      </c>
      <c r="M136" s="464">
        <f t="shared" si="55"/>
        <v>-43532.071540000004</v>
      </c>
      <c r="N136" s="464">
        <f t="shared" si="55"/>
        <v>-74421.672629999986</v>
      </c>
      <c r="O136" s="464">
        <f t="shared" si="55"/>
        <v>-87092.062489999997</v>
      </c>
      <c r="P136" s="464">
        <f t="shared" si="55"/>
        <v>-329.55212999999992</v>
      </c>
      <c r="Q136" s="464">
        <f t="shared" si="55"/>
        <v>-326.47610999999995</v>
      </c>
      <c r="R136" s="464">
        <f t="shared" si="55"/>
        <v>-832.25685999999996</v>
      </c>
      <c r="S136" s="464">
        <f t="shared" si="55"/>
        <v>-1962.81898</v>
      </c>
      <c r="T136" s="464">
        <f t="shared" si="55"/>
        <v>609.47921999999994</v>
      </c>
      <c r="U136" s="464">
        <f t="shared" si="55"/>
        <v>-2089.5349699999997</v>
      </c>
      <c r="V136" s="464">
        <f t="shared" si="55"/>
        <v>-1304.3533</v>
      </c>
      <c r="W136" s="464">
        <f t="shared" si="55"/>
        <v>-2173.1483800000001</v>
      </c>
      <c r="X136" s="464">
        <f t="shared" si="55"/>
        <v>-1533.2580700000001</v>
      </c>
      <c r="Y136" s="464">
        <f t="shared" si="55"/>
        <v>396.77707999999996</v>
      </c>
      <c r="Z136" s="464">
        <f t="shared" si="55"/>
        <v>-1240.2328999999997</v>
      </c>
      <c r="AA136" s="464">
        <f t="shared" si="55"/>
        <v>-1231.3209399999998</v>
      </c>
      <c r="AB136" s="464">
        <f t="shared" si="55"/>
        <v>-690.03902999999991</v>
      </c>
      <c r="AC136" s="464">
        <f t="shared" si="55"/>
        <v>-884.15450999999996</v>
      </c>
      <c r="AD136" s="464">
        <f t="shared" si="55"/>
        <v>-794.19784000000004</v>
      </c>
      <c r="AE136" s="464">
        <f t="shared" si="55"/>
        <v>-1669.9120300000004</v>
      </c>
      <c r="AF136" s="464">
        <f t="shared" si="55"/>
        <v>-105.54203000000017</v>
      </c>
      <c r="AG136" s="464">
        <f t="shared" si="55"/>
        <v>-2406.1735199999998</v>
      </c>
      <c r="AH136" s="464">
        <f t="shared" si="55"/>
        <v>-1404.9195300000001</v>
      </c>
      <c r="AI136" s="464">
        <f>SUM(AI137:AI141)</f>
        <v>-2845.145860000001</v>
      </c>
      <c r="AJ136" s="464">
        <f>SUM(AJ137:AJ141)</f>
        <v>-2447.6777099999995</v>
      </c>
      <c r="AK136" s="464">
        <f>SUM(AK137:AK141)</f>
        <v>-2064.6862299999998</v>
      </c>
      <c r="AL136" s="464">
        <f>SUM(AL137:AL141)</f>
        <v>851.35996</v>
      </c>
    </row>
    <row r="137" spans="1:69">
      <c r="A137" s="11" t="s">
        <v>749</v>
      </c>
      <c r="B137" s="8">
        <v>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454">
        <v>-60782.638910000009</v>
      </c>
      <c r="K137" s="454">
        <v>-49985.912160000022</v>
      </c>
      <c r="L137" s="454">
        <v>-56971.254819999987</v>
      </c>
      <c r="M137" s="454">
        <v>-34407.241240000003</v>
      </c>
      <c r="N137" s="454">
        <v>-56917.631779999989</v>
      </c>
      <c r="O137" s="454">
        <v>-65805.566250000003</v>
      </c>
      <c r="P137" s="454">
        <v>-186.63263999999995</v>
      </c>
      <c r="Q137" s="454">
        <v>-384.05713999999995</v>
      </c>
      <c r="R137" s="454">
        <v>-806.10559000000001</v>
      </c>
      <c r="S137" s="454">
        <v>-1945.1617899999999</v>
      </c>
      <c r="T137" s="454">
        <v>574.01572999999996</v>
      </c>
      <c r="U137" s="454">
        <v>-1398.8700299999998</v>
      </c>
      <c r="V137" s="454">
        <v>-1133.97507</v>
      </c>
      <c r="W137" s="454">
        <v>-1209.9760900000001</v>
      </c>
      <c r="X137" s="454">
        <v>-1763.84572</v>
      </c>
      <c r="Y137" s="454">
        <v>-83.680910000000011</v>
      </c>
      <c r="Z137" s="454">
        <v>-1354.9373799999998</v>
      </c>
      <c r="AA137" s="454">
        <v>-691.75926000000004</v>
      </c>
      <c r="AB137" s="454">
        <v>-698.42086999999992</v>
      </c>
      <c r="AC137" s="465">
        <v>-1018.48978</v>
      </c>
      <c r="AD137" s="465">
        <v>-704.19709</v>
      </c>
      <c r="AE137" s="465">
        <v>-2533.50056</v>
      </c>
      <c r="AF137" s="465">
        <v>-107.97428000000016</v>
      </c>
      <c r="AG137" s="465">
        <v>-2398.317</v>
      </c>
      <c r="AH137" s="465">
        <v>-1393.7099700000001</v>
      </c>
      <c r="AI137" s="465">
        <v>-2864.2347400000008</v>
      </c>
      <c r="AJ137" s="465">
        <v>-2335.1227999999996</v>
      </c>
      <c r="AK137" s="465">
        <v>-1117.6875499999999</v>
      </c>
      <c r="AL137" s="465">
        <v>450.06807000000009</v>
      </c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</row>
    <row r="138" spans="1:69">
      <c r="A138" s="11" t="s">
        <v>750</v>
      </c>
      <c r="B138" s="8">
        <v>0</v>
      </c>
      <c r="C138" s="8">
        <v>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454">
        <v>-392.61214000000001</v>
      </c>
      <c r="K138" s="454">
        <v>-6793.29432</v>
      </c>
      <c r="L138" s="454">
        <v>6594.3127899999999</v>
      </c>
      <c r="M138" s="454">
        <v>-1177.4849299999998</v>
      </c>
      <c r="N138" s="454">
        <v>-236.05062000000001</v>
      </c>
      <c r="O138" s="454">
        <v>-196.02830000000003</v>
      </c>
      <c r="P138" s="454">
        <v>0</v>
      </c>
      <c r="Q138" s="454">
        <v>0</v>
      </c>
      <c r="R138" s="454">
        <v>0</v>
      </c>
      <c r="S138" s="454">
        <v>0</v>
      </c>
      <c r="T138" s="454">
        <v>0</v>
      </c>
      <c r="U138" s="454">
        <v>0</v>
      </c>
      <c r="V138" s="454">
        <v>0</v>
      </c>
      <c r="W138" s="454">
        <v>0</v>
      </c>
      <c r="X138" s="454">
        <v>0</v>
      </c>
      <c r="Y138" s="454">
        <v>0</v>
      </c>
      <c r="Z138" s="454">
        <v>0</v>
      </c>
      <c r="AA138" s="454">
        <v>0</v>
      </c>
      <c r="AB138" s="454">
        <v>0</v>
      </c>
      <c r="AC138" s="465">
        <v>0</v>
      </c>
      <c r="AD138" s="465">
        <v>0</v>
      </c>
      <c r="AE138" s="465">
        <v>0</v>
      </c>
      <c r="AF138" s="465">
        <v>0</v>
      </c>
      <c r="AG138" s="465">
        <v>0</v>
      </c>
      <c r="AH138" s="465">
        <v>0</v>
      </c>
      <c r="AI138" s="465">
        <v>0</v>
      </c>
      <c r="AJ138" s="465">
        <v>0</v>
      </c>
      <c r="AK138" s="465">
        <v>0</v>
      </c>
      <c r="AL138" s="465">
        <v>0</v>
      </c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</row>
    <row r="139" spans="1:69">
      <c r="A139" s="11" t="s">
        <v>751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454">
        <v>3.4197500000000001</v>
      </c>
      <c r="K139" s="454">
        <v>0</v>
      </c>
      <c r="L139" s="454">
        <v>0</v>
      </c>
      <c r="M139" s="454">
        <v>0</v>
      </c>
      <c r="N139" s="454">
        <v>0</v>
      </c>
      <c r="O139" s="454">
        <v>0</v>
      </c>
      <c r="P139" s="454">
        <v>0</v>
      </c>
      <c r="Q139" s="454">
        <v>0</v>
      </c>
      <c r="R139" s="454">
        <v>0</v>
      </c>
      <c r="S139" s="454">
        <v>0</v>
      </c>
      <c r="T139" s="454">
        <v>0</v>
      </c>
      <c r="U139" s="454">
        <v>0</v>
      </c>
      <c r="V139" s="454">
        <v>0</v>
      </c>
      <c r="W139" s="454">
        <v>0</v>
      </c>
      <c r="X139" s="454">
        <v>0</v>
      </c>
      <c r="Y139" s="454">
        <v>0</v>
      </c>
      <c r="Z139" s="454">
        <v>0</v>
      </c>
      <c r="AA139" s="454">
        <v>0</v>
      </c>
      <c r="AB139" s="454">
        <v>0</v>
      </c>
      <c r="AC139" s="465">
        <v>0</v>
      </c>
      <c r="AD139" s="465">
        <v>0</v>
      </c>
      <c r="AE139" s="465">
        <v>12.34858</v>
      </c>
      <c r="AF139" s="465">
        <v>0</v>
      </c>
      <c r="AG139" s="465">
        <v>0</v>
      </c>
      <c r="AH139" s="465">
        <v>0</v>
      </c>
      <c r="AI139" s="465">
        <v>0</v>
      </c>
      <c r="AJ139" s="465">
        <v>0</v>
      </c>
      <c r="AK139" s="465">
        <v>0</v>
      </c>
      <c r="AL139" s="465">
        <v>0</v>
      </c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</row>
    <row r="140" spans="1:69">
      <c r="A140" s="11" t="s">
        <v>752</v>
      </c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454">
        <v>836.95412999999985</v>
      </c>
      <c r="K140" s="454">
        <v>2198.4988899999998</v>
      </c>
      <c r="L140" s="454">
        <v>-1758.7809399999999</v>
      </c>
      <c r="M140" s="454">
        <v>7748.00108</v>
      </c>
      <c r="N140" s="454">
        <v>-1526.0045999999998</v>
      </c>
      <c r="O140" s="454">
        <v>-11840.228099999998</v>
      </c>
      <c r="P140" s="454">
        <v>-33.118289999999995</v>
      </c>
      <c r="Q140" s="454">
        <v>-0.36335000000000012</v>
      </c>
      <c r="R140" s="454">
        <v>-26.151269999999993</v>
      </c>
      <c r="S140" s="454">
        <v>-15.958900000000002</v>
      </c>
      <c r="T140" s="454">
        <v>6.974060000000005</v>
      </c>
      <c r="U140" s="454">
        <v>-680.5271399999998</v>
      </c>
      <c r="V140" s="454">
        <v>-158.33909999999997</v>
      </c>
      <c r="W140" s="454">
        <v>-949.63205000000005</v>
      </c>
      <c r="X140" s="454">
        <v>230.67565000000002</v>
      </c>
      <c r="Y140" s="454">
        <v>480.45799</v>
      </c>
      <c r="Z140" s="454">
        <v>108.06105000000002</v>
      </c>
      <c r="AA140" s="454">
        <v>-536.45447999999988</v>
      </c>
      <c r="AB140" s="454">
        <v>8.3818400000000004</v>
      </c>
      <c r="AC140" s="465">
        <v>134.33527000000001</v>
      </c>
      <c r="AD140" s="465">
        <v>-90.000749999999996</v>
      </c>
      <c r="AE140" s="465">
        <v>851.23994999999979</v>
      </c>
      <c r="AF140" s="465">
        <v>2.4322499999999998</v>
      </c>
      <c r="AG140" s="465">
        <v>-7.8565200000000006</v>
      </c>
      <c r="AH140" s="465">
        <v>-11.20956</v>
      </c>
      <c r="AI140" s="465">
        <v>19.08888</v>
      </c>
      <c r="AJ140" s="465">
        <v>-112.55491000000001</v>
      </c>
      <c r="AK140" s="465">
        <v>-946.99867999999992</v>
      </c>
      <c r="AL140" s="465">
        <v>401.29188999999997</v>
      </c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</row>
    <row r="141" spans="1:69">
      <c r="A141" s="11" t="s">
        <v>753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454">
        <v>-17207.072980000001</v>
      </c>
      <c r="K141" s="454">
        <v>-17097.76873</v>
      </c>
      <c r="L141" s="454">
        <v>-15561.970720000001</v>
      </c>
      <c r="M141" s="454">
        <v>-15695.346450000001</v>
      </c>
      <c r="N141" s="454">
        <v>-15741.985629999999</v>
      </c>
      <c r="O141" s="454">
        <v>-9250.2398400000002</v>
      </c>
      <c r="P141" s="454">
        <v>-109.80119999999998</v>
      </c>
      <c r="Q141" s="454">
        <v>57.944380000000002</v>
      </c>
      <c r="R141" s="454">
        <v>0</v>
      </c>
      <c r="S141" s="454">
        <v>-1.6982899999999999</v>
      </c>
      <c r="T141" s="454">
        <v>28.489429999999999</v>
      </c>
      <c r="U141" s="454">
        <v>-10.137799999999999</v>
      </c>
      <c r="V141" s="454">
        <v>-12.039130000000002</v>
      </c>
      <c r="W141" s="454">
        <v>-13.540239999999997</v>
      </c>
      <c r="X141" s="454">
        <v>-8.7999999999999995E-2</v>
      </c>
      <c r="Y141" s="454">
        <v>0</v>
      </c>
      <c r="Z141" s="454">
        <v>6.6434300000000004</v>
      </c>
      <c r="AA141" s="454">
        <v>-3.1071999999999997</v>
      </c>
      <c r="AB141" s="454">
        <v>0</v>
      </c>
      <c r="AC141" s="465">
        <v>0</v>
      </c>
      <c r="AD141" s="465">
        <v>0</v>
      </c>
      <c r="AE141" s="465">
        <v>0</v>
      </c>
      <c r="AF141" s="465">
        <v>0</v>
      </c>
      <c r="AG141" s="465">
        <v>0</v>
      </c>
      <c r="AH141" s="465">
        <v>0</v>
      </c>
      <c r="AI141" s="465">
        <v>0</v>
      </c>
      <c r="AJ141" s="465">
        <v>0</v>
      </c>
      <c r="AK141" s="465">
        <v>0</v>
      </c>
      <c r="AL141" s="465">
        <v>0</v>
      </c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</row>
    <row r="142" spans="1:69">
      <c r="Z142" s="454"/>
      <c r="AA142" s="454"/>
      <c r="AB142" s="454"/>
      <c r="AC142" s="454"/>
      <c r="AD142" s="454"/>
      <c r="AE142" s="454"/>
      <c r="AF142" s="454"/>
      <c r="AG142" s="454"/>
      <c r="AH142" s="454"/>
      <c r="AI142" s="454"/>
      <c r="AJ142" s="454"/>
      <c r="AK142" s="454"/>
      <c r="AL142" s="454"/>
    </row>
    <row r="144" spans="1:69" s="482" customFormat="1">
      <c r="A144" s="179" t="s">
        <v>769</v>
      </c>
      <c r="B144" s="180" t="s">
        <v>228</v>
      </c>
      <c r="C144" s="180" t="s">
        <v>229</v>
      </c>
      <c r="D144" s="180" t="s">
        <v>230</v>
      </c>
      <c r="E144" s="180" t="s">
        <v>231</v>
      </c>
      <c r="F144" s="180" t="s">
        <v>232</v>
      </c>
      <c r="G144" s="180" t="s">
        <v>233</v>
      </c>
      <c r="H144" s="180" t="s">
        <v>234</v>
      </c>
      <c r="I144" s="180" t="s">
        <v>235</v>
      </c>
      <c r="J144" s="180" t="s">
        <v>236</v>
      </c>
      <c r="K144" s="180" t="s">
        <v>237</v>
      </c>
      <c r="L144" s="180" t="s">
        <v>238</v>
      </c>
      <c r="M144" s="180" t="s">
        <v>239</v>
      </c>
      <c r="N144" s="180" t="s">
        <v>240</v>
      </c>
      <c r="O144" s="180" t="s">
        <v>241</v>
      </c>
      <c r="P144" s="180" t="s">
        <v>242</v>
      </c>
      <c r="Q144" s="180" t="s">
        <v>243</v>
      </c>
      <c r="R144" s="180" t="s">
        <v>244</v>
      </c>
      <c r="S144" s="180" t="s">
        <v>245</v>
      </c>
      <c r="T144" s="180" t="s">
        <v>246</v>
      </c>
      <c r="U144" s="180" t="s">
        <v>247</v>
      </c>
      <c r="V144" s="180" t="s">
        <v>248</v>
      </c>
      <c r="W144" s="180" t="s">
        <v>249</v>
      </c>
      <c r="X144" s="180" t="s">
        <v>250</v>
      </c>
      <c r="Y144" s="180" t="s">
        <v>215</v>
      </c>
      <c r="Z144" s="180" t="s">
        <v>252</v>
      </c>
      <c r="AA144" s="180" t="s">
        <v>253</v>
      </c>
      <c r="AB144" s="180" t="s">
        <v>254</v>
      </c>
      <c r="AC144" s="180" t="s">
        <v>219</v>
      </c>
      <c r="AD144" s="180" t="s">
        <v>223</v>
      </c>
      <c r="AE144" s="180" t="s">
        <v>256</v>
      </c>
      <c r="AF144" s="180" t="s">
        <v>357</v>
      </c>
      <c r="AG144" s="180" t="s">
        <v>358</v>
      </c>
      <c r="AH144" s="180" t="s">
        <v>359</v>
      </c>
      <c r="AI144" s="180" t="s">
        <v>1115</v>
      </c>
      <c r="AJ144" s="180" t="s">
        <v>1116</v>
      </c>
      <c r="AK144" s="180" t="s">
        <v>1117</v>
      </c>
      <c r="AL144" s="180" t="s">
        <v>1124</v>
      </c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</row>
    <row r="145" spans="1:94">
      <c r="A145" s="9" t="s">
        <v>477</v>
      </c>
      <c r="B145" s="449">
        <v>0</v>
      </c>
      <c r="C145" s="449">
        <f t="shared" ref="C145:AG145" si="56">SUM(C146:C150)</f>
        <v>0</v>
      </c>
      <c r="D145" s="449">
        <f t="shared" si="56"/>
        <v>0</v>
      </c>
      <c r="E145" s="449">
        <f t="shared" si="56"/>
        <v>0</v>
      </c>
      <c r="F145" s="449">
        <f t="shared" si="56"/>
        <v>0</v>
      </c>
      <c r="G145" s="449">
        <f t="shared" si="56"/>
        <v>0</v>
      </c>
      <c r="H145" s="449">
        <f t="shared" si="56"/>
        <v>0</v>
      </c>
      <c r="I145" s="449">
        <f t="shared" si="56"/>
        <v>0</v>
      </c>
      <c r="J145" s="449">
        <f t="shared" si="56"/>
        <v>0</v>
      </c>
      <c r="K145" s="449">
        <f t="shared" si="56"/>
        <v>0</v>
      </c>
      <c r="L145" s="449">
        <f t="shared" si="56"/>
        <v>0</v>
      </c>
      <c r="M145" s="449">
        <f t="shared" si="56"/>
        <v>0</v>
      </c>
      <c r="N145" s="449">
        <f t="shared" si="56"/>
        <v>0</v>
      </c>
      <c r="O145" s="449">
        <f t="shared" si="56"/>
        <v>0</v>
      </c>
      <c r="P145" s="449">
        <f t="shared" si="56"/>
        <v>0</v>
      </c>
      <c r="Q145" s="464">
        <f t="shared" si="56"/>
        <v>0</v>
      </c>
      <c r="R145" s="464">
        <f t="shared" si="56"/>
        <v>-809.60751000000005</v>
      </c>
      <c r="S145" s="464">
        <f t="shared" si="56"/>
        <v>-3333.2247299999999</v>
      </c>
      <c r="T145" s="464">
        <f t="shared" si="56"/>
        <v>-3166.1832599999993</v>
      </c>
      <c r="U145" s="464">
        <f t="shared" si="56"/>
        <v>-5686.5483299999996</v>
      </c>
      <c r="V145" s="464">
        <f t="shared" si="56"/>
        <v>-8565.8586500000001</v>
      </c>
      <c r="W145" s="464">
        <f t="shared" si="56"/>
        <v>-9788.995719999999</v>
      </c>
      <c r="X145" s="464">
        <f t="shared" si="56"/>
        <v>-20370.22495</v>
      </c>
      <c r="Y145" s="464">
        <f t="shared" si="56"/>
        <v>-20819.880390000002</v>
      </c>
      <c r="Z145" s="464">
        <f t="shared" si="56"/>
        <v>-22677.530160000002</v>
      </c>
      <c r="AA145" s="464">
        <f t="shared" si="56"/>
        <v>-25765.211350000005</v>
      </c>
      <c r="AB145" s="464">
        <f t="shared" si="56"/>
        <v>-24956.268689999997</v>
      </c>
      <c r="AC145" s="464">
        <f t="shared" si="56"/>
        <v>-28247.487929999996</v>
      </c>
      <c r="AD145" s="464">
        <f t="shared" si="56"/>
        <v>-30901.443480000002</v>
      </c>
      <c r="AE145" s="464">
        <f t="shared" si="56"/>
        <v>-26315.157030000002</v>
      </c>
      <c r="AF145" s="464">
        <f t="shared" si="56"/>
        <v>-18750.606960000001</v>
      </c>
      <c r="AG145" s="464">
        <f t="shared" si="56"/>
        <v>0</v>
      </c>
      <c r="AH145" s="464">
        <v>0</v>
      </c>
      <c r="AI145" s="464">
        <v>0</v>
      </c>
      <c r="AJ145" s="464">
        <v>0</v>
      </c>
      <c r="AK145" s="464">
        <v>0</v>
      </c>
      <c r="AL145" s="464">
        <v>0</v>
      </c>
    </row>
    <row r="146" spans="1:94">
      <c r="A146" s="11" t="s">
        <v>749</v>
      </c>
      <c r="B146" s="8">
        <v>0</v>
      </c>
      <c r="C146" s="8">
        <v>0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454">
        <v>0</v>
      </c>
      <c r="K146" s="454">
        <v>0</v>
      </c>
      <c r="L146" s="454">
        <v>0</v>
      </c>
      <c r="M146" s="454">
        <v>0</v>
      </c>
      <c r="N146" s="454">
        <v>0</v>
      </c>
      <c r="O146" s="454">
        <v>0</v>
      </c>
      <c r="P146" s="454">
        <v>0</v>
      </c>
      <c r="Q146" s="454">
        <v>0</v>
      </c>
      <c r="R146" s="454">
        <v>-799.42964000000006</v>
      </c>
      <c r="S146" s="454">
        <v>-3193.5733700000001</v>
      </c>
      <c r="T146" s="454">
        <v>-3288.7564999999995</v>
      </c>
      <c r="U146" s="454">
        <v>-4692.2426399999995</v>
      </c>
      <c r="V146" s="454">
        <v>-7854.1661199999999</v>
      </c>
      <c r="W146" s="454">
        <v>-8551.1631199999993</v>
      </c>
      <c r="X146" s="454">
        <v>-11763.651099999999</v>
      </c>
      <c r="Y146" s="454">
        <v>-13120.178470000001</v>
      </c>
      <c r="Z146" s="454">
        <v>-13958.715490000001</v>
      </c>
      <c r="AA146" s="454">
        <v>-12477.798470000003</v>
      </c>
      <c r="AB146" s="454">
        <v>-15145.018839999999</v>
      </c>
      <c r="AC146" s="465">
        <v>-19375.038979999998</v>
      </c>
      <c r="AD146" s="465">
        <v>-21017.75519</v>
      </c>
      <c r="AE146" s="465">
        <v>-18183.07935</v>
      </c>
      <c r="AF146" s="465">
        <v>-13608.705040000001</v>
      </c>
      <c r="AG146" s="465">
        <v>0</v>
      </c>
      <c r="AH146" s="465">
        <v>0</v>
      </c>
      <c r="AI146" s="465">
        <v>0</v>
      </c>
      <c r="AJ146" s="465">
        <v>0</v>
      </c>
      <c r="AK146" s="465">
        <v>0</v>
      </c>
      <c r="AL146" s="465">
        <v>0</v>
      </c>
    </row>
    <row r="147" spans="1:94">
      <c r="A147" s="11" t="s">
        <v>750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454">
        <v>0</v>
      </c>
      <c r="K147" s="454">
        <v>0</v>
      </c>
      <c r="L147" s="454">
        <v>0</v>
      </c>
      <c r="M147" s="454">
        <v>0</v>
      </c>
      <c r="N147" s="454">
        <v>0</v>
      </c>
      <c r="O147" s="454">
        <v>0</v>
      </c>
      <c r="P147" s="454">
        <v>0</v>
      </c>
      <c r="Q147" s="454">
        <v>0</v>
      </c>
      <c r="R147" s="454">
        <v>0</v>
      </c>
      <c r="S147" s="454">
        <v>0</v>
      </c>
      <c r="T147" s="454">
        <v>0</v>
      </c>
      <c r="U147" s="454">
        <v>0</v>
      </c>
      <c r="V147" s="454">
        <v>0</v>
      </c>
      <c r="W147" s="454">
        <v>0</v>
      </c>
      <c r="X147" s="454">
        <v>0</v>
      </c>
      <c r="Y147" s="454">
        <v>0</v>
      </c>
      <c r="Z147" s="454">
        <v>0</v>
      </c>
      <c r="AA147" s="454">
        <v>0</v>
      </c>
      <c r="AB147" s="454">
        <v>0</v>
      </c>
      <c r="AC147" s="465">
        <v>0</v>
      </c>
      <c r="AD147" s="465">
        <v>0</v>
      </c>
      <c r="AE147" s="465">
        <v>0</v>
      </c>
      <c r="AF147" s="465">
        <v>0</v>
      </c>
      <c r="AG147" s="465">
        <v>0</v>
      </c>
      <c r="AH147" s="465">
        <v>0</v>
      </c>
      <c r="AI147" s="465">
        <v>0</v>
      </c>
      <c r="AJ147" s="465">
        <v>0</v>
      </c>
      <c r="AK147" s="465">
        <v>0</v>
      </c>
      <c r="AL147" s="465">
        <v>0</v>
      </c>
    </row>
    <row r="148" spans="1:94">
      <c r="A148" s="11" t="s">
        <v>751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454">
        <v>0</v>
      </c>
      <c r="K148" s="454">
        <v>0</v>
      </c>
      <c r="L148" s="454">
        <v>0</v>
      </c>
      <c r="M148" s="454">
        <v>0</v>
      </c>
      <c r="N148" s="454">
        <v>0</v>
      </c>
      <c r="O148" s="454">
        <v>0</v>
      </c>
      <c r="P148" s="454">
        <v>0</v>
      </c>
      <c r="Q148" s="454">
        <v>0</v>
      </c>
      <c r="R148" s="454">
        <v>0</v>
      </c>
      <c r="S148" s="454">
        <v>0</v>
      </c>
      <c r="T148" s="454">
        <v>0</v>
      </c>
      <c r="U148" s="454">
        <v>0</v>
      </c>
      <c r="V148" s="454">
        <v>0</v>
      </c>
      <c r="W148" s="454">
        <v>0</v>
      </c>
      <c r="X148" s="454">
        <v>0</v>
      </c>
      <c r="Y148" s="454">
        <v>0</v>
      </c>
      <c r="Z148" s="454">
        <v>0</v>
      </c>
      <c r="AA148" s="454">
        <v>0</v>
      </c>
      <c r="AB148" s="454">
        <v>0</v>
      </c>
      <c r="AC148" s="465">
        <v>0</v>
      </c>
      <c r="AD148" s="465">
        <v>0</v>
      </c>
      <c r="AE148" s="465">
        <v>0</v>
      </c>
      <c r="AF148" s="465">
        <v>0</v>
      </c>
      <c r="AG148" s="465">
        <v>0</v>
      </c>
      <c r="AH148" s="465">
        <v>0</v>
      </c>
      <c r="AI148" s="465">
        <v>0</v>
      </c>
      <c r="AJ148" s="465">
        <v>0</v>
      </c>
      <c r="AK148" s="465">
        <v>0</v>
      </c>
      <c r="AL148" s="465">
        <v>0</v>
      </c>
    </row>
    <row r="149" spans="1:94">
      <c r="A149" s="11" t="s">
        <v>752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454">
        <v>0</v>
      </c>
      <c r="K149" s="454">
        <v>0</v>
      </c>
      <c r="L149" s="454">
        <v>0</v>
      </c>
      <c r="M149" s="454">
        <v>0</v>
      </c>
      <c r="N149" s="454">
        <v>0</v>
      </c>
      <c r="O149" s="454">
        <v>0</v>
      </c>
      <c r="P149" s="454">
        <v>0</v>
      </c>
      <c r="Q149" s="454">
        <v>0</v>
      </c>
      <c r="R149" s="454">
        <v>-10.17787</v>
      </c>
      <c r="S149" s="454">
        <v>-139.65135999999998</v>
      </c>
      <c r="T149" s="454">
        <v>122.57324</v>
      </c>
      <c r="U149" s="454">
        <v>-994.30568999999991</v>
      </c>
      <c r="V149" s="454">
        <v>-711.69253000000003</v>
      </c>
      <c r="W149" s="454">
        <v>-1129.3910800000001</v>
      </c>
      <c r="X149" s="454">
        <v>375.11403000000001</v>
      </c>
      <c r="Y149" s="454">
        <v>-1087.6737900000001</v>
      </c>
      <c r="Z149" s="454">
        <v>-697.77949000000001</v>
      </c>
      <c r="AA149" s="454">
        <v>-4938.3938200000011</v>
      </c>
      <c r="AB149" s="454">
        <v>-810.80375000000004</v>
      </c>
      <c r="AC149" s="465">
        <v>-91.580680000000015</v>
      </c>
      <c r="AD149" s="465">
        <v>-1722.08979</v>
      </c>
      <c r="AE149" s="465">
        <v>-425.82656999999983</v>
      </c>
      <c r="AF149" s="465">
        <v>-15.097239999999999</v>
      </c>
      <c r="AG149" s="465">
        <v>0</v>
      </c>
      <c r="AH149" s="465">
        <v>0</v>
      </c>
      <c r="AI149" s="465">
        <v>0</v>
      </c>
      <c r="AJ149" s="465">
        <v>0</v>
      </c>
      <c r="AK149" s="465">
        <v>0</v>
      </c>
      <c r="AL149" s="465">
        <v>0</v>
      </c>
    </row>
    <row r="150" spans="1:94">
      <c r="A150" s="11" t="s">
        <v>753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454">
        <v>0</v>
      </c>
      <c r="K150" s="454">
        <v>0</v>
      </c>
      <c r="L150" s="454">
        <v>0</v>
      </c>
      <c r="M150" s="454">
        <v>0</v>
      </c>
      <c r="N150" s="454">
        <v>0</v>
      </c>
      <c r="O150" s="454">
        <v>0</v>
      </c>
      <c r="P150" s="454">
        <v>0</v>
      </c>
      <c r="Q150" s="454">
        <v>0</v>
      </c>
      <c r="R150" s="454">
        <v>0</v>
      </c>
      <c r="S150" s="454">
        <v>0</v>
      </c>
      <c r="T150" s="454">
        <v>0</v>
      </c>
      <c r="U150" s="454">
        <v>0</v>
      </c>
      <c r="V150" s="454">
        <v>0</v>
      </c>
      <c r="W150" s="454">
        <v>-108.44152</v>
      </c>
      <c r="X150" s="454">
        <v>-8981.6878800000013</v>
      </c>
      <c r="Y150" s="454">
        <v>-6612.0281299999997</v>
      </c>
      <c r="Z150" s="454">
        <v>-8021.0351799999999</v>
      </c>
      <c r="AA150" s="454">
        <v>-8349.0190600000005</v>
      </c>
      <c r="AB150" s="454">
        <v>-9000.4460999999992</v>
      </c>
      <c r="AC150" s="465">
        <v>-8780.8682700000008</v>
      </c>
      <c r="AD150" s="465">
        <v>-8161.5985000000001</v>
      </c>
      <c r="AE150" s="465">
        <v>-7706.2511099999992</v>
      </c>
      <c r="AF150" s="465">
        <v>-5126.8046800000002</v>
      </c>
      <c r="AG150" s="465">
        <v>0</v>
      </c>
      <c r="AH150" s="465">
        <v>0</v>
      </c>
      <c r="AI150" s="465">
        <v>0</v>
      </c>
      <c r="AJ150" s="465">
        <v>0</v>
      </c>
      <c r="AK150" s="465">
        <v>0</v>
      </c>
      <c r="AL150" s="465">
        <v>0</v>
      </c>
    </row>
    <row r="151" spans="1:94">
      <c r="A151" s="11"/>
      <c r="B151" s="8"/>
      <c r="C151" s="8"/>
      <c r="D151" s="8"/>
      <c r="E151" s="8"/>
      <c r="F151" s="8"/>
      <c r="G151" s="8"/>
      <c r="H151" s="8"/>
      <c r="I151" s="8"/>
      <c r="J151" s="454"/>
      <c r="K151" s="454"/>
      <c r="L151" s="454"/>
      <c r="M151" s="454"/>
      <c r="N151" s="454"/>
      <c r="O151" s="454"/>
      <c r="P151" s="454"/>
      <c r="Q151" s="454"/>
      <c r="R151" s="454"/>
      <c r="S151" s="454"/>
      <c r="T151" s="454"/>
      <c r="U151" s="454"/>
      <c r="V151" s="454"/>
      <c r="W151" s="454"/>
      <c r="X151" s="454"/>
      <c r="Y151" s="454"/>
      <c r="Z151" s="454"/>
      <c r="AA151" s="454"/>
      <c r="AB151" s="454"/>
      <c r="AC151" s="454"/>
      <c r="AD151" s="454"/>
      <c r="AE151" s="454"/>
      <c r="AF151" s="454"/>
      <c r="AG151" s="454"/>
      <c r="AH151" s="454"/>
      <c r="AI151" s="454"/>
      <c r="AJ151" s="454"/>
      <c r="AK151" s="454"/>
      <c r="AL151" s="454"/>
    </row>
    <row r="152" spans="1:94">
      <c r="A152" s="11"/>
      <c r="B152" s="8"/>
      <c r="C152" s="8"/>
      <c r="D152" s="8"/>
      <c r="E152" s="8"/>
      <c r="F152" s="8"/>
      <c r="G152" s="8"/>
      <c r="H152" s="8"/>
      <c r="I152" s="8"/>
      <c r="J152" s="454"/>
      <c r="K152" s="454"/>
      <c r="L152" s="454"/>
      <c r="M152" s="454"/>
      <c r="N152" s="454"/>
      <c r="O152" s="454"/>
      <c r="P152" s="454"/>
      <c r="Q152" s="454"/>
      <c r="R152" s="454"/>
      <c r="S152" s="454"/>
      <c r="T152" s="454"/>
      <c r="U152" s="454"/>
      <c r="V152" s="454"/>
      <c r="W152" s="454"/>
      <c r="X152" s="454"/>
      <c r="Y152" s="454"/>
      <c r="Z152" s="454"/>
      <c r="AA152" s="454"/>
      <c r="AB152" s="454"/>
      <c r="AC152" s="465"/>
      <c r="AD152" s="465"/>
      <c r="AE152" s="465"/>
      <c r="AF152" s="465"/>
      <c r="AG152" s="465"/>
      <c r="AH152" s="465"/>
      <c r="AI152" s="465"/>
      <c r="AJ152" s="465"/>
      <c r="AK152" s="465"/>
      <c r="AL152" s="465"/>
    </row>
    <row r="153" spans="1:94" ht="24.4" customHeight="1">
      <c r="A153" s="625" t="s">
        <v>770</v>
      </c>
      <c r="B153" s="626" t="s">
        <v>228</v>
      </c>
      <c r="C153" s="626" t="s">
        <v>229</v>
      </c>
      <c r="D153" s="626" t="s">
        <v>230</v>
      </c>
      <c r="E153" s="626" t="s">
        <v>231</v>
      </c>
      <c r="F153" s="626" t="s">
        <v>232</v>
      </c>
      <c r="G153" s="626" t="s">
        <v>233</v>
      </c>
      <c r="H153" s="626" t="s">
        <v>234</v>
      </c>
      <c r="I153" s="626" t="s">
        <v>235</v>
      </c>
      <c r="J153" s="626" t="s">
        <v>236</v>
      </c>
      <c r="K153" s="626" t="s">
        <v>237</v>
      </c>
      <c r="L153" s="626" t="s">
        <v>238</v>
      </c>
      <c r="M153" s="626" t="s">
        <v>239</v>
      </c>
      <c r="N153" s="626" t="s">
        <v>240</v>
      </c>
      <c r="O153" s="626" t="s">
        <v>241</v>
      </c>
      <c r="P153" s="626" t="s">
        <v>242</v>
      </c>
      <c r="Q153" s="626" t="s">
        <v>243</v>
      </c>
      <c r="R153" s="626" t="s">
        <v>244</v>
      </c>
      <c r="S153" s="626" t="s">
        <v>245</v>
      </c>
      <c r="T153" s="626" t="s">
        <v>246</v>
      </c>
      <c r="U153" s="626" t="s">
        <v>247</v>
      </c>
      <c r="V153" s="626" t="s">
        <v>248</v>
      </c>
      <c r="W153" s="626" t="s">
        <v>249</v>
      </c>
      <c r="X153" s="626" t="s">
        <v>250</v>
      </c>
      <c r="Y153" s="626" t="s">
        <v>215</v>
      </c>
      <c r="Z153" s="626" t="s">
        <v>252</v>
      </c>
      <c r="AA153" s="626" t="s">
        <v>253</v>
      </c>
      <c r="AB153" s="626" t="s">
        <v>254</v>
      </c>
      <c r="AC153" s="626" t="s">
        <v>219</v>
      </c>
      <c r="AD153" s="626" t="s">
        <v>223</v>
      </c>
      <c r="AE153" s="626" t="s">
        <v>256</v>
      </c>
      <c r="AF153" s="626" t="s">
        <v>357</v>
      </c>
      <c r="AG153" s="626" t="s">
        <v>358</v>
      </c>
      <c r="AH153" s="626" t="s">
        <v>359</v>
      </c>
      <c r="AI153" s="626" t="s">
        <v>1115</v>
      </c>
      <c r="AJ153" s="626" t="s">
        <v>1116</v>
      </c>
      <c r="AK153" s="675" t="s">
        <v>1117</v>
      </c>
      <c r="AL153" s="645" t="s">
        <v>1124</v>
      </c>
    </row>
    <row r="154" spans="1:94">
      <c r="A154" s="9" t="s">
        <v>477</v>
      </c>
      <c r="B154" s="449">
        <f t="shared" ref="B154:AL154" si="57">B162+B171+B180</f>
        <v>-132757.08420000001</v>
      </c>
      <c r="C154" s="449">
        <f t="shared" si="57"/>
        <v>-126227.04526999999</v>
      </c>
      <c r="D154" s="449">
        <f t="shared" si="57"/>
        <v>-94666.511440000031</v>
      </c>
      <c r="E154" s="449">
        <f t="shared" si="57"/>
        <v>-96484.08014999998</v>
      </c>
      <c r="F154" s="449">
        <f t="shared" si="57"/>
        <v>-124887.09435999999</v>
      </c>
      <c r="G154" s="449">
        <f t="shared" si="57"/>
        <v>-85149.015909999987</v>
      </c>
      <c r="H154" s="449">
        <f t="shared" si="57"/>
        <v>-84726.645449999982</v>
      </c>
      <c r="I154" s="449">
        <f t="shared" si="57"/>
        <v>-72880.976819999982</v>
      </c>
      <c r="J154" s="449">
        <f t="shared" si="57"/>
        <v>-84042.937239999999</v>
      </c>
      <c r="K154" s="449">
        <f t="shared" si="57"/>
        <v>-53901.820040000006</v>
      </c>
      <c r="L154" s="449">
        <f t="shared" si="57"/>
        <v>-69025.794079999992</v>
      </c>
      <c r="M154" s="449">
        <f t="shared" si="57"/>
        <v>-10452.089690000008</v>
      </c>
      <c r="N154" s="449">
        <f t="shared" si="57"/>
        <v>-82980.009049999993</v>
      </c>
      <c r="O154" s="449">
        <f t="shared" si="57"/>
        <v>-39879.609310000007</v>
      </c>
      <c r="P154" s="449">
        <f t="shared" si="57"/>
        <v>-57279.782769999998</v>
      </c>
      <c r="Q154" s="449">
        <f t="shared" si="57"/>
        <v>-64714.658189999995</v>
      </c>
      <c r="R154" s="449">
        <f t="shared" si="57"/>
        <v>-44277.24368</v>
      </c>
      <c r="S154" s="449">
        <f t="shared" si="57"/>
        <v>-46404.988190000004</v>
      </c>
      <c r="T154" s="449">
        <f t="shared" si="57"/>
        <v>-69377.358170000007</v>
      </c>
      <c r="U154" s="449">
        <f t="shared" si="57"/>
        <v>-62343.662750000003</v>
      </c>
      <c r="V154" s="449">
        <f t="shared" si="57"/>
        <v>-75279.551779999994</v>
      </c>
      <c r="W154" s="449">
        <f t="shared" si="57"/>
        <v>-63414.083909999987</v>
      </c>
      <c r="X154" s="449">
        <f t="shared" si="57"/>
        <v>-72549.907869999981</v>
      </c>
      <c r="Y154" s="449">
        <f t="shared" si="57"/>
        <v>-88342.979030000002</v>
      </c>
      <c r="Z154" s="449">
        <f t="shared" si="57"/>
        <v>-71273.352220000001</v>
      </c>
      <c r="AA154" s="449">
        <f t="shared" si="57"/>
        <v>-63690.894550000005</v>
      </c>
      <c r="AB154" s="449">
        <f t="shared" si="57"/>
        <v>-66238.361999999994</v>
      </c>
      <c r="AC154" s="449">
        <f t="shared" si="57"/>
        <v>-70810.97249</v>
      </c>
      <c r="AD154" s="449">
        <f t="shared" si="57"/>
        <v>-75366.145340000003</v>
      </c>
      <c r="AE154" s="449">
        <f t="shared" si="57"/>
        <v>-87396.931270000001</v>
      </c>
      <c r="AF154" s="449">
        <f t="shared" si="57"/>
        <v>-67476.95772999998</v>
      </c>
      <c r="AG154" s="449">
        <f t="shared" si="57"/>
        <v>-77600.78</v>
      </c>
      <c r="AH154" s="449">
        <f t="shared" si="57"/>
        <v>-72476.922959999967</v>
      </c>
      <c r="AI154" s="449">
        <f t="shared" si="57"/>
        <v>-65868.02353000002</v>
      </c>
      <c r="AJ154" s="449">
        <f t="shared" si="57"/>
        <v>-65400.76620999998</v>
      </c>
      <c r="AK154" s="449">
        <f t="shared" si="57"/>
        <v>-68725.022089999999</v>
      </c>
      <c r="AL154" s="449">
        <f t="shared" si="57"/>
        <v>-75019.76062999999</v>
      </c>
    </row>
    <row r="155" spans="1:94">
      <c r="A155" s="11" t="s">
        <v>749</v>
      </c>
    </row>
    <row r="156" spans="1:94">
      <c r="A156" s="11" t="s">
        <v>750</v>
      </c>
      <c r="B156" s="453"/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66"/>
      <c r="U156" s="466"/>
      <c r="V156" s="466"/>
      <c r="W156" s="466"/>
      <c r="X156" s="466"/>
      <c r="Y156" s="466"/>
      <c r="Z156" s="453"/>
      <c r="AA156" s="453"/>
      <c r="AB156" s="453"/>
      <c r="AC156" s="466"/>
      <c r="AD156" s="466"/>
      <c r="AE156" s="466"/>
      <c r="AF156" s="466"/>
      <c r="AG156" s="466"/>
      <c r="AH156" s="466"/>
      <c r="AI156" s="466"/>
      <c r="AJ156" s="466"/>
      <c r="AK156" s="466"/>
      <c r="AL156" s="466"/>
    </row>
    <row r="157" spans="1:94">
      <c r="A157" s="11" t="s">
        <v>751</v>
      </c>
      <c r="B157" s="453"/>
      <c r="C157" s="453"/>
      <c r="D157" s="453"/>
      <c r="E157" s="453"/>
      <c r="F157" s="453"/>
      <c r="G157" s="453"/>
      <c r="H157" s="453"/>
      <c r="I157" s="453"/>
      <c r="J157" s="453"/>
      <c r="K157" s="453"/>
      <c r="L157" s="453"/>
      <c r="M157" s="453"/>
      <c r="N157" s="453"/>
      <c r="O157" s="453"/>
      <c r="P157" s="453"/>
      <c r="Q157" s="453"/>
      <c r="R157" s="453"/>
      <c r="S157" s="453"/>
      <c r="T157" s="466"/>
      <c r="U157" s="466"/>
      <c r="V157" s="466"/>
      <c r="W157" s="466"/>
      <c r="X157" s="466"/>
      <c r="Y157" s="466"/>
      <c r="Z157" s="453"/>
      <c r="AA157" s="453"/>
      <c r="AB157" s="453"/>
      <c r="AC157" s="466"/>
      <c r="AD157" s="466"/>
      <c r="AE157" s="466"/>
      <c r="AF157" s="466"/>
      <c r="AG157" s="466"/>
      <c r="AH157" s="466"/>
      <c r="AI157" s="466"/>
      <c r="AJ157" s="466"/>
      <c r="AK157" s="466"/>
      <c r="AL157" s="466"/>
    </row>
    <row r="158" spans="1:94">
      <c r="A158" s="11" t="s">
        <v>752</v>
      </c>
      <c r="B158" s="8"/>
      <c r="C158" s="8"/>
      <c r="D158" s="8"/>
      <c r="E158" s="8"/>
      <c r="F158" s="8"/>
      <c r="G158" s="8"/>
      <c r="H158" s="8"/>
      <c r="I158" s="8"/>
      <c r="J158" s="450"/>
      <c r="K158" s="450"/>
      <c r="L158" s="450"/>
      <c r="M158" s="450"/>
      <c r="N158" s="450"/>
      <c r="O158" s="450"/>
      <c r="P158" s="450"/>
      <c r="Q158" s="450"/>
      <c r="R158" s="450"/>
      <c r="S158" s="450"/>
      <c r="T158" s="450"/>
      <c r="U158" s="450"/>
      <c r="V158" s="450"/>
      <c r="W158" s="450"/>
      <c r="X158" s="450"/>
      <c r="Y158" s="450"/>
      <c r="Z158" s="450"/>
      <c r="AA158" s="450"/>
      <c r="AB158" s="450"/>
      <c r="AC158" s="450"/>
      <c r="AD158" s="450"/>
      <c r="AE158" s="450"/>
      <c r="AF158" s="450"/>
      <c r="AG158" s="450"/>
      <c r="AH158" s="450"/>
      <c r="AI158" s="450"/>
      <c r="AJ158" s="450"/>
      <c r="AK158" s="450"/>
      <c r="AL158" s="450"/>
    </row>
    <row r="159" spans="1:94">
      <c r="A159" s="11" t="s">
        <v>753</v>
      </c>
      <c r="B159" s="8"/>
      <c r="C159" s="8"/>
      <c r="D159" s="8"/>
      <c r="E159" s="8"/>
      <c r="F159" s="8"/>
      <c r="G159" s="8"/>
      <c r="H159" s="8"/>
      <c r="I159" s="8"/>
      <c r="J159" s="450"/>
      <c r="K159" s="450"/>
      <c r="L159" s="450"/>
      <c r="M159" s="450"/>
      <c r="N159" s="450"/>
      <c r="O159" s="450"/>
      <c r="P159" s="450"/>
      <c r="Q159" s="450"/>
      <c r="R159" s="450"/>
      <c r="S159" s="450"/>
      <c r="T159" s="450"/>
      <c r="U159" s="450"/>
      <c r="V159" s="450"/>
      <c r="W159" s="450"/>
      <c r="X159" s="450"/>
      <c r="Y159" s="450"/>
      <c r="Z159" s="450"/>
      <c r="AA159" s="450"/>
      <c r="AB159" s="450"/>
      <c r="AC159" s="450"/>
      <c r="AD159" s="450"/>
      <c r="AE159" s="450"/>
      <c r="AF159" s="450"/>
      <c r="AG159" s="450"/>
      <c r="AH159" s="450"/>
      <c r="AI159" s="450"/>
      <c r="AJ159" s="450"/>
      <c r="AK159" s="450"/>
      <c r="AL159" s="450"/>
    </row>
    <row r="160" spans="1:94">
      <c r="T160" s="171"/>
      <c r="AB160" s="467"/>
      <c r="AM160" s="455"/>
      <c r="AN160" s="455"/>
      <c r="AO160" s="455"/>
      <c r="AP160" s="455"/>
      <c r="AQ160" s="455"/>
      <c r="AR160" s="455"/>
      <c r="AS160" s="455"/>
      <c r="AT160" s="455"/>
      <c r="AU160" s="455"/>
      <c r="AV160" s="455"/>
      <c r="AW160" s="455"/>
      <c r="AX160" s="455"/>
      <c r="AY160" s="455"/>
      <c r="AZ160" s="455"/>
      <c r="BA160" s="455"/>
      <c r="BB160" s="455"/>
      <c r="BC160" s="455"/>
      <c r="BD160" s="455"/>
      <c r="BE160" s="455"/>
      <c r="BF160" s="455"/>
      <c r="BG160" s="455"/>
      <c r="BH160" s="455"/>
      <c r="BI160" s="455"/>
      <c r="BJ160" s="455"/>
      <c r="BK160" s="455"/>
      <c r="BL160" s="455"/>
      <c r="BM160" s="455"/>
      <c r="BN160" s="455"/>
      <c r="BO160" s="455"/>
      <c r="BP160" s="455"/>
      <c r="BQ160" s="455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</row>
    <row r="161" spans="1:69" s="482" customFormat="1">
      <c r="A161" s="179" t="s">
        <v>740</v>
      </c>
      <c r="B161" s="180" t="s">
        <v>228</v>
      </c>
      <c r="C161" s="180" t="s">
        <v>229</v>
      </c>
      <c r="D161" s="180" t="s">
        <v>230</v>
      </c>
      <c r="E161" s="180" t="s">
        <v>231</v>
      </c>
      <c r="F161" s="180" t="s">
        <v>232</v>
      </c>
      <c r="G161" s="180" t="s">
        <v>233</v>
      </c>
      <c r="H161" s="180" t="s">
        <v>234</v>
      </c>
      <c r="I161" s="180" t="s">
        <v>235</v>
      </c>
      <c r="J161" s="180" t="s">
        <v>236</v>
      </c>
      <c r="K161" s="180" t="s">
        <v>237</v>
      </c>
      <c r="L161" s="180" t="s">
        <v>238</v>
      </c>
      <c r="M161" s="180" t="s">
        <v>239</v>
      </c>
      <c r="N161" s="180" t="s">
        <v>240</v>
      </c>
      <c r="O161" s="180" t="s">
        <v>241</v>
      </c>
      <c r="P161" s="180" t="s">
        <v>242</v>
      </c>
      <c r="Q161" s="180" t="s">
        <v>243</v>
      </c>
      <c r="R161" s="180" t="s">
        <v>244</v>
      </c>
      <c r="S161" s="180" t="s">
        <v>245</v>
      </c>
      <c r="T161" s="180" t="s">
        <v>246</v>
      </c>
      <c r="U161" s="180" t="s">
        <v>247</v>
      </c>
      <c r="V161" s="180" t="s">
        <v>248</v>
      </c>
      <c r="W161" s="180" t="s">
        <v>249</v>
      </c>
      <c r="X161" s="180" t="s">
        <v>250</v>
      </c>
      <c r="Y161" s="180" t="s">
        <v>215</v>
      </c>
      <c r="Z161" s="180" t="s">
        <v>252</v>
      </c>
      <c r="AA161" s="180" t="s">
        <v>253</v>
      </c>
      <c r="AB161" s="180" t="s">
        <v>254</v>
      </c>
      <c r="AC161" s="180" t="s">
        <v>219</v>
      </c>
      <c r="AD161" s="180" t="s">
        <v>223</v>
      </c>
      <c r="AE161" s="180" t="s">
        <v>256</v>
      </c>
      <c r="AF161" s="180" t="s">
        <v>357</v>
      </c>
      <c r="AG161" s="180" t="s">
        <v>358</v>
      </c>
      <c r="AH161" s="180" t="s">
        <v>359</v>
      </c>
      <c r="AI161" s="180" t="s">
        <v>1115</v>
      </c>
      <c r="AJ161" s="180" t="s">
        <v>1116</v>
      </c>
      <c r="AK161" s="180" t="s">
        <v>1117</v>
      </c>
      <c r="AL161" s="180" t="s">
        <v>1124</v>
      </c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</row>
    <row r="162" spans="1:69">
      <c r="A162" s="9" t="s">
        <v>477</v>
      </c>
      <c r="B162" s="449">
        <f>'Desempenho Risco'!G208</f>
        <v>-39577.397840000005</v>
      </c>
      <c r="C162" s="449">
        <f>'Desempenho Risco'!H208</f>
        <v>-40734.654479999983</v>
      </c>
      <c r="D162" s="449">
        <f>'Desempenho Risco'!I208</f>
        <v>-45132.184270000027</v>
      </c>
      <c r="E162" s="449">
        <f>'Desempenho Risco'!J208</f>
        <v>-46733.969829999995</v>
      </c>
      <c r="F162" s="449">
        <f>'Desempenho Risco'!L208</f>
        <v>-57117.337389999993</v>
      </c>
      <c r="G162" s="449">
        <f>'Desempenho Risco'!M208</f>
        <v>-44292.310019999975</v>
      </c>
      <c r="H162" s="449">
        <f>'Desempenho Risco'!N208</f>
        <v>-48175.77285999999</v>
      </c>
      <c r="I162" s="449">
        <f>'Desempenho Risco'!O208</f>
        <v>-51128.292789999985</v>
      </c>
      <c r="J162" s="449">
        <f>'Desempenho Risco'!Q208</f>
        <v>-20195.057759999992</v>
      </c>
      <c r="K162" s="449">
        <f>'Desempenho Risco'!R208</f>
        <v>-47489.809990000002</v>
      </c>
      <c r="L162" s="449">
        <f>'Desempenho Risco'!S208</f>
        <v>-47541.338309999992</v>
      </c>
      <c r="M162" s="449">
        <f>'Desempenho Risco'!T208</f>
        <v>-49326.665890000004</v>
      </c>
      <c r="N162" s="449">
        <f>'Desempenho Risco'!V208</f>
        <v>-51208.832710000002</v>
      </c>
      <c r="O162" s="449">
        <f>'Desempenho Risco'!W208</f>
        <v>-29277.453480000004</v>
      </c>
      <c r="P162" s="449">
        <f>'Desempenho Risco'!X208</f>
        <v>-38474.41461</v>
      </c>
      <c r="Q162" s="449">
        <f>'Desempenho Risco'!Y208</f>
        <v>-53166.197559999993</v>
      </c>
      <c r="R162" s="449">
        <f>'Desempenho Risco'!AA208</f>
        <v>-41789.410909999999</v>
      </c>
      <c r="S162" s="449">
        <f>'Desempenho Risco'!AB208</f>
        <v>-48934.866950000003</v>
      </c>
      <c r="T162" s="449">
        <f>'Desempenho Risco'!AC208</f>
        <v>-52485.617970000007</v>
      </c>
      <c r="U162" s="449">
        <f>'Desempenho Risco'!AD208</f>
        <v>-62548.507320000004</v>
      </c>
      <c r="V162" s="449">
        <f>'Desempenho Risco'!AF208</f>
        <v>-64686.46817</v>
      </c>
      <c r="W162" s="449">
        <f>'Desempenho Risco'!AG208</f>
        <v>-61979.947289999996</v>
      </c>
      <c r="X162" s="449">
        <f>'Desempenho Risco'!AH208</f>
        <v>-69627.827739999993</v>
      </c>
      <c r="Y162" s="449">
        <f>'Desempenho Risco'!AI208</f>
        <v>-61082.439570000002</v>
      </c>
      <c r="Z162" s="449">
        <f>'Desempenho Risco'!AK208</f>
        <v>-60564.52736</v>
      </c>
      <c r="AA162" s="449">
        <f>'Desempenho Risco'!AL208</f>
        <v>-62015.178870000003</v>
      </c>
      <c r="AB162" s="449">
        <f>'Desempenho Risco'!AM208</f>
        <v>-60734.828000000001</v>
      </c>
      <c r="AC162" s="449">
        <f>'Desempenho Risco'!AN208</f>
        <v>-61592.146260000009</v>
      </c>
      <c r="AD162" s="449">
        <f>'Desempenho Risco'!AP208</f>
        <v>-60276.575490000003</v>
      </c>
      <c r="AE162" s="449">
        <f>'Desempenho Risco'!AQ208</f>
        <v>-61994.068479999994</v>
      </c>
      <c r="AF162" s="449">
        <f>'Desempenho Risco'!AR208</f>
        <v>-63724.595509999977</v>
      </c>
      <c r="AG162" s="449">
        <f>'Desempenho Risco'!AS208</f>
        <v>-60409.002999999997</v>
      </c>
      <c r="AH162" s="449">
        <f>'Desempenho Risco'!AU208</f>
        <v>-60278.274399999973</v>
      </c>
      <c r="AI162" s="449">
        <f>'Desempenho Risco'!AV208</f>
        <v>-56925.250410000022</v>
      </c>
      <c r="AJ162" s="464">
        <f>'Desempenho Risco'!AW208</f>
        <v>-60625.85361999998</v>
      </c>
      <c r="AK162" s="464">
        <f>'Desempenho Risco'!AX208</f>
        <v>-63878.824889999996</v>
      </c>
      <c r="AL162" s="449">
        <f>'Desempenho Risco'!AZ208</f>
        <v>-72691.824349999995</v>
      </c>
    </row>
    <row r="163" spans="1:69">
      <c r="A163" s="11" t="s">
        <v>749</v>
      </c>
      <c r="AJ163" s="450"/>
      <c r="AK163" s="450"/>
    </row>
    <row r="164" spans="1:69">
      <c r="A164" s="11" t="s">
        <v>750</v>
      </c>
      <c r="B164" s="8"/>
      <c r="C164" s="8"/>
      <c r="D164" s="8"/>
      <c r="E164" s="8"/>
      <c r="F164" s="8"/>
      <c r="G164" s="8"/>
      <c r="H164" s="8"/>
      <c r="I164" s="8"/>
      <c r="J164" s="450"/>
      <c r="K164" s="450"/>
      <c r="L164" s="450"/>
      <c r="M164" s="450"/>
      <c r="N164" s="450"/>
      <c r="O164" s="450"/>
      <c r="P164" s="450"/>
      <c r="Q164" s="450"/>
      <c r="R164" s="450"/>
      <c r="S164" s="450"/>
      <c r="T164" s="450"/>
      <c r="U164" s="450"/>
      <c r="V164" s="450"/>
      <c r="W164" s="450"/>
      <c r="X164" s="450"/>
      <c r="Y164" s="450"/>
      <c r="Z164" s="450"/>
      <c r="AA164" s="450"/>
      <c r="AB164" s="450"/>
      <c r="AC164" s="450"/>
      <c r="AD164" s="450"/>
      <c r="AE164" s="450"/>
      <c r="AF164" s="450"/>
      <c r="AG164" s="450"/>
      <c r="AH164" s="450"/>
      <c r="AI164" s="450"/>
      <c r="AJ164" s="450"/>
      <c r="AK164" s="450"/>
      <c r="AL164" s="450"/>
    </row>
    <row r="165" spans="1:69">
      <c r="A165" s="11" t="s">
        <v>751</v>
      </c>
      <c r="B165" s="8"/>
      <c r="C165" s="8"/>
      <c r="D165" s="8"/>
      <c r="E165" s="8"/>
      <c r="F165" s="8"/>
      <c r="G165" s="8"/>
      <c r="H165" s="8"/>
      <c r="I165" s="8"/>
      <c r="J165" s="450"/>
      <c r="K165" s="450"/>
      <c r="L165" s="450"/>
      <c r="M165" s="450"/>
      <c r="N165" s="450"/>
      <c r="O165" s="450"/>
      <c r="P165" s="450"/>
      <c r="Q165" s="450"/>
      <c r="R165" s="450"/>
      <c r="S165" s="450"/>
      <c r="T165" s="450"/>
      <c r="U165" s="450"/>
      <c r="V165" s="450"/>
      <c r="W165" s="450"/>
      <c r="X165" s="450"/>
      <c r="Y165" s="450"/>
      <c r="Z165" s="450"/>
      <c r="AA165" s="450"/>
      <c r="AB165" s="450"/>
      <c r="AC165" s="450"/>
      <c r="AD165" s="450"/>
      <c r="AE165" s="450"/>
      <c r="AF165" s="450"/>
      <c r="AG165" s="450"/>
      <c r="AH165" s="450"/>
      <c r="AI165" s="450"/>
      <c r="AJ165" s="450"/>
      <c r="AK165" s="450"/>
      <c r="AL165" s="450"/>
    </row>
    <row r="166" spans="1:69">
      <c r="A166" s="11" t="s">
        <v>752</v>
      </c>
      <c r="B166" s="8"/>
      <c r="C166" s="8"/>
      <c r="D166" s="8"/>
      <c r="E166" s="8"/>
      <c r="F166" s="8"/>
      <c r="G166" s="8"/>
      <c r="H166" s="8"/>
      <c r="I166" s="8"/>
      <c r="J166" s="450"/>
      <c r="K166" s="450"/>
      <c r="L166" s="450"/>
      <c r="M166" s="450"/>
      <c r="N166" s="450"/>
      <c r="O166" s="450"/>
      <c r="P166" s="450"/>
      <c r="Q166" s="450"/>
      <c r="R166" s="450"/>
      <c r="S166" s="450"/>
      <c r="T166" s="450"/>
      <c r="U166" s="450"/>
      <c r="V166" s="450"/>
      <c r="W166" s="450"/>
      <c r="X166" s="450"/>
      <c r="Y166" s="450"/>
      <c r="Z166" s="450"/>
      <c r="AA166" s="450"/>
      <c r="AB166" s="450"/>
      <c r="AC166" s="450"/>
      <c r="AD166" s="450"/>
      <c r="AE166" s="450"/>
      <c r="AF166" s="450"/>
      <c r="AG166" s="450"/>
      <c r="AH166" s="450"/>
      <c r="AI166" s="450"/>
      <c r="AJ166" s="450"/>
      <c r="AK166" s="450"/>
      <c r="AL166" s="450"/>
    </row>
    <row r="167" spans="1:69">
      <c r="A167" s="11" t="s">
        <v>753</v>
      </c>
      <c r="B167" s="8"/>
      <c r="C167" s="8"/>
      <c r="D167" s="8"/>
      <c r="E167" s="8"/>
      <c r="F167" s="8"/>
      <c r="G167" s="8"/>
      <c r="H167" s="8"/>
      <c r="I167" s="8"/>
      <c r="J167" s="454"/>
      <c r="K167" s="454"/>
      <c r="L167" s="454"/>
      <c r="M167" s="454"/>
      <c r="N167" s="454"/>
      <c r="O167" s="454"/>
      <c r="P167" s="454"/>
      <c r="Q167" s="454"/>
      <c r="R167" s="454"/>
      <c r="S167" s="454"/>
      <c r="T167" s="454"/>
      <c r="U167" s="454"/>
      <c r="V167" s="454"/>
      <c r="W167" s="454"/>
      <c r="X167" s="454"/>
      <c r="Y167" s="454"/>
      <c r="Z167" s="454"/>
      <c r="AA167" s="454"/>
      <c r="AB167" s="454"/>
      <c r="AC167" s="454"/>
      <c r="AD167" s="454"/>
      <c r="AE167" s="454"/>
      <c r="AF167" s="454"/>
      <c r="AG167" s="454"/>
      <c r="AH167" s="454"/>
      <c r="AI167" s="454"/>
      <c r="AJ167" s="454"/>
      <c r="AK167" s="454"/>
      <c r="AL167" s="454"/>
    </row>
    <row r="168" spans="1:69">
      <c r="AB168" s="467"/>
    </row>
    <row r="170" spans="1:69" s="482" customFormat="1">
      <c r="A170" s="179" t="s">
        <v>742</v>
      </c>
      <c r="B170" s="180" t="s">
        <v>228</v>
      </c>
      <c r="C170" s="180" t="s">
        <v>229</v>
      </c>
      <c r="D170" s="180" t="s">
        <v>230</v>
      </c>
      <c r="E170" s="180" t="s">
        <v>231</v>
      </c>
      <c r="F170" s="180" t="s">
        <v>232</v>
      </c>
      <c r="G170" s="180" t="s">
        <v>233</v>
      </c>
      <c r="H170" s="180" t="s">
        <v>234</v>
      </c>
      <c r="I170" s="180" t="s">
        <v>235</v>
      </c>
      <c r="J170" s="180" t="s">
        <v>236</v>
      </c>
      <c r="K170" s="180" t="s">
        <v>237</v>
      </c>
      <c r="L170" s="180" t="s">
        <v>238</v>
      </c>
      <c r="M170" s="180" t="s">
        <v>239</v>
      </c>
      <c r="N170" s="180" t="s">
        <v>240</v>
      </c>
      <c r="O170" s="180" t="s">
        <v>241</v>
      </c>
      <c r="P170" s="180" t="s">
        <v>242</v>
      </c>
      <c r="Q170" s="180" t="s">
        <v>243</v>
      </c>
      <c r="R170" s="180" t="s">
        <v>244</v>
      </c>
      <c r="S170" s="180" t="s">
        <v>245</v>
      </c>
      <c r="T170" s="180" t="s">
        <v>246</v>
      </c>
      <c r="U170" s="180" t="s">
        <v>247</v>
      </c>
      <c r="V170" s="180" t="s">
        <v>248</v>
      </c>
      <c r="W170" s="180" t="s">
        <v>249</v>
      </c>
      <c r="X170" s="180" t="s">
        <v>250</v>
      </c>
      <c r="Y170" s="180" t="s">
        <v>215</v>
      </c>
      <c r="Z170" s="180" t="s">
        <v>252</v>
      </c>
      <c r="AA170" s="180" t="s">
        <v>253</v>
      </c>
      <c r="AB170" s="180" t="s">
        <v>254</v>
      </c>
      <c r="AC170" s="180" t="s">
        <v>219</v>
      </c>
      <c r="AD170" s="180" t="s">
        <v>223</v>
      </c>
      <c r="AE170" s="180" t="s">
        <v>256</v>
      </c>
      <c r="AF170" s="180" t="s">
        <v>357</v>
      </c>
      <c r="AG170" s="180" t="s">
        <v>358</v>
      </c>
      <c r="AH170" s="180" t="s">
        <v>359</v>
      </c>
      <c r="AI170" s="180" t="s">
        <v>1115</v>
      </c>
      <c r="AJ170" s="180" t="s">
        <v>1116</v>
      </c>
      <c r="AK170" s="180" t="s">
        <v>1117</v>
      </c>
      <c r="AL170" s="180" t="s">
        <v>1124</v>
      </c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</row>
    <row r="171" spans="1:69">
      <c r="A171" s="9" t="s">
        <v>477</v>
      </c>
      <c r="B171" s="449">
        <f>'Desempenho Risco'!G220</f>
        <v>-20116.888800000001</v>
      </c>
      <c r="C171" s="449">
        <f>'Desempenho Risco'!H220</f>
        <v>-14774.2709</v>
      </c>
      <c r="D171" s="449">
        <f>'Desempenho Risco'!I220</f>
        <v>-7169.8192299999973</v>
      </c>
      <c r="E171" s="449">
        <f>'Desempenho Risco'!J220</f>
        <v>-12464.050239999997</v>
      </c>
      <c r="F171" s="449">
        <f>'Desempenho Risco'!L220</f>
        <v>-17287.2173</v>
      </c>
      <c r="G171" s="449">
        <f>'Desempenho Risco'!M220</f>
        <v>-12107.384420000002</v>
      </c>
      <c r="H171" s="449">
        <f>'Desempenho Risco'!N220</f>
        <v>-12191.47185</v>
      </c>
      <c r="I171" s="449">
        <f>'Desempenho Risco'!O220</f>
        <v>-9425.4125300000014</v>
      </c>
      <c r="J171" s="449">
        <f>'Desempenho Risco'!Q220</f>
        <v>-18247.085709999999</v>
      </c>
      <c r="K171" s="449">
        <f>'Desempenho Risco'!R220</f>
        <v>-8682.2245999999996</v>
      </c>
      <c r="L171" s="449">
        <f>'Desempenho Risco'!S220</f>
        <v>-14435.91719</v>
      </c>
      <c r="M171" s="449">
        <f>'Desempenho Risco'!T220</f>
        <v>-3798.6351999999997</v>
      </c>
      <c r="N171" s="449">
        <f>'Desempenho Risco'!V220</f>
        <v>-20341.891080000001</v>
      </c>
      <c r="O171" s="449">
        <f>'Desempenho Risco'!W220</f>
        <v>-9859.6210499999997</v>
      </c>
      <c r="P171" s="449">
        <f>'Desempenho Risco'!X220</f>
        <v>-14551.881529999999</v>
      </c>
      <c r="Q171" s="449">
        <f>'Desempenho Risco'!Y220</f>
        <v>-4737.0052500000002</v>
      </c>
      <c r="R171" s="449">
        <f>'Desempenho Risco'!AA220</f>
        <v>-9236.7473100000007</v>
      </c>
      <c r="S171" s="449">
        <f>'Desempenho Risco'!AB220</f>
        <v>-4825.4764499999992</v>
      </c>
      <c r="T171" s="449">
        <f>'Desempenho Risco'!AC220</f>
        <v>-13433.499239999999</v>
      </c>
      <c r="U171" s="449">
        <f>'Desempenho Risco'!AD220</f>
        <v>-5480.3262100000002</v>
      </c>
      <c r="V171" s="449">
        <f>'Desempenho Risco'!AF220</f>
        <v>-6198.4266399999997</v>
      </c>
      <c r="W171" s="449">
        <f>'Desempenho Risco'!AG220</f>
        <v>-10745.405969999998</v>
      </c>
      <c r="X171" s="449">
        <f>'Desempenho Risco'!AH220</f>
        <v>-3434.1248100000007</v>
      </c>
      <c r="Y171" s="449">
        <f>'Desempenho Risco'!AI220</f>
        <v>-12821.437910000001</v>
      </c>
      <c r="Z171" s="449">
        <f>'Desempenho Risco'!AK220</f>
        <v>-7561.859379999999</v>
      </c>
      <c r="AA171" s="449">
        <f>'Desempenho Risco'!AL220</f>
        <v>-2447.9942400000004</v>
      </c>
      <c r="AB171" s="449">
        <f>'Desempenho Risco'!AM220</f>
        <v>-3034.6590000000001</v>
      </c>
      <c r="AC171" s="449">
        <f>'Desempenho Risco'!AN220</f>
        <v>-5464.9265300000006</v>
      </c>
      <c r="AD171" s="449">
        <f>'Desempenho Risco'!AP220</f>
        <v>-10180.58066</v>
      </c>
      <c r="AE171" s="449">
        <f>'Desempenho Risco'!AQ220</f>
        <v>-22728.533520000001</v>
      </c>
      <c r="AF171" s="449">
        <f>'Desempenho Risco'!AR220</f>
        <v>1674.8689100000001</v>
      </c>
      <c r="AG171" s="449">
        <f>'Desempenho Risco'!AS220</f>
        <v>-4514.4920000000002</v>
      </c>
      <c r="AH171" s="449">
        <f>'Desempenho Risco'!AU220</f>
        <v>-3925.0535599999998</v>
      </c>
      <c r="AI171" s="449">
        <f>'Desempenho Risco'!AV220</f>
        <v>-3645.1710499999999</v>
      </c>
      <c r="AJ171" s="464">
        <f>'Desempenho Risco'!AW220</f>
        <v>-2218.8805399999992</v>
      </c>
      <c r="AK171" s="464">
        <f>'Desempenho Risco'!AX220</f>
        <v>-3496.4475499999999</v>
      </c>
      <c r="AL171" s="449">
        <f>'Desempenho Risco'!AZ220</f>
        <v>-3587.6222699999994</v>
      </c>
    </row>
    <row r="172" spans="1:69">
      <c r="A172" s="11" t="s">
        <v>749</v>
      </c>
      <c r="AJ172" s="466"/>
      <c r="AK172" s="466"/>
    </row>
    <row r="173" spans="1:69">
      <c r="A173" s="11" t="s">
        <v>750</v>
      </c>
      <c r="B173" s="453"/>
      <c r="C173" s="453"/>
      <c r="D173" s="453"/>
      <c r="E173" s="453"/>
      <c r="F173" s="453"/>
      <c r="G173" s="453"/>
      <c r="H173" s="453"/>
      <c r="I173" s="453"/>
      <c r="J173" s="453"/>
      <c r="K173" s="453"/>
      <c r="L173" s="453"/>
      <c r="M173" s="453"/>
      <c r="N173" s="453"/>
      <c r="O173" s="453"/>
      <c r="P173" s="453"/>
      <c r="Q173" s="453"/>
      <c r="R173" s="453"/>
      <c r="S173" s="453"/>
      <c r="T173" s="466"/>
      <c r="U173" s="466"/>
      <c r="V173" s="466"/>
      <c r="W173" s="466"/>
      <c r="X173" s="466"/>
      <c r="Y173" s="466"/>
      <c r="Z173" s="453"/>
      <c r="AA173" s="453"/>
      <c r="AB173" s="453"/>
      <c r="AC173" s="466"/>
      <c r="AD173" s="466"/>
      <c r="AE173" s="466"/>
      <c r="AF173" s="466"/>
      <c r="AG173" s="466"/>
      <c r="AH173" s="466"/>
      <c r="AI173" s="466"/>
      <c r="AJ173" s="466"/>
      <c r="AK173" s="466"/>
      <c r="AL173" s="466"/>
    </row>
    <row r="174" spans="1:69">
      <c r="A174" s="11" t="s">
        <v>751</v>
      </c>
      <c r="B174" s="453"/>
      <c r="C174" s="453"/>
      <c r="D174" s="453"/>
      <c r="E174" s="453"/>
      <c r="F174" s="453"/>
      <c r="G174" s="453"/>
      <c r="H174" s="453"/>
      <c r="I174" s="453"/>
      <c r="J174" s="453"/>
      <c r="K174" s="453"/>
      <c r="L174" s="453"/>
      <c r="M174" s="453"/>
      <c r="N174" s="453"/>
      <c r="O174" s="453"/>
      <c r="P174" s="453"/>
      <c r="Q174" s="453"/>
      <c r="R174" s="453"/>
      <c r="S174" s="453"/>
      <c r="T174" s="466"/>
      <c r="U174" s="466"/>
      <c r="V174" s="466"/>
      <c r="W174" s="466"/>
      <c r="X174" s="466"/>
      <c r="Y174" s="466"/>
      <c r="Z174" s="453"/>
      <c r="AA174" s="453"/>
      <c r="AB174" s="453"/>
      <c r="AC174" s="466"/>
      <c r="AD174" s="466"/>
      <c r="AE174" s="466"/>
      <c r="AF174" s="466"/>
      <c r="AG174" s="466"/>
      <c r="AH174" s="466"/>
      <c r="AI174" s="466"/>
      <c r="AJ174" s="466"/>
      <c r="AK174" s="466"/>
      <c r="AL174" s="466"/>
    </row>
    <row r="175" spans="1:69">
      <c r="A175" s="11" t="s">
        <v>752</v>
      </c>
      <c r="B175" s="453"/>
      <c r="C175" s="453"/>
      <c r="D175" s="453"/>
      <c r="E175" s="453"/>
      <c r="F175" s="453"/>
      <c r="G175" s="453"/>
      <c r="H175" s="453"/>
      <c r="I175" s="453"/>
      <c r="J175" s="453"/>
      <c r="K175" s="453"/>
      <c r="L175" s="453"/>
      <c r="M175" s="453"/>
      <c r="N175" s="453"/>
      <c r="O175" s="453"/>
      <c r="P175" s="453"/>
      <c r="Q175" s="453"/>
      <c r="R175" s="453"/>
      <c r="S175" s="453"/>
      <c r="T175" s="466"/>
      <c r="U175" s="466"/>
      <c r="V175" s="466"/>
      <c r="W175" s="466"/>
      <c r="X175" s="466"/>
      <c r="Y175" s="466"/>
      <c r="Z175" s="453"/>
      <c r="AA175" s="453"/>
      <c r="AB175" s="453"/>
      <c r="AC175" s="466"/>
      <c r="AD175" s="466"/>
      <c r="AE175" s="466"/>
      <c r="AF175" s="466"/>
      <c r="AG175" s="466"/>
      <c r="AH175" s="466"/>
      <c r="AI175" s="466"/>
      <c r="AJ175" s="466"/>
      <c r="AK175" s="466"/>
      <c r="AL175" s="466"/>
    </row>
    <row r="176" spans="1:69">
      <c r="A176" s="11" t="s">
        <v>753</v>
      </c>
      <c r="B176" s="453"/>
      <c r="C176" s="453"/>
      <c r="D176" s="453"/>
      <c r="E176" s="453"/>
      <c r="F176" s="453"/>
      <c r="G176" s="453"/>
      <c r="H176" s="453"/>
      <c r="I176" s="453"/>
      <c r="J176" s="453"/>
      <c r="K176" s="453"/>
      <c r="L176" s="453"/>
      <c r="M176" s="453"/>
      <c r="N176" s="453"/>
      <c r="O176" s="453"/>
      <c r="P176" s="453"/>
      <c r="Q176" s="453"/>
      <c r="R176" s="453"/>
      <c r="S176" s="453"/>
      <c r="T176" s="466"/>
      <c r="U176" s="466"/>
      <c r="V176" s="466"/>
      <c r="W176" s="466"/>
      <c r="X176" s="466"/>
      <c r="Y176" s="466"/>
      <c r="Z176" s="453"/>
      <c r="AA176" s="453"/>
      <c r="AB176" s="453"/>
      <c r="AC176" s="466"/>
      <c r="AD176" s="466"/>
      <c r="AE176" s="466"/>
      <c r="AF176" s="466"/>
      <c r="AG176" s="466"/>
      <c r="AH176" s="466"/>
      <c r="AI176" s="466"/>
      <c r="AJ176" s="466"/>
      <c r="AK176" s="466"/>
      <c r="AL176" s="466"/>
    </row>
    <row r="177" spans="1:94">
      <c r="AB177" s="467"/>
    </row>
    <row r="179" spans="1:94" s="482" customFormat="1">
      <c r="A179" s="179" t="s">
        <v>771</v>
      </c>
      <c r="B179" s="180" t="s">
        <v>228</v>
      </c>
      <c r="C179" s="180" t="s">
        <v>229</v>
      </c>
      <c r="D179" s="180" t="s">
        <v>230</v>
      </c>
      <c r="E179" s="180" t="s">
        <v>231</v>
      </c>
      <c r="F179" s="180" t="s">
        <v>232</v>
      </c>
      <c r="G179" s="180" t="s">
        <v>233</v>
      </c>
      <c r="H179" s="180" t="s">
        <v>234</v>
      </c>
      <c r="I179" s="180" t="s">
        <v>235</v>
      </c>
      <c r="J179" s="180" t="s">
        <v>236</v>
      </c>
      <c r="K179" s="180" t="s">
        <v>237</v>
      </c>
      <c r="L179" s="180" t="s">
        <v>238</v>
      </c>
      <c r="M179" s="180" t="s">
        <v>239</v>
      </c>
      <c r="N179" s="180" t="s">
        <v>240</v>
      </c>
      <c r="O179" s="180" t="s">
        <v>241</v>
      </c>
      <c r="P179" s="180" t="s">
        <v>242</v>
      </c>
      <c r="Q179" s="180" t="s">
        <v>243</v>
      </c>
      <c r="R179" s="180" t="s">
        <v>244</v>
      </c>
      <c r="S179" s="180" t="s">
        <v>245</v>
      </c>
      <c r="T179" s="180" t="s">
        <v>246</v>
      </c>
      <c r="U179" s="180" t="s">
        <v>247</v>
      </c>
      <c r="V179" s="180" t="s">
        <v>248</v>
      </c>
      <c r="W179" s="180" t="s">
        <v>249</v>
      </c>
      <c r="X179" s="180" t="s">
        <v>250</v>
      </c>
      <c r="Y179" s="180" t="s">
        <v>215</v>
      </c>
      <c r="Z179" s="180" t="s">
        <v>252</v>
      </c>
      <c r="AA179" s="180" t="s">
        <v>253</v>
      </c>
      <c r="AB179" s="180" t="s">
        <v>254</v>
      </c>
      <c r="AC179" s="180" t="s">
        <v>219</v>
      </c>
      <c r="AD179" s="180" t="s">
        <v>223</v>
      </c>
      <c r="AE179" s="180" t="s">
        <v>256</v>
      </c>
      <c r="AF179" s="180" t="s">
        <v>357</v>
      </c>
      <c r="AG179" s="180" t="s">
        <v>358</v>
      </c>
      <c r="AH179" s="180" t="s">
        <v>359</v>
      </c>
      <c r="AI179" s="180" t="s">
        <v>1115</v>
      </c>
      <c r="AJ179" s="180" t="s">
        <v>1116</v>
      </c>
      <c r="AK179" s="180" t="s">
        <v>1117</v>
      </c>
      <c r="AL179" s="180" t="s">
        <v>1124</v>
      </c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</row>
    <row r="180" spans="1:94">
      <c r="A180" s="9" t="s">
        <v>477</v>
      </c>
      <c r="B180" s="449">
        <f>'Desempenho Risco'!G232</f>
        <v>-73062.797560000006</v>
      </c>
      <c r="C180" s="449">
        <f>'Desempenho Risco'!H232</f>
        <v>-70718.119890000002</v>
      </c>
      <c r="D180" s="449">
        <f>'Desempenho Risco'!I232</f>
        <v>-42364.50794000001</v>
      </c>
      <c r="E180" s="449">
        <f>'Desempenho Risco'!J232</f>
        <v>-37286.060079999988</v>
      </c>
      <c r="F180" s="449">
        <f>'Desempenho Risco'!L232</f>
        <v>-50482.539670000006</v>
      </c>
      <c r="G180" s="449">
        <f>'Desempenho Risco'!M232</f>
        <v>-28749.321470000003</v>
      </c>
      <c r="H180" s="449">
        <f>'Desempenho Risco'!N232</f>
        <v>-24359.400739999983</v>
      </c>
      <c r="I180" s="449">
        <f>'Desempenho Risco'!O232</f>
        <v>-12327.271499999995</v>
      </c>
      <c r="J180" s="449">
        <f>'Desempenho Risco'!Q232</f>
        <v>-45600.793770000004</v>
      </c>
      <c r="K180" s="449">
        <f>'Desempenho Risco'!R232</f>
        <v>2270.2145499999974</v>
      </c>
      <c r="L180" s="449">
        <f>'Desempenho Risco'!S232</f>
        <v>-7048.5385800000004</v>
      </c>
      <c r="M180" s="449">
        <f>'Desempenho Risco'!T232</f>
        <v>42673.211399999993</v>
      </c>
      <c r="N180" s="449">
        <f>'Desempenho Risco'!V232</f>
        <v>-11429.285259999997</v>
      </c>
      <c r="O180" s="449">
        <f>'Desempenho Risco'!W232</f>
        <v>-742.53477999999996</v>
      </c>
      <c r="P180" s="449">
        <f>'Desempenho Risco'!X232</f>
        <v>-4253.4866300000003</v>
      </c>
      <c r="Q180" s="449">
        <f>'Desempenho Risco'!Y232</f>
        <v>-6811.4553799999985</v>
      </c>
      <c r="R180" s="449">
        <f>'Desempenho Risco'!AA232</f>
        <v>6748.9145399999979</v>
      </c>
      <c r="S180" s="449">
        <f>'Desempenho Risco'!AB232</f>
        <v>7355.3552100000015</v>
      </c>
      <c r="T180" s="449">
        <f>'Desempenho Risco'!AC232</f>
        <v>-3458.2409599999987</v>
      </c>
      <c r="U180" s="449">
        <f>'Desempenho Risco'!AD232</f>
        <v>5685.1707800000004</v>
      </c>
      <c r="V180" s="449">
        <f>'Desempenho Risco'!AF232</f>
        <v>-4394.6569700000018</v>
      </c>
      <c r="W180" s="449">
        <f>'Desempenho Risco'!AG232</f>
        <v>9311.2693500000023</v>
      </c>
      <c r="X180" s="449">
        <f>'Desempenho Risco'!AH232</f>
        <v>512.04467999999974</v>
      </c>
      <c r="Y180" s="449">
        <f>'Desempenho Risco'!AI232</f>
        <v>-14439.101550000003</v>
      </c>
      <c r="Z180" s="449">
        <f>'Desempenho Risco'!AK232</f>
        <v>-3146.9654799999994</v>
      </c>
      <c r="AA180" s="449">
        <f>'Desempenho Risco'!AL232</f>
        <v>772.27856000000008</v>
      </c>
      <c r="AB180" s="449">
        <f>'Desempenho Risco'!AM232</f>
        <v>-2468.875</v>
      </c>
      <c r="AC180" s="449">
        <f>'Desempenho Risco'!AN232</f>
        <v>-3753.8997000000004</v>
      </c>
      <c r="AD180" s="449">
        <f>'Desempenho Risco'!AP232</f>
        <v>-4908.9891900000011</v>
      </c>
      <c r="AE180" s="449">
        <f>'Desempenho Risco'!AQ232</f>
        <v>-2674.3292699999997</v>
      </c>
      <c r="AF180" s="449">
        <f>'Desempenho Risco'!AR232</f>
        <v>-5427.2311300000001</v>
      </c>
      <c r="AG180" s="449">
        <f>'Desempenho Risco'!AS232</f>
        <v>-12677.285</v>
      </c>
      <c r="AH180" s="449">
        <f>'Desempenho Risco'!AU232</f>
        <v>-8273.5949999999993</v>
      </c>
      <c r="AI180" s="449">
        <f>'Desempenho Risco'!AV232</f>
        <v>-5297.6020699999999</v>
      </c>
      <c r="AJ180" s="449">
        <f>'Desempenho Risco'!AW232</f>
        <v>-2556.0320499999998</v>
      </c>
      <c r="AK180" s="449">
        <f>'Desempenho Risco'!AX232</f>
        <v>-1349.7496499999991</v>
      </c>
      <c r="AL180" s="449">
        <f>'Desempenho Risco'!AZ232</f>
        <v>1259.6859899999986</v>
      </c>
    </row>
    <row r="181" spans="1:94">
      <c r="A181" s="11" t="s">
        <v>749</v>
      </c>
      <c r="AJ181" s="466"/>
      <c r="AK181" s="466"/>
    </row>
    <row r="182" spans="1:94">
      <c r="A182" s="11" t="s">
        <v>750</v>
      </c>
      <c r="B182" s="453"/>
      <c r="C182" s="453"/>
      <c r="D182" s="453"/>
      <c r="E182" s="453"/>
      <c r="F182" s="453"/>
      <c r="G182" s="453"/>
      <c r="H182" s="453"/>
      <c r="I182" s="453"/>
      <c r="J182" s="453"/>
      <c r="K182" s="453"/>
      <c r="L182" s="453"/>
      <c r="M182" s="453"/>
      <c r="N182" s="453"/>
      <c r="O182" s="453"/>
      <c r="P182" s="453"/>
      <c r="Q182" s="453"/>
      <c r="R182" s="466"/>
      <c r="S182" s="466"/>
      <c r="T182" s="466"/>
      <c r="U182" s="466"/>
      <c r="V182" s="466"/>
      <c r="W182" s="466"/>
      <c r="X182" s="466"/>
      <c r="Y182" s="466"/>
      <c r="Z182" s="453"/>
      <c r="AA182" s="453"/>
      <c r="AB182" s="453"/>
      <c r="AC182" s="466"/>
      <c r="AD182" s="466"/>
      <c r="AE182" s="466"/>
      <c r="AF182" s="466"/>
      <c r="AG182" s="466"/>
      <c r="AH182" s="466"/>
      <c r="AI182" s="466"/>
      <c r="AJ182" s="466"/>
      <c r="AK182" s="466"/>
      <c r="AL182" s="466"/>
    </row>
    <row r="183" spans="1:94">
      <c r="A183" s="11" t="s">
        <v>751</v>
      </c>
      <c r="B183" s="453"/>
      <c r="C183" s="453"/>
      <c r="D183" s="453"/>
      <c r="E183" s="453"/>
      <c r="F183" s="453"/>
      <c r="G183" s="453"/>
      <c r="H183" s="453"/>
      <c r="I183" s="453"/>
      <c r="J183" s="453"/>
      <c r="K183" s="453"/>
      <c r="L183" s="453"/>
      <c r="M183" s="453"/>
      <c r="N183" s="453"/>
      <c r="O183" s="453"/>
      <c r="P183" s="453"/>
      <c r="Q183" s="453"/>
      <c r="R183" s="466"/>
      <c r="S183" s="466"/>
      <c r="T183" s="466"/>
      <c r="U183" s="466"/>
      <c r="V183" s="466"/>
      <c r="W183" s="466"/>
      <c r="X183" s="466"/>
      <c r="Y183" s="466"/>
      <c r="Z183" s="453"/>
      <c r="AA183" s="453"/>
      <c r="AB183" s="453"/>
      <c r="AC183" s="466"/>
      <c r="AD183" s="466"/>
      <c r="AE183" s="466"/>
      <c r="AF183" s="466"/>
      <c r="AG183" s="466"/>
      <c r="AH183" s="466"/>
      <c r="AI183" s="466"/>
      <c r="AJ183" s="466"/>
      <c r="AK183" s="466"/>
      <c r="AL183" s="466"/>
    </row>
    <row r="184" spans="1:94">
      <c r="A184" s="11" t="s">
        <v>752</v>
      </c>
      <c r="B184" s="453"/>
      <c r="C184" s="453"/>
      <c r="D184" s="453"/>
      <c r="E184" s="453"/>
      <c r="F184" s="453"/>
      <c r="G184" s="453"/>
      <c r="H184" s="453"/>
      <c r="I184" s="453"/>
      <c r="J184" s="453"/>
      <c r="K184" s="453"/>
      <c r="L184" s="453"/>
      <c r="M184" s="453"/>
      <c r="N184" s="453"/>
      <c r="O184" s="453"/>
      <c r="P184" s="453"/>
      <c r="Q184" s="453"/>
      <c r="R184" s="466"/>
      <c r="S184" s="466"/>
      <c r="T184" s="466"/>
      <c r="U184" s="466"/>
      <c r="V184" s="466"/>
      <c r="W184" s="466"/>
      <c r="X184" s="466"/>
      <c r="Y184" s="466"/>
      <c r="Z184" s="453"/>
      <c r="AA184" s="453"/>
      <c r="AB184" s="453"/>
      <c r="AC184" s="466"/>
      <c r="AD184" s="466"/>
      <c r="AE184" s="466"/>
      <c r="AF184" s="466"/>
      <c r="AG184" s="466"/>
      <c r="AH184" s="466"/>
      <c r="AI184" s="466"/>
      <c r="AJ184" s="466"/>
      <c r="AK184" s="466"/>
      <c r="AL184" s="466"/>
    </row>
    <row r="185" spans="1:94">
      <c r="A185" s="11" t="s">
        <v>753</v>
      </c>
      <c r="AB185" s="467"/>
    </row>
    <row r="186" spans="1:94">
      <c r="A186" s="11"/>
      <c r="AB186" s="467"/>
    </row>
    <row r="187" spans="1:94"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</row>
    <row r="189" spans="1:94"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</row>
    <row r="190" spans="1:94"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</row>
    <row r="191" spans="1:94"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</row>
    <row r="192" spans="1:94"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</row>
    <row r="193" spans="70:94"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</row>
    <row r="194" spans="70:94"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</row>
    <row r="195" spans="70:94"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6D4A-671A-4A17-B9F6-5EFF54687BEB}">
  <dimension ref="A1:X94"/>
  <sheetViews>
    <sheetView showGridLines="0" zoomScale="75" zoomScaleNormal="75" workbookViewId="0">
      <pane xSplit="1" ySplit="3" topLeftCell="R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12.5703125" defaultRowHeight="12.75"/>
  <cols>
    <col min="1" max="1" width="70.7109375" style="192" customWidth="1"/>
    <col min="2" max="4" width="12.28515625" style="192" bestFit="1" customWidth="1"/>
    <col min="5" max="5" width="12.7109375" style="192" bestFit="1" customWidth="1"/>
    <col min="6" max="19" width="12.28515625" style="192" bestFit="1" customWidth="1"/>
    <col min="20" max="20" width="12" style="192" bestFit="1" customWidth="1"/>
    <col min="21" max="21" width="12.28515625" style="762" bestFit="1" customWidth="1"/>
    <col min="22" max="22" width="13.42578125" style="192" customWidth="1"/>
    <col min="23" max="16384" width="12.5703125" style="192"/>
  </cols>
  <sheetData>
    <row r="1" spans="1:22" s="193" customFormat="1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31"/>
    </row>
    <row r="2" spans="1:22" s="193" customFormat="1" ht="15" customHeight="1">
      <c r="A2" s="619"/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32"/>
    </row>
    <row r="3" spans="1:22" s="193" customFormat="1" ht="50.1" customHeight="1">
      <c r="A3" s="794" t="s">
        <v>823</v>
      </c>
      <c r="B3" s="676"/>
      <c r="C3" s="676"/>
      <c r="D3" s="676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1"/>
    </row>
    <row r="4" spans="1:22" s="210" customFormat="1">
      <c r="P4" s="720"/>
      <c r="Q4" s="759"/>
      <c r="R4" s="759"/>
      <c r="S4" s="759"/>
      <c r="T4" s="759"/>
      <c r="U4" s="759"/>
      <c r="V4" s="759"/>
    </row>
    <row r="5" spans="1:22" ht="24.4" customHeight="1">
      <c r="A5" s="625" t="s">
        <v>520</v>
      </c>
      <c r="B5" s="626" t="s">
        <v>244</v>
      </c>
      <c r="C5" s="626" t="s">
        <v>245</v>
      </c>
      <c r="D5" s="626" t="s">
        <v>246</v>
      </c>
      <c r="E5" s="626" t="s">
        <v>247</v>
      </c>
      <c r="F5" s="626" t="s">
        <v>248</v>
      </c>
      <c r="G5" s="626" t="s">
        <v>249</v>
      </c>
      <c r="H5" s="626" t="s">
        <v>250</v>
      </c>
      <c r="I5" s="626" t="s">
        <v>215</v>
      </c>
      <c r="J5" s="626" t="s">
        <v>252</v>
      </c>
      <c r="K5" s="626" t="s">
        <v>253</v>
      </c>
      <c r="L5" s="626" t="s">
        <v>254</v>
      </c>
      <c r="M5" s="626" t="s">
        <v>219</v>
      </c>
      <c r="N5" s="626" t="s">
        <v>223</v>
      </c>
      <c r="O5" s="626" t="s">
        <v>256</v>
      </c>
      <c r="P5" s="626" t="s">
        <v>357</v>
      </c>
      <c r="Q5" s="626" t="s">
        <v>358</v>
      </c>
      <c r="R5" s="626" t="s">
        <v>359</v>
      </c>
      <c r="S5" s="626" t="s">
        <v>1115</v>
      </c>
      <c r="T5" s="626" t="s">
        <v>1116</v>
      </c>
      <c r="U5" s="626" t="s">
        <v>1117</v>
      </c>
      <c r="V5" s="733" t="s">
        <v>1124</v>
      </c>
    </row>
    <row r="6" spans="1:22" ht="15">
      <c r="A6" t="s">
        <v>824</v>
      </c>
      <c r="B6" s="531">
        <v>-35854.185340000004</v>
      </c>
      <c r="C6" s="531">
        <v>-15035.765210000001</v>
      </c>
      <c r="D6" s="531">
        <v>27632.762419999999</v>
      </c>
      <c r="E6" s="531">
        <v>-14872.285910000001</v>
      </c>
      <c r="F6" s="531">
        <f t="shared" ref="F6:V6" si="0">F14+F24</f>
        <v>-87459.183470000004</v>
      </c>
      <c r="G6" s="531">
        <f t="shared" si="0"/>
        <v>-45246.831319999998</v>
      </c>
      <c r="H6" s="531">
        <f t="shared" si="0"/>
        <v>-95035.16923</v>
      </c>
      <c r="I6" s="531">
        <f t="shared" si="0"/>
        <v>10401</v>
      </c>
      <c r="J6" s="531">
        <f t="shared" si="0"/>
        <v>-1838</v>
      </c>
      <c r="K6" s="531">
        <f t="shared" si="0"/>
        <v>58407</v>
      </c>
      <c r="L6" s="531">
        <f t="shared" si="0"/>
        <v>37682</v>
      </c>
      <c r="M6" s="531">
        <f t="shared" si="0"/>
        <v>20779</v>
      </c>
      <c r="N6" s="531">
        <f t="shared" si="0"/>
        <v>-3394.5854725144918</v>
      </c>
      <c r="O6" s="531">
        <f t="shared" si="0"/>
        <v>-3280.8914733592701</v>
      </c>
      <c r="P6" s="531">
        <f t="shared" si="0"/>
        <v>-2056.379420711899</v>
      </c>
      <c r="Q6" s="531">
        <f t="shared" si="0"/>
        <v>0</v>
      </c>
      <c r="R6" s="531">
        <f t="shared" si="0"/>
        <v>0</v>
      </c>
      <c r="S6" s="531">
        <f t="shared" si="0"/>
        <v>0</v>
      </c>
      <c r="T6" s="531">
        <f t="shared" si="0"/>
        <v>0</v>
      </c>
      <c r="U6" s="531">
        <f t="shared" si="0"/>
        <v>0</v>
      </c>
      <c r="V6" s="531">
        <f t="shared" si="0"/>
        <v>0</v>
      </c>
    </row>
    <row r="7" spans="1:22" ht="15">
      <c r="A7" s="73" t="s">
        <v>825</v>
      </c>
      <c r="B7" s="531">
        <v>0</v>
      </c>
      <c r="C7" s="531">
        <v>0</v>
      </c>
      <c r="D7" s="531">
        <v>0</v>
      </c>
      <c r="E7" s="531">
        <v>0</v>
      </c>
      <c r="F7" s="531">
        <f t="shared" ref="F7:V7" si="1">F15+F25</f>
        <v>0</v>
      </c>
      <c r="G7" s="531">
        <f t="shared" si="1"/>
        <v>-17396.000780000002</v>
      </c>
      <c r="H7" s="531">
        <f t="shared" si="1"/>
        <v>-19031.945390000001</v>
      </c>
      <c r="I7" s="531">
        <f t="shared" si="1"/>
        <v>-8001</v>
      </c>
      <c r="J7" s="531">
        <f t="shared" si="1"/>
        <v>-9984</v>
      </c>
      <c r="K7" s="531">
        <f t="shared" si="1"/>
        <v>3950</v>
      </c>
      <c r="L7" s="531">
        <f t="shared" si="1"/>
        <v>3008</v>
      </c>
      <c r="M7" s="531">
        <f t="shared" si="1"/>
        <v>638</v>
      </c>
      <c r="N7" s="531">
        <f t="shared" si="1"/>
        <v>-1662.1553833235089</v>
      </c>
      <c r="O7" s="531">
        <f t="shared" si="1"/>
        <v>-1616.933072104448</v>
      </c>
      <c r="P7" s="531">
        <f t="shared" si="1"/>
        <v>-13988.857614469413</v>
      </c>
      <c r="Q7" s="531">
        <f t="shared" si="1"/>
        <v>0</v>
      </c>
      <c r="R7" s="531">
        <f t="shared" si="1"/>
        <v>0</v>
      </c>
      <c r="S7" s="531">
        <f t="shared" si="1"/>
        <v>0</v>
      </c>
      <c r="T7" s="531">
        <f t="shared" si="1"/>
        <v>0</v>
      </c>
      <c r="U7" s="531">
        <f t="shared" si="1"/>
        <v>0</v>
      </c>
      <c r="V7" s="531">
        <f t="shared" si="1"/>
        <v>0</v>
      </c>
    </row>
    <row r="8" spans="1:22" ht="15">
      <c r="A8" s="225" t="s">
        <v>826</v>
      </c>
      <c r="B8" s="235">
        <v>-35854.185340000004</v>
      </c>
      <c r="C8" s="235">
        <v>-15035.765210000001</v>
      </c>
      <c r="D8" s="235">
        <v>27632.762419999999</v>
      </c>
      <c r="E8" s="235">
        <v>-14872.285910000001</v>
      </c>
      <c r="F8" s="235">
        <f t="shared" ref="F8:V8" si="2">F16+F26</f>
        <v>-87459.183470000004</v>
      </c>
      <c r="G8" s="235">
        <f t="shared" si="2"/>
        <v>-62642.8321</v>
      </c>
      <c r="H8" s="235">
        <f t="shared" si="2"/>
        <v>-114067.11462000001</v>
      </c>
      <c r="I8" s="235">
        <f t="shared" si="2"/>
        <v>2400</v>
      </c>
      <c r="J8" s="235">
        <f t="shared" si="2"/>
        <v>-11822</v>
      </c>
      <c r="K8" s="235">
        <f t="shared" si="2"/>
        <v>62357</v>
      </c>
      <c r="L8" s="235">
        <f t="shared" si="2"/>
        <v>40690</v>
      </c>
      <c r="M8" s="235">
        <f t="shared" si="2"/>
        <v>21417</v>
      </c>
      <c r="N8" s="235">
        <f t="shared" si="2"/>
        <v>-5056.7408558380012</v>
      </c>
      <c r="O8" s="235">
        <f t="shared" si="2"/>
        <v>-4897.8245454637181</v>
      </c>
      <c r="P8" s="235">
        <f t="shared" si="2"/>
        <v>-16045.237035181312</v>
      </c>
      <c r="Q8" s="235">
        <f t="shared" si="2"/>
        <v>0</v>
      </c>
      <c r="R8" s="235">
        <f t="shared" si="2"/>
        <v>0</v>
      </c>
      <c r="S8" s="235">
        <f t="shared" si="2"/>
        <v>0</v>
      </c>
      <c r="T8" s="235">
        <f t="shared" si="2"/>
        <v>0</v>
      </c>
      <c r="U8" s="235">
        <f t="shared" si="2"/>
        <v>0</v>
      </c>
      <c r="V8" s="235">
        <f t="shared" si="2"/>
        <v>0</v>
      </c>
    </row>
    <row r="9" spans="1:22" ht="15">
      <c r="A9" t="s">
        <v>827</v>
      </c>
      <c r="B9" s="527">
        <v>14700.215989400001</v>
      </c>
      <c r="C9" s="527">
        <v>6164.6637361000012</v>
      </c>
      <c r="D9" s="527">
        <v>-11329.432592199999</v>
      </c>
      <c r="E9" s="527">
        <v>6097.6372231000005</v>
      </c>
      <c r="F9" s="527">
        <f t="shared" ref="F9:V9" si="3">F17+F27</f>
        <v>35858.2652227</v>
      </c>
      <c r="G9" s="527">
        <f t="shared" si="3"/>
        <v>25683.561160999998</v>
      </c>
      <c r="H9" s="527">
        <f t="shared" si="3"/>
        <v>46767.516994199999</v>
      </c>
      <c r="I9" s="527">
        <f t="shared" si="3"/>
        <v>-992.23</v>
      </c>
      <c r="J9" s="527">
        <f t="shared" si="3"/>
        <v>1740.8000000000004</v>
      </c>
      <c r="K9" s="527">
        <f t="shared" si="3"/>
        <v>-26436.800000000003</v>
      </c>
      <c r="L9" s="527">
        <f t="shared" si="3"/>
        <v>-16277</v>
      </c>
      <c r="M9" s="527">
        <f t="shared" si="3"/>
        <v>-8567.8000000000011</v>
      </c>
      <c r="N9" s="527">
        <f t="shared" si="3"/>
        <v>2021.6963423352004</v>
      </c>
      <c r="O9" s="527">
        <f t="shared" si="3"/>
        <v>1958.1298181854872</v>
      </c>
      <c r="P9" s="527">
        <f t="shared" si="3"/>
        <v>7709.094814072525</v>
      </c>
      <c r="Q9" s="527">
        <f t="shared" si="3"/>
        <v>0</v>
      </c>
      <c r="R9" s="527">
        <f t="shared" si="3"/>
        <v>0</v>
      </c>
      <c r="S9" s="527">
        <f t="shared" si="3"/>
        <v>0</v>
      </c>
      <c r="T9" s="527">
        <f t="shared" si="3"/>
        <v>0</v>
      </c>
      <c r="U9" s="527">
        <f t="shared" si="3"/>
        <v>0</v>
      </c>
      <c r="V9" s="527">
        <f t="shared" si="3"/>
        <v>0</v>
      </c>
    </row>
    <row r="10" spans="1:22" ht="15">
      <c r="A10" s="225" t="s">
        <v>828</v>
      </c>
      <c r="B10" s="235">
        <v>-21153.969350600004</v>
      </c>
      <c r="C10" s="235">
        <v>-8871.1014739000002</v>
      </c>
      <c r="D10" s="235">
        <v>16303.3298278</v>
      </c>
      <c r="E10" s="235">
        <v>-8774.6486869</v>
      </c>
      <c r="F10" s="235">
        <f t="shared" ref="F10:V10" si="4">F18+F28</f>
        <v>-51600.918247300004</v>
      </c>
      <c r="G10" s="235">
        <f t="shared" si="4"/>
        <v>-36959.270939000009</v>
      </c>
      <c r="H10" s="235">
        <f t="shared" si="4"/>
        <v>-67299.597625800001</v>
      </c>
      <c r="I10" s="235">
        <f t="shared" si="4"/>
        <v>1407.77</v>
      </c>
      <c r="J10" s="235">
        <f t="shared" si="4"/>
        <v>-10081.199999999999</v>
      </c>
      <c r="K10" s="235">
        <f t="shared" si="4"/>
        <v>35920.199999999997</v>
      </c>
      <c r="L10" s="235">
        <f t="shared" si="4"/>
        <v>24413</v>
      </c>
      <c r="M10" s="235">
        <f t="shared" si="4"/>
        <v>12849.199999999999</v>
      </c>
      <c r="N10" s="235">
        <f t="shared" si="4"/>
        <v>-3035.0445135028003</v>
      </c>
      <c r="O10" s="235">
        <f t="shared" si="4"/>
        <v>-2939.6947272782309</v>
      </c>
      <c r="P10" s="235">
        <f t="shared" si="4"/>
        <v>-8336.1422211087865</v>
      </c>
      <c r="Q10" s="235">
        <f t="shared" si="4"/>
        <v>0</v>
      </c>
      <c r="R10" s="235">
        <f t="shared" si="4"/>
        <v>0</v>
      </c>
      <c r="S10" s="235">
        <f t="shared" si="4"/>
        <v>0</v>
      </c>
      <c r="T10" s="235">
        <f t="shared" si="4"/>
        <v>0</v>
      </c>
      <c r="U10" s="235">
        <f t="shared" si="4"/>
        <v>0</v>
      </c>
      <c r="V10" s="235">
        <f t="shared" si="4"/>
        <v>0</v>
      </c>
    </row>
    <row r="11" spans="1:22">
      <c r="A11" s="532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</row>
    <row r="12" spans="1:22">
      <c r="A12" s="532"/>
      <c r="B12" s="532"/>
      <c r="C12" s="532"/>
      <c r="D12" s="532"/>
      <c r="E12" s="532"/>
      <c r="F12" s="532"/>
      <c r="G12" s="532"/>
      <c r="H12" s="532"/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2"/>
      <c r="V12" s="532"/>
    </row>
    <row r="13" spans="1:22" ht="24.4" customHeight="1">
      <c r="A13" s="625" t="s">
        <v>523</v>
      </c>
      <c r="B13" s="626" t="s">
        <v>244</v>
      </c>
      <c r="C13" s="626" t="s">
        <v>245</v>
      </c>
      <c r="D13" s="626" t="s">
        <v>246</v>
      </c>
      <c r="E13" s="626" t="s">
        <v>247</v>
      </c>
      <c r="F13" s="626" t="s">
        <v>248</v>
      </c>
      <c r="G13" s="626" t="s">
        <v>249</v>
      </c>
      <c r="H13" s="626" t="s">
        <v>250</v>
      </c>
      <c r="I13" s="626" t="s">
        <v>215</v>
      </c>
      <c r="J13" s="626" t="s">
        <v>252</v>
      </c>
      <c r="K13" s="626" t="s">
        <v>253</v>
      </c>
      <c r="L13" s="626" t="s">
        <v>254</v>
      </c>
      <c r="M13" s="626" t="s">
        <v>219</v>
      </c>
      <c r="N13" s="626" t="s">
        <v>223</v>
      </c>
      <c r="O13" s="626" t="s">
        <v>256</v>
      </c>
      <c r="P13" s="626" t="s">
        <v>357</v>
      </c>
      <c r="Q13" s="626" t="s">
        <v>358</v>
      </c>
      <c r="R13" s="626" t="s">
        <v>359</v>
      </c>
      <c r="S13" s="626" t="s">
        <v>1115</v>
      </c>
      <c r="T13" s="626" t="s">
        <v>1116</v>
      </c>
      <c r="U13" s="626" t="s">
        <v>1117</v>
      </c>
      <c r="V13" s="733" t="s">
        <v>1124</v>
      </c>
    </row>
    <row r="14" spans="1:22" ht="15">
      <c r="A14" t="s">
        <v>829</v>
      </c>
      <c r="B14" s="527">
        <v>0</v>
      </c>
      <c r="C14" s="527">
        <v>-20305.09</v>
      </c>
      <c r="D14" s="527">
        <v>11025.414000000001</v>
      </c>
      <c r="E14" s="527">
        <v>-5934.0789999999997</v>
      </c>
      <c r="F14" s="527">
        <v>-64545.183470000004</v>
      </c>
      <c r="G14" s="527">
        <v>11793.168680000001</v>
      </c>
      <c r="H14" s="527">
        <v>-37861.16923</v>
      </c>
      <c r="I14" s="527">
        <v>4174</v>
      </c>
      <c r="J14" s="527">
        <v>-731</v>
      </c>
      <c r="K14" s="527">
        <v>23545</v>
      </c>
      <c r="L14" s="527">
        <v>15045</v>
      </c>
      <c r="M14" s="527">
        <v>7042</v>
      </c>
      <c r="N14" s="527">
        <v>-1347.7922859288328</v>
      </c>
      <c r="O14" s="527">
        <v>-1302.8914733592701</v>
      </c>
      <c r="P14" s="527">
        <v>164.620579288101</v>
      </c>
      <c r="Q14" s="527"/>
      <c r="R14" s="527"/>
      <c r="S14" s="527"/>
      <c r="T14" s="527"/>
      <c r="U14" s="527"/>
      <c r="V14" s="527"/>
    </row>
    <row r="15" spans="1:22" ht="15">
      <c r="A15" s="73" t="s">
        <v>825</v>
      </c>
      <c r="B15" s="527">
        <v>0</v>
      </c>
      <c r="C15" s="527">
        <v>0</v>
      </c>
      <c r="D15" s="527">
        <v>0</v>
      </c>
      <c r="E15" s="527">
        <v>0</v>
      </c>
      <c r="F15" s="527">
        <v>0</v>
      </c>
      <c r="G15" s="527">
        <v>-6921.0007800000003</v>
      </c>
      <c r="H15" s="527">
        <v>-7578.9453899999999</v>
      </c>
      <c r="I15" s="527">
        <v>-3179</v>
      </c>
      <c r="J15" s="527">
        <v>-3973</v>
      </c>
      <c r="K15" s="527">
        <v>1584</v>
      </c>
      <c r="L15" s="527">
        <v>1214</v>
      </c>
      <c r="M15" s="527">
        <v>266</v>
      </c>
      <c r="N15" s="527">
        <v>-659.34218731398653</v>
      </c>
      <c r="O15" s="527">
        <v>-641.98999821660198</v>
      </c>
      <c r="P15" s="527">
        <v>-5559.8576144694125</v>
      </c>
      <c r="Q15" s="527"/>
      <c r="R15" s="527"/>
      <c r="S15" s="527"/>
      <c r="T15" s="527"/>
      <c r="U15" s="527"/>
      <c r="V15" s="527"/>
    </row>
    <row r="16" spans="1:22" ht="15">
      <c r="A16" s="225" t="s">
        <v>826</v>
      </c>
      <c r="B16" s="235">
        <v>0</v>
      </c>
      <c r="C16" s="235">
        <f t="shared" ref="C16:E16" si="5">SUM(C14:C15)</f>
        <v>-20305.09</v>
      </c>
      <c r="D16" s="235">
        <f t="shared" si="5"/>
        <v>11025.414000000001</v>
      </c>
      <c r="E16" s="235">
        <f t="shared" si="5"/>
        <v>-5934.0789999999997</v>
      </c>
      <c r="F16" s="235">
        <f>SUM(F14:F15)</f>
        <v>-64545.183470000004</v>
      </c>
      <c r="G16" s="235">
        <f>SUM(G14:G15)</f>
        <v>4872.1679000000004</v>
      </c>
      <c r="H16" s="235">
        <f>SUM(H14:H15)</f>
        <v>-45440.11462</v>
      </c>
      <c r="I16" s="235">
        <f>SUM(I14:I15)</f>
        <v>995</v>
      </c>
      <c r="J16" s="235">
        <f>SUM(J14:J15)</f>
        <v>-4704</v>
      </c>
      <c r="K16" s="235">
        <f t="shared" ref="K16:M16" si="6">SUM(K14:K15)</f>
        <v>25129</v>
      </c>
      <c r="L16" s="235">
        <f t="shared" si="6"/>
        <v>16259</v>
      </c>
      <c r="M16" s="235">
        <f t="shared" si="6"/>
        <v>7308</v>
      </c>
      <c r="N16" s="235">
        <f t="shared" ref="N16:U16" si="7">SUM(N14:N15)</f>
        <v>-2007.1344732428192</v>
      </c>
      <c r="O16" s="235">
        <f t="shared" si="7"/>
        <v>-1944.8814715758722</v>
      </c>
      <c r="P16" s="235">
        <f t="shared" si="7"/>
        <v>-5395.2370351813115</v>
      </c>
      <c r="Q16" s="235">
        <f t="shared" si="7"/>
        <v>0</v>
      </c>
      <c r="R16" s="235">
        <f t="shared" si="7"/>
        <v>0</v>
      </c>
      <c r="S16" s="235">
        <f t="shared" si="7"/>
        <v>0</v>
      </c>
      <c r="T16" s="235">
        <f t="shared" si="7"/>
        <v>0</v>
      </c>
      <c r="U16" s="235">
        <f t="shared" si="7"/>
        <v>0</v>
      </c>
      <c r="V16" s="235">
        <f>SUM(V14:V15)</f>
        <v>0</v>
      </c>
    </row>
    <row r="17" spans="1:24" ht="15">
      <c r="A17" t="s">
        <v>827</v>
      </c>
      <c r="B17" s="527">
        <v>0</v>
      </c>
      <c r="C17" s="527">
        <v>8325.0869000000002</v>
      </c>
      <c r="D17" s="527">
        <v>-4520.4197400000003</v>
      </c>
      <c r="E17" s="527">
        <v>2432.9723899999999</v>
      </c>
      <c r="F17" s="527">
        <v>26463.525222699998</v>
      </c>
      <c r="G17" s="527">
        <v>-1997.588839</v>
      </c>
      <c r="H17" s="527">
        <v>18630.4469942</v>
      </c>
      <c r="I17" s="527">
        <v>-411.35999999999996</v>
      </c>
      <c r="J17" s="527">
        <v>387.60000000000014</v>
      </c>
      <c r="K17" s="527">
        <v>-10051.6</v>
      </c>
      <c r="L17" s="527">
        <v>-6503.6</v>
      </c>
      <c r="M17" s="527">
        <v>-2923.2000000000003</v>
      </c>
      <c r="N17" s="527">
        <v>802.85378929712772</v>
      </c>
      <c r="O17" s="527">
        <v>777.95258863034894</v>
      </c>
      <c r="P17" s="527">
        <v>2158.0948140725245</v>
      </c>
      <c r="Q17" s="527"/>
      <c r="R17" s="527"/>
      <c r="S17" s="527"/>
      <c r="T17" s="527"/>
      <c r="U17" s="527"/>
      <c r="V17" s="527"/>
    </row>
    <row r="18" spans="1:24" ht="15">
      <c r="A18" s="225" t="s">
        <v>830</v>
      </c>
      <c r="B18" s="235">
        <v>0</v>
      </c>
      <c r="C18" s="235">
        <f t="shared" ref="C18:H18" si="8">SUM(C16:C17)</f>
        <v>-11980.0031</v>
      </c>
      <c r="D18" s="235">
        <f t="shared" si="8"/>
        <v>6504.9942600000004</v>
      </c>
      <c r="E18" s="235">
        <f t="shared" si="8"/>
        <v>-3501.1066099999998</v>
      </c>
      <c r="F18" s="235">
        <f t="shared" si="8"/>
        <v>-38081.658247300002</v>
      </c>
      <c r="G18" s="235">
        <f t="shared" si="8"/>
        <v>2874.5790610000004</v>
      </c>
      <c r="H18" s="235">
        <f t="shared" si="8"/>
        <v>-26809.667625800001</v>
      </c>
      <c r="I18" s="235">
        <f>SUM(I16:I17)</f>
        <v>583.6400000000001</v>
      </c>
      <c r="J18" s="235">
        <f>SUM(J16:J17)</f>
        <v>-4316.3999999999996</v>
      </c>
      <c r="K18" s="235">
        <f t="shared" ref="K18:M18" si="9">SUM(K16:K17)</f>
        <v>15077.4</v>
      </c>
      <c r="L18" s="235">
        <f t="shared" si="9"/>
        <v>9755.4</v>
      </c>
      <c r="M18" s="235">
        <f t="shared" si="9"/>
        <v>4384.7999999999993</v>
      </c>
      <c r="N18" s="235">
        <f t="shared" ref="N18:U18" si="10">SUM(N16:N17)</f>
        <v>-1204.2806839456916</v>
      </c>
      <c r="O18" s="235">
        <f t="shared" si="10"/>
        <v>-1166.9288829455231</v>
      </c>
      <c r="P18" s="235">
        <f t="shared" si="10"/>
        <v>-3237.142221108787</v>
      </c>
      <c r="Q18" s="235">
        <f t="shared" si="10"/>
        <v>0</v>
      </c>
      <c r="R18" s="235">
        <f t="shared" si="10"/>
        <v>0</v>
      </c>
      <c r="S18" s="235">
        <f t="shared" si="10"/>
        <v>0</v>
      </c>
      <c r="T18" s="235">
        <f t="shared" si="10"/>
        <v>0</v>
      </c>
      <c r="U18" s="235">
        <f t="shared" si="10"/>
        <v>0</v>
      </c>
      <c r="V18" s="235">
        <f t="shared" ref="V18" si="11">SUM(V16:V17)</f>
        <v>0</v>
      </c>
    </row>
    <row r="19" spans="1:24">
      <c r="A19" s="233" t="s">
        <v>831</v>
      </c>
      <c r="B19" s="532"/>
      <c r="C19" s="532"/>
      <c r="D19" s="532"/>
      <c r="E19" s="532"/>
      <c r="F19" s="532"/>
      <c r="G19" s="532"/>
      <c r="H19" s="532"/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</row>
    <row r="20" spans="1:24">
      <c r="A20" s="532"/>
      <c r="B20" s="532"/>
      <c r="C20" s="532"/>
      <c r="D20" s="532"/>
      <c r="E20" s="532"/>
      <c r="F20" s="532"/>
      <c r="G20" s="532"/>
      <c r="H20" s="532"/>
      <c r="I20" s="532"/>
      <c r="J20" s="532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</row>
    <row r="21" spans="1:24">
      <c r="A21" s="532"/>
      <c r="B21" s="532"/>
      <c r="C21" s="532"/>
      <c r="D21" s="532"/>
      <c r="E21" s="532"/>
      <c r="F21" s="532"/>
      <c r="G21" s="532"/>
      <c r="H21" s="532"/>
      <c r="I21" s="532"/>
      <c r="J21" s="532"/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32"/>
    </row>
    <row r="22" spans="1:24">
      <c r="A22" s="532"/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</row>
    <row r="23" spans="1:24" ht="24.4" customHeight="1">
      <c r="A23" s="625" t="s">
        <v>521</v>
      </c>
      <c r="B23" s="626" t="s">
        <v>244</v>
      </c>
      <c r="C23" s="626" t="s">
        <v>245</v>
      </c>
      <c r="D23" s="626" t="s">
        <v>246</v>
      </c>
      <c r="E23" s="626" t="s">
        <v>247</v>
      </c>
      <c r="F23" s="626" t="s">
        <v>248</v>
      </c>
      <c r="G23" s="626" t="s">
        <v>249</v>
      </c>
      <c r="H23" s="626" t="s">
        <v>250</v>
      </c>
      <c r="I23" s="626" t="s">
        <v>215</v>
      </c>
      <c r="J23" s="626" t="s">
        <v>252</v>
      </c>
      <c r="K23" s="626" t="s">
        <v>253</v>
      </c>
      <c r="L23" s="626" t="s">
        <v>254</v>
      </c>
      <c r="M23" s="626" t="s">
        <v>219</v>
      </c>
      <c r="N23" s="626" t="s">
        <v>223</v>
      </c>
      <c r="O23" s="626" t="s">
        <v>256</v>
      </c>
      <c r="P23" s="626" t="s">
        <v>357</v>
      </c>
      <c r="Q23" s="626" t="s">
        <v>358</v>
      </c>
      <c r="R23" s="626" t="s">
        <v>359</v>
      </c>
      <c r="S23" s="626" t="s">
        <v>1115</v>
      </c>
      <c r="T23" s="626" t="s">
        <v>1116</v>
      </c>
      <c r="U23" s="626" t="s">
        <v>1117</v>
      </c>
      <c r="V23" s="733" t="s">
        <v>1124</v>
      </c>
    </row>
    <row r="24" spans="1:24" ht="15">
      <c r="A24" t="s">
        <v>832</v>
      </c>
      <c r="B24" s="527">
        <v>-35854.185340000004</v>
      </c>
      <c r="C24" s="527">
        <v>5269.3247899999997</v>
      </c>
      <c r="D24" s="527">
        <v>16607.348419999998</v>
      </c>
      <c r="E24" s="527">
        <v>-8938.2069100000008</v>
      </c>
      <c r="F24" s="527">
        <v>-22914</v>
      </c>
      <c r="G24" s="527">
        <v>-57040</v>
      </c>
      <c r="H24" s="527">
        <v>-57174</v>
      </c>
      <c r="I24" s="527">
        <v>6227</v>
      </c>
      <c r="J24" s="527">
        <v>-1107</v>
      </c>
      <c r="K24" s="527">
        <v>34862</v>
      </c>
      <c r="L24" s="527">
        <v>22637</v>
      </c>
      <c r="M24" s="527">
        <v>13737</v>
      </c>
      <c r="N24" s="527">
        <v>-2046.7931865856592</v>
      </c>
      <c r="O24" s="527">
        <v>-1978</v>
      </c>
      <c r="P24" s="527">
        <v>-2221</v>
      </c>
      <c r="Q24" s="527"/>
      <c r="R24" s="527"/>
      <c r="S24" s="527"/>
      <c r="T24" s="527"/>
      <c r="U24" s="527"/>
      <c r="V24" s="527"/>
    </row>
    <row r="25" spans="1:24" ht="15">
      <c r="A25" s="73" t="s">
        <v>825</v>
      </c>
      <c r="B25" s="527">
        <v>0</v>
      </c>
      <c r="C25" s="527">
        <v>0</v>
      </c>
      <c r="D25" s="527">
        <v>0</v>
      </c>
      <c r="E25" s="527">
        <v>0</v>
      </c>
      <c r="F25" s="527">
        <v>0</v>
      </c>
      <c r="G25" s="527">
        <v>-10475</v>
      </c>
      <c r="H25" s="527">
        <v>-11453</v>
      </c>
      <c r="I25" s="527">
        <v>-4822</v>
      </c>
      <c r="J25" s="527">
        <v>-6011</v>
      </c>
      <c r="K25" s="527">
        <v>2366</v>
      </c>
      <c r="L25" s="527">
        <v>1794</v>
      </c>
      <c r="M25" s="527">
        <v>372</v>
      </c>
      <c r="N25" s="527">
        <v>-1002.8131960095224</v>
      </c>
      <c r="O25" s="527">
        <v>-974.94307388784603</v>
      </c>
      <c r="P25" s="527">
        <v>-8429</v>
      </c>
      <c r="Q25" s="527"/>
      <c r="R25" s="527"/>
      <c r="S25" s="527"/>
      <c r="T25" s="527"/>
      <c r="U25" s="527"/>
      <c r="V25" s="527"/>
    </row>
    <row r="26" spans="1:24" ht="15">
      <c r="A26" s="225" t="s">
        <v>826</v>
      </c>
      <c r="B26" s="235">
        <f t="shared" ref="B26:I26" si="12">SUM(B24:B25)</f>
        <v>-35854.185340000004</v>
      </c>
      <c r="C26" s="235">
        <f t="shared" si="12"/>
        <v>5269.3247899999997</v>
      </c>
      <c r="D26" s="235">
        <f t="shared" si="12"/>
        <v>16607.348419999998</v>
      </c>
      <c r="E26" s="235">
        <f t="shared" si="12"/>
        <v>-8938.2069100000008</v>
      </c>
      <c r="F26" s="235">
        <f t="shared" si="12"/>
        <v>-22914</v>
      </c>
      <c r="G26" s="235">
        <f t="shared" si="12"/>
        <v>-67515</v>
      </c>
      <c r="H26" s="235">
        <f t="shared" si="12"/>
        <v>-68627</v>
      </c>
      <c r="I26" s="235">
        <f t="shared" si="12"/>
        <v>1405</v>
      </c>
      <c r="J26" s="235">
        <f>SUM(J24:J25)</f>
        <v>-7118</v>
      </c>
      <c r="K26" s="235">
        <f t="shared" ref="K26:M26" si="13">SUM(K24:K25)</f>
        <v>37228</v>
      </c>
      <c r="L26" s="235">
        <f t="shared" si="13"/>
        <v>24431</v>
      </c>
      <c r="M26" s="235">
        <f t="shared" si="13"/>
        <v>14109</v>
      </c>
      <c r="N26" s="235">
        <f t="shared" ref="N26:U26" si="14">SUM(N24:N25)</f>
        <v>-3049.6063825951815</v>
      </c>
      <c r="O26" s="235">
        <f t="shared" si="14"/>
        <v>-2952.9430738878459</v>
      </c>
      <c r="P26" s="235">
        <f t="shared" si="14"/>
        <v>-10650</v>
      </c>
      <c r="Q26" s="235">
        <f t="shared" si="14"/>
        <v>0</v>
      </c>
      <c r="R26" s="235">
        <f t="shared" si="14"/>
        <v>0</v>
      </c>
      <c r="S26" s="235">
        <f t="shared" si="14"/>
        <v>0</v>
      </c>
      <c r="T26" s="235">
        <f t="shared" si="14"/>
        <v>0</v>
      </c>
      <c r="U26" s="235">
        <f t="shared" si="14"/>
        <v>0</v>
      </c>
      <c r="V26" s="235">
        <f t="shared" ref="V26" si="15">SUM(V24:V25)</f>
        <v>0</v>
      </c>
    </row>
    <row r="27" spans="1:24" ht="15">
      <c r="A27" t="s">
        <v>827</v>
      </c>
      <c r="B27" s="527">
        <v>14700.215989400001</v>
      </c>
      <c r="C27" s="527">
        <v>-2160.4231638999995</v>
      </c>
      <c r="D27" s="527">
        <v>-6809.0128521999986</v>
      </c>
      <c r="E27" s="527">
        <v>3664.6648331000001</v>
      </c>
      <c r="F27" s="527">
        <v>9394.74</v>
      </c>
      <c r="G27" s="527">
        <v>27681.149999999998</v>
      </c>
      <c r="H27" s="527">
        <v>28137.07</v>
      </c>
      <c r="I27" s="527">
        <v>-580.87</v>
      </c>
      <c r="J27" s="527">
        <v>1353.2000000000003</v>
      </c>
      <c r="K27" s="527">
        <v>-16385.2</v>
      </c>
      <c r="L27" s="527">
        <v>-9773.4</v>
      </c>
      <c r="M27" s="527">
        <v>-5644.6</v>
      </c>
      <c r="N27" s="527">
        <v>1218.8425530380725</v>
      </c>
      <c r="O27" s="527">
        <v>1180.1772295551384</v>
      </c>
      <c r="P27" s="527">
        <v>5551</v>
      </c>
      <c r="Q27" s="527"/>
      <c r="R27" s="527"/>
      <c r="S27" s="527"/>
      <c r="T27" s="527"/>
      <c r="U27" s="527"/>
      <c r="V27" s="527"/>
    </row>
    <row r="28" spans="1:24" ht="15">
      <c r="A28" s="225" t="s">
        <v>833</v>
      </c>
      <c r="B28" s="235">
        <f t="shared" ref="B28:I28" si="16">SUM(B26:B27)</f>
        <v>-21153.969350600004</v>
      </c>
      <c r="C28" s="235">
        <f t="shared" si="16"/>
        <v>3108.9016261000002</v>
      </c>
      <c r="D28" s="235">
        <f t="shared" si="16"/>
        <v>9798.3355678000007</v>
      </c>
      <c r="E28" s="235">
        <f t="shared" si="16"/>
        <v>-5273.5420769000011</v>
      </c>
      <c r="F28" s="235">
        <f t="shared" si="16"/>
        <v>-13519.26</v>
      </c>
      <c r="G28" s="235">
        <f t="shared" si="16"/>
        <v>-39833.850000000006</v>
      </c>
      <c r="H28" s="235">
        <f t="shared" si="16"/>
        <v>-40489.93</v>
      </c>
      <c r="I28" s="235">
        <f t="shared" si="16"/>
        <v>824.13</v>
      </c>
      <c r="J28" s="235">
        <f>SUM(J26:J27)</f>
        <v>-5764.7999999999993</v>
      </c>
      <c r="K28" s="235">
        <f t="shared" ref="K28:M28" si="17">SUM(K26:K27)</f>
        <v>20842.8</v>
      </c>
      <c r="L28" s="235">
        <f t="shared" si="17"/>
        <v>14657.6</v>
      </c>
      <c r="M28" s="235">
        <f t="shared" si="17"/>
        <v>8464.4</v>
      </c>
      <c r="N28" s="235">
        <f t="shared" ref="N28:U28" si="18">SUM(N26:N27)</f>
        <v>-1830.7638295571089</v>
      </c>
      <c r="O28" s="235">
        <f t="shared" si="18"/>
        <v>-1772.7658443327075</v>
      </c>
      <c r="P28" s="235">
        <f t="shared" si="18"/>
        <v>-5099</v>
      </c>
      <c r="Q28" s="235">
        <f t="shared" si="18"/>
        <v>0</v>
      </c>
      <c r="R28" s="235">
        <f t="shared" si="18"/>
        <v>0</v>
      </c>
      <c r="S28" s="235">
        <f t="shared" si="18"/>
        <v>0</v>
      </c>
      <c r="T28" s="235">
        <f t="shared" si="18"/>
        <v>0</v>
      </c>
      <c r="U28" s="235">
        <f t="shared" si="18"/>
        <v>0</v>
      </c>
      <c r="V28" s="235">
        <f t="shared" ref="V28" si="19">SUM(V26:V27)</f>
        <v>0</v>
      </c>
    </row>
    <row r="29" spans="1:24">
      <c r="A29" s="233" t="s">
        <v>834</v>
      </c>
      <c r="B29" s="532"/>
      <c r="C29" s="532"/>
      <c r="D29" s="532"/>
      <c r="E29" s="532"/>
      <c r="F29" s="532"/>
      <c r="G29" s="532"/>
      <c r="H29" s="532"/>
      <c r="I29" s="532"/>
      <c r="J29" s="532"/>
      <c r="K29" s="532"/>
      <c r="L29" s="532"/>
      <c r="M29" s="532"/>
      <c r="N29" s="532"/>
      <c r="O29" s="532"/>
      <c r="P29" s="532"/>
      <c r="Q29" s="532"/>
      <c r="R29" s="532"/>
      <c r="S29" s="532"/>
      <c r="T29" s="532"/>
      <c r="U29" s="532"/>
      <c r="V29" s="532"/>
      <c r="W29" s="570"/>
    </row>
    <row r="30" spans="1:24">
      <c r="A30" s="532"/>
      <c r="B30" s="532"/>
      <c r="C30" s="532"/>
      <c r="D30" s="532"/>
      <c r="E30" s="532"/>
      <c r="F30" s="532"/>
      <c r="G30" s="532"/>
      <c r="H30" s="532"/>
      <c r="I30" s="532"/>
      <c r="J30" s="532"/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  <c r="V30" s="532"/>
      <c r="W30" s="570"/>
      <c r="X30" s="570"/>
    </row>
    <row r="31" spans="1:24">
      <c r="A31" s="532"/>
      <c r="B31" s="532"/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70"/>
    </row>
    <row r="32" spans="1:24">
      <c r="A32" s="532"/>
      <c r="B32" s="532"/>
      <c r="C32" s="532"/>
      <c r="D32" s="532"/>
      <c r="E32" s="532"/>
      <c r="F32" s="532"/>
      <c r="G32" s="532"/>
      <c r="H32" s="532"/>
      <c r="I32" s="532"/>
      <c r="J32" s="532"/>
      <c r="K32" s="532"/>
      <c r="L32" s="532"/>
      <c r="M32" s="532"/>
      <c r="N32" s="532"/>
      <c r="O32" s="532"/>
      <c r="P32" s="532"/>
      <c r="Q32" s="532"/>
      <c r="R32" s="532"/>
      <c r="S32" s="532"/>
      <c r="T32" s="532"/>
      <c r="U32" s="532"/>
      <c r="V32" s="532"/>
    </row>
    <row r="33" spans="1:24" ht="24.4" customHeight="1">
      <c r="A33" s="625" t="s">
        <v>835</v>
      </c>
      <c r="B33" s="626" t="s">
        <v>244</v>
      </c>
      <c r="C33" s="626" t="s">
        <v>245</v>
      </c>
      <c r="D33" s="626" t="s">
        <v>246</v>
      </c>
      <c r="E33" s="626" t="s">
        <v>247</v>
      </c>
      <c r="F33" s="626" t="s">
        <v>248</v>
      </c>
      <c r="G33" s="626" t="s">
        <v>249</v>
      </c>
      <c r="H33" s="626" t="s">
        <v>250</v>
      </c>
      <c r="I33" s="626" t="s">
        <v>215</v>
      </c>
      <c r="J33" s="626" t="s">
        <v>252</v>
      </c>
      <c r="K33" s="626" t="s">
        <v>253</v>
      </c>
      <c r="L33" s="626" t="s">
        <v>254</v>
      </c>
      <c r="M33" s="626" t="s">
        <v>219</v>
      </c>
      <c r="N33" s="626" t="s">
        <v>223</v>
      </c>
      <c r="O33" s="626" t="s">
        <v>256</v>
      </c>
      <c r="P33" s="626" t="s">
        <v>357</v>
      </c>
      <c r="Q33" s="626" t="s">
        <v>358</v>
      </c>
      <c r="R33" s="626" t="s">
        <v>359</v>
      </c>
      <c r="S33" s="626" t="s">
        <v>1115</v>
      </c>
      <c r="T33" s="626" t="s">
        <v>1116</v>
      </c>
      <c r="U33" s="626" t="s">
        <v>1117</v>
      </c>
      <c r="V33" s="733" t="s">
        <v>1124</v>
      </c>
    </row>
    <row r="34" spans="1:24" ht="15">
      <c r="A34" s="225" t="s">
        <v>774</v>
      </c>
      <c r="B34" s="235">
        <f>'Desempenho Acumulação'!AA6</f>
        <v>7409300.5753699997</v>
      </c>
      <c r="C34" s="235">
        <f>'Desempenho Acumulação'!AB6</f>
        <v>7775872.8756799996</v>
      </c>
      <c r="D34" s="235">
        <f>'Desempenho Acumulação'!AC6</f>
        <v>7910503.3983000005</v>
      </c>
      <c r="E34" s="235">
        <f>'Desempenho Acumulação'!AD6</f>
        <v>9156501.6232499983</v>
      </c>
      <c r="F34" s="235">
        <f>'Desempenho Acumulação'!AF6</f>
        <v>8482819.4517899994</v>
      </c>
      <c r="G34" s="235">
        <f>'Desempenho Acumulação'!AG6</f>
        <v>8634567.7967400011</v>
      </c>
      <c r="H34" s="235">
        <f>'Desempenho Acumulação'!AH6</f>
        <v>8502364.4296099991</v>
      </c>
      <c r="I34" s="235">
        <f>'Desempenho Acumulação'!AI6</f>
        <v>5727605.234459999</v>
      </c>
      <c r="J34" s="235">
        <f>'Desempenho Acumulação'!AK6</f>
        <v>6287922.2304199999</v>
      </c>
      <c r="K34" s="235">
        <f>'Desempenho Acumulação'!AL6</f>
        <v>6520233.7278999994</v>
      </c>
      <c r="L34" s="235">
        <f>'Desempenho Acumulação'!AM6</f>
        <v>6570651.2854599999</v>
      </c>
      <c r="M34" s="235">
        <f>'Desempenho Acumulação'!AN6</f>
        <v>6049293.5280400002</v>
      </c>
      <c r="N34" s="235">
        <f>'Desempenho Acumulação'!AP6</f>
        <v>6441987</v>
      </c>
      <c r="O34" s="235">
        <f>'Desempenho Acumulação'!AQ6</f>
        <v>6003210</v>
      </c>
      <c r="P34" s="235">
        <f>'Desempenho Acumulação'!AR6</f>
        <v>6727816</v>
      </c>
      <c r="Q34" s="235">
        <f>'Desempenho Acumulação'!AS6</f>
        <v>7362720</v>
      </c>
      <c r="R34" s="235">
        <f>'Desempenho Acumulação'!AU6</f>
        <v>6991300</v>
      </c>
      <c r="S34" s="235">
        <f>'Desempenho Acumulação'!AV6</f>
        <v>5689475</v>
      </c>
      <c r="T34" s="235">
        <f>'Desempenho Acumulação'!AW6</f>
        <v>7088437</v>
      </c>
      <c r="U34" s="235">
        <f>'Desempenho Acumulação'!AX6</f>
        <v>6483476</v>
      </c>
      <c r="V34" s="235">
        <f>'Desempenho Acumulação'!AZ6</f>
        <v>6651786</v>
      </c>
    </row>
    <row r="35" spans="1:24" ht="15">
      <c r="A35" s="36" t="s">
        <v>775</v>
      </c>
      <c r="B35" s="527">
        <v>7371705.3895699997</v>
      </c>
      <c r="C35" s="527">
        <v>7737737.2083199993</v>
      </c>
      <c r="D35" s="527">
        <v>7871224.1222199993</v>
      </c>
      <c r="E35" s="527">
        <v>9115536.4638000019</v>
      </c>
      <c r="F35" s="527">
        <f>'Desempenho Acumulação'!AF7</f>
        <v>8442586.6142100003</v>
      </c>
      <c r="G35" s="527">
        <f>'Desempenho Acumulação'!AG7</f>
        <v>8592893.4497200008</v>
      </c>
      <c r="H35" s="527">
        <f>'Desempenho Acumulação'!AH7</f>
        <v>8460730.73594</v>
      </c>
      <c r="I35" s="527">
        <f>'Desempenho Acumulação'!AI7</f>
        <v>5685634.1959699998</v>
      </c>
      <c r="J35" s="527">
        <f>'Desempenho Acumulação'!AK7</f>
        <v>6246809.0773299998</v>
      </c>
      <c r="K35" s="527">
        <f>'Desempenho Acumulação'!AL7</f>
        <v>6478923.4879099997</v>
      </c>
      <c r="L35" s="527">
        <f>'Desempenho Acumulação'!AM7</f>
        <v>6528761.69704</v>
      </c>
      <c r="M35" s="527">
        <f>'Desempenho Acumulação'!AN7</f>
        <v>6007835.5417499999</v>
      </c>
      <c r="N35" s="527">
        <f>'Desempenho Acumulação'!AP7</f>
        <v>6401413</v>
      </c>
      <c r="O35" s="527">
        <f>'Desempenho Acumulação'!AQ7</f>
        <v>5963198</v>
      </c>
      <c r="P35" s="527">
        <f>'Desempenho Acumulação'!AR7</f>
        <v>6688094</v>
      </c>
      <c r="Q35" s="527">
        <f>'Desempenho Acumulação'!AS7</f>
        <v>7323617</v>
      </c>
      <c r="R35" s="527">
        <f>'Desempenho Acumulação'!AU7</f>
        <v>6953452</v>
      </c>
      <c r="S35" s="527">
        <f>'Desempenho Acumulação'!AV7</f>
        <v>5652132</v>
      </c>
      <c r="T35" s="527">
        <f>'Desempenho Acumulação'!AW7</f>
        <v>7051216</v>
      </c>
      <c r="U35" s="527">
        <f>'Desempenho Acumulação'!AX7</f>
        <v>6446632</v>
      </c>
      <c r="V35" s="527">
        <f>'Desempenho Acumulação'!AZ7</f>
        <v>6616065</v>
      </c>
    </row>
    <row r="36" spans="1:24" ht="15">
      <c r="A36" s="36" t="s">
        <v>776</v>
      </c>
      <c r="B36" s="527">
        <v>37595.185799999999</v>
      </c>
      <c r="C36" s="527">
        <v>38135.667359999999</v>
      </c>
      <c r="D36" s="527">
        <v>39279.276079999996</v>
      </c>
      <c r="E36" s="527">
        <v>40965.159450000006</v>
      </c>
      <c r="F36" s="527">
        <f>'Desempenho Acumulação'!AF8</f>
        <v>40232.837579999999</v>
      </c>
      <c r="G36" s="527">
        <f>'Desempenho Acumulação'!AG8</f>
        <v>41674.347020000001</v>
      </c>
      <c r="H36" s="527">
        <f>'Desempenho Acumulação'!AH8</f>
        <v>41633.693670000001</v>
      </c>
      <c r="I36" s="527">
        <f>'Desempenho Acumulação'!AI8</f>
        <v>41971.038489999992</v>
      </c>
      <c r="J36" s="527">
        <f>'Desempenho Acumulação'!AK8</f>
        <v>41113.153090000007</v>
      </c>
      <c r="K36" s="527">
        <f>'Desempenho Acumulação'!AL8</f>
        <v>41310.239989999995</v>
      </c>
      <c r="L36" s="527">
        <f>'Desempenho Acumulação'!AM8</f>
        <v>41889.58842</v>
      </c>
      <c r="M36" s="527">
        <f>'Desempenho Acumulação'!AN8</f>
        <v>41457.986290000001</v>
      </c>
      <c r="N36" s="527">
        <f>'Desempenho Acumulação'!AP8</f>
        <v>40574</v>
      </c>
      <c r="O36" s="527">
        <f>'Desempenho Acumulação'!AQ8</f>
        <v>40012</v>
      </c>
      <c r="P36" s="527">
        <f>'Desempenho Acumulação'!AR8</f>
        <v>39722</v>
      </c>
      <c r="Q36" s="527">
        <f>'Desempenho Acumulação'!AS8</f>
        <v>39103</v>
      </c>
      <c r="R36" s="527">
        <f>'Desempenho Acumulação'!AU8</f>
        <v>37848</v>
      </c>
      <c r="S36" s="527">
        <f>'Desempenho Acumulação'!AV8</f>
        <v>37343</v>
      </c>
      <c r="T36" s="527">
        <f>'Desempenho Acumulação'!AW8</f>
        <v>37221</v>
      </c>
      <c r="U36" s="527">
        <f>'Desempenho Acumulação'!AX8</f>
        <v>36844</v>
      </c>
      <c r="V36" s="527">
        <f>'Desempenho Acumulação'!AZ8</f>
        <v>35721</v>
      </c>
    </row>
    <row r="37" spans="1:24" ht="15">
      <c r="A37" s="36" t="s">
        <v>836</v>
      </c>
      <c r="B37" s="527">
        <v>-7369536.3632399989</v>
      </c>
      <c r="C37" s="527">
        <v>-7736594.2559700012</v>
      </c>
      <c r="D37" s="527">
        <v>-7870463.3040199988</v>
      </c>
      <c r="E37" s="527">
        <v>-9114594.0942099988</v>
      </c>
      <c r="F37" s="527">
        <f>'Desempenho Acumulação'!AF9</f>
        <v>-8441171.8335300013</v>
      </c>
      <c r="G37" s="527">
        <f>'Desempenho Acumulação'!AG9</f>
        <v>-8584901.9965700004</v>
      </c>
      <c r="H37" s="527">
        <f>'Desempenho Acumulação'!AH9</f>
        <v>-8457242.4859499987</v>
      </c>
      <c r="I37" s="527">
        <f>'Desempenho Acumulação'!AI9</f>
        <v>-5682799.7601300003</v>
      </c>
      <c r="J37" s="527">
        <f>'Desempenho Acumulação'!AK9</f>
        <v>-6245270.1744199991</v>
      </c>
      <c r="K37" s="527">
        <f>'Desempenho Acumulação'!AL9</f>
        <v>-6488891.1645999998</v>
      </c>
      <c r="L37" s="527">
        <f>'Desempenho Acumulação'!AM9</f>
        <v>-6527440.0269999998</v>
      </c>
      <c r="M37" s="527">
        <f>'Desempenho Acumulação'!AN9</f>
        <v>-6006133.8215100011</v>
      </c>
      <c r="N37" s="527">
        <f>'Desempenho Acumulação'!AP9</f>
        <v>-6398996.4994799998</v>
      </c>
      <c r="O37" s="527">
        <f>'Desempenho Acumulação'!AQ9</f>
        <v>-5968769.9771699999</v>
      </c>
      <c r="P37" s="527">
        <f>'Desempenho Acumulação'!AR9</f>
        <v>-6687272.1212199992</v>
      </c>
      <c r="Q37" s="527">
        <f>'Desempenho Acumulação'!AS9</f>
        <v>-7322306.9570000004</v>
      </c>
      <c r="R37" s="527">
        <f>'Desempenho Acumulação'!AU9</f>
        <v>-6950152.6280499985</v>
      </c>
      <c r="S37" s="527">
        <f>'Desempenho Acumulação'!AV9</f>
        <v>-5647925.9826999996</v>
      </c>
      <c r="T37" s="527">
        <f>'Desempenho Acumulação'!AW9</f>
        <v>-7051125.6486299997</v>
      </c>
      <c r="U37" s="527">
        <f>'Desempenho Acumulação'!AX9</f>
        <v>-6446018.1484700004</v>
      </c>
      <c r="V37" s="527">
        <f>'Desempenho Acumulação'!AZ9</f>
        <v>-6613714.0324399984</v>
      </c>
    </row>
    <row r="38" spans="1:24" ht="15">
      <c r="A38" s="225" t="s">
        <v>837</v>
      </c>
      <c r="B38" s="235">
        <v>39764.212130000815</v>
      </c>
      <c r="C38" s="235">
        <v>39278.619709998369</v>
      </c>
      <c r="D38" s="235">
        <v>40040.094280000776</v>
      </c>
      <c r="E38" s="235">
        <v>41907.529040003195</v>
      </c>
      <c r="F38" s="235">
        <f t="shared" ref="F38:J38" si="20">SUM(F35:F37)</f>
        <v>41647.618259998038</v>
      </c>
      <c r="G38" s="235">
        <f t="shared" si="20"/>
        <v>49665.800170000643</v>
      </c>
      <c r="H38" s="235">
        <f t="shared" si="20"/>
        <v>45121.943660002202</v>
      </c>
      <c r="I38" s="235">
        <f t="shared" si="20"/>
        <v>44805.474329999648</v>
      </c>
      <c r="J38" s="235">
        <f t="shared" si="20"/>
        <v>42652.056000000797</v>
      </c>
      <c r="K38" s="235">
        <f t="shared" ref="K38:L38" si="21">SUM(K35:K37)</f>
        <v>31342.563299999572</v>
      </c>
      <c r="L38" s="235">
        <f t="shared" si="21"/>
        <v>43211.258460000157</v>
      </c>
      <c r="M38" s="235">
        <f t="shared" ref="M38:N38" si="22">SUM(M35:M37)</f>
        <v>43159.706529999152</v>
      </c>
      <c r="N38" s="235">
        <f t="shared" si="22"/>
        <v>42990.500520000234</v>
      </c>
      <c r="O38" s="235">
        <f t="shared" ref="O38:R38" si="23">SUM(O35:O37)</f>
        <v>34440.022830000147</v>
      </c>
      <c r="P38" s="235">
        <f t="shared" si="23"/>
        <v>40543.878780000843</v>
      </c>
      <c r="Q38" s="235">
        <f t="shared" si="23"/>
        <v>40413.042999999598</v>
      </c>
      <c r="R38" s="235">
        <f t="shared" si="23"/>
        <v>41147.371950001456</v>
      </c>
      <c r="S38" s="235">
        <f>SUM(S35:S37)</f>
        <v>41549.017300000414</v>
      </c>
      <c r="T38" s="235">
        <f t="shared" ref="T38:V38" si="24">SUM(T35:T37)</f>
        <v>37311.35137000028</v>
      </c>
      <c r="U38" s="235">
        <f t="shared" si="24"/>
        <v>37457.851529999636</v>
      </c>
      <c r="V38" s="235">
        <f t="shared" si="24"/>
        <v>38071.967560001649</v>
      </c>
    </row>
    <row r="39" spans="1:24" ht="15">
      <c r="A39" s="36" t="s">
        <v>779</v>
      </c>
      <c r="B39" s="527">
        <v>278442.37063000002</v>
      </c>
      <c r="C39" s="527">
        <v>291308.83288</v>
      </c>
      <c r="D39" s="527">
        <v>322219.94580999995</v>
      </c>
      <c r="E39" s="527">
        <v>322081.65496000001</v>
      </c>
      <c r="F39" s="527">
        <f>'Desempenho Acumulação'!AF11</f>
        <v>334069.78087000002</v>
      </c>
      <c r="G39" s="527">
        <f>'Desempenho Acumulação'!AG11</f>
        <v>349233.65935999999</v>
      </c>
      <c r="H39" s="527">
        <f>'Desempenho Acumulação'!AH11</f>
        <v>384436.43377999996</v>
      </c>
      <c r="I39" s="527">
        <f>'Desempenho Acumulação'!AI11</f>
        <v>383548.01058000006</v>
      </c>
      <c r="J39" s="527">
        <f>'Desempenho Acumulação'!AK11</f>
        <v>394935.75427999999</v>
      </c>
      <c r="K39" s="527">
        <f>'Desempenho Acumulação'!AL11</f>
        <v>388315.39500999998</v>
      </c>
      <c r="L39" s="527">
        <f>'Desempenho Acumulação'!AM11</f>
        <v>418794.48100000003</v>
      </c>
      <c r="M39" s="527">
        <f>'Desempenho Acumulação'!AN11</f>
        <v>408439.69044000003</v>
      </c>
      <c r="N39" s="527">
        <f>'Desempenho Acumulação'!AP11</f>
        <v>419247</v>
      </c>
      <c r="O39" s="527">
        <f>'Desempenho Acumulação'!AQ11</f>
        <v>440581</v>
      </c>
      <c r="P39" s="527">
        <f>'Desempenho Acumulação'!AR11</f>
        <v>471062</v>
      </c>
      <c r="Q39" s="527">
        <f>'Desempenho Acumulação'!AS11</f>
        <v>457195</v>
      </c>
      <c r="R39" s="527">
        <f>'Desempenho Acumulação'!AU11</f>
        <v>453046</v>
      </c>
      <c r="S39" s="527">
        <f>'Desempenho Acumulação'!AV11</f>
        <v>462956</v>
      </c>
      <c r="T39" s="527">
        <f>'Desempenho Acumulação'!AW11</f>
        <v>512432</v>
      </c>
      <c r="U39" s="527">
        <f>'Desempenho Acumulação'!AX11</f>
        <v>508870</v>
      </c>
      <c r="V39" s="527">
        <f>'Desempenho Acumulação'!AZ11</f>
        <v>502633</v>
      </c>
    </row>
    <row r="40" spans="1:24" ht="15">
      <c r="A40" s="36" t="s">
        <v>780</v>
      </c>
      <c r="B40" s="527">
        <v>-10376.00145</v>
      </c>
      <c r="C40" s="527">
        <v>-8602.8759200000004</v>
      </c>
      <c r="D40" s="527">
        <v>-12738.797369999998</v>
      </c>
      <c r="E40" s="527">
        <v>-6397.0826299999999</v>
      </c>
      <c r="F40" s="527">
        <f>'Desempenho Acumulação'!AF12</f>
        <v>-10840.72997</v>
      </c>
      <c r="G40" s="527">
        <f>'Desempenho Acumulação'!AG12</f>
        <v>-7153.7171100000005</v>
      </c>
      <c r="H40" s="527">
        <f>'Desempenho Acumulação'!AH12</f>
        <v>-9046.859910000001</v>
      </c>
      <c r="I40" s="527">
        <f>'Desempenho Acumulação'!AI12</f>
        <v>-8834.945310000001</v>
      </c>
      <c r="J40" s="527">
        <f>'Desempenho Acumulação'!AK12</f>
        <v>-5661.7127899999987</v>
      </c>
      <c r="K40" s="527">
        <f>'Desempenho Acumulação'!AL12</f>
        <v>-6553.0553000000009</v>
      </c>
      <c r="L40" s="527">
        <f>'Desempenho Acumulação'!AM12</f>
        <v>-8805.3729999999996</v>
      </c>
      <c r="M40" s="527">
        <f>'Desempenho Acumulação'!AN12</f>
        <v>-9593.593710000001</v>
      </c>
      <c r="N40" s="527">
        <f>'Desempenho Acumulação'!AP12</f>
        <v>-10941.823849999999</v>
      </c>
      <c r="O40" s="527">
        <f>'Desempenho Acumulação'!AQ12</f>
        <v>-9973.9480999999996</v>
      </c>
      <c r="P40" s="527">
        <f>'Desempenho Acumulação'!AR12</f>
        <v>-3277.1596200000004</v>
      </c>
      <c r="Q40" s="527">
        <f>'Desempenho Acumulação'!AS12</f>
        <v>-5974.4390000000003</v>
      </c>
      <c r="R40" s="527">
        <f>'Desempenho Acumulação'!AU12</f>
        <v>-5607.3640600000026</v>
      </c>
      <c r="S40" s="527">
        <f>'Desempenho Acumulação'!AV12</f>
        <v>-7325.4419199999993</v>
      </c>
      <c r="T40" s="527">
        <f>'Desempenho Acumulação'!AW12</f>
        <v>-6701.2761099999998</v>
      </c>
      <c r="U40" s="527">
        <f>'Desempenho Acumulação'!AX12</f>
        <v>-3243.7641699999999</v>
      </c>
      <c r="V40" s="527">
        <f>'Desempenho Acumulação'!AZ12</f>
        <v>-4541.44362</v>
      </c>
    </row>
    <row r="41" spans="1:24" s="584" customFormat="1" ht="15">
      <c r="A41" s="73" t="s">
        <v>838</v>
      </c>
      <c r="B41" s="530">
        <v>-33784.476559999988</v>
      </c>
      <c r="C41" s="530">
        <v>-30749.593010000008</v>
      </c>
      <c r="D41" s="530">
        <v>-40247.531759999998</v>
      </c>
      <c r="E41" s="530">
        <v>-47612.37227</v>
      </c>
      <c r="F41" s="530">
        <f>'Desempenho Acumulação'!AF13-F6</f>
        <v>-29732.63665</v>
      </c>
      <c r="G41" s="530">
        <f>'Desempenho Acumulação'!AG13-G6</f>
        <v>-39850.132150000019</v>
      </c>
      <c r="H41" s="530">
        <f>'Desempenho Acumulação'!AH13-H6</f>
        <v>-45731.359120000008</v>
      </c>
      <c r="I41" s="530">
        <f>'Desempenho Acumulação'!AI13-I6</f>
        <v>-45087.138639999997</v>
      </c>
      <c r="J41" s="530">
        <f>'Desempenho Acumulação'!AK13-J6</f>
        <v>-42845.465089999991</v>
      </c>
      <c r="K41" s="530">
        <f>'Desempenho Acumulação'!AL13-K6</f>
        <v>-45788.43606</v>
      </c>
      <c r="L41" s="530">
        <f>'Desempenho Acumulação'!AM13-L6</f>
        <v>-43835.485000000001</v>
      </c>
      <c r="M41" s="530">
        <f>'Desempenho Acumulação'!AN13-M6</f>
        <v>-44248.603589999999</v>
      </c>
      <c r="N41" s="530">
        <f>'Desempenho Acumulação'!AP13-N6</f>
        <v>-38213.581157485511</v>
      </c>
      <c r="O41" s="530">
        <f>'Desempenho Acumulação'!AQ13-O6</f>
        <v>-40099.712836640734</v>
      </c>
      <c r="P41" s="530">
        <f>'Desempenho Acumulação'!AR13-P6</f>
        <v>-48605.313469288085</v>
      </c>
      <c r="Q41" s="527">
        <f>'Desempenho Acumulação'!AS13-Q6</f>
        <v>-49565.383000000002</v>
      </c>
      <c r="R41" s="527">
        <f>'Desempenho Acumulação'!AU13-V6</f>
        <v>-44214.652789999993</v>
      </c>
      <c r="S41" s="527">
        <f>'Desempenho Acumulação'!AV13-W6</f>
        <v>-45091.337790000005</v>
      </c>
      <c r="T41" s="527">
        <f>'Desempenho Acumulação'!AW13-W6</f>
        <v>-47208.178699999997</v>
      </c>
      <c r="U41" s="527">
        <f>'Desempenho Acumulação'!AX13-X6</f>
        <v>-44463.656589999999</v>
      </c>
      <c r="V41" s="527">
        <f>'Desempenho Acumulação'!AZ13-Y6</f>
        <v>-23347.355780000002</v>
      </c>
      <c r="W41" s="193"/>
      <c r="X41" s="193"/>
    </row>
    <row r="42" spans="1:24" ht="15">
      <c r="A42" s="36" t="s">
        <v>782</v>
      </c>
      <c r="B42" s="527">
        <v>-8008.7745100000011</v>
      </c>
      <c r="C42" s="527">
        <v>-10228.77326</v>
      </c>
      <c r="D42" s="527">
        <v>-12339.570599999999</v>
      </c>
      <c r="E42" s="527">
        <v>-3906.5730599999974</v>
      </c>
      <c r="F42" s="527">
        <f>'Desempenho Acumulação'!AF14</f>
        <v>-3328.2961700000014</v>
      </c>
      <c r="G42" s="527">
        <f>'Desempenho Acumulação'!AG14</f>
        <v>-8360.0613699999976</v>
      </c>
      <c r="H42" s="527">
        <f>'Desempenho Acumulação'!AH14</f>
        <v>-10456.936699999997</v>
      </c>
      <c r="I42" s="527">
        <f>'Desempenho Acumulação'!AI14</f>
        <v>-14416.58844</v>
      </c>
      <c r="J42" s="527">
        <f>'Desempenho Acumulação'!AK14</f>
        <v>-9061.9812700000002</v>
      </c>
      <c r="K42" s="527">
        <f>'Desempenho Acumulação'!AL14</f>
        <v>-12068.13701</v>
      </c>
      <c r="L42" s="527">
        <f>'Desempenho Acumulação'!AM14</f>
        <v>-16060.449000000001</v>
      </c>
      <c r="M42" s="527">
        <f>'Desempenho Acumulação'!AN14</f>
        <v>-13302.484240000002</v>
      </c>
      <c r="N42" s="527">
        <f>'Desempenho Acumulação'!AP14</f>
        <v>-9620.6453499999989</v>
      </c>
      <c r="O42" s="527">
        <f>'Desempenho Acumulação'!AQ14</f>
        <v>-13561.065840000001</v>
      </c>
      <c r="P42" s="527">
        <f>'Desempenho Acumulação'!AR14</f>
        <v>-15282.594180000002</v>
      </c>
      <c r="Q42" s="527">
        <f>'Desempenho Acumulação'!AS14</f>
        <v>-20412.217000000001</v>
      </c>
      <c r="R42" s="527">
        <f>'Desempenho Acumulação'!AU14</f>
        <v>-25304.313029999998</v>
      </c>
      <c r="S42" s="527">
        <f>'Desempenho Acumulação'!AV14</f>
        <v>-10871.346649999999</v>
      </c>
      <c r="T42" s="527">
        <f>'Desempenho Acumulação'!AW14</f>
        <v>-17352.03369</v>
      </c>
      <c r="U42" s="527">
        <f>'Desempenho Acumulação'!AX14</f>
        <v>10650.809730000003</v>
      </c>
      <c r="V42" s="527">
        <f>'Desempenho Acumulação'!AZ14</f>
        <v>-21564.132470000008</v>
      </c>
    </row>
    <row r="43" spans="1:24" ht="15">
      <c r="A43" s="36" t="s">
        <v>709</v>
      </c>
      <c r="B43" s="527">
        <v>-85.46237000000005</v>
      </c>
      <c r="C43" s="527">
        <v>-86.411990000000003</v>
      </c>
      <c r="D43" s="527">
        <v>-60.69117</v>
      </c>
      <c r="E43" s="527">
        <v>-87.36160000000001</v>
      </c>
      <c r="F43" s="527">
        <f>'Desempenho Acumulação'!AF15</f>
        <v>-9.0450900000000001</v>
      </c>
      <c r="G43" s="527">
        <f>'Desempenho Acumulação'!AG15</f>
        <v>0</v>
      </c>
      <c r="H43" s="527">
        <f>'Desempenho Acumulação'!AH15</f>
        <v>0</v>
      </c>
      <c r="I43" s="527">
        <f>'Desempenho Acumulação'!AI15</f>
        <v>0</v>
      </c>
      <c r="J43" s="527">
        <f>'Desempenho Acumulação'!AK15</f>
        <v>0</v>
      </c>
      <c r="K43" s="527">
        <f>'Desempenho Acumulação'!AL15</f>
        <v>0</v>
      </c>
      <c r="L43" s="527">
        <f>'Desempenho Acumulação'!AM15</f>
        <v>0</v>
      </c>
      <c r="M43" s="527">
        <f>'Desempenho Acumulação'!AN15</f>
        <v>0</v>
      </c>
      <c r="N43" s="527">
        <f>'Desempenho Acumulação'!AP15</f>
        <v>0</v>
      </c>
      <c r="O43" s="527">
        <f>'Desempenho Acumulação'!AQ15</f>
        <v>0</v>
      </c>
      <c r="P43" s="527">
        <f>'Desempenho Acumulação'!AR15</f>
        <v>0</v>
      </c>
      <c r="Q43" s="527">
        <f>'Desempenho Acumulação'!AS15</f>
        <v>0</v>
      </c>
      <c r="R43" s="527">
        <f>'Desempenho Acumulação'!AU15</f>
        <v>0</v>
      </c>
      <c r="S43" s="527">
        <f>'Desempenho Acumulação'!AV15</f>
        <v>0</v>
      </c>
      <c r="T43" s="527">
        <f>'Desempenho Acumulação'!AW15</f>
        <v>0</v>
      </c>
      <c r="U43" s="527">
        <f>'Desempenho Acumulação'!AX15</f>
        <v>0</v>
      </c>
      <c r="V43" s="527">
        <f>'Desempenho Acumulação'!AZ15</f>
        <v>0</v>
      </c>
    </row>
    <row r="44" spans="1:24" ht="15">
      <c r="A44" s="225" t="s">
        <v>839</v>
      </c>
      <c r="B44" s="76">
        <v>265951.86787000083</v>
      </c>
      <c r="C44" s="76">
        <v>280919.79840999836</v>
      </c>
      <c r="D44" s="76">
        <v>296873.44919000077</v>
      </c>
      <c r="E44" s="76">
        <v>305985.79444000317</v>
      </c>
      <c r="F44" s="76">
        <f t="shared" ref="F44:H44" si="25">SUM(F38:F43)</f>
        <v>331806.69124999805</v>
      </c>
      <c r="G44" s="76">
        <f t="shared" si="25"/>
        <v>343535.54890000058</v>
      </c>
      <c r="H44" s="76">
        <f t="shared" si="25"/>
        <v>364323.22171000211</v>
      </c>
      <c r="I44" s="76">
        <f t="shared" ref="I44" si="26">SUM(I38:I43)</f>
        <v>360014.81251999969</v>
      </c>
      <c r="J44" s="76">
        <f>SUM(J38:J43)</f>
        <v>380018.65113000077</v>
      </c>
      <c r="K44" s="76">
        <f t="shared" ref="K44:L44" si="27">SUM(K38:K43)</f>
        <v>355248.32993999956</v>
      </c>
      <c r="L44" s="76">
        <f t="shared" si="27"/>
        <v>393304.43246000016</v>
      </c>
      <c r="M44" s="76">
        <f t="shared" ref="M44:N44" si="28">SUM(M38:M43)</f>
        <v>384454.71542999917</v>
      </c>
      <c r="N44" s="76">
        <f t="shared" si="28"/>
        <v>403461.45016251475</v>
      </c>
      <c r="O44" s="76">
        <f t="shared" ref="O44:R44" si="29">SUM(O38:O43)</f>
        <v>411386.29605335946</v>
      </c>
      <c r="P44" s="76">
        <f t="shared" si="29"/>
        <v>444440.81151071272</v>
      </c>
      <c r="Q44" s="76">
        <f t="shared" si="29"/>
        <v>421656.00399999955</v>
      </c>
      <c r="R44" s="76">
        <f t="shared" si="29"/>
        <v>419067.04207000142</v>
      </c>
      <c r="S44" s="76">
        <f>SUM(S38:S43)</f>
        <v>441216.89094000036</v>
      </c>
      <c r="T44" s="76">
        <f t="shared" ref="T44:V44" si="30">SUM(T38:T43)</f>
        <v>478481.8628700003</v>
      </c>
      <c r="U44" s="76">
        <f t="shared" si="30"/>
        <v>509271.24049999961</v>
      </c>
      <c r="V44" s="76">
        <f t="shared" si="30"/>
        <v>491252.03569000162</v>
      </c>
    </row>
    <row r="45" spans="1:24" ht="15">
      <c r="A45" s="236" t="s">
        <v>840</v>
      </c>
      <c r="B45" s="18">
        <v>4.5597389681161487E-3</v>
      </c>
      <c r="C45" s="18">
        <v>4.2498078654174152E-3</v>
      </c>
      <c r="D45" s="18">
        <v>4.5368491260713564E-3</v>
      </c>
      <c r="E45" s="18">
        <v>4.7250753535754827E-3</v>
      </c>
      <c r="F45" s="18">
        <v>4.451283708677211E-3</v>
      </c>
      <c r="G45" s="18">
        <v>4.6056888063445911E-3</v>
      </c>
      <c r="H45" s="18">
        <v>4.684992911053126E-3</v>
      </c>
      <c r="I45" s="18">
        <v>5.1168992335531511E-3</v>
      </c>
      <c r="J45" s="18">
        <v>5.9519538604215485E-3</v>
      </c>
      <c r="K45" s="18">
        <v>6.6370132164585392E-3</v>
      </c>
      <c r="L45" s="18">
        <v>7.0721583594778514E-3</v>
      </c>
      <c r="M45" s="18">
        <v>6.9497057173812373E-3</v>
      </c>
      <c r="N45" s="18">
        <v>6.7794847495712364E-3</v>
      </c>
      <c r="O45" s="18">
        <v>6.7443492513889411E-3</v>
      </c>
      <c r="P45" s="169">
        <v>6.8849086730352962E-3</v>
      </c>
      <c r="Q45" s="169">
        <f>'Desempenho Acumulação'!AS23</f>
        <v>6.9798655750465287E-3</v>
      </c>
      <c r="R45" s="169">
        <f>'Desempenho Acumulação'!AU23</f>
        <v>6.3242387431795494E-3</v>
      </c>
      <c r="S45" s="169">
        <f>'Desempenho Acumulação'!AV23</f>
        <v>7.0426281846393208E-3</v>
      </c>
      <c r="T45" s="169">
        <f>'Desempenho Acumulação'!AW23</f>
        <v>6.9053920843415691E-3</v>
      </c>
      <c r="U45" s="169">
        <f>'Desempenho Acumulação'!AX23</f>
        <v>6.8579960096482257E-3</v>
      </c>
      <c r="V45" s="169">
        <f>'Desempenho Acumulação'!AZ23</f>
        <v>3.5099380049189201E-3</v>
      </c>
    </row>
    <row r="46" spans="1:24">
      <c r="A46" s="532"/>
      <c r="B46" s="532"/>
      <c r="C46" s="532"/>
      <c r="D46" s="532"/>
      <c r="E46" s="532"/>
      <c r="F46" s="532"/>
      <c r="G46" s="532"/>
      <c r="H46" s="532"/>
      <c r="I46" s="532"/>
      <c r="J46" s="532"/>
      <c r="K46" s="532"/>
      <c r="L46" s="532"/>
      <c r="M46" s="533"/>
      <c r="N46" s="533"/>
      <c r="O46" s="533"/>
      <c r="P46" s="533"/>
      <c r="Q46" s="533"/>
      <c r="R46" s="533"/>
      <c r="S46" s="533"/>
      <c r="T46" s="533"/>
      <c r="U46" s="533"/>
      <c r="V46" s="533"/>
    </row>
    <row r="47" spans="1:24">
      <c r="A47" s="532"/>
      <c r="B47" s="527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</row>
    <row r="48" spans="1:24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</row>
    <row r="49" spans="1:22">
      <c r="A49" s="532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</row>
    <row r="50" spans="1:22" ht="24.4" customHeight="1">
      <c r="A50" s="625" t="s">
        <v>835</v>
      </c>
      <c r="B50" s="626" t="s">
        <v>244</v>
      </c>
      <c r="C50" s="626" t="s">
        <v>245</v>
      </c>
      <c r="D50" s="626" t="s">
        <v>246</v>
      </c>
      <c r="E50" s="626" t="s">
        <v>247</v>
      </c>
      <c r="F50" s="626" t="s">
        <v>248</v>
      </c>
      <c r="G50" s="626" t="s">
        <v>249</v>
      </c>
      <c r="H50" s="626" t="s">
        <v>250</v>
      </c>
      <c r="I50" s="626" t="s">
        <v>215</v>
      </c>
      <c r="J50" s="626" t="s">
        <v>252</v>
      </c>
      <c r="K50" s="626" t="s">
        <v>253</v>
      </c>
      <c r="L50" s="626" t="s">
        <v>254</v>
      </c>
      <c r="M50" s="626" t="s">
        <v>219</v>
      </c>
      <c r="N50" s="626" t="s">
        <v>223</v>
      </c>
      <c r="O50" s="626" t="s">
        <v>256</v>
      </c>
      <c r="P50" s="626" t="s">
        <v>357</v>
      </c>
      <c r="Q50" s="626" t="s">
        <v>358</v>
      </c>
      <c r="R50" s="626" t="s">
        <v>359</v>
      </c>
      <c r="S50" s="626" t="s">
        <v>1115</v>
      </c>
      <c r="T50" s="626" t="s">
        <v>1116</v>
      </c>
      <c r="U50" s="626" t="s">
        <v>1117</v>
      </c>
      <c r="V50" s="733" t="s">
        <v>1124</v>
      </c>
    </row>
    <row r="51" spans="1:22" ht="15">
      <c r="A51" s="9" t="s">
        <v>456</v>
      </c>
      <c r="B51" s="235">
        <v>8524351.9430500008</v>
      </c>
      <c r="C51" s="235">
        <v>8749520.7973600104</v>
      </c>
      <c r="D51" s="235">
        <v>9105169.2647398524</v>
      </c>
      <c r="E51" s="235">
        <v>10150735.34553016</v>
      </c>
      <c r="F51" s="235">
        <f>'DRE NOVAS PARCERIAS CAIXA'!AG8</f>
        <v>9421086</v>
      </c>
      <c r="G51" s="235">
        <f>'DRE NOVAS PARCERIAS CAIXA'!AH8</f>
        <v>9775560</v>
      </c>
      <c r="H51" s="235">
        <f>'DRE NOVAS PARCERIAS CAIXA'!AI8</f>
        <v>9873448</v>
      </c>
      <c r="I51" s="235">
        <f>'DRE NOVAS PARCERIAS CAIXA'!AJ8</f>
        <v>6661431</v>
      </c>
      <c r="J51" s="235">
        <f>'DRE NOVAS PARCERIAS CAIXA'!AL8</f>
        <v>7448732</v>
      </c>
      <c r="K51" s="235">
        <f>'DRE NOVAS PARCERIAS CAIXA'!AM8</f>
        <v>7658106</v>
      </c>
      <c r="L51" s="235">
        <f>'DRE NOVAS PARCERIAS CAIXA'!AN8</f>
        <v>7728950</v>
      </c>
      <c r="M51" s="235">
        <f>'DRE NOVAS PARCERIAS CAIXA'!AO8</f>
        <v>7276088</v>
      </c>
      <c r="N51" s="235">
        <f>'DRE NOVAS PARCERIAS CAIXA'!AQ8</f>
        <v>6835296</v>
      </c>
      <c r="O51" s="235">
        <f>'DRE NOVAS PARCERIAS CAIXA'!AR8</f>
        <v>6417345</v>
      </c>
      <c r="P51" s="235">
        <f>'DRE NOVAS PARCERIAS CAIXA'!AS8</f>
        <v>6827618</v>
      </c>
      <c r="Q51" s="235">
        <f>'DRE NOVAS PARCERIAS CAIXA'!AT8</f>
        <v>6883077</v>
      </c>
      <c r="R51" s="235">
        <f>'DRE NOVAS PARCERIAS CAIXA'!AV8</f>
        <v>6970527</v>
      </c>
      <c r="S51" s="235">
        <f>'DRE NOVAS PARCERIAS CAIXA'!AW8</f>
        <v>7617450</v>
      </c>
      <c r="T51" s="235">
        <f>'DRE NOVAS PARCERIAS CAIXA'!AX8</f>
        <v>8088407</v>
      </c>
      <c r="U51" s="235">
        <f>'DRE NOVAS PARCERIAS CAIXA'!AY8</f>
        <v>7344509</v>
      </c>
      <c r="V51" s="235">
        <f>'DRE NOVAS PARCERIAS CAIXA'!BA8</f>
        <v>7521722</v>
      </c>
    </row>
    <row r="52" spans="1:22" ht="15">
      <c r="A52" s="11" t="s">
        <v>841</v>
      </c>
      <c r="B52" s="527">
        <v>-8117411.8605799815</v>
      </c>
      <c r="C52" s="527">
        <v>-8374064.6608100748</v>
      </c>
      <c r="D52" s="527">
        <v>-8723205.158930013</v>
      </c>
      <c r="E52" s="527">
        <v>-9726606.4354199767</v>
      </c>
      <c r="F52" s="527">
        <f>'DRE NOVAS PARCERIAS CAIXA'!AG9-F6</f>
        <v>-8984562.8165300004</v>
      </c>
      <c r="G52" s="527">
        <f>'DRE NOVAS PARCERIAS CAIXA'!AH9-G6</f>
        <v>-9290353.1686799992</v>
      </c>
      <c r="H52" s="527">
        <f>'DRE NOVAS PARCERIAS CAIXA'!AI9-H6</f>
        <v>-9375563.8307700008</v>
      </c>
      <c r="I52" s="527">
        <f>'DRE NOVAS PARCERIAS CAIXA'!AJ9-I6</f>
        <v>-6171278</v>
      </c>
      <c r="J52" s="527">
        <f>'DRE NOVAS PARCERIAS CAIXA'!AL9-J6</f>
        <v>-6928600</v>
      </c>
      <c r="K52" s="527">
        <f>'DRE NOVAS PARCERIAS CAIXA'!AM9-K6</f>
        <v>-7126121</v>
      </c>
      <c r="L52" s="527">
        <f>'DRE NOVAS PARCERIAS CAIXA'!AN9-L6</f>
        <v>-7212400</v>
      </c>
      <c r="M52" s="527">
        <f>'DRE NOVAS PARCERIAS CAIXA'!AO9-M6</f>
        <v>-6796312</v>
      </c>
      <c r="N52" s="527">
        <f>'DRE NOVAS PARCERIAS CAIXA'!AQ9-N6</f>
        <v>-6273074.4145274851</v>
      </c>
      <c r="O52" s="527">
        <f>'DRE NOVAS PARCERIAS CAIXA'!AR9-O6</f>
        <v>-6253532.1085266406</v>
      </c>
      <c r="P52" s="527">
        <f>'DRE NOVAS PARCERIAS CAIXA'!AS9-P6</f>
        <v>-6319367.6205792883</v>
      </c>
      <c r="Q52" s="527">
        <f>'DRE NOVAS PARCERIAS CAIXA'!AT9-Q6</f>
        <v>-6336679</v>
      </c>
      <c r="R52" s="527">
        <f>'DRE NOVAS PARCERIAS CAIXA'!AV9-V6</f>
        <v>-6474126</v>
      </c>
      <c r="S52" s="527">
        <f>'DRE NOVAS PARCERIAS CAIXA'!AW9-W6</f>
        <v>-7137999</v>
      </c>
      <c r="T52" s="527">
        <f>'DRE NOVAS PARCERIAS CAIXA'!AX9-W6</f>
        <v>-7610837</v>
      </c>
      <c r="U52" s="527">
        <f>'DRE NOVAS PARCERIAS CAIXA'!AY9-X6</f>
        <v>-6814234</v>
      </c>
      <c r="V52" s="527">
        <f>'DRE NOVAS PARCERIAS CAIXA'!BA9-Y6</f>
        <v>-6990944</v>
      </c>
    </row>
    <row r="53" spans="1:22" ht="15">
      <c r="A53" s="9" t="s">
        <v>842</v>
      </c>
      <c r="B53" s="117">
        <v>406940.08247001935</v>
      </c>
      <c r="C53" s="117">
        <v>375456.13654993568</v>
      </c>
      <c r="D53" s="117">
        <v>381964.10580983944</v>
      </c>
      <c r="E53" s="117">
        <v>424128.91011018306</v>
      </c>
      <c r="F53" s="117">
        <f>SUM(F51:F52)</f>
        <v>436523.18346999958</v>
      </c>
      <c r="G53" s="117">
        <f t="shared" ref="G53:J53" si="31">SUM(G51:G52)</f>
        <v>485206.83132000081</v>
      </c>
      <c r="H53" s="117">
        <f t="shared" si="31"/>
        <v>497884.16922999918</v>
      </c>
      <c r="I53" s="117">
        <f t="shared" si="31"/>
        <v>490153</v>
      </c>
      <c r="J53" s="117">
        <f t="shared" si="31"/>
        <v>520132</v>
      </c>
      <c r="K53" s="117">
        <f t="shared" ref="K53:L53" si="32">SUM(K51:K52)</f>
        <v>531985</v>
      </c>
      <c r="L53" s="117">
        <f t="shared" si="32"/>
        <v>516550</v>
      </c>
      <c r="M53" s="117">
        <f t="shared" ref="M53" si="33">SUM(M51:M52)</f>
        <v>479776</v>
      </c>
      <c r="N53" s="117">
        <f t="shared" ref="N53:U53" si="34">SUM(N51:N52)</f>
        <v>562221.58547251485</v>
      </c>
      <c r="O53" s="117">
        <f t="shared" si="34"/>
        <v>163812.89147335943</v>
      </c>
      <c r="P53" s="160">
        <f t="shared" si="34"/>
        <v>508250.37942071166</v>
      </c>
      <c r="Q53" s="160">
        <f t="shared" si="34"/>
        <v>546398</v>
      </c>
      <c r="R53" s="160">
        <f t="shared" si="34"/>
        <v>496401</v>
      </c>
      <c r="S53" s="160">
        <f t="shared" ref="S53" si="35">SUM(S51:S52)</f>
        <v>479451</v>
      </c>
      <c r="T53" s="160">
        <f t="shared" si="34"/>
        <v>477570</v>
      </c>
      <c r="U53" s="160">
        <f t="shared" si="34"/>
        <v>530275</v>
      </c>
      <c r="V53" s="160">
        <f>SUM(V51:V52)</f>
        <v>530778</v>
      </c>
    </row>
    <row r="54" spans="1:22" ht="15">
      <c r="A54" s="11" t="s">
        <v>413</v>
      </c>
      <c r="B54" s="527">
        <v>-107947.30848521594</v>
      </c>
      <c r="C54" s="527">
        <v>-132350.01864478405</v>
      </c>
      <c r="D54" s="527">
        <v>-128705.83052000002</v>
      </c>
      <c r="E54" s="527">
        <v>-139089.75760999977</v>
      </c>
      <c r="F54" s="527">
        <f>'DRE NOVAS PARCERIAS CAIXA'!AG11</f>
        <v>-137218</v>
      </c>
      <c r="G54" s="527">
        <f>'DRE NOVAS PARCERIAS CAIXA'!AH11</f>
        <v>-130703</v>
      </c>
      <c r="H54" s="527">
        <f>'DRE NOVAS PARCERIAS CAIXA'!AI11</f>
        <v>-128968</v>
      </c>
      <c r="I54" s="527">
        <f>'DRE NOVAS PARCERIAS CAIXA'!AJ11</f>
        <v>-158411</v>
      </c>
      <c r="J54" s="527">
        <f>'DRE NOVAS PARCERIAS CAIXA'!AL11</f>
        <v>-150353</v>
      </c>
      <c r="K54" s="527">
        <f>'DRE NOVAS PARCERIAS CAIXA'!AM11</f>
        <v>-139764</v>
      </c>
      <c r="L54" s="527">
        <f>'DRE NOVAS PARCERIAS CAIXA'!AN11</f>
        <v>-140573</v>
      </c>
      <c r="M54" s="527">
        <f>'DRE NOVAS PARCERIAS CAIXA'!AO11</f>
        <v>-198156</v>
      </c>
      <c r="N54" s="527">
        <f>'DRE NOVAS PARCERIAS CAIXA'!AQ11</f>
        <v>-154174</v>
      </c>
      <c r="O54" s="527">
        <f>'DRE NOVAS PARCERIAS CAIXA'!AR11</f>
        <v>-164722</v>
      </c>
      <c r="P54" s="527">
        <f>'DRE NOVAS PARCERIAS CAIXA'!AS11</f>
        <v>-180889</v>
      </c>
      <c r="Q54" s="527">
        <f>'DRE NOVAS PARCERIAS CAIXA'!AT11</f>
        <v>-213160</v>
      </c>
      <c r="R54" s="527">
        <f>'DRE NOVAS PARCERIAS CAIXA'!AV11</f>
        <v>-169579</v>
      </c>
      <c r="S54" s="527">
        <f>'DRE NOVAS PARCERIAS CAIXA'!AW11</f>
        <v>-172570</v>
      </c>
      <c r="T54" s="527">
        <f>'DRE NOVAS PARCERIAS CAIXA'!AX11</f>
        <v>-189472.24</v>
      </c>
      <c r="U54" s="527">
        <f>'DRE NOVAS PARCERIAS CAIXA'!AY11</f>
        <v>-221474.223</v>
      </c>
      <c r="V54" s="527">
        <f>'DRE NOVAS PARCERIAS CAIXA'!BA11</f>
        <v>-182189</v>
      </c>
    </row>
    <row r="55" spans="1:22" ht="15">
      <c r="A55" s="11" t="s">
        <v>414</v>
      </c>
      <c r="B55" s="527">
        <v>-56245.167200000004</v>
      </c>
      <c r="C55" s="527">
        <v>-55703.818180000009</v>
      </c>
      <c r="D55" s="527">
        <v>-57129.72679999996</v>
      </c>
      <c r="E55" s="527">
        <v>-69147.100420000017</v>
      </c>
      <c r="F55" s="527">
        <f>'DRE NOVAS PARCERIAS CAIXA'!AG12</f>
        <v>-68275</v>
      </c>
      <c r="G55" s="527">
        <f>'DRE NOVAS PARCERIAS CAIXA'!AH12</f>
        <v>-69987</v>
      </c>
      <c r="H55" s="527">
        <f>'DRE NOVAS PARCERIAS CAIXA'!AI12</f>
        <v>-72584</v>
      </c>
      <c r="I55" s="527">
        <f>'DRE NOVAS PARCERIAS CAIXA'!AJ12</f>
        <v>-76001</v>
      </c>
      <c r="J55" s="527">
        <f>'DRE NOVAS PARCERIAS CAIXA'!AL12</f>
        <v>-79995</v>
      </c>
      <c r="K55" s="527">
        <f>'DRE NOVAS PARCERIAS CAIXA'!AM12</f>
        <v>-82119</v>
      </c>
      <c r="L55" s="527">
        <f>'DRE NOVAS PARCERIAS CAIXA'!AN12</f>
        <v>-79870</v>
      </c>
      <c r="M55" s="527">
        <f>'DRE NOVAS PARCERIAS CAIXA'!AO12</f>
        <v>-80539</v>
      </c>
      <c r="N55" s="527">
        <f>'DRE NOVAS PARCERIAS CAIXA'!AQ12</f>
        <v>-80768</v>
      </c>
      <c r="O55" s="527">
        <f>'DRE NOVAS PARCERIAS CAIXA'!AR12</f>
        <v>-85106</v>
      </c>
      <c r="P55" s="527">
        <f>'DRE NOVAS PARCERIAS CAIXA'!AS12</f>
        <v>-85600</v>
      </c>
      <c r="Q55" s="527">
        <f>'DRE NOVAS PARCERIAS CAIXA'!AT12</f>
        <v>-79730</v>
      </c>
      <c r="R55" s="527">
        <f>'DRE NOVAS PARCERIAS CAIXA'!AV12</f>
        <v>-83266</v>
      </c>
      <c r="S55" s="527">
        <f>'DRE NOVAS PARCERIAS CAIXA'!AW12</f>
        <v>-84860</v>
      </c>
      <c r="T55" s="527">
        <f>'DRE NOVAS PARCERIAS CAIXA'!AX12</f>
        <v>-87712</v>
      </c>
      <c r="U55" s="527">
        <f>'DRE NOVAS PARCERIAS CAIXA'!AY12</f>
        <v>-90009</v>
      </c>
      <c r="V55" s="527">
        <f>'DRE NOVAS PARCERIAS CAIXA'!BA12</f>
        <v>-84683</v>
      </c>
    </row>
    <row r="56" spans="1:22" ht="15">
      <c r="A56" s="11" t="s">
        <v>843</v>
      </c>
      <c r="B56" s="527">
        <v>369205.98393521551</v>
      </c>
      <c r="C56" s="527">
        <v>390566.12576478452</v>
      </c>
      <c r="D56" s="527">
        <v>384244.78863999771</v>
      </c>
      <c r="E56" s="527">
        <v>448133.49607000162</v>
      </c>
      <c r="F56" s="527">
        <f>'DRE NOVAS PARCERIAS CAIXA'!AG13-F7</f>
        <v>471355</v>
      </c>
      <c r="G56" s="527">
        <f>'DRE NOVAS PARCERIAS CAIXA'!AH13-G7</f>
        <v>462609.36725999473</v>
      </c>
      <c r="H56" s="527">
        <f>'DRE NOVAS PARCERIAS CAIXA'!AI13-H7</f>
        <v>528729.94539000001</v>
      </c>
      <c r="I56" s="527">
        <f>'DRE NOVAS PARCERIAS CAIXA'!AJ13-I7</f>
        <v>564623.89953001589</v>
      </c>
      <c r="J56" s="527">
        <f>'DRE NOVAS PARCERIAS CAIXA'!AL13-J7</f>
        <v>643178.79758000758</v>
      </c>
      <c r="K56" s="527">
        <f>'DRE NOVAS PARCERIAS CAIXA'!AM13-K7</f>
        <v>607625.09639000136</v>
      </c>
      <c r="L56" s="527">
        <f>'DRE NOVAS PARCERIAS CAIXA'!AN13-L7</f>
        <v>687500.45509999082</v>
      </c>
      <c r="M56" s="527">
        <f>'DRE NOVAS PARCERIAS CAIXA'!AO13-M7</f>
        <v>709112.64022999187</v>
      </c>
      <c r="N56" s="527">
        <f>'DRE NOVAS PARCERIAS CAIXA'!AQ13-N7</f>
        <v>671926.70176332362</v>
      </c>
      <c r="O56" s="527">
        <f>'DRE NOVAS PARCERIAS CAIXA'!AR13-O7</f>
        <v>715171.51568210614</v>
      </c>
      <c r="P56" s="527">
        <f>'DRE NOVAS PARCERIAS CAIXA'!AS13-P7</f>
        <v>759721.15377446718</v>
      </c>
      <c r="Q56" s="527">
        <f>'DRE NOVAS PARCERIAS CAIXA'!AT13-Q7</f>
        <v>750576.9556499999</v>
      </c>
      <c r="R56" s="527">
        <f>'DRE NOVAS PARCERIAS CAIXA'!AV13-V7</f>
        <v>748704.39310999867</v>
      </c>
      <c r="S56" s="527">
        <f>'DRE NOVAS PARCERIAS CAIXA'!AW13-W7</f>
        <v>766876.61996000097</v>
      </c>
      <c r="T56" s="527">
        <f>'DRE NOVAS PARCERIAS CAIXA'!AX13-W7</f>
        <v>896021.16880999948</v>
      </c>
      <c r="U56" s="527">
        <f>'DRE NOVAS PARCERIAS CAIXA'!AY13-X7</f>
        <v>852781.8512600041</v>
      </c>
      <c r="V56" s="527">
        <f>'DRE NOVAS PARCERIAS CAIXA'!BA13-Y7</f>
        <v>829667.6476099987</v>
      </c>
    </row>
    <row r="57" spans="1:22" ht="15">
      <c r="A57" s="11" t="s">
        <v>416</v>
      </c>
      <c r="B57" s="527">
        <v>0</v>
      </c>
      <c r="C57" s="527">
        <v>-1.0999999999999999E-2</v>
      </c>
      <c r="D57" s="527">
        <v>0</v>
      </c>
      <c r="E57" s="527">
        <v>0</v>
      </c>
      <c r="F57" s="527">
        <f>'DRE NOVAS PARCERIAS CAIXA'!AG14</f>
        <v>0</v>
      </c>
      <c r="G57" s="527">
        <f>'DRE NOVAS PARCERIAS CAIXA'!AH14</f>
        <v>0</v>
      </c>
      <c r="H57" s="527">
        <f>'DRE NOVAS PARCERIAS CAIXA'!AI14</f>
        <v>0</v>
      </c>
      <c r="I57" s="527">
        <f>'DRE NOVAS PARCERIAS CAIXA'!AJ14</f>
        <v>0</v>
      </c>
      <c r="J57" s="527">
        <f>'DRE NOVAS PARCERIAS CAIXA'!AL14</f>
        <v>0</v>
      </c>
      <c r="K57" s="527">
        <f>'DRE NOVAS PARCERIAS CAIXA'!AM14</f>
        <v>0</v>
      </c>
      <c r="L57" s="527">
        <f>'DRE NOVAS PARCERIAS CAIXA'!AN14</f>
        <v>0</v>
      </c>
      <c r="M57" s="527">
        <f>'DRE NOVAS PARCERIAS CAIXA'!AO14</f>
        <v>0</v>
      </c>
      <c r="N57" s="527">
        <f>'DRE NOVAS PARCERIAS CAIXA'!AQ14</f>
        <v>0</v>
      </c>
      <c r="O57" s="527">
        <f>'DRE NOVAS PARCERIAS CAIXA'!AR14</f>
        <v>0</v>
      </c>
      <c r="P57" s="527">
        <f>'DRE NOVAS PARCERIAS CAIXA'!AS14</f>
        <v>0</v>
      </c>
      <c r="Q57" s="527">
        <f>'DRE NOVAS PARCERIAS CAIXA'!AT14</f>
        <v>0</v>
      </c>
      <c r="R57" s="527">
        <f>'DRE NOVAS PARCERIAS CAIXA'!AV14</f>
        <v>0</v>
      </c>
      <c r="S57" s="527">
        <f>'DRE NOVAS PARCERIAS CAIXA'!AW14</f>
        <v>0</v>
      </c>
      <c r="T57" s="527">
        <f>'DRE NOVAS PARCERIAS CAIXA'!AX14</f>
        <v>0</v>
      </c>
      <c r="U57" s="527">
        <f>'DRE NOVAS PARCERIAS CAIXA'!AY14</f>
        <v>0</v>
      </c>
      <c r="V57" s="527">
        <f>'DRE NOVAS PARCERIAS CAIXA'!BA14</f>
        <v>0</v>
      </c>
    </row>
    <row r="58" spans="1:22" ht="15">
      <c r="A58" s="9" t="s">
        <v>418</v>
      </c>
      <c r="B58" s="117">
        <v>611953.59072001895</v>
      </c>
      <c r="C58" s="117">
        <v>577968.41448993608</v>
      </c>
      <c r="D58" s="117">
        <v>580373.33712983713</v>
      </c>
      <c r="E58" s="117">
        <v>664025.54815018491</v>
      </c>
      <c r="F58" s="117">
        <f t="shared" ref="F58:J58" si="36">SUM(F53:F57)</f>
        <v>702385.18346999958</v>
      </c>
      <c r="G58" s="117">
        <f t="shared" si="36"/>
        <v>747126.19857999554</v>
      </c>
      <c r="H58" s="117">
        <f t="shared" si="36"/>
        <v>825062.11461999919</v>
      </c>
      <c r="I58" s="117">
        <f t="shared" si="36"/>
        <v>820364.89953001589</v>
      </c>
      <c r="J58" s="117">
        <f t="shared" si="36"/>
        <v>932962.79758000758</v>
      </c>
      <c r="K58" s="117">
        <f t="shared" ref="K58:L58" si="37">SUM(K53:K57)</f>
        <v>917727.09639000136</v>
      </c>
      <c r="L58" s="117">
        <f t="shared" si="37"/>
        <v>983607.45509999082</v>
      </c>
      <c r="M58" s="117">
        <f t="shared" ref="M58" si="38">SUM(M53:M57)</f>
        <v>910193.64022999187</v>
      </c>
      <c r="N58" s="117">
        <f t="shared" ref="N58:U58" si="39">SUM(N53:N57)</f>
        <v>999206.28723583848</v>
      </c>
      <c r="O58" s="117">
        <f t="shared" si="39"/>
        <v>629156.40715546557</v>
      </c>
      <c r="P58" s="160">
        <f t="shared" si="39"/>
        <v>1001482.5331951788</v>
      </c>
      <c r="Q58" s="160">
        <f t="shared" si="39"/>
        <v>1004084.9556499999</v>
      </c>
      <c r="R58" s="160">
        <f t="shared" si="39"/>
        <v>992260.39310999867</v>
      </c>
      <c r="S58" s="160">
        <f t="shared" ref="S58" si="40">SUM(S53:S57)</f>
        <v>988897.61996000097</v>
      </c>
      <c r="T58" s="160">
        <f t="shared" si="39"/>
        <v>1096406.9288099995</v>
      </c>
      <c r="U58" s="160">
        <f t="shared" si="39"/>
        <v>1071573.6282600041</v>
      </c>
      <c r="V58" s="160">
        <f>SUM(V53:V57)</f>
        <v>1093573.6476099987</v>
      </c>
    </row>
    <row r="59" spans="1:22" ht="15">
      <c r="A59" s="11" t="s">
        <v>419</v>
      </c>
      <c r="B59" s="527">
        <v>68.335160000000002</v>
      </c>
      <c r="C59" s="527">
        <v>0</v>
      </c>
      <c r="D59" s="527">
        <v>0</v>
      </c>
      <c r="E59" s="527">
        <v>1.0419100000000034</v>
      </c>
      <c r="F59" s="527">
        <f>'DRE NOVAS PARCERIAS CAIXA'!AG16</f>
        <v>862</v>
      </c>
      <c r="G59" s="527">
        <f>'DRE NOVAS PARCERIAS CAIXA'!AH16</f>
        <v>1198</v>
      </c>
      <c r="H59" s="527">
        <f>'DRE NOVAS PARCERIAS CAIXA'!AI16</f>
        <v>932</v>
      </c>
      <c r="I59" s="527">
        <f>'DRE NOVAS PARCERIAS CAIXA'!AJ16</f>
        <v>-2696</v>
      </c>
      <c r="J59" s="527">
        <f>'DRE NOVAS PARCERIAS CAIXA'!AL16</f>
        <v>1</v>
      </c>
      <c r="K59" s="527">
        <f>'DRE NOVAS PARCERIAS CAIXA'!AM16</f>
        <v>3</v>
      </c>
      <c r="L59" s="527">
        <f>'DRE NOVAS PARCERIAS CAIXA'!AN16</f>
        <v>0</v>
      </c>
      <c r="M59" s="527">
        <f>'DRE NOVAS PARCERIAS CAIXA'!AO16</f>
        <v>2435</v>
      </c>
      <c r="N59" s="527">
        <f>'DRE NOVAS PARCERIAS CAIXA'!AQ16</f>
        <v>2</v>
      </c>
      <c r="O59" s="527">
        <f>'DRE NOVAS PARCERIAS CAIXA'!AR16</f>
        <v>-2348</v>
      </c>
      <c r="P59" s="527">
        <f>'DRE NOVAS PARCERIAS CAIXA'!AS16</f>
        <v>0</v>
      </c>
      <c r="Q59" s="527">
        <f>'DRE NOVAS PARCERIAS CAIXA'!AT16</f>
        <v>0</v>
      </c>
      <c r="R59" s="527">
        <f>'DRE NOVAS PARCERIAS CAIXA'!AV16</f>
        <v>0</v>
      </c>
      <c r="S59" s="527">
        <f>'DRE NOVAS PARCERIAS CAIXA'!AW16</f>
        <v>19</v>
      </c>
      <c r="T59" s="527">
        <f>'DRE NOVAS PARCERIAS CAIXA'!AX16</f>
        <v>-57</v>
      </c>
      <c r="U59" s="527">
        <f>'DRE NOVAS PARCERIAS CAIXA'!AY16</f>
        <v>-706</v>
      </c>
      <c r="V59" s="527">
        <f>'DRE NOVAS PARCERIAS CAIXA'!BA16</f>
        <v>0</v>
      </c>
    </row>
    <row r="60" spans="1:22" ht="15">
      <c r="A60" s="9" t="s">
        <v>420</v>
      </c>
      <c r="B60" s="117">
        <v>612021.92588001897</v>
      </c>
      <c r="C60" s="117">
        <v>577968.41448993608</v>
      </c>
      <c r="D60" s="117">
        <v>580373.33712983713</v>
      </c>
      <c r="E60" s="117">
        <v>664026.59006018494</v>
      </c>
      <c r="F60" s="117">
        <f t="shared" ref="F60:I60" si="41">SUM(F58:F59)</f>
        <v>703247.18346999958</v>
      </c>
      <c r="G60" s="117">
        <f t="shared" si="41"/>
        <v>748324.19857999554</v>
      </c>
      <c r="H60" s="117">
        <f t="shared" si="41"/>
        <v>825994.11461999919</v>
      </c>
      <c r="I60" s="117">
        <f t="shared" si="41"/>
        <v>817668.89953001589</v>
      </c>
      <c r="J60" s="117">
        <f t="shared" ref="J60:O60" si="42">SUM(J58:J59)</f>
        <v>932963.79758000758</v>
      </c>
      <c r="K60" s="117">
        <f t="shared" si="42"/>
        <v>917730.09639000136</v>
      </c>
      <c r="L60" s="117">
        <f t="shared" si="42"/>
        <v>983607.45509999082</v>
      </c>
      <c r="M60" s="117">
        <f t="shared" si="42"/>
        <v>912628.64022999187</v>
      </c>
      <c r="N60" s="117">
        <f t="shared" si="42"/>
        <v>999208.28723583848</v>
      </c>
      <c r="O60" s="117">
        <f t="shared" si="42"/>
        <v>626808.40715546557</v>
      </c>
      <c r="P60" s="160">
        <f t="shared" ref="P60:U60" si="43">SUM(P58:P59)</f>
        <v>1001482.5331951788</v>
      </c>
      <c r="Q60" s="160">
        <f t="shared" si="43"/>
        <v>1004084.9556499999</v>
      </c>
      <c r="R60" s="160">
        <f t="shared" si="43"/>
        <v>992260.39310999867</v>
      </c>
      <c r="S60" s="160">
        <f t="shared" ref="S60" si="44">SUM(S58:S59)</f>
        <v>988916.61996000097</v>
      </c>
      <c r="T60" s="160">
        <f t="shared" si="43"/>
        <v>1096349.9288099995</v>
      </c>
      <c r="U60" s="160">
        <f t="shared" si="43"/>
        <v>1070867.6282600041</v>
      </c>
      <c r="V60" s="160">
        <f>SUM(V58:V59)</f>
        <v>1093573.6476099987</v>
      </c>
    </row>
    <row r="61" spans="1:22" ht="15">
      <c r="A61" s="11" t="s">
        <v>844</v>
      </c>
      <c r="B61" s="527">
        <v>-245422.31906939996</v>
      </c>
      <c r="C61" s="527">
        <v>-228978.09781609999</v>
      </c>
      <c r="D61" s="527">
        <v>-261779.17498780007</v>
      </c>
      <c r="E61" s="527">
        <v>-280591.41956309997</v>
      </c>
      <c r="F61" s="527">
        <f>'DRE NOVAS PARCERIAS CAIXA'!AG18+'DRE NOVAS PARCERIAS CAIXA'!AG19-F9</f>
        <v>-282073.26522270002</v>
      </c>
      <c r="G61" s="527">
        <f>'DRE NOVAS PARCERIAS CAIXA'!AH18+'DRE NOVAS PARCERIAS CAIXA'!AH19-G9</f>
        <v>-300184.56116099999</v>
      </c>
      <c r="H61" s="527">
        <f>'DRE NOVAS PARCERIAS CAIXA'!AI18+'DRE NOVAS PARCERIAS CAIXA'!AI19-H9</f>
        <v>-337762.51699420001</v>
      </c>
      <c r="I61" s="527">
        <f>'DRE NOVAS PARCERIAS CAIXA'!AJ18+'DRE NOVAS PARCERIAS CAIXA'!AJ19-I9</f>
        <v>-334659.77</v>
      </c>
      <c r="J61" s="527">
        <f>'DRE NOVAS PARCERIAS CAIXA'!AL18+'DRE NOVAS PARCERIAS CAIXA'!AL19-J9</f>
        <v>-370866.8</v>
      </c>
      <c r="K61" s="527">
        <f>'DRE NOVAS PARCERIAS CAIXA'!AM18+'DRE NOVAS PARCERIAS CAIXA'!AM19-K9</f>
        <v>-366538.2</v>
      </c>
      <c r="L61" s="527">
        <f>'DRE NOVAS PARCERIAS CAIXA'!AN18+'DRE NOVAS PARCERIAS CAIXA'!AN19-L9</f>
        <v>-394581</v>
      </c>
      <c r="M61" s="527">
        <f>'DRE NOVAS PARCERIAS CAIXA'!AO18+'DRE NOVAS PARCERIAS CAIXA'!AO19-M9</f>
        <v>-364424.2</v>
      </c>
      <c r="N61" s="527">
        <f>'DRE NOVAS PARCERIAS CAIXA'!AQ18+'DRE NOVAS PARCERIAS CAIXA'!AQ19-N9</f>
        <v>-400246.6963423352</v>
      </c>
      <c r="O61" s="527">
        <f>'DRE NOVAS PARCERIAS CAIXA'!AR18+'DRE NOVAS PARCERIAS CAIXA'!AR19-O9</f>
        <v>-251651.12981818549</v>
      </c>
      <c r="P61" s="527">
        <f>'DRE NOVAS PARCERIAS CAIXA'!AS18+'DRE NOVAS PARCERIAS CAIXA'!AS19-P9</f>
        <v>-396119.09481407254</v>
      </c>
      <c r="Q61" s="527">
        <f>'DRE NOVAS PARCERIAS CAIXA'!AT18+'DRE NOVAS PARCERIAS CAIXA'!AT19-Q9</f>
        <v>-379711</v>
      </c>
      <c r="R61" s="527">
        <f>'DRE NOVAS PARCERIAS CAIXA'!AV18+'DRE NOVAS PARCERIAS CAIXA'!AV19-V9</f>
        <v>-396632</v>
      </c>
      <c r="S61" s="527">
        <f>'DRE NOVAS PARCERIAS CAIXA'!AW18+'DRE NOVAS PARCERIAS CAIXA'!AW19-W9</f>
        <v>-393384</v>
      </c>
      <c r="T61" s="527">
        <f>'DRE NOVAS PARCERIAS CAIXA'!AX18+'DRE NOVAS PARCERIAS CAIXA'!AX19-W9</f>
        <v>-433902</v>
      </c>
      <c r="U61" s="527">
        <f>'DRE NOVAS PARCERIAS CAIXA'!AY18+'DRE NOVAS PARCERIAS CAIXA'!AY19-X9</f>
        <v>-398993</v>
      </c>
      <c r="V61" s="527">
        <f>'DRE NOVAS PARCERIAS CAIXA'!BA18+'DRE NOVAS PARCERIAS CAIXA'!BA19-Y9</f>
        <v>-435397</v>
      </c>
    </row>
    <row r="62" spans="1:22" s="789" customFormat="1" ht="15">
      <c r="A62" s="100" t="s">
        <v>845</v>
      </c>
      <c r="B62" s="788">
        <v>366599.60681061901</v>
      </c>
      <c r="C62" s="788">
        <v>348990.31667383609</v>
      </c>
      <c r="D62" s="788">
        <v>318594.16214203706</v>
      </c>
      <c r="E62" s="788">
        <v>383435.17049708497</v>
      </c>
      <c r="F62" s="788">
        <f t="shared" ref="F62:I62" si="45">SUM(F60:F61)</f>
        <v>421173.91824729956</v>
      </c>
      <c r="G62" s="788">
        <f t="shared" si="45"/>
        <v>448139.63741899555</v>
      </c>
      <c r="H62" s="788">
        <f t="shared" si="45"/>
        <v>488231.59762579919</v>
      </c>
      <c r="I62" s="788">
        <f t="shared" si="45"/>
        <v>483009.12953001587</v>
      </c>
      <c r="J62" s="788">
        <f t="shared" ref="J62:K62" si="46">SUM(J60:J61)</f>
        <v>562096.99758000765</v>
      </c>
      <c r="K62" s="788">
        <f t="shared" si="46"/>
        <v>551191.89639000129</v>
      </c>
      <c r="L62" s="788">
        <f t="shared" ref="L62:M62" si="47">SUM(L60:L61)</f>
        <v>589026.45509999082</v>
      </c>
      <c r="M62" s="788">
        <f t="shared" si="47"/>
        <v>548204.44022999192</v>
      </c>
      <c r="N62" s="788">
        <f t="shared" ref="N62" si="48">SUM(N60:N61)</f>
        <v>598961.59089350328</v>
      </c>
      <c r="O62" s="788">
        <f t="shared" ref="O62:U62" si="49">SUM(O60:O61)</f>
        <v>375157.2773372801</v>
      </c>
      <c r="P62" s="788">
        <f t="shared" si="49"/>
        <v>605363.43838110636</v>
      </c>
      <c r="Q62" s="788">
        <f t="shared" si="49"/>
        <v>624373.9556499999</v>
      </c>
      <c r="R62" s="788">
        <f t="shared" si="49"/>
        <v>595628.39310999867</v>
      </c>
      <c r="S62" s="788">
        <f t="shared" ref="S62" si="50">SUM(S60:S61)</f>
        <v>595532.61996000097</v>
      </c>
      <c r="T62" s="788">
        <f t="shared" si="49"/>
        <v>662447.92880999949</v>
      </c>
      <c r="U62" s="788">
        <f t="shared" si="49"/>
        <v>671874.6282600041</v>
      </c>
      <c r="V62" s="788">
        <f>SUM(V60:V61)</f>
        <v>658176.6476099987</v>
      </c>
    </row>
    <row r="63" spans="1:22" ht="15">
      <c r="A63" s="11" t="s">
        <v>846</v>
      </c>
      <c r="B63" s="527">
        <v>219959.7640863714</v>
      </c>
      <c r="C63" s="527">
        <v>209394.19000430164</v>
      </c>
      <c r="D63" s="527">
        <v>191156.49728522223</v>
      </c>
      <c r="E63" s="527">
        <v>230061.10229825097</v>
      </c>
      <c r="F63" s="527">
        <f t="shared" ref="F63:I63" si="51">F62*F64</f>
        <v>252704.35094837972</v>
      </c>
      <c r="G63" s="527">
        <f t="shared" si="51"/>
        <v>268883.78245139733</v>
      </c>
      <c r="H63" s="527">
        <f t="shared" si="51"/>
        <v>292938.95857547951</v>
      </c>
      <c r="I63" s="527">
        <f t="shared" si="51"/>
        <v>289805.4777180095</v>
      </c>
      <c r="J63" s="527">
        <f t="shared" ref="J63:K63" si="52">J62*J64</f>
        <v>337258.19854800456</v>
      </c>
      <c r="K63" s="527">
        <f t="shared" si="52"/>
        <v>330715.13783400075</v>
      </c>
      <c r="L63" s="527">
        <f t="shared" ref="L63:M63" si="53">L62*L64</f>
        <v>353415.87305999448</v>
      </c>
      <c r="M63" s="527">
        <f t="shared" si="53"/>
        <v>328922.66413799516</v>
      </c>
      <c r="N63" s="527">
        <f t="shared" ref="N63" si="54">N62*N64</f>
        <v>359376.95453610196</v>
      </c>
      <c r="O63" s="527">
        <f t="shared" ref="O63:U63" si="55">O62*O64</f>
        <v>225094.36640236806</v>
      </c>
      <c r="P63" s="527">
        <f t="shared" si="55"/>
        <v>363218.0630286638</v>
      </c>
      <c r="Q63" s="527">
        <f t="shared" si="55"/>
        <v>374624.37338999991</v>
      </c>
      <c r="R63" s="527">
        <f t="shared" si="55"/>
        <v>357377.03586599918</v>
      </c>
      <c r="S63" s="527">
        <f t="shared" ref="S63" si="56">S62*S64</f>
        <v>357319.57197600056</v>
      </c>
      <c r="T63" s="527">
        <f t="shared" si="55"/>
        <v>397468.75728599966</v>
      </c>
      <c r="U63" s="527">
        <f t="shared" si="55"/>
        <v>403124.77695600246</v>
      </c>
      <c r="V63" s="527">
        <f>V62*V64</f>
        <v>394905.9885659992</v>
      </c>
    </row>
    <row r="64" spans="1:22" ht="15">
      <c r="A64" s="17" t="s">
        <v>451</v>
      </c>
      <c r="B64" s="18">
        <v>0.6</v>
      </c>
      <c r="C64" s="18">
        <v>0.6</v>
      </c>
      <c r="D64" s="18">
        <v>0.6</v>
      </c>
      <c r="E64" s="18">
        <v>0.6</v>
      </c>
      <c r="F64" s="18">
        <f>'DRE NOVAS PARCERIAS CAIXA'!AF27</f>
        <v>0.6</v>
      </c>
      <c r="G64" s="18">
        <f>'DRE NOVAS PARCERIAS CAIXA'!AG27</f>
        <v>0.6</v>
      </c>
      <c r="H64" s="18">
        <f>'DRE NOVAS PARCERIAS CAIXA'!AH27</f>
        <v>0.6</v>
      </c>
      <c r="I64" s="18">
        <f>'DRE NOVAS PARCERIAS CAIXA'!AI27</f>
        <v>0.6</v>
      </c>
      <c r="J64" s="18">
        <f>'DRE NOVAS PARCERIAS CAIXA'!AJ27</f>
        <v>0.6</v>
      </c>
      <c r="K64" s="18">
        <f>'DRE NOVAS PARCERIAS CAIXA'!AK27</f>
        <v>0.6</v>
      </c>
      <c r="L64" s="18">
        <f>'DRE NOVAS PARCERIAS CAIXA'!AL27</f>
        <v>0.6</v>
      </c>
      <c r="M64" s="18">
        <f>'DRE NOVAS PARCERIAS CAIXA'!AM27</f>
        <v>0.6</v>
      </c>
      <c r="N64" s="18">
        <f>'DRE NOVAS PARCERIAS CAIXA'!AN27</f>
        <v>0.6</v>
      </c>
      <c r="O64" s="18">
        <f>'DRE NOVAS PARCERIAS CAIXA'!AO27</f>
        <v>0.6</v>
      </c>
      <c r="P64" s="169">
        <f>'DRE NOVAS PARCERIAS CAIXA'!AP27</f>
        <v>0.6</v>
      </c>
      <c r="Q64" s="169">
        <f>'DRE NOVAS PARCERIAS CAIXA'!AQ27</f>
        <v>0.6</v>
      </c>
      <c r="R64" s="169">
        <f>'DRE NOVAS PARCERIAS CAIXA'!AS27</f>
        <v>0.6</v>
      </c>
      <c r="S64" s="169">
        <f>'DRE NOVAS PARCERIAS CAIXA'!AT27</f>
        <v>0.6</v>
      </c>
      <c r="T64" s="169">
        <f>'DRE NOVAS PARCERIAS CAIXA'!AU27</f>
        <v>0.6</v>
      </c>
      <c r="U64" s="169">
        <f>'DRE NOVAS PARCERIAS CAIXA'!AV27</f>
        <v>0.6</v>
      </c>
      <c r="V64" s="169">
        <f>'DRE NOVAS PARCERIAS CAIXA'!AW27</f>
        <v>0.6</v>
      </c>
    </row>
    <row r="65" spans="1:22" s="789" customFormat="1" ht="15">
      <c r="A65" s="100" t="s">
        <v>847</v>
      </c>
      <c r="B65" s="788">
        <v>345445.63746001868</v>
      </c>
      <c r="C65" s="788">
        <v>340119.21519993676</v>
      </c>
      <c r="D65" s="788">
        <v>334897.49196983711</v>
      </c>
      <c r="E65" s="788">
        <v>374660.52181018569</v>
      </c>
      <c r="F65" s="788">
        <f>'DRE NOVAS PARCERIAS CAIXA'!AG22</f>
        <v>369573</v>
      </c>
      <c r="G65" s="788">
        <f>'DRE NOVAS PARCERIAS CAIXA'!AH22</f>
        <v>411180.36647999473</v>
      </c>
      <c r="H65" s="788">
        <f>'DRE NOVAS PARCERIAS CAIXA'!AI22</f>
        <v>420932</v>
      </c>
      <c r="I65" s="788">
        <f>'DRE NOVAS PARCERIAS CAIXA'!AJ22</f>
        <v>484416.89953001589</v>
      </c>
      <c r="J65" s="788">
        <f>'DRE NOVAS PARCERIAS CAIXA'!AL22</f>
        <v>552015.79758000758</v>
      </c>
      <c r="K65" s="788">
        <f>'DRE NOVAS PARCERIAS CAIXA'!AM22</f>
        <v>587112.09639000136</v>
      </c>
      <c r="L65" s="788">
        <f>'DRE NOVAS PARCERIAS CAIXA'!AN22</f>
        <v>613439.45509999082</v>
      </c>
      <c r="M65" s="788">
        <f>'DRE NOVAS PARCERIAS CAIXA'!AO22</f>
        <v>561053.64022999187</v>
      </c>
      <c r="N65" s="788">
        <f>'DRE NOVAS PARCERIAS CAIXA'!AQ22</f>
        <v>595926.54638000007</v>
      </c>
      <c r="O65" s="788">
        <f>'DRE NOVAS PARCERIAS CAIXA'!AR22</f>
        <v>372217.58261000167</v>
      </c>
      <c r="P65" s="788">
        <f>'DRE NOVAS PARCERIAS CAIXA'!AS22</f>
        <v>597027.29615999782</v>
      </c>
      <c r="Q65" s="788">
        <f>'DRE NOVAS PARCERIAS CAIXA'!AT22</f>
        <v>624373.9556499999</v>
      </c>
      <c r="R65" s="788">
        <f>'DRE NOVAS PARCERIAS CAIXA'!AV22</f>
        <v>595628.39310999867</v>
      </c>
      <c r="S65" s="788">
        <f>'DRE NOVAS PARCERIAS CAIXA'!AW22</f>
        <v>595532.61996000097</v>
      </c>
      <c r="T65" s="788">
        <f>'DRE NOVAS PARCERIAS CAIXA'!AX22</f>
        <v>662447.92880999949</v>
      </c>
      <c r="U65" s="788">
        <f>'DRE NOVAS PARCERIAS CAIXA'!AY22</f>
        <v>671874.6282600041</v>
      </c>
      <c r="V65" s="788">
        <f>'DRE NOVAS PARCERIAS CAIXA'!BA22</f>
        <v>658176.6476099987</v>
      </c>
    </row>
    <row r="66" spans="1:22" ht="15">
      <c r="A66" s="11" t="s">
        <v>460</v>
      </c>
      <c r="B66" s="527">
        <v>207267.3824760112</v>
      </c>
      <c r="C66" s="527">
        <v>204071.52911996204</v>
      </c>
      <c r="D66" s="527">
        <v>200938.49518190225</v>
      </c>
      <c r="E66" s="527">
        <v>224796.31308611142</v>
      </c>
      <c r="F66" s="527">
        <f t="shared" ref="F66:H66" si="57">F65*F64</f>
        <v>221743.8</v>
      </c>
      <c r="G66" s="527">
        <f t="shared" si="57"/>
        <v>246708.21988799682</v>
      </c>
      <c r="H66" s="527">
        <f t="shared" si="57"/>
        <v>252559.19999999998</v>
      </c>
      <c r="I66" s="527">
        <f t="shared" ref="I66:J66" si="58">I65*I64</f>
        <v>290650.13971800951</v>
      </c>
      <c r="J66" s="527">
        <f t="shared" si="58"/>
        <v>331209.47854800452</v>
      </c>
      <c r="K66" s="527">
        <f t="shared" ref="K66:L66" si="59">K65*K64</f>
        <v>352267.2578340008</v>
      </c>
      <c r="L66" s="527">
        <f t="shared" si="59"/>
        <v>368063.67305999447</v>
      </c>
      <c r="M66" s="527">
        <f t="shared" ref="M66:N66" si="60">M65*M64</f>
        <v>336632.18413799512</v>
      </c>
      <c r="N66" s="527">
        <f t="shared" si="60"/>
        <v>357555.92782800004</v>
      </c>
      <c r="O66" s="527">
        <f>O65*O64</f>
        <v>223330.54956600099</v>
      </c>
      <c r="P66" s="527">
        <f>P65*P64</f>
        <v>358216.3776959987</v>
      </c>
      <c r="Q66" s="527">
        <f>Q65*Q64</f>
        <v>374624.37338999991</v>
      </c>
      <c r="R66" s="527">
        <f>R65*R64</f>
        <v>357377.03586599918</v>
      </c>
      <c r="S66" s="527">
        <f>S65*S64</f>
        <v>357319.57197600056</v>
      </c>
      <c r="T66" s="527">
        <f t="shared" ref="T66:U66" si="61">T65*T64</f>
        <v>397468.75728599966</v>
      </c>
      <c r="U66" s="527">
        <f t="shared" si="61"/>
        <v>403124.77695600246</v>
      </c>
      <c r="V66" s="527">
        <f>V65*V64</f>
        <v>394905.9885659992</v>
      </c>
    </row>
    <row r="67" spans="1:22" ht="15">
      <c r="A67" s="11" t="s">
        <v>848</v>
      </c>
      <c r="B67" s="528">
        <v>0</v>
      </c>
      <c r="C67" s="528">
        <v>0</v>
      </c>
      <c r="D67" s="528">
        <v>0</v>
      </c>
      <c r="E67" s="528">
        <v>0</v>
      </c>
      <c r="F67" s="528">
        <v>0</v>
      </c>
      <c r="G67" s="527">
        <f>-SUM(B26:G26)*(1-0.4)</f>
        <v>68006.831424000004</v>
      </c>
      <c r="H67" s="527">
        <f>-SUM(B10:H10)*H64-G67</f>
        <v>39006.874473420015</v>
      </c>
      <c r="I67" s="527">
        <f>-SUM(B10:I10)*I64-SUM(G67:H67)</f>
        <v>-844.66199999999662</v>
      </c>
      <c r="J67" s="527">
        <f>-SUM(B10:J10)*J64-SUM($G$67:I67)</f>
        <v>6048.7200000000012</v>
      </c>
      <c r="K67" s="529">
        <f>-SUM(B10:K10)*K64-SUM(G67:J67)</f>
        <v>-21552.119999999981</v>
      </c>
      <c r="L67" s="529">
        <f>-SUM(B10:L10)*L64-SUM(F67:K67)</f>
        <v>-14647.800000000003</v>
      </c>
      <c r="M67" s="530">
        <f>-SUM(B10:M10)*M64-SUM(G67:L67)</f>
        <v>-7709.5200000000041</v>
      </c>
      <c r="N67" s="530">
        <f>-SUM(B10:N10)*N64-SUM(G67:M67)</f>
        <v>1821.0267081016791</v>
      </c>
      <c r="O67" s="530">
        <f>-SUM($B$10:O10)*O64-SUM($G$67:N67)</f>
        <v>1763.8168363669392</v>
      </c>
      <c r="P67" s="527">
        <f>-SUM($B$10:P10)*P64-SUM($G$67:O67)</f>
        <v>5001.6853326652781</v>
      </c>
      <c r="Q67" s="527">
        <f>-SUM($B$10:Q10)*Q64-SUM($G$67:P67)</f>
        <v>0</v>
      </c>
      <c r="R67" s="527">
        <f>-SUM($B$10:R10)*R64-SUM($G$67:Q67)</f>
        <v>0</v>
      </c>
      <c r="S67" s="527">
        <f>-SUM($B$10:S10)*S64-SUM($G$67:R67)</f>
        <v>0</v>
      </c>
      <c r="T67" s="527">
        <f>-SUM($B$10:T10)*T64-SUM($G$67:S67)</f>
        <v>0</v>
      </c>
      <c r="U67" s="527">
        <f>-SUM($B$10:U10)*U64-SUM($G$67:T67)</f>
        <v>0</v>
      </c>
      <c r="V67" s="527">
        <f>-SUM($B$10:V10)*V64-SUM($G$67:U67)</f>
        <v>0</v>
      </c>
    </row>
    <row r="68" spans="1:22" ht="15">
      <c r="A68" s="236" t="s">
        <v>849</v>
      </c>
      <c r="B68" s="237">
        <v>207267.3824760112</v>
      </c>
      <c r="C68" s="237">
        <v>204071.52911996204</v>
      </c>
      <c r="D68" s="237">
        <v>200938.49518190225</v>
      </c>
      <c r="E68" s="237">
        <v>224796.31308611142</v>
      </c>
      <c r="F68" s="237">
        <f t="shared" ref="F68:H68" si="62">SUM(F66:F67)</f>
        <v>221743.8</v>
      </c>
      <c r="G68" s="237">
        <f t="shared" si="62"/>
        <v>314715.05131199682</v>
      </c>
      <c r="H68" s="237">
        <f t="shared" si="62"/>
        <v>291566.07447341998</v>
      </c>
      <c r="I68" s="237">
        <f t="shared" ref="I68:J68" si="63">SUM(I66:I67)</f>
        <v>289805.4777180095</v>
      </c>
      <c r="J68" s="237">
        <f t="shared" si="63"/>
        <v>337258.1985480045</v>
      </c>
      <c r="K68" s="237">
        <f t="shared" ref="K68:L68" si="64">SUM(K66:K67)</f>
        <v>330715.13783400081</v>
      </c>
      <c r="L68" s="237">
        <f t="shared" si="64"/>
        <v>353415.87305999448</v>
      </c>
      <c r="M68" s="237">
        <f t="shared" ref="M68" si="65">SUM(M66:M67)</f>
        <v>328922.6641379951</v>
      </c>
      <c r="N68" s="237">
        <f t="shared" ref="N68:U68" si="66">SUM(N66:N67)</f>
        <v>359376.95453610172</v>
      </c>
      <c r="O68" s="237">
        <f t="shared" si="66"/>
        <v>225094.36640236794</v>
      </c>
      <c r="P68" s="583">
        <f t="shared" si="66"/>
        <v>363218.06302866398</v>
      </c>
      <c r="Q68" s="583">
        <f t="shared" si="66"/>
        <v>374624.37338999991</v>
      </c>
      <c r="R68" s="583">
        <f t="shared" si="66"/>
        <v>357377.03586599918</v>
      </c>
      <c r="S68" s="583">
        <f t="shared" ref="S68" si="67">SUM(S66:S67)</f>
        <v>357319.57197600056</v>
      </c>
      <c r="T68" s="583">
        <f t="shared" si="66"/>
        <v>397468.75728599966</v>
      </c>
      <c r="U68" s="583">
        <f t="shared" si="66"/>
        <v>403124.77695600246</v>
      </c>
      <c r="V68" s="583">
        <f>SUM(V66:V67)</f>
        <v>394905.9885659992</v>
      </c>
    </row>
    <row r="69" spans="1:22">
      <c r="A69" s="233" t="s">
        <v>850</v>
      </c>
      <c r="J69" s="721"/>
      <c r="K69" s="721"/>
      <c r="L69" s="721"/>
      <c r="M69" s="721"/>
      <c r="N69" s="721"/>
      <c r="O69" s="721"/>
      <c r="P69" s="588"/>
      <c r="Q69" s="760"/>
      <c r="R69" s="760"/>
      <c r="S69" s="760"/>
      <c r="T69" s="760"/>
      <c r="U69" s="760"/>
      <c r="V69" s="760"/>
    </row>
    <row r="70" spans="1:22">
      <c r="O70" s="565"/>
      <c r="P70" s="565"/>
      <c r="Q70" s="761"/>
      <c r="R70" s="761"/>
      <c r="S70" s="761"/>
      <c r="T70" s="761"/>
      <c r="U70" s="761"/>
      <c r="V70" s="761"/>
    </row>
    <row r="71" spans="1:22">
      <c r="Q71" s="762"/>
      <c r="R71" s="762"/>
      <c r="S71" s="762"/>
      <c r="T71" s="762"/>
      <c r="V71" s="762"/>
    </row>
    <row r="72" spans="1:22">
      <c r="Q72" s="762"/>
      <c r="R72" s="762"/>
      <c r="S72" s="762"/>
      <c r="T72" s="762"/>
      <c r="V72" s="762"/>
    </row>
    <row r="73" spans="1:22">
      <c r="Q73" s="762"/>
      <c r="R73" s="762"/>
      <c r="S73" s="762"/>
      <c r="T73" s="762"/>
      <c r="V73" s="762"/>
    </row>
    <row r="74" spans="1:22">
      <c r="Q74" s="762"/>
      <c r="R74" s="762"/>
      <c r="S74" s="762"/>
      <c r="T74" s="762"/>
      <c r="V74" s="762"/>
    </row>
    <row r="75" spans="1:22">
      <c r="Q75" s="762"/>
      <c r="R75" s="762"/>
      <c r="S75" s="762"/>
      <c r="T75" s="762"/>
      <c r="V75" s="762"/>
    </row>
    <row r="76" spans="1:22">
      <c r="Q76" s="762"/>
      <c r="R76" s="762"/>
      <c r="S76" s="762"/>
      <c r="T76" s="762"/>
      <c r="V76" s="762"/>
    </row>
    <row r="77" spans="1:22">
      <c r="Q77" s="762"/>
      <c r="R77" s="762"/>
      <c r="S77" s="762"/>
      <c r="T77" s="762"/>
      <c r="V77" s="762"/>
    </row>
    <row r="78" spans="1:22">
      <c r="Q78" s="762"/>
      <c r="R78" s="762"/>
      <c r="S78" s="762"/>
      <c r="T78" s="762"/>
      <c r="V78" s="762"/>
    </row>
    <row r="79" spans="1:22">
      <c r="Q79" s="762"/>
      <c r="R79" s="762"/>
      <c r="S79" s="762"/>
      <c r="T79" s="762"/>
      <c r="V79" s="762"/>
    </row>
    <row r="80" spans="1:22">
      <c r="Q80" s="762"/>
      <c r="R80" s="762"/>
      <c r="S80" s="762"/>
      <c r="T80" s="762"/>
      <c r="V80" s="762"/>
    </row>
    <row r="81" spans="9:22">
      <c r="Q81" s="762"/>
      <c r="R81" s="762"/>
      <c r="S81" s="762"/>
      <c r="T81" s="762"/>
      <c r="V81" s="762"/>
    </row>
    <row r="82" spans="9:22">
      <c r="Q82" s="762"/>
      <c r="R82" s="762"/>
      <c r="S82" s="762"/>
      <c r="T82" s="762"/>
      <c r="V82" s="762"/>
    </row>
    <row r="83" spans="9:22">
      <c r="Q83" s="762"/>
      <c r="R83" s="762"/>
      <c r="S83" s="762"/>
      <c r="T83" s="762"/>
      <c r="V83" s="762"/>
    </row>
    <row r="84" spans="9:22">
      <c r="Q84" s="762"/>
      <c r="R84" s="762"/>
      <c r="S84" s="762"/>
      <c r="T84" s="762"/>
      <c r="V84" s="762"/>
    </row>
    <row r="85" spans="9:22">
      <c r="Q85" s="762"/>
      <c r="R85" s="762"/>
      <c r="S85" s="762"/>
      <c r="T85" s="762"/>
      <c r="V85" s="762"/>
    </row>
    <row r="86" spans="9:22">
      <c r="Q86" s="762"/>
      <c r="R86" s="762"/>
      <c r="S86" s="762"/>
      <c r="T86" s="762"/>
      <c r="V86" s="762"/>
    </row>
    <row r="87" spans="9:22">
      <c r="Q87" s="762"/>
      <c r="R87" s="762"/>
      <c r="S87" s="762"/>
      <c r="T87" s="762"/>
      <c r="V87" s="762"/>
    </row>
    <row r="88" spans="9:22">
      <c r="Q88" s="762"/>
      <c r="R88" s="762"/>
      <c r="S88" s="762"/>
      <c r="T88" s="762"/>
      <c r="V88" s="762"/>
    </row>
    <row r="89" spans="9:22">
      <c r="Q89" s="762"/>
      <c r="R89" s="762"/>
      <c r="S89" s="762"/>
      <c r="T89" s="762"/>
      <c r="V89" s="762"/>
    </row>
    <row r="90" spans="9:22">
      <c r="Q90" s="762"/>
      <c r="R90" s="762"/>
      <c r="S90" s="762"/>
      <c r="T90" s="762"/>
      <c r="V90" s="762"/>
    </row>
    <row r="91" spans="9:22">
      <c r="Q91" s="762"/>
      <c r="R91" s="762"/>
      <c r="S91" s="762"/>
      <c r="T91" s="762"/>
      <c r="V91" s="762"/>
    </row>
    <row r="92" spans="9:22">
      <c r="Q92" s="762"/>
      <c r="R92" s="762"/>
      <c r="S92" s="762"/>
      <c r="T92" s="762"/>
      <c r="V92" s="762"/>
    </row>
    <row r="93" spans="9:22">
      <c r="Q93" s="762"/>
      <c r="R93" s="762"/>
      <c r="S93" s="762"/>
      <c r="T93" s="762"/>
      <c r="V93" s="762"/>
    </row>
    <row r="94" spans="9:22">
      <c r="I94" s="565"/>
      <c r="Q94" s="762"/>
      <c r="R94" s="762"/>
      <c r="S94" s="762"/>
      <c r="T94" s="762"/>
      <c r="V94" s="76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&amp;R&amp;"Calibri"&amp;11&amp;K000000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21F6-C918-414B-A83C-9A7EB244F731}">
  <dimension ref="A1:BA46"/>
  <sheetViews>
    <sheetView showGridLines="0" showRowColHeaders="0" zoomScale="80" zoomScaleNormal="80" workbookViewId="0">
      <pane xSplit="2" topLeftCell="AV1" activePane="topRight" state="frozen"/>
      <selection activeCell="M8" sqref="M8"/>
      <selection pane="topRight" activeCell="C23" sqref="C23"/>
    </sheetView>
  </sheetViews>
  <sheetFormatPr defaultRowHeight="15" outlineLevelCol="1"/>
  <cols>
    <col min="1" max="1" width="2.7109375" customWidth="1"/>
    <col min="2" max="2" width="70.7109375" customWidth="1"/>
    <col min="3" max="3" width="11.42578125" hidden="1" customWidth="1" outlineLevel="1"/>
    <col min="4" max="6" width="9.42578125" hidden="1" customWidth="1" outlineLevel="1"/>
    <col min="7" max="7" width="12.5703125" customWidth="1" collapsed="1"/>
    <col min="8" max="11" width="12.5703125" hidden="1" customWidth="1" outlineLevel="1"/>
    <col min="12" max="12" width="12.5703125" customWidth="1" collapsed="1"/>
    <col min="13" max="16" width="12.5703125" hidden="1" customWidth="1" outlineLevel="1"/>
    <col min="17" max="17" width="12.5703125" customWidth="1" collapsed="1"/>
    <col min="18" max="21" width="12.5703125" hidden="1" customWidth="1" outlineLevel="1"/>
    <col min="22" max="22" width="12.5703125" customWidth="1" collapsed="1"/>
    <col min="23" max="26" width="12.5703125" hidden="1" customWidth="1" outlineLevel="1"/>
    <col min="27" max="27" width="12.5703125" customWidth="1" collapsed="1"/>
    <col min="28" max="31" width="12.5703125" hidden="1" customWidth="1" outlineLevel="1"/>
    <col min="32" max="32" width="12.5703125" customWidth="1" collapsed="1"/>
    <col min="33" max="36" width="12.5703125" hidden="1" customWidth="1" outlineLevel="1"/>
    <col min="37" max="37" width="12.5703125" customWidth="1" collapsed="1"/>
    <col min="38" max="41" width="12.5703125" hidden="1" customWidth="1" outlineLevel="1"/>
    <col min="42" max="42" width="12.5703125" customWidth="1" collapsed="1"/>
    <col min="43" max="46" width="12.5703125" hidden="1" customWidth="1" outlineLevel="1"/>
    <col min="47" max="47" width="12.5703125" customWidth="1" collapsed="1"/>
    <col min="48" max="51" width="12.5703125" customWidth="1" outlineLevel="1"/>
    <col min="52" max="53" width="12.5703125" customWidth="1"/>
  </cols>
  <sheetData>
    <row r="1" spans="1:5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31"/>
      <c r="BA1" s="630"/>
    </row>
    <row r="2" spans="1:53" ht="15" customHeight="1">
      <c r="A2" s="619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32"/>
      <c r="BA2" s="630"/>
    </row>
    <row r="3" spans="1:53" ht="50.1" customHeight="1">
      <c r="A3" s="623"/>
      <c r="B3" s="734" t="s">
        <v>1123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31"/>
      <c r="BA3" s="630"/>
    </row>
    <row r="4" spans="1:53" ht="10.35" customHeight="1" thickBot="1">
      <c r="A4" s="4"/>
      <c r="B4" s="4"/>
      <c r="D4" s="1"/>
      <c r="E4" s="1"/>
      <c r="F4" s="1"/>
      <c r="G4" s="1"/>
      <c r="H4" s="1"/>
      <c r="I4" s="1"/>
      <c r="J4" s="1"/>
      <c r="K4" s="1"/>
      <c r="L4" s="1"/>
      <c r="M4" s="4"/>
      <c r="O4" s="1"/>
      <c r="P4" s="1"/>
      <c r="Q4" s="1"/>
      <c r="R4" s="1"/>
      <c r="S4" s="1"/>
      <c r="T4" s="1"/>
      <c r="U4" s="1"/>
      <c r="V4" s="1"/>
      <c r="W4" s="1"/>
      <c r="X4" s="4"/>
      <c r="Z4" s="1"/>
      <c r="AA4" s="1"/>
      <c r="AB4" s="1"/>
      <c r="AC4" s="1"/>
      <c r="AD4" s="1"/>
      <c r="AE4" s="1"/>
      <c r="AF4" s="1"/>
      <c r="AG4" s="1"/>
      <c r="AH4" s="1"/>
      <c r="AI4" s="4"/>
      <c r="AK4" s="1"/>
      <c r="AL4" s="1"/>
      <c r="AM4" s="1"/>
      <c r="AN4" s="1"/>
      <c r="AO4" s="1"/>
      <c r="AP4" s="1"/>
      <c r="AQ4" s="1"/>
      <c r="AR4" s="1"/>
      <c r="AS4" s="1"/>
      <c r="AT4" s="4"/>
      <c r="AU4" s="1"/>
      <c r="AV4" s="4"/>
      <c r="AW4" s="4"/>
      <c r="AX4" s="4"/>
      <c r="AY4" s="4"/>
    </row>
    <row r="5" spans="1:53" s="30" customFormat="1" ht="24.4" customHeight="1">
      <c r="A5" s="625"/>
      <c r="B5" s="625" t="s">
        <v>453</v>
      </c>
      <c r="C5" s="626" t="s">
        <v>224</v>
      </c>
      <c r="D5" s="626" t="s">
        <v>225</v>
      </c>
      <c r="E5" s="626" t="s">
        <v>226</v>
      </c>
      <c r="F5" s="626" t="s">
        <v>227</v>
      </c>
      <c r="G5" s="652">
        <v>2016</v>
      </c>
      <c r="H5" s="626" t="s">
        <v>228</v>
      </c>
      <c r="I5" s="626" t="s">
        <v>229</v>
      </c>
      <c r="J5" s="626" t="s">
        <v>230</v>
      </c>
      <c r="K5" s="626" t="s">
        <v>231</v>
      </c>
      <c r="L5" s="652">
        <v>2017</v>
      </c>
      <c r="M5" s="626" t="s">
        <v>232</v>
      </c>
      <c r="N5" s="626" t="s">
        <v>233</v>
      </c>
      <c r="O5" s="626" t="s">
        <v>234</v>
      </c>
      <c r="P5" s="626" t="s">
        <v>235</v>
      </c>
      <c r="Q5" s="652">
        <v>2018</v>
      </c>
      <c r="R5" s="626" t="s">
        <v>236</v>
      </c>
      <c r="S5" s="626" t="s">
        <v>237</v>
      </c>
      <c r="T5" s="626" t="s">
        <v>238</v>
      </c>
      <c r="U5" s="626" t="s">
        <v>239</v>
      </c>
      <c r="V5" s="652">
        <v>2019</v>
      </c>
      <c r="W5" s="626" t="s">
        <v>240</v>
      </c>
      <c r="X5" s="626" t="s">
        <v>241</v>
      </c>
      <c r="Y5" s="626" t="s">
        <v>242</v>
      </c>
      <c r="Z5" s="626" t="s">
        <v>243</v>
      </c>
      <c r="AA5" s="652">
        <v>2020</v>
      </c>
      <c r="AB5" s="626" t="s">
        <v>244</v>
      </c>
      <c r="AC5" s="626" t="s">
        <v>245</v>
      </c>
      <c r="AD5" s="626" t="s">
        <v>246</v>
      </c>
      <c r="AE5" s="626" t="s">
        <v>247</v>
      </c>
      <c r="AF5" s="652">
        <v>2021</v>
      </c>
      <c r="AG5" s="626" t="s">
        <v>248</v>
      </c>
      <c r="AH5" s="626" t="s">
        <v>249</v>
      </c>
      <c r="AI5" s="626" t="s">
        <v>250</v>
      </c>
      <c r="AJ5" s="626" t="s">
        <v>215</v>
      </c>
      <c r="AK5" s="652">
        <v>2022</v>
      </c>
      <c r="AL5" s="626" t="s">
        <v>252</v>
      </c>
      <c r="AM5" s="626" t="s">
        <v>253</v>
      </c>
      <c r="AN5" s="626" t="s">
        <v>254</v>
      </c>
      <c r="AO5" s="626" t="s">
        <v>219</v>
      </c>
      <c r="AP5" s="652">
        <v>2023</v>
      </c>
      <c r="AQ5" s="626" t="s">
        <v>223</v>
      </c>
      <c r="AR5" s="626" t="s">
        <v>256</v>
      </c>
      <c r="AS5" s="626" t="s">
        <v>357</v>
      </c>
      <c r="AT5" s="626" t="s">
        <v>358</v>
      </c>
      <c r="AU5" s="652">
        <v>2024</v>
      </c>
      <c r="AV5" s="626" t="s">
        <v>359</v>
      </c>
      <c r="AW5" s="626" t="s">
        <v>1115</v>
      </c>
      <c r="AX5" s="626" t="s">
        <v>1116</v>
      </c>
      <c r="AY5" s="626" t="s">
        <v>1117</v>
      </c>
      <c r="AZ5" s="653" t="s">
        <v>1118</v>
      </c>
      <c r="BA5" s="645" t="s">
        <v>1124</v>
      </c>
    </row>
    <row r="6" spans="1:53">
      <c r="A6" s="9"/>
      <c r="B6" s="9" t="s">
        <v>412</v>
      </c>
      <c r="C6" s="10">
        <v>88568.368490000008</v>
      </c>
      <c r="D6" s="10">
        <v>69381.565180000034</v>
      </c>
      <c r="E6" s="10">
        <v>80497.868669999923</v>
      </c>
      <c r="F6" s="10">
        <v>89637.386329999979</v>
      </c>
      <c r="G6" s="39">
        <f>SUM(C6:F6)</f>
        <v>328085.18866999994</v>
      </c>
      <c r="H6" s="10">
        <v>137613.35517000002</v>
      </c>
      <c r="I6" s="10">
        <v>126909.01842000002</v>
      </c>
      <c r="J6" s="10">
        <v>132954.16104999997</v>
      </c>
      <c r="K6" s="10">
        <v>109007.80657999999</v>
      </c>
      <c r="L6" s="39">
        <f>SUM(H6:K6)</f>
        <v>506484.34121999994</v>
      </c>
      <c r="M6" s="10">
        <v>202770.36212999999</v>
      </c>
      <c r="N6" s="10">
        <v>155934.55770999996</v>
      </c>
      <c r="O6" s="10">
        <v>152860.31464999999</v>
      </c>
      <c r="P6" s="10">
        <v>154846.99670000011</v>
      </c>
      <c r="Q6" s="39">
        <f>SUM(M6:P6)</f>
        <v>666412.23119000008</v>
      </c>
      <c r="R6" s="10">
        <v>181908.14043</v>
      </c>
      <c r="S6" s="10">
        <v>184415.36861</v>
      </c>
      <c r="T6" s="10">
        <v>192286.61207999988</v>
      </c>
      <c r="U6" s="10">
        <v>87722.07242000007</v>
      </c>
      <c r="V6" s="39">
        <f>SUM(R6:U6)</f>
        <v>646332.19354000001</v>
      </c>
      <c r="W6" s="10">
        <v>173066.69044000001</v>
      </c>
      <c r="X6" s="10">
        <v>157080.37400000001</v>
      </c>
      <c r="Y6" s="10">
        <v>326701.03800000006</v>
      </c>
      <c r="Z6" s="10">
        <v>237841.76972999991</v>
      </c>
      <c r="AA6" s="39">
        <f>SUM(W6:Z6)</f>
        <v>894689.87216999999</v>
      </c>
      <c r="AB6" s="10">
        <v>78898</v>
      </c>
      <c r="AC6" s="10">
        <v>46477.008990000017</v>
      </c>
      <c r="AD6" s="10">
        <v>38120.106819999972</v>
      </c>
      <c r="AE6" s="10">
        <v>17383</v>
      </c>
      <c r="AF6" s="39">
        <f>SUM(AB6:AE6)</f>
        <v>180878.11580999999</v>
      </c>
      <c r="AG6" s="10">
        <v>41505</v>
      </c>
      <c r="AH6" s="10">
        <v>32137</v>
      </c>
      <c r="AI6" s="10">
        <v>33560</v>
      </c>
      <c r="AJ6" s="10">
        <v>34446</v>
      </c>
      <c r="AK6" s="39">
        <f>SUM(AG6:AJ6)</f>
        <v>141648</v>
      </c>
      <c r="AL6" s="10">
        <v>40329</v>
      </c>
      <c r="AM6" s="10">
        <v>38282</v>
      </c>
      <c r="AN6" s="10">
        <v>38471</v>
      </c>
      <c r="AO6" s="10">
        <v>40168</v>
      </c>
      <c r="AP6" s="39">
        <f>SUM(AL6:AO6)</f>
        <v>157250</v>
      </c>
      <c r="AQ6" s="10">
        <v>51791.429109999997</v>
      </c>
      <c r="AR6" s="10">
        <v>40830</v>
      </c>
      <c r="AS6" s="10">
        <v>41233</v>
      </c>
      <c r="AT6" s="10">
        <v>74959</v>
      </c>
      <c r="AU6" s="39">
        <f>SUM(AQ6:AT6)</f>
        <v>208813.42911</v>
      </c>
      <c r="AV6" s="10">
        <v>55910.635999999999</v>
      </c>
      <c r="AW6" s="10">
        <v>43266.521679999998</v>
      </c>
      <c r="AX6" s="10">
        <v>42754.196630000006</v>
      </c>
      <c r="AY6" s="10">
        <v>60846.292809999999</v>
      </c>
      <c r="AZ6" s="39">
        <f>SUM(AV6:AY6)</f>
        <v>202777.64712000004</v>
      </c>
      <c r="BA6" s="10">
        <v>41891.672850000003</v>
      </c>
    </row>
    <row r="7" spans="1:53">
      <c r="A7" s="11"/>
      <c r="B7" s="11" t="s">
        <v>413</v>
      </c>
      <c r="C7" s="8">
        <v>0</v>
      </c>
      <c r="D7" s="8">
        <v>0</v>
      </c>
      <c r="E7" s="8">
        <v>0</v>
      </c>
      <c r="F7" s="8">
        <v>0</v>
      </c>
      <c r="G7" s="40">
        <f t="shared" ref="G7:G19" si="0">SUM(C7:F7)</f>
        <v>0</v>
      </c>
      <c r="H7" s="8">
        <v>0</v>
      </c>
      <c r="I7" s="8">
        <v>0</v>
      </c>
      <c r="J7" s="8">
        <v>0</v>
      </c>
      <c r="K7" s="8">
        <v>0</v>
      </c>
      <c r="L7" s="40">
        <f t="shared" ref="L7:L19" si="1">SUM(H7:K7)</f>
        <v>0</v>
      </c>
      <c r="M7" s="8">
        <v>0</v>
      </c>
      <c r="N7" s="8">
        <v>0</v>
      </c>
      <c r="O7" s="8">
        <v>0</v>
      </c>
      <c r="P7" s="8">
        <v>0</v>
      </c>
      <c r="Q7" s="40">
        <f t="shared" ref="Q7:Q19" si="2">SUM(M7:P7)</f>
        <v>0</v>
      </c>
      <c r="R7" s="12">
        <v>0</v>
      </c>
      <c r="S7" s="12">
        <v>0</v>
      </c>
      <c r="T7" s="12">
        <v>0</v>
      </c>
      <c r="U7" s="12">
        <v>0</v>
      </c>
      <c r="V7" s="40">
        <f t="shared" ref="V7:V19" si="3">SUM(R7:U7)</f>
        <v>0</v>
      </c>
      <c r="W7" s="12">
        <v>0</v>
      </c>
      <c r="X7" s="12">
        <v>0</v>
      </c>
      <c r="Y7" s="12">
        <v>0</v>
      </c>
      <c r="Z7" s="12">
        <v>0</v>
      </c>
      <c r="AA7" s="40">
        <f t="shared" ref="AA7:AA19" si="4">SUM(W7:Z7)</f>
        <v>0</v>
      </c>
      <c r="AB7" s="12">
        <v>0</v>
      </c>
      <c r="AC7" s="12">
        <v>0</v>
      </c>
      <c r="AD7" s="12">
        <v>0</v>
      </c>
      <c r="AE7" s="12">
        <v>0</v>
      </c>
      <c r="AF7" s="40">
        <f t="shared" ref="AF7:AF19" si="5">SUM(AB7:AE7)</f>
        <v>0</v>
      </c>
      <c r="AG7" s="12">
        <v>0</v>
      </c>
      <c r="AH7" s="12">
        <v>0</v>
      </c>
      <c r="AI7" s="12">
        <v>0</v>
      </c>
      <c r="AJ7" s="12">
        <v>0</v>
      </c>
      <c r="AK7" s="40">
        <f t="shared" ref="AK7:AK19" si="6">SUM(AG7:AJ7)</f>
        <v>0</v>
      </c>
      <c r="AL7" s="12">
        <v>0</v>
      </c>
      <c r="AM7" s="12">
        <v>0</v>
      </c>
      <c r="AN7" s="12">
        <v>0</v>
      </c>
      <c r="AO7" s="12">
        <v>0</v>
      </c>
      <c r="AP7" s="40">
        <f t="shared" ref="AP7:AP19" si="7">SUM(AL7:AO7)</f>
        <v>0</v>
      </c>
      <c r="AQ7" s="12">
        <v>0</v>
      </c>
      <c r="AR7" s="1">
        <v>0</v>
      </c>
      <c r="AS7" s="12">
        <v>0</v>
      </c>
      <c r="AT7" s="1">
        <v>0</v>
      </c>
      <c r="AU7" s="40">
        <f t="shared" ref="AU7:AU19" si="8">SUM(AQ7:AT7)</f>
        <v>0</v>
      </c>
      <c r="AV7" s="1">
        <v>0</v>
      </c>
      <c r="AW7" s="1">
        <v>0</v>
      </c>
      <c r="AX7" s="1">
        <v>0</v>
      </c>
      <c r="AY7" s="1">
        <v>0</v>
      </c>
      <c r="AZ7" s="40">
        <f t="shared" ref="AZ7:AZ19" si="9">SUM(AV7:AY7)</f>
        <v>0</v>
      </c>
      <c r="BA7" s="8">
        <v>0</v>
      </c>
    </row>
    <row r="8" spans="1:53">
      <c r="A8" s="11"/>
      <c r="B8" s="11" t="s">
        <v>414</v>
      </c>
      <c r="C8" s="13">
        <v>-10236</v>
      </c>
      <c r="D8" s="13">
        <v>-9201</v>
      </c>
      <c r="E8" s="13">
        <v>-11298</v>
      </c>
      <c r="F8" s="13">
        <v>-11358</v>
      </c>
      <c r="G8" s="41">
        <f t="shared" si="0"/>
        <v>-42093</v>
      </c>
      <c r="H8" s="13">
        <v>-14341.066120000001</v>
      </c>
      <c r="I8" s="13">
        <v>-13100.862879999999</v>
      </c>
      <c r="J8" s="13">
        <v>-13727.869769999994</v>
      </c>
      <c r="K8" s="13">
        <v>-11542.481050000006</v>
      </c>
      <c r="L8" s="41">
        <f t="shared" si="1"/>
        <v>-52712.279819999996</v>
      </c>
      <c r="M8" s="13">
        <v>-19953.096559999998</v>
      </c>
      <c r="N8" s="13">
        <v>-15502.619029999994</v>
      </c>
      <c r="O8" s="13">
        <v>-14914.997260000004</v>
      </c>
      <c r="P8" s="13">
        <v>-17269.655770000012</v>
      </c>
      <c r="Q8" s="41">
        <f t="shared" si="2"/>
        <v>-67640.368620000008</v>
      </c>
      <c r="R8" s="13">
        <v>-17532</v>
      </c>
      <c r="S8" s="13">
        <v>-18115</v>
      </c>
      <c r="T8" s="13">
        <v>-19342</v>
      </c>
      <c r="U8" s="13">
        <v>-12115.037850000008</v>
      </c>
      <c r="V8" s="41">
        <f t="shared" si="3"/>
        <v>-67104.037850000008</v>
      </c>
      <c r="W8" s="13">
        <v>-13301</v>
      </c>
      <c r="X8" s="13">
        <v>-15986</v>
      </c>
      <c r="Y8" s="13">
        <v>-31220</v>
      </c>
      <c r="Z8" s="13">
        <v>-22827</v>
      </c>
      <c r="AA8" s="41">
        <f t="shared" si="4"/>
        <v>-83334</v>
      </c>
      <c r="AB8" s="13">
        <v>-7332</v>
      </c>
      <c r="AC8" s="13">
        <v>-4911.7217199999996</v>
      </c>
      <c r="AD8" s="13">
        <v>-4222.9824199999985</v>
      </c>
      <c r="AE8" s="13">
        <v>-1721</v>
      </c>
      <c r="AF8" s="41">
        <f t="shared" si="5"/>
        <v>-18187.704139999998</v>
      </c>
      <c r="AG8" s="13">
        <v>-5152</v>
      </c>
      <c r="AH8" s="13">
        <v>-3606</v>
      </c>
      <c r="AI8" s="13">
        <v>-3509</v>
      </c>
      <c r="AJ8" s="13">
        <v>-4125</v>
      </c>
      <c r="AK8" s="41">
        <f t="shared" si="6"/>
        <v>-16392</v>
      </c>
      <c r="AL8" s="13">
        <v>-4469</v>
      </c>
      <c r="AM8" s="13">
        <v>-4613</v>
      </c>
      <c r="AN8" s="13">
        <v>-4137</v>
      </c>
      <c r="AO8" s="13">
        <v>-4536</v>
      </c>
      <c r="AP8" s="41">
        <f t="shared" si="7"/>
        <v>-17755</v>
      </c>
      <c r="AQ8" s="13">
        <v>-5150.6064000000006</v>
      </c>
      <c r="AR8" s="1">
        <v>-4572</v>
      </c>
      <c r="AS8" s="13">
        <v>-4647.1229019000002</v>
      </c>
      <c r="AT8" s="1">
        <v>-8012</v>
      </c>
      <c r="AU8" s="41">
        <f t="shared" si="8"/>
        <v>-22381.729301899999</v>
      </c>
      <c r="AV8" s="1">
        <v>-6844.8950100000002</v>
      </c>
      <c r="AW8" s="1">
        <v>-5244.3588600000003</v>
      </c>
      <c r="AX8" s="1">
        <v>-5378.4252500000002</v>
      </c>
      <c r="AY8" s="1">
        <v>-7374.1541900000093</v>
      </c>
      <c r="AZ8" s="41">
        <f t="shared" si="9"/>
        <v>-24841.833310000009</v>
      </c>
      <c r="BA8" s="13">
        <v>-4825.0793700000004</v>
      </c>
    </row>
    <row r="9" spans="1:53">
      <c r="A9" s="11"/>
      <c r="B9" s="11" t="s">
        <v>415</v>
      </c>
      <c r="C9" s="13">
        <v>0</v>
      </c>
      <c r="D9" s="13">
        <v>0</v>
      </c>
      <c r="E9" s="13">
        <v>0</v>
      </c>
      <c r="F9" s="13">
        <v>0</v>
      </c>
      <c r="G9" s="41">
        <f t="shared" si="0"/>
        <v>0</v>
      </c>
      <c r="H9" s="13">
        <v>0</v>
      </c>
      <c r="I9" s="13">
        <v>0</v>
      </c>
      <c r="J9" s="13">
        <v>0</v>
      </c>
      <c r="K9" s="13">
        <v>0</v>
      </c>
      <c r="L9" s="41">
        <f t="shared" si="1"/>
        <v>0</v>
      </c>
      <c r="M9" s="13">
        <v>0</v>
      </c>
      <c r="N9" s="13">
        <v>0</v>
      </c>
      <c r="O9" s="13">
        <v>0</v>
      </c>
      <c r="P9" s="13">
        <v>0</v>
      </c>
      <c r="Q9" s="41">
        <f t="shared" si="2"/>
        <v>0</v>
      </c>
      <c r="R9" s="13">
        <v>0</v>
      </c>
      <c r="S9" s="13">
        <v>0</v>
      </c>
      <c r="T9" s="13">
        <v>0</v>
      </c>
      <c r="U9" s="13">
        <v>0</v>
      </c>
      <c r="V9" s="41">
        <f t="shared" si="3"/>
        <v>0</v>
      </c>
      <c r="W9" s="13">
        <v>0</v>
      </c>
      <c r="X9" s="13">
        <v>0</v>
      </c>
      <c r="Y9" s="13">
        <v>0</v>
      </c>
      <c r="Z9" s="13">
        <v>0</v>
      </c>
      <c r="AA9" s="41">
        <f t="shared" si="4"/>
        <v>0</v>
      </c>
      <c r="AB9" s="13">
        <v>0</v>
      </c>
      <c r="AC9" s="13">
        <v>0</v>
      </c>
      <c r="AD9" s="13">
        <v>0</v>
      </c>
      <c r="AE9" s="13">
        <v>0</v>
      </c>
      <c r="AF9" s="41">
        <f t="shared" si="5"/>
        <v>0</v>
      </c>
      <c r="AG9" s="13">
        <v>0</v>
      </c>
      <c r="AH9" s="13">
        <v>0</v>
      </c>
      <c r="AI9" s="13">
        <v>0</v>
      </c>
      <c r="AJ9" s="13">
        <v>0</v>
      </c>
      <c r="AK9" s="41">
        <f t="shared" si="6"/>
        <v>0</v>
      </c>
      <c r="AL9" s="13">
        <v>0</v>
      </c>
      <c r="AM9" s="13">
        <v>0</v>
      </c>
      <c r="AN9" s="13">
        <v>0</v>
      </c>
      <c r="AO9" s="13">
        <v>0</v>
      </c>
      <c r="AP9" s="41">
        <f t="shared" si="7"/>
        <v>0</v>
      </c>
      <c r="AQ9" s="13">
        <v>0</v>
      </c>
      <c r="AR9" s="1">
        <v>0</v>
      </c>
      <c r="AS9" s="13">
        <v>0</v>
      </c>
      <c r="AT9" s="1">
        <v>0</v>
      </c>
      <c r="AU9" s="41">
        <f t="shared" si="8"/>
        <v>0</v>
      </c>
      <c r="AV9" s="1">
        <v>0</v>
      </c>
      <c r="AW9" s="1">
        <v>0</v>
      </c>
      <c r="AX9" s="1">
        <v>0</v>
      </c>
      <c r="AY9" s="1">
        <v>0</v>
      </c>
      <c r="AZ9" s="41">
        <f t="shared" si="9"/>
        <v>0</v>
      </c>
      <c r="BA9" s="13">
        <v>0</v>
      </c>
    </row>
    <row r="10" spans="1:53">
      <c r="A10" s="11"/>
      <c r="B10" s="11" t="s">
        <v>416</v>
      </c>
      <c r="C10" s="8">
        <v>0</v>
      </c>
      <c r="D10" s="8">
        <v>0</v>
      </c>
      <c r="E10" s="8">
        <v>0</v>
      </c>
      <c r="F10" s="8">
        <v>0</v>
      </c>
      <c r="G10" s="40">
        <f t="shared" si="0"/>
        <v>0</v>
      </c>
      <c r="H10" s="8">
        <v>0</v>
      </c>
      <c r="I10" s="8">
        <v>0</v>
      </c>
      <c r="J10" s="8">
        <v>0</v>
      </c>
      <c r="K10" s="8">
        <v>0</v>
      </c>
      <c r="L10" s="40">
        <f t="shared" si="1"/>
        <v>0</v>
      </c>
      <c r="M10" s="8">
        <v>0</v>
      </c>
      <c r="N10" s="8">
        <v>0</v>
      </c>
      <c r="O10" s="8">
        <v>0</v>
      </c>
      <c r="P10" s="8">
        <v>0</v>
      </c>
      <c r="Q10" s="40">
        <f t="shared" si="2"/>
        <v>0</v>
      </c>
      <c r="R10" s="12">
        <v>0</v>
      </c>
      <c r="S10" s="12">
        <v>0</v>
      </c>
      <c r="T10" s="12">
        <v>0</v>
      </c>
      <c r="U10" s="12">
        <v>0</v>
      </c>
      <c r="V10" s="40">
        <f t="shared" si="3"/>
        <v>0</v>
      </c>
      <c r="W10" s="12">
        <v>0</v>
      </c>
      <c r="X10" s="12">
        <v>0</v>
      </c>
      <c r="Y10" s="12">
        <v>0</v>
      </c>
      <c r="Z10" s="12">
        <v>0</v>
      </c>
      <c r="AA10" s="40">
        <f t="shared" si="4"/>
        <v>0</v>
      </c>
      <c r="AB10" s="12">
        <v>0</v>
      </c>
      <c r="AC10" s="12">
        <v>0</v>
      </c>
      <c r="AD10" s="12">
        <v>0</v>
      </c>
      <c r="AE10" s="12">
        <v>0</v>
      </c>
      <c r="AF10" s="40">
        <f t="shared" si="5"/>
        <v>0</v>
      </c>
      <c r="AG10" s="12">
        <v>0</v>
      </c>
      <c r="AH10" s="12">
        <v>0</v>
      </c>
      <c r="AI10" s="12">
        <v>0</v>
      </c>
      <c r="AJ10" s="12">
        <v>0</v>
      </c>
      <c r="AK10" s="40">
        <f t="shared" si="6"/>
        <v>0</v>
      </c>
      <c r="AL10" s="12">
        <v>0</v>
      </c>
      <c r="AM10" s="12">
        <v>0</v>
      </c>
      <c r="AN10" s="12">
        <v>0</v>
      </c>
      <c r="AO10" s="12">
        <v>0</v>
      </c>
      <c r="AP10" s="40">
        <f t="shared" si="7"/>
        <v>0</v>
      </c>
      <c r="AQ10" s="12">
        <v>0</v>
      </c>
      <c r="AR10" s="1">
        <v>0</v>
      </c>
      <c r="AS10" s="12">
        <v>0</v>
      </c>
      <c r="AT10" s="1">
        <v>0</v>
      </c>
      <c r="AU10" s="40">
        <f t="shared" si="8"/>
        <v>0</v>
      </c>
      <c r="AV10" s="1">
        <v>0</v>
      </c>
      <c r="AW10" s="1">
        <v>0</v>
      </c>
      <c r="AX10" s="1">
        <v>0</v>
      </c>
      <c r="AY10" s="1">
        <v>0</v>
      </c>
      <c r="AZ10" s="40">
        <f t="shared" si="9"/>
        <v>0</v>
      </c>
      <c r="BA10" s="8">
        <v>0</v>
      </c>
    </row>
    <row r="11" spans="1:53">
      <c r="A11" s="11"/>
      <c r="B11" s="11" t="s">
        <v>417</v>
      </c>
      <c r="C11" s="13">
        <v>0</v>
      </c>
      <c r="D11" s="13">
        <v>-1249</v>
      </c>
      <c r="E11" s="13">
        <v>-65.646679999999932</v>
      </c>
      <c r="F11" s="13">
        <v>-1.3533200000000676</v>
      </c>
      <c r="G11" s="41">
        <f t="shared" si="0"/>
        <v>-1316</v>
      </c>
      <c r="H11" s="13">
        <v>0</v>
      </c>
      <c r="I11" s="13">
        <v>0</v>
      </c>
      <c r="J11" s="13">
        <v>0</v>
      </c>
      <c r="K11" s="13">
        <v>0</v>
      </c>
      <c r="L11" s="41">
        <f t="shared" si="1"/>
        <v>0</v>
      </c>
      <c r="M11" s="13">
        <v>0</v>
      </c>
      <c r="N11" s="13">
        <v>0</v>
      </c>
      <c r="O11" s="13">
        <v>0</v>
      </c>
      <c r="P11" s="13">
        <v>30261.016889999995</v>
      </c>
      <c r="Q11" s="41">
        <f t="shared" si="2"/>
        <v>30261.016889999995</v>
      </c>
      <c r="R11" s="13">
        <v>0</v>
      </c>
      <c r="S11" s="13">
        <v>0</v>
      </c>
      <c r="T11" s="13">
        <v>0</v>
      </c>
      <c r="U11" s="13">
        <v>-22.79496</v>
      </c>
      <c r="V11" s="41">
        <f t="shared" si="3"/>
        <v>-22.79496</v>
      </c>
      <c r="W11" s="13">
        <v>0</v>
      </c>
      <c r="X11" s="13">
        <v>-10</v>
      </c>
      <c r="Y11" s="13">
        <v>-29</v>
      </c>
      <c r="Z11" s="13">
        <v>2</v>
      </c>
      <c r="AA11" s="41">
        <f t="shared" si="4"/>
        <v>-37</v>
      </c>
      <c r="AB11" s="13">
        <v>0</v>
      </c>
      <c r="AC11" s="13">
        <v>0</v>
      </c>
      <c r="AD11" s="13">
        <v>0</v>
      </c>
      <c r="AE11" s="13">
        <v>0</v>
      </c>
      <c r="AF11" s="41">
        <f t="shared" si="5"/>
        <v>0</v>
      </c>
      <c r="AG11" s="13">
        <v>11445</v>
      </c>
      <c r="AH11" s="13">
        <v>0</v>
      </c>
      <c r="AI11" s="13">
        <v>0</v>
      </c>
      <c r="AJ11" s="13">
        <v>0</v>
      </c>
      <c r="AK11" s="41">
        <f t="shared" si="6"/>
        <v>11445</v>
      </c>
      <c r="AL11" s="13">
        <v>0</v>
      </c>
      <c r="AM11" s="13">
        <v>0</v>
      </c>
      <c r="AN11" s="13">
        <v>0</v>
      </c>
      <c r="AO11" s="13">
        <v>0</v>
      </c>
      <c r="AP11" s="41">
        <f t="shared" si="7"/>
        <v>0</v>
      </c>
      <c r="AQ11" s="13">
        <v>0</v>
      </c>
      <c r="AR11" s="1">
        <v>0</v>
      </c>
      <c r="AS11" s="13">
        <v>0</v>
      </c>
      <c r="AT11" s="1">
        <v>0</v>
      </c>
      <c r="AU11" s="41">
        <f t="shared" si="8"/>
        <v>0</v>
      </c>
      <c r="AV11" s="1">
        <v>0</v>
      </c>
      <c r="AW11" s="1">
        <v>0</v>
      </c>
      <c r="AX11" s="1">
        <v>0</v>
      </c>
      <c r="AY11" s="1">
        <v>0</v>
      </c>
      <c r="AZ11" s="41">
        <f t="shared" si="9"/>
        <v>0</v>
      </c>
      <c r="BA11" s="13">
        <v>0</v>
      </c>
    </row>
    <row r="12" spans="1:53">
      <c r="A12" s="9"/>
      <c r="B12" s="9" t="s">
        <v>418</v>
      </c>
      <c r="C12" s="10">
        <v>78332.368490000008</v>
      </c>
      <c r="D12" s="10">
        <v>58931.565180000034</v>
      </c>
      <c r="E12" s="10">
        <v>69134.221989999918</v>
      </c>
      <c r="F12" s="10">
        <v>78278.033009999985</v>
      </c>
      <c r="G12" s="39">
        <f t="shared" si="0"/>
        <v>284676.18866999994</v>
      </c>
      <c r="H12" s="10">
        <v>123272.28905000002</v>
      </c>
      <c r="I12" s="10">
        <v>113808.15554000002</v>
      </c>
      <c r="J12" s="10">
        <v>119226.29127999998</v>
      </c>
      <c r="K12" s="10">
        <v>97465.325529999987</v>
      </c>
      <c r="L12" s="39">
        <f t="shared" si="1"/>
        <v>453772.06139999995</v>
      </c>
      <c r="M12" s="10">
        <v>182817.26556999999</v>
      </c>
      <c r="N12" s="10">
        <v>140431.93867999996</v>
      </c>
      <c r="O12" s="10">
        <v>137945.31738999998</v>
      </c>
      <c r="P12" s="10">
        <v>167838.35782000009</v>
      </c>
      <c r="Q12" s="39">
        <f t="shared" si="2"/>
        <v>629032.87945999997</v>
      </c>
      <c r="R12" s="10">
        <v>164376.14043</v>
      </c>
      <c r="S12" s="10">
        <v>166300.36861</v>
      </c>
      <c r="T12" s="10">
        <v>172944.61207999988</v>
      </c>
      <c r="U12" s="10">
        <v>75584.239610000062</v>
      </c>
      <c r="V12" s="39">
        <f t="shared" si="3"/>
        <v>579205.36072999996</v>
      </c>
      <c r="W12" s="10">
        <v>159765.69044000001</v>
      </c>
      <c r="X12" s="10">
        <v>141084.37400000001</v>
      </c>
      <c r="Y12" s="10">
        <v>295452.03800000006</v>
      </c>
      <c r="Z12" s="10">
        <v>215016.76972999991</v>
      </c>
      <c r="AA12" s="39">
        <f t="shared" si="4"/>
        <v>811318.87216999999</v>
      </c>
      <c r="AB12" s="10">
        <v>71566</v>
      </c>
      <c r="AC12" s="10">
        <v>41565.287270000015</v>
      </c>
      <c r="AD12" s="10">
        <v>33897.124399999972</v>
      </c>
      <c r="AE12" s="10">
        <v>15662</v>
      </c>
      <c r="AF12" s="39">
        <f t="shared" si="5"/>
        <v>162690.41167</v>
      </c>
      <c r="AG12" s="10">
        <v>47798</v>
      </c>
      <c r="AH12" s="10">
        <v>28531</v>
      </c>
      <c r="AI12" s="10">
        <v>30050</v>
      </c>
      <c r="AJ12" s="10">
        <v>30321</v>
      </c>
      <c r="AK12" s="39">
        <f t="shared" si="6"/>
        <v>136700</v>
      </c>
      <c r="AL12" s="10">
        <v>35860</v>
      </c>
      <c r="AM12" s="10">
        <v>33669</v>
      </c>
      <c r="AN12" s="10">
        <v>34334</v>
      </c>
      <c r="AO12" s="10">
        <v>35632</v>
      </c>
      <c r="AP12" s="39">
        <f t="shared" si="7"/>
        <v>139495</v>
      </c>
      <c r="AQ12" s="10">
        <f t="shared" ref="AQ12:BA12" si="10">SUM(AQ6:AQ11)</f>
        <v>46640.822709999993</v>
      </c>
      <c r="AR12" s="10">
        <f t="shared" si="10"/>
        <v>36258</v>
      </c>
      <c r="AS12" s="10">
        <f t="shared" si="10"/>
        <v>36585.877098099998</v>
      </c>
      <c r="AT12" s="10">
        <f t="shared" si="10"/>
        <v>66947</v>
      </c>
      <c r="AU12" s="39">
        <f t="shared" si="8"/>
        <v>186431.69980810001</v>
      </c>
      <c r="AV12" s="10">
        <f t="shared" si="10"/>
        <v>49065.740989999998</v>
      </c>
      <c r="AW12" s="10">
        <f t="shared" si="10"/>
        <v>38022.162819999998</v>
      </c>
      <c r="AX12" s="10">
        <f t="shared" si="10"/>
        <v>37375.771380000006</v>
      </c>
      <c r="AY12" s="10">
        <f t="shared" si="10"/>
        <v>53472.138619999991</v>
      </c>
      <c r="AZ12" s="39">
        <f t="shared" si="9"/>
        <v>177935.81380999999</v>
      </c>
      <c r="BA12" s="76">
        <f t="shared" si="10"/>
        <v>37066.593480000003</v>
      </c>
    </row>
    <row r="13" spans="1:53">
      <c r="A13" s="11"/>
      <c r="B13" s="11" t="s">
        <v>419</v>
      </c>
      <c r="C13" s="13">
        <v>0</v>
      </c>
      <c r="D13" s="13">
        <v>0</v>
      </c>
      <c r="E13" s="13">
        <v>0</v>
      </c>
      <c r="F13" s="13">
        <v>0</v>
      </c>
      <c r="G13" s="41">
        <f t="shared" si="0"/>
        <v>0</v>
      </c>
      <c r="H13" s="13">
        <v>0</v>
      </c>
      <c r="I13" s="13">
        <v>0</v>
      </c>
      <c r="J13" s="13">
        <v>0</v>
      </c>
      <c r="K13" s="13">
        <v>0</v>
      </c>
      <c r="L13" s="41">
        <f t="shared" si="1"/>
        <v>0</v>
      </c>
      <c r="M13" s="13">
        <v>0</v>
      </c>
      <c r="N13" s="13">
        <v>0</v>
      </c>
      <c r="O13" s="13">
        <v>0</v>
      </c>
      <c r="P13" s="13">
        <v>0</v>
      </c>
      <c r="Q13" s="41">
        <f t="shared" si="2"/>
        <v>0</v>
      </c>
      <c r="R13" s="13">
        <v>0</v>
      </c>
      <c r="S13" s="13">
        <v>0</v>
      </c>
      <c r="T13" s="13">
        <v>0</v>
      </c>
      <c r="U13" s="13">
        <v>0</v>
      </c>
      <c r="V13" s="41">
        <f t="shared" si="3"/>
        <v>0</v>
      </c>
      <c r="W13" s="13">
        <v>0</v>
      </c>
      <c r="X13" s="13">
        <v>0</v>
      </c>
      <c r="Y13" s="13">
        <v>0</v>
      </c>
      <c r="Z13" s="13">
        <v>0</v>
      </c>
      <c r="AA13" s="41">
        <f t="shared" si="4"/>
        <v>0</v>
      </c>
      <c r="AB13" s="13">
        <v>0</v>
      </c>
      <c r="AC13" s="13">
        <v>0</v>
      </c>
      <c r="AD13" s="13">
        <v>0</v>
      </c>
      <c r="AE13" s="13">
        <v>0</v>
      </c>
      <c r="AF13" s="41">
        <f t="shared" si="5"/>
        <v>0</v>
      </c>
      <c r="AG13" s="13">
        <v>0</v>
      </c>
      <c r="AH13" s="13">
        <v>0</v>
      </c>
      <c r="AI13" s="13">
        <v>0</v>
      </c>
      <c r="AJ13" s="13">
        <v>0</v>
      </c>
      <c r="AK13" s="41">
        <f t="shared" si="6"/>
        <v>0</v>
      </c>
      <c r="AL13" s="13">
        <v>0</v>
      </c>
      <c r="AM13" s="13">
        <v>0</v>
      </c>
      <c r="AN13" s="13">
        <v>0</v>
      </c>
      <c r="AO13" s="13"/>
      <c r="AP13" s="41">
        <f t="shared" si="7"/>
        <v>0</v>
      </c>
      <c r="AQ13" s="13">
        <v>0</v>
      </c>
      <c r="AR13" s="1">
        <v>0</v>
      </c>
      <c r="AS13" s="13">
        <v>0</v>
      </c>
      <c r="AT13" s="13">
        <v>0</v>
      </c>
      <c r="AU13" s="41">
        <f t="shared" si="8"/>
        <v>0</v>
      </c>
      <c r="AV13" s="13">
        <v>0</v>
      </c>
      <c r="AW13" s="13">
        <v>0</v>
      </c>
      <c r="AX13" s="13">
        <v>0</v>
      </c>
      <c r="AY13" s="13">
        <v>0</v>
      </c>
      <c r="AZ13" s="41">
        <f t="shared" si="9"/>
        <v>0</v>
      </c>
      <c r="BA13" s="13">
        <v>0</v>
      </c>
    </row>
    <row r="14" spans="1:53">
      <c r="A14" s="9"/>
      <c r="B14" s="9" t="s">
        <v>420</v>
      </c>
      <c r="C14" s="10">
        <v>78332.368490000008</v>
      </c>
      <c r="D14" s="10">
        <v>58931.565180000034</v>
      </c>
      <c r="E14" s="10">
        <v>69134.221989999918</v>
      </c>
      <c r="F14" s="10">
        <v>78278.033009999985</v>
      </c>
      <c r="G14" s="39">
        <f t="shared" si="0"/>
        <v>284676.18866999994</v>
      </c>
      <c r="H14" s="10">
        <v>123272.28905000002</v>
      </c>
      <c r="I14" s="10">
        <v>113808.15554000002</v>
      </c>
      <c r="J14" s="10">
        <v>119226.29127999998</v>
      </c>
      <c r="K14" s="10">
        <v>97465.325529999987</v>
      </c>
      <c r="L14" s="39">
        <f t="shared" si="1"/>
        <v>453772.06139999995</v>
      </c>
      <c r="M14" s="10">
        <v>182817.26556999999</v>
      </c>
      <c r="N14" s="10">
        <v>140431.93867999996</v>
      </c>
      <c r="O14" s="10">
        <v>137945.31738999998</v>
      </c>
      <c r="P14" s="10">
        <v>167838.35782000009</v>
      </c>
      <c r="Q14" s="39">
        <f t="shared" si="2"/>
        <v>629032.87945999997</v>
      </c>
      <c r="R14" s="10">
        <v>164376.14043</v>
      </c>
      <c r="S14" s="10">
        <v>166300.36861</v>
      </c>
      <c r="T14" s="10">
        <v>172944.61207999988</v>
      </c>
      <c r="U14" s="10">
        <v>75584.239610000062</v>
      </c>
      <c r="V14" s="39">
        <f t="shared" si="3"/>
        <v>579205.36072999996</v>
      </c>
      <c r="W14" s="10">
        <v>159765.69044000001</v>
      </c>
      <c r="X14" s="10">
        <v>141084.37400000001</v>
      </c>
      <c r="Y14" s="10">
        <v>295452.03800000006</v>
      </c>
      <c r="Z14" s="10">
        <v>215016.76972999991</v>
      </c>
      <c r="AA14" s="39">
        <f t="shared" si="4"/>
        <v>811318.87216999999</v>
      </c>
      <c r="AB14" s="10">
        <v>71566</v>
      </c>
      <c r="AC14" s="10">
        <v>41565.287270000015</v>
      </c>
      <c r="AD14" s="10">
        <v>33897.124399999972</v>
      </c>
      <c r="AE14" s="10">
        <v>15662</v>
      </c>
      <c r="AF14" s="39">
        <f t="shared" si="5"/>
        <v>162690.41167</v>
      </c>
      <c r="AG14" s="10">
        <v>47798</v>
      </c>
      <c r="AH14" s="10">
        <v>28531</v>
      </c>
      <c r="AI14" s="10">
        <v>30050</v>
      </c>
      <c r="AJ14" s="10">
        <v>30321</v>
      </c>
      <c r="AK14" s="39">
        <f t="shared" si="6"/>
        <v>136700</v>
      </c>
      <c r="AL14" s="10">
        <v>35860</v>
      </c>
      <c r="AM14" s="10">
        <v>33669</v>
      </c>
      <c r="AN14" s="10">
        <v>34334</v>
      </c>
      <c r="AO14" s="10">
        <v>35632</v>
      </c>
      <c r="AP14" s="39">
        <f t="shared" si="7"/>
        <v>139495</v>
      </c>
      <c r="AQ14" s="10">
        <f t="shared" ref="AQ14:AT14" si="11">AQ12+AQ13</f>
        <v>46640.822709999993</v>
      </c>
      <c r="AR14" s="10">
        <f t="shared" si="11"/>
        <v>36258</v>
      </c>
      <c r="AS14" s="10">
        <f t="shared" si="11"/>
        <v>36585.877098099998</v>
      </c>
      <c r="AT14" s="10">
        <f t="shared" si="11"/>
        <v>66947</v>
      </c>
      <c r="AU14" s="39">
        <f t="shared" si="8"/>
        <v>186431.69980810001</v>
      </c>
      <c r="AV14" s="10">
        <f t="shared" ref="AV14:BA14" si="12">AV12+AV13</f>
        <v>49065.740989999998</v>
      </c>
      <c r="AW14" s="10">
        <f t="shared" si="12"/>
        <v>38022.162819999998</v>
      </c>
      <c r="AX14" s="10">
        <f t="shared" si="12"/>
        <v>37375.771380000006</v>
      </c>
      <c r="AY14" s="10">
        <f t="shared" si="12"/>
        <v>53472.138619999991</v>
      </c>
      <c r="AZ14" s="39">
        <f t="shared" si="9"/>
        <v>177935.81380999999</v>
      </c>
      <c r="BA14" s="76">
        <f t="shared" si="12"/>
        <v>37066.593480000003</v>
      </c>
    </row>
    <row r="15" spans="1:53">
      <c r="A15" s="11"/>
      <c r="B15" s="11" t="s">
        <v>421</v>
      </c>
      <c r="C15" s="13">
        <v>-23852.205882352941</v>
      </c>
      <c r="D15" s="13">
        <v>-21175.735294117647</v>
      </c>
      <c r="E15" s="13">
        <v>-26880.147058823528</v>
      </c>
      <c r="F15" s="13">
        <v>-26585.294117647056</v>
      </c>
      <c r="G15" s="41">
        <f t="shared" si="0"/>
        <v>-98493.382352941175</v>
      </c>
      <c r="H15" s="13">
        <v>-34557.160036764697</v>
      </c>
      <c r="I15" s="13">
        <v>-31231.472698529407</v>
      </c>
      <c r="J15" s="13">
        <v>-32240.507139705889</v>
      </c>
      <c r="K15" s="13">
        <v>-25413.051470588234</v>
      </c>
      <c r="L15" s="41">
        <f t="shared" si="1"/>
        <v>-123442.19134558823</v>
      </c>
      <c r="M15" s="13">
        <v>-47797.288397058823</v>
      </c>
      <c r="N15" s="13">
        <v>-35639.368838235299</v>
      </c>
      <c r="O15" s="13">
        <v>-32882.092433823505</v>
      </c>
      <c r="P15" s="13">
        <v>-39134.429985294119</v>
      </c>
      <c r="Q15" s="41">
        <f t="shared" si="2"/>
        <v>-155453.17965441174</v>
      </c>
      <c r="R15" s="13">
        <v>-40734.558823529405</v>
      </c>
      <c r="S15" s="13">
        <v>-43129.411764705881</v>
      </c>
      <c r="T15" s="13">
        <v>-44890.441176470587</v>
      </c>
      <c r="U15" s="13">
        <v>-18946.829235294117</v>
      </c>
      <c r="V15" s="41">
        <f t="shared" si="3"/>
        <v>-147701.24099999998</v>
      </c>
      <c r="W15" s="13">
        <v>-37848.529411764706</v>
      </c>
      <c r="X15" s="13">
        <v>-34605.882352941175</v>
      </c>
      <c r="Y15" s="13">
        <v>-73865.441176470587</v>
      </c>
      <c r="Z15" s="13">
        <v>-53219.852941176468</v>
      </c>
      <c r="AA15" s="41">
        <f t="shared" si="4"/>
        <v>-199539.70588235292</v>
      </c>
      <c r="AB15" s="13">
        <v>-14530.70752</v>
      </c>
      <c r="AC15" s="13">
        <v>-6746.7872900000002</v>
      </c>
      <c r="AD15" s="13">
        <v>-6731.5672000000013</v>
      </c>
      <c r="AE15" s="13">
        <v>-1065.7824299999993</v>
      </c>
      <c r="AF15" s="41">
        <f t="shared" si="5"/>
        <v>-29074.844440000001</v>
      </c>
      <c r="AG15" s="13">
        <v>-10353</v>
      </c>
      <c r="AH15" s="13">
        <v>-4448</v>
      </c>
      <c r="AI15" s="13">
        <v>-4822</v>
      </c>
      <c r="AJ15" s="13">
        <v>-7600</v>
      </c>
      <c r="AK15" s="41">
        <f t="shared" si="6"/>
        <v>-27223</v>
      </c>
      <c r="AL15" s="1">
        <v>-3988</v>
      </c>
      <c r="AM15" s="13">
        <v>-6073</v>
      </c>
      <c r="AN15" s="13">
        <v>-5911</v>
      </c>
      <c r="AO15" s="13">
        <v>-7900</v>
      </c>
      <c r="AP15" s="41">
        <f t="shared" si="7"/>
        <v>-23872</v>
      </c>
      <c r="AQ15" s="13">
        <v>1263.12123</v>
      </c>
      <c r="AR15" s="1">
        <v>-2760</v>
      </c>
      <c r="AS15" s="13">
        <v>-7634.6191345250008</v>
      </c>
      <c r="AT15" s="13">
        <v>-16916</v>
      </c>
      <c r="AU15" s="41">
        <f t="shared" si="8"/>
        <v>-26047.497904525</v>
      </c>
      <c r="AV15" s="13">
        <v>-8974.8645500000002</v>
      </c>
      <c r="AW15" s="13">
        <v>-9012.7148800000014</v>
      </c>
      <c r="AX15" s="13">
        <v>-8895.13724</v>
      </c>
      <c r="AY15" s="13">
        <v>-16053.37703</v>
      </c>
      <c r="AZ15" s="41">
        <f t="shared" si="9"/>
        <v>-42936.093699999998</v>
      </c>
      <c r="BA15" s="13">
        <v>-3584.4327400000002</v>
      </c>
    </row>
    <row r="16" spans="1:53">
      <c r="A16" s="11"/>
      <c r="B16" s="11" t="s">
        <v>422</v>
      </c>
      <c r="C16" s="13">
        <v>-8586.7941176470576</v>
      </c>
      <c r="D16" s="13">
        <v>-7623.2647058823513</v>
      </c>
      <c r="E16" s="13">
        <v>-9676.8529411764684</v>
      </c>
      <c r="F16" s="13">
        <v>-9570.7058823529387</v>
      </c>
      <c r="G16" s="41">
        <f t="shared" si="0"/>
        <v>-35457.617647058818</v>
      </c>
      <c r="H16" s="13">
        <v>-12440.577613235291</v>
      </c>
      <c r="I16" s="13">
        <v>-11243.330171470587</v>
      </c>
      <c r="J16" s="13">
        <v>-11606.58257029412</v>
      </c>
      <c r="K16" s="13">
        <v>-9148.6985294117621</v>
      </c>
      <c r="L16" s="41">
        <f t="shared" si="1"/>
        <v>-44439.188884411764</v>
      </c>
      <c r="M16" s="13">
        <v>-17207.023822941173</v>
      </c>
      <c r="N16" s="13">
        <v>-12830.172781764706</v>
      </c>
      <c r="O16" s="13">
        <v>-11837.553276176463</v>
      </c>
      <c r="P16" s="13">
        <v>-14088.39479470588</v>
      </c>
      <c r="Q16" s="41">
        <f t="shared" si="2"/>
        <v>-55963.144675588221</v>
      </c>
      <c r="R16" s="13">
        <v>-14664.441176470586</v>
      </c>
      <c r="S16" s="13">
        <v>-15526.588235294115</v>
      </c>
      <c r="T16" s="13">
        <v>-16160.558823529409</v>
      </c>
      <c r="U16" s="13">
        <v>-6820.8585247058809</v>
      </c>
      <c r="V16" s="41">
        <f t="shared" si="3"/>
        <v>-53172.446759999992</v>
      </c>
      <c r="W16" s="13">
        <v>-13625.470588235292</v>
      </c>
      <c r="X16" s="13">
        <v>-12458.117647058822</v>
      </c>
      <c r="Y16" s="13">
        <v>-26591.558823529405</v>
      </c>
      <c r="Z16" s="13">
        <v>-19159.147058823524</v>
      </c>
      <c r="AA16" s="41">
        <f t="shared" si="4"/>
        <v>-71834.294117647049</v>
      </c>
      <c r="AB16" s="13">
        <v>-5233.2147100000002</v>
      </c>
      <c r="AC16" s="13">
        <v>-2356.4172099999996</v>
      </c>
      <c r="AD16" s="13">
        <v>-2491.3421300000009</v>
      </c>
      <c r="AE16" s="13">
        <v>-250.53384000000005</v>
      </c>
      <c r="AF16" s="41">
        <f t="shared" si="5"/>
        <v>-10331.507890000001</v>
      </c>
      <c r="AG16" s="13">
        <v>-3699</v>
      </c>
      <c r="AH16" s="13">
        <v>-1603</v>
      </c>
      <c r="AI16" s="13">
        <v>-1738</v>
      </c>
      <c r="AJ16" s="13">
        <v>-2530</v>
      </c>
      <c r="AK16" s="41">
        <f t="shared" si="6"/>
        <v>-9570</v>
      </c>
      <c r="AL16" s="1">
        <v>-1450</v>
      </c>
      <c r="AM16" s="13">
        <v>-2177</v>
      </c>
      <c r="AN16" s="13">
        <v>-1909</v>
      </c>
      <c r="AO16" s="13">
        <v>-2847</v>
      </c>
      <c r="AP16" s="41">
        <f t="shared" si="7"/>
        <v>-8383</v>
      </c>
      <c r="AQ16" s="13">
        <v>671.23883999999998</v>
      </c>
      <c r="AR16" s="1">
        <v>-998</v>
      </c>
      <c r="AS16" s="13">
        <v>-2750.1428884289999</v>
      </c>
      <c r="AT16" s="13">
        <v>-5905</v>
      </c>
      <c r="AU16" s="41">
        <f t="shared" si="8"/>
        <v>-8981.9040484289999</v>
      </c>
      <c r="AV16" s="13">
        <v>-3233.1112400000002</v>
      </c>
      <c r="AW16" s="13">
        <v>-3246.7373499999999</v>
      </c>
      <c r="AX16" s="13">
        <v>-3204.4094100000002</v>
      </c>
      <c r="AY16" s="13">
        <v>-5534.1144899999999</v>
      </c>
      <c r="AZ16" s="41">
        <f t="shared" si="9"/>
        <v>-15218.37249</v>
      </c>
      <c r="BA16" s="13">
        <v>-1292.5557900000001</v>
      </c>
    </row>
    <row r="17" spans="1:53">
      <c r="A17" s="11"/>
      <c r="B17" s="11" t="s">
        <v>423</v>
      </c>
      <c r="C17" s="13">
        <v>0</v>
      </c>
      <c r="D17" s="13">
        <v>0</v>
      </c>
      <c r="E17" s="13">
        <v>0</v>
      </c>
      <c r="F17" s="13">
        <v>0</v>
      </c>
      <c r="G17" s="41">
        <f t="shared" si="0"/>
        <v>0</v>
      </c>
      <c r="H17" s="13">
        <v>0</v>
      </c>
      <c r="I17" s="13">
        <v>0</v>
      </c>
      <c r="J17" s="13">
        <v>0</v>
      </c>
      <c r="K17" s="13">
        <v>0</v>
      </c>
      <c r="L17" s="41">
        <f t="shared" si="1"/>
        <v>0</v>
      </c>
      <c r="M17" s="13">
        <v>0</v>
      </c>
      <c r="N17" s="13">
        <v>0</v>
      </c>
      <c r="O17" s="13">
        <v>0</v>
      </c>
      <c r="P17" s="13">
        <v>0</v>
      </c>
      <c r="Q17" s="41">
        <f t="shared" si="2"/>
        <v>0</v>
      </c>
      <c r="R17" s="13">
        <v>0</v>
      </c>
      <c r="S17" s="13">
        <v>0</v>
      </c>
      <c r="T17" s="13">
        <v>0</v>
      </c>
      <c r="U17" s="13">
        <v>0</v>
      </c>
      <c r="V17" s="41">
        <f t="shared" si="3"/>
        <v>0</v>
      </c>
      <c r="W17" s="13">
        <v>0</v>
      </c>
      <c r="X17" s="13">
        <v>0</v>
      </c>
      <c r="Y17" s="13">
        <v>0</v>
      </c>
      <c r="Z17" s="13">
        <v>0</v>
      </c>
      <c r="AA17" s="41">
        <f t="shared" si="4"/>
        <v>0</v>
      </c>
      <c r="AB17" s="13">
        <v>0</v>
      </c>
      <c r="AC17" s="13">
        <v>0</v>
      </c>
      <c r="AD17" s="13">
        <v>0</v>
      </c>
      <c r="AE17" s="13">
        <v>0</v>
      </c>
      <c r="AF17" s="41">
        <f t="shared" si="5"/>
        <v>0</v>
      </c>
      <c r="AG17" s="13">
        <v>0</v>
      </c>
      <c r="AH17" s="13">
        <v>0</v>
      </c>
      <c r="AI17" s="13">
        <v>0</v>
      </c>
      <c r="AJ17" s="13">
        <v>0</v>
      </c>
      <c r="AK17" s="41">
        <f t="shared" si="6"/>
        <v>0</v>
      </c>
      <c r="AL17" s="1">
        <v>0</v>
      </c>
      <c r="AM17" s="13">
        <v>0</v>
      </c>
      <c r="AN17" s="13">
        <v>0</v>
      </c>
      <c r="AO17" s="13">
        <v>0</v>
      </c>
      <c r="AP17" s="41">
        <f t="shared" si="7"/>
        <v>0</v>
      </c>
      <c r="AQ17" s="13">
        <v>0</v>
      </c>
      <c r="AR17" s="1">
        <v>0</v>
      </c>
      <c r="AS17" s="13">
        <v>0</v>
      </c>
      <c r="AT17" s="13">
        <v>0</v>
      </c>
      <c r="AU17" s="41">
        <f t="shared" si="8"/>
        <v>0</v>
      </c>
      <c r="AV17" s="13">
        <v>0</v>
      </c>
      <c r="AW17" s="13">
        <v>0</v>
      </c>
      <c r="AX17" s="13">
        <v>0</v>
      </c>
      <c r="AY17" s="13">
        <v>0</v>
      </c>
      <c r="AZ17" s="41">
        <f t="shared" si="9"/>
        <v>0</v>
      </c>
      <c r="BA17" s="13">
        <v>0</v>
      </c>
    </row>
    <row r="18" spans="1:53">
      <c r="A18" s="11"/>
      <c r="B18" s="11" t="s">
        <v>424</v>
      </c>
      <c r="C18" s="13">
        <v>0</v>
      </c>
      <c r="D18" s="13">
        <v>0</v>
      </c>
      <c r="E18" s="13">
        <v>0</v>
      </c>
      <c r="F18" s="13">
        <v>0</v>
      </c>
      <c r="G18" s="41">
        <f t="shared" si="0"/>
        <v>0</v>
      </c>
      <c r="H18" s="13">
        <v>0</v>
      </c>
      <c r="I18" s="13">
        <v>0</v>
      </c>
      <c r="J18" s="13">
        <v>0</v>
      </c>
      <c r="K18" s="13">
        <v>0</v>
      </c>
      <c r="L18" s="41">
        <f t="shared" si="1"/>
        <v>0</v>
      </c>
      <c r="M18" s="13">
        <v>0</v>
      </c>
      <c r="N18" s="13">
        <v>0</v>
      </c>
      <c r="O18" s="13">
        <v>0</v>
      </c>
      <c r="P18" s="13">
        <v>0</v>
      </c>
      <c r="Q18" s="41">
        <f t="shared" si="2"/>
        <v>0</v>
      </c>
      <c r="R18" s="13">
        <v>0</v>
      </c>
      <c r="S18" s="13">
        <v>0</v>
      </c>
      <c r="T18" s="13">
        <v>0</v>
      </c>
      <c r="U18" s="13">
        <v>0</v>
      </c>
      <c r="V18" s="41">
        <f t="shared" si="3"/>
        <v>0</v>
      </c>
      <c r="W18" s="13">
        <v>0</v>
      </c>
      <c r="X18" s="13">
        <v>0</v>
      </c>
      <c r="Y18" s="13">
        <v>0</v>
      </c>
      <c r="Z18" s="13">
        <v>0</v>
      </c>
      <c r="AA18" s="41">
        <f t="shared" si="4"/>
        <v>0</v>
      </c>
      <c r="AB18" s="13">
        <v>0</v>
      </c>
      <c r="AC18" s="13">
        <v>0</v>
      </c>
      <c r="AD18" s="13">
        <v>0</v>
      </c>
      <c r="AE18" s="13">
        <v>0</v>
      </c>
      <c r="AF18" s="41">
        <f t="shared" si="5"/>
        <v>0</v>
      </c>
      <c r="AG18" s="13">
        <v>0</v>
      </c>
      <c r="AH18" s="13">
        <v>0</v>
      </c>
      <c r="AI18" s="13">
        <v>0</v>
      </c>
      <c r="AJ18" s="13">
        <v>0</v>
      </c>
      <c r="AK18" s="41">
        <f t="shared" si="6"/>
        <v>0</v>
      </c>
      <c r="AL18" s="1">
        <v>0</v>
      </c>
      <c r="AM18" s="13">
        <v>0</v>
      </c>
      <c r="AN18" s="13">
        <v>0</v>
      </c>
      <c r="AO18" s="13">
        <v>0</v>
      </c>
      <c r="AP18" s="41">
        <f t="shared" si="7"/>
        <v>0</v>
      </c>
      <c r="AQ18" s="13">
        <v>0</v>
      </c>
      <c r="AR18" s="1">
        <v>0</v>
      </c>
      <c r="AS18" s="13">
        <v>0</v>
      </c>
      <c r="AT18" s="13">
        <v>0</v>
      </c>
      <c r="AU18" s="41">
        <f t="shared" si="8"/>
        <v>0</v>
      </c>
      <c r="AV18" s="13">
        <v>0</v>
      </c>
      <c r="AW18" s="13">
        <v>0</v>
      </c>
      <c r="AX18" s="13">
        <v>0</v>
      </c>
      <c r="AY18" s="13">
        <v>0</v>
      </c>
      <c r="AZ18" s="41">
        <f t="shared" si="9"/>
        <v>0</v>
      </c>
      <c r="BA18" s="13">
        <v>0</v>
      </c>
    </row>
    <row r="19" spans="1:53">
      <c r="A19" s="15"/>
      <c r="B19" s="15" t="s">
        <v>450</v>
      </c>
      <c r="C19" s="16">
        <v>45893.368490000015</v>
      </c>
      <c r="D19" s="16">
        <v>30132.565180000034</v>
      </c>
      <c r="E19" s="16">
        <v>32577.221989999925</v>
      </c>
      <c r="F19" s="16">
        <v>42122.033009999992</v>
      </c>
      <c r="G19" s="45">
        <f t="shared" si="0"/>
        <v>150725.18866999997</v>
      </c>
      <c r="H19" s="16">
        <v>76274.55140000004</v>
      </c>
      <c r="I19" s="16">
        <v>71333.352670000022</v>
      </c>
      <c r="J19" s="16">
        <v>75379.201569999961</v>
      </c>
      <c r="K19" s="16">
        <v>62903.575529999987</v>
      </c>
      <c r="L19" s="45">
        <f t="shared" si="1"/>
        <v>285890.68117</v>
      </c>
      <c r="M19" s="16">
        <v>117812.95335</v>
      </c>
      <c r="N19" s="16">
        <v>91962.397059999959</v>
      </c>
      <c r="O19" s="16">
        <v>93225.671680000014</v>
      </c>
      <c r="P19" s="16">
        <v>114615.5330400001</v>
      </c>
      <c r="Q19" s="45">
        <f t="shared" si="2"/>
        <v>417616.55513000011</v>
      </c>
      <c r="R19" s="16">
        <v>108977.14043000001</v>
      </c>
      <c r="S19" s="16">
        <v>107644.36861000002</v>
      </c>
      <c r="T19" s="16">
        <v>111893.61207999988</v>
      </c>
      <c r="U19" s="16">
        <v>49816.551850000062</v>
      </c>
      <c r="V19" s="45">
        <f t="shared" si="3"/>
        <v>378331.67296999996</v>
      </c>
      <c r="W19" s="16">
        <v>108291.69044000002</v>
      </c>
      <c r="X19" s="16">
        <v>94020.374000000011</v>
      </c>
      <c r="Y19" s="16">
        <v>194995.03800000006</v>
      </c>
      <c r="Z19" s="16">
        <v>142637.76972999991</v>
      </c>
      <c r="AA19" s="45">
        <f t="shared" si="4"/>
        <v>539944.87216999999</v>
      </c>
      <c r="AB19" s="16">
        <v>51802.077770000004</v>
      </c>
      <c r="AC19" s="16">
        <v>32462.082770000015</v>
      </c>
      <c r="AD19" s="16">
        <v>24674.215069999969</v>
      </c>
      <c r="AE19" s="16">
        <v>14345.683730000001</v>
      </c>
      <c r="AF19" s="45">
        <f t="shared" si="5"/>
        <v>123284.05933999999</v>
      </c>
      <c r="AG19" s="16">
        <v>33746</v>
      </c>
      <c r="AH19" s="16">
        <v>22480</v>
      </c>
      <c r="AI19" s="16">
        <v>23490</v>
      </c>
      <c r="AJ19" s="16">
        <v>20191</v>
      </c>
      <c r="AK19" s="45">
        <f t="shared" si="6"/>
        <v>99907</v>
      </c>
      <c r="AL19" s="16">
        <v>30422</v>
      </c>
      <c r="AM19" s="16">
        <v>25419</v>
      </c>
      <c r="AN19" s="16">
        <v>26514</v>
      </c>
      <c r="AO19" s="16">
        <v>24885</v>
      </c>
      <c r="AP19" s="45">
        <f t="shared" si="7"/>
        <v>107240</v>
      </c>
      <c r="AQ19" s="16">
        <f>SUM(AQ14:AQ18)</f>
        <v>48575.182779999988</v>
      </c>
      <c r="AR19" s="16">
        <f t="shared" ref="AR19:AT19" si="13">SUM(AR14:AR18)</f>
        <v>32500</v>
      </c>
      <c r="AS19" s="16">
        <f t="shared" si="13"/>
        <v>26201.115075145997</v>
      </c>
      <c r="AT19" s="16">
        <f t="shared" si="13"/>
        <v>44126</v>
      </c>
      <c r="AU19" s="45">
        <f t="shared" si="8"/>
        <v>151402.297855146</v>
      </c>
      <c r="AV19" s="16">
        <f>SUM(AV14:AV18)</f>
        <v>36857.765200000002</v>
      </c>
      <c r="AW19" s="16">
        <f t="shared" ref="AW19:BA19" si="14">SUM(AW14:AW18)</f>
        <v>25762.710589999999</v>
      </c>
      <c r="AX19" s="16">
        <f t="shared" si="14"/>
        <v>25276.224730000005</v>
      </c>
      <c r="AY19" s="16">
        <f t="shared" si="14"/>
        <v>31884.647099999995</v>
      </c>
      <c r="AZ19" s="45">
        <f t="shared" si="9"/>
        <v>119781.34761999999</v>
      </c>
      <c r="BA19" s="16">
        <f t="shared" si="14"/>
        <v>32189.604950000008</v>
      </c>
    </row>
    <row r="20" spans="1:53" ht="15.75" thickBot="1">
      <c r="A20" s="17"/>
      <c r="B20" s="17" t="s">
        <v>451</v>
      </c>
      <c r="C20" s="18">
        <v>1</v>
      </c>
      <c r="D20" s="18">
        <v>1</v>
      </c>
      <c r="E20" s="18">
        <v>1</v>
      </c>
      <c r="F20" s="18">
        <v>1</v>
      </c>
      <c r="G20" s="48">
        <v>1</v>
      </c>
      <c r="H20" s="18">
        <v>1</v>
      </c>
      <c r="I20" s="18">
        <v>1</v>
      </c>
      <c r="J20" s="18">
        <v>1</v>
      </c>
      <c r="K20" s="18">
        <v>1</v>
      </c>
      <c r="L20" s="48">
        <v>1</v>
      </c>
      <c r="M20" s="18">
        <v>1</v>
      </c>
      <c r="N20" s="18">
        <v>1</v>
      </c>
      <c r="O20" s="18">
        <v>1</v>
      </c>
      <c r="P20" s="18">
        <v>1</v>
      </c>
      <c r="Q20" s="48">
        <v>1</v>
      </c>
      <c r="R20" s="18">
        <v>1</v>
      </c>
      <c r="S20" s="18">
        <v>1</v>
      </c>
      <c r="T20" s="18">
        <v>1</v>
      </c>
      <c r="U20" s="18">
        <v>1</v>
      </c>
      <c r="V20" s="48">
        <v>1</v>
      </c>
      <c r="W20" s="18">
        <v>1</v>
      </c>
      <c r="X20" s="18">
        <v>1</v>
      </c>
      <c r="Y20" s="18">
        <v>1</v>
      </c>
      <c r="Z20" s="18">
        <v>1</v>
      </c>
      <c r="AA20" s="48">
        <v>1</v>
      </c>
      <c r="AB20" s="18">
        <v>1</v>
      </c>
      <c r="AC20" s="18">
        <v>1</v>
      </c>
      <c r="AD20" s="18">
        <v>1</v>
      </c>
      <c r="AE20" s="18">
        <v>1</v>
      </c>
      <c r="AF20" s="48">
        <v>1</v>
      </c>
      <c r="AG20" s="18">
        <v>1</v>
      </c>
      <c r="AH20" s="18">
        <v>1</v>
      </c>
      <c r="AI20" s="18">
        <v>1</v>
      </c>
      <c r="AJ20" s="18">
        <v>1</v>
      </c>
      <c r="AK20" s="48">
        <v>1</v>
      </c>
      <c r="AL20" s="18">
        <v>1</v>
      </c>
      <c r="AM20" s="18">
        <v>1</v>
      </c>
      <c r="AN20" s="18">
        <v>1</v>
      </c>
      <c r="AO20" s="18">
        <v>1</v>
      </c>
      <c r="AP20" s="48">
        <v>1</v>
      </c>
      <c r="AQ20" s="18">
        <v>1</v>
      </c>
      <c r="AR20" s="18">
        <v>1</v>
      </c>
      <c r="AS20" s="18">
        <v>1</v>
      </c>
      <c r="AT20" s="18">
        <v>1</v>
      </c>
      <c r="AU20" s="48">
        <v>1</v>
      </c>
      <c r="AV20" s="18">
        <v>1</v>
      </c>
      <c r="AW20" s="18">
        <v>1</v>
      </c>
      <c r="AX20" s="18">
        <v>1</v>
      </c>
      <c r="AY20" s="18">
        <v>1</v>
      </c>
      <c r="AZ20" s="48">
        <v>1</v>
      </c>
      <c r="BA20" s="18">
        <v>1</v>
      </c>
    </row>
    <row r="21" spans="1:53" s="2" customFormat="1" ht="15.75" thickBot="1">
      <c r="B21" s="573" t="s">
        <v>454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729">
        <v>-0.16358070098008309</v>
      </c>
      <c r="AH21" s="729">
        <v>-0.18532475935193377</v>
      </c>
      <c r="AI21" s="729">
        <v>-0.192664076433886</v>
      </c>
      <c r="AJ21" s="729"/>
      <c r="AK21" s="729"/>
      <c r="AL21" s="729"/>
      <c r="AM21" s="729"/>
      <c r="AN21" s="729"/>
      <c r="AO21" s="729"/>
      <c r="AP21" s="729"/>
      <c r="AQ21" s="729"/>
      <c r="AR21" s="729"/>
      <c r="AS21" s="729"/>
      <c r="AT21" s="729"/>
      <c r="AU21" s="729"/>
      <c r="AV21" s="729"/>
      <c r="AW21" s="729"/>
      <c r="AX21" s="729"/>
      <c r="AY21" s="729"/>
      <c r="AZ21" s="729"/>
      <c r="BA21" s="729"/>
    </row>
    <row r="22" spans="1:53" s="30" customFormat="1" ht="24.4" customHeight="1">
      <c r="A22" s="625"/>
      <c r="B22" s="625" t="s">
        <v>455</v>
      </c>
      <c r="C22" s="626" t="s">
        <v>224</v>
      </c>
      <c r="D22" s="626" t="s">
        <v>225</v>
      </c>
      <c r="E22" s="626" t="s">
        <v>226</v>
      </c>
      <c r="F22" s="626" t="s">
        <v>227</v>
      </c>
      <c r="G22" s="652">
        <v>2016</v>
      </c>
      <c r="H22" s="626" t="s">
        <v>228</v>
      </c>
      <c r="I22" s="626" t="s">
        <v>229</v>
      </c>
      <c r="J22" s="626" t="s">
        <v>230</v>
      </c>
      <c r="K22" s="626" t="s">
        <v>231</v>
      </c>
      <c r="L22" s="652">
        <v>2017</v>
      </c>
      <c r="M22" s="626" t="s">
        <v>232</v>
      </c>
      <c r="N22" s="626" t="s">
        <v>233</v>
      </c>
      <c r="O22" s="626" t="s">
        <v>234</v>
      </c>
      <c r="P22" s="626" t="s">
        <v>235</v>
      </c>
      <c r="Q22" s="652">
        <v>2018</v>
      </c>
      <c r="R22" s="626" t="s">
        <v>236</v>
      </c>
      <c r="S22" s="626" t="s">
        <v>237</v>
      </c>
      <c r="T22" s="626" t="s">
        <v>238</v>
      </c>
      <c r="U22" s="626" t="s">
        <v>239</v>
      </c>
      <c r="V22" s="652">
        <v>2019</v>
      </c>
      <c r="W22" s="626" t="s">
        <v>240</v>
      </c>
      <c r="X22" s="626" t="s">
        <v>241</v>
      </c>
      <c r="Y22" s="626" t="s">
        <v>242</v>
      </c>
      <c r="Z22" s="626" t="s">
        <v>243</v>
      </c>
      <c r="AA22" s="652">
        <v>2020</v>
      </c>
      <c r="AB22" s="626" t="s">
        <v>244</v>
      </c>
      <c r="AC22" s="626" t="s">
        <v>245</v>
      </c>
      <c r="AD22" s="626" t="s">
        <v>246</v>
      </c>
      <c r="AE22" s="626" t="s">
        <v>247</v>
      </c>
      <c r="AF22" s="652">
        <v>2021</v>
      </c>
      <c r="AG22" s="626" t="s">
        <v>248</v>
      </c>
      <c r="AH22" s="626" t="s">
        <v>249</v>
      </c>
      <c r="AI22" s="626" t="s">
        <v>250</v>
      </c>
      <c r="AJ22" s="626" t="s">
        <v>215</v>
      </c>
      <c r="AK22" s="652">
        <v>2022</v>
      </c>
      <c r="AL22" s="626" t="s">
        <v>252</v>
      </c>
      <c r="AM22" s="626" t="s">
        <v>253</v>
      </c>
      <c r="AN22" s="626" t="s">
        <v>254</v>
      </c>
      <c r="AO22" s="626" t="s">
        <v>219</v>
      </c>
      <c r="AP22" s="652">
        <v>2023</v>
      </c>
      <c r="AQ22" s="626" t="s">
        <v>223</v>
      </c>
      <c r="AR22" s="626" t="s">
        <v>256</v>
      </c>
      <c r="AS22" s="626" t="s">
        <v>357</v>
      </c>
      <c r="AT22" s="626" t="s">
        <v>358</v>
      </c>
      <c r="AU22" s="652">
        <v>2024</v>
      </c>
      <c r="AV22" s="626" t="s">
        <v>359</v>
      </c>
      <c r="AW22" s="626" t="s">
        <v>1115</v>
      </c>
      <c r="AX22" s="626" t="s">
        <v>1116</v>
      </c>
      <c r="AY22" s="626" t="s">
        <v>1117</v>
      </c>
      <c r="AZ22" s="653" t="s">
        <v>1118</v>
      </c>
      <c r="BA22" s="645" t="s">
        <v>1124</v>
      </c>
    </row>
    <row r="23" spans="1:53">
      <c r="A23" s="9"/>
      <c r="B23" s="9" t="s">
        <v>456</v>
      </c>
      <c r="C23" s="10"/>
      <c r="D23" s="10"/>
      <c r="E23" s="10"/>
      <c r="F23" s="10"/>
      <c r="G23" s="39"/>
      <c r="H23" s="10"/>
      <c r="I23" s="10"/>
      <c r="J23" s="10"/>
      <c r="K23" s="10"/>
      <c r="L23" s="39"/>
      <c r="M23" s="10"/>
      <c r="N23" s="10"/>
      <c r="O23" s="10"/>
      <c r="P23" s="10"/>
      <c r="Q23" s="39"/>
      <c r="R23" s="10"/>
      <c r="S23" s="10"/>
      <c r="T23" s="10"/>
      <c r="U23" s="10"/>
      <c r="V23" s="39"/>
      <c r="W23" s="10"/>
      <c r="X23" s="10"/>
      <c r="Y23" s="10"/>
      <c r="Z23" s="10"/>
      <c r="AA23" s="39">
        <f>SUM(W23:Z23)</f>
        <v>0</v>
      </c>
      <c r="AB23" s="10">
        <v>116043</v>
      </c>
      <c r="AC23" s="10">
        <v>167786</v>
      </c>
      <c r="AD23" s="10">
        <v>315769.97100000002</v>
      </c>
      <c r="AE23" s="10">
        <v>343384.02899999998</v>
      </c>
      <c r="AF23" s="39">
        <f>SUM(AB23:AE23)</f>
        <v>942983</v>
      </c>
      <c r="AG23" s="10">
        <v>285486</v>
      </c>
      <c r="AH23" s="10">
        <v>378665</v>
      </c>
      <c r="AI23" s="10">
        <v>499569</v>
      </c>
      <c r="AJ23" s="10">
        <v>382074</v>
      </c>
      <c r="AK23" s="39">
        <f>SUM(AG23:AJ23)</f>
        <v>1545794</v>
      </c>
      <c r="AL23" s="10">
        <v>433172</v>
      </c>
      <c r="AM23" s="10">
        <v>442674</v>
      </c>
      <c r="AN23" s="10">
        <v>472384</v>
      </c>
      <c r="AO23" s="10">
        <v>489091</v>
      </c>
      <c r="AP23" s="39">
        <f>SUM(AL23:AO23)</f>
        <v>1837321</v>
      </c>
      <c r="AQ23" s="10">
        <v>491384.13962999999</v>
      </c>
      <c r="AR23" s="10">
        <v>504478</v>
      </c>
      <c r="AS23" s="10">
        <v>531908</v>
      </c>
      <c r="AT23" s="10">
        <v>593432</v>
      </c>
      <c r="AU23" s="39">
        <f>SUM(AQ23:AT23)</f>
        <v>2121202.1396300001</v>
      </c>
      <c r="AV23" s="10">
        <v>558666.46561000007</v>
      </c>
      <c r="AW23" s="10">
        <v>541868</v>
      </c>
      <c r="AX23" s="10">
        <v>592334.76959000004</v>
      </c>
      <c r="AY23" s="10">
        <v>561708.21247999999</v>
      </c>
      <c r="AZ23" s="39">
        <f>SUM(AV23:AY23)</f>
        <v>2254577.4476800002</v>
      </c>
      <c r="BA23" s="10">
        <v>578795.78740000003</v>
      </c>
    </row>
    <row r="24" spans="1:53">
      <c r="A24" s="11"/>
      <c r="B24" s="11" t="s">
        <v>457</v>
      </c>
      <c r="C24" s="8"/>
      <c r="D24" s="8"/>
      <c r="E24" s="8"/>
      <c r="F24" s="8"/>
      <c r="G24" s="40"/>
      <c r="H24" s="8"/>
      <c r="I24" s="8"/>
      <c r="J24" s="8"/>
      <c r="K24" s="8"/>
      <c r="L24" s="40"/>
      <c r="M24" s="8"/>
      <c r="N24" s="8"/>
      <c r="O24" s="8"/>
      <c r="P24" s="8"/>
      <c r="Q24" s="40"/>
      <c r="R24" s="12"/>
      <c r="S24" s="12"/>
      <c r="T24" s="12"/>
      <c r="U24" s="12"/>
      <c r="V24" s="40"/>
      <c r="W24" s="12"/>
      <c r="X24" s="12"/>
      <c r="Y24" s="12"/>
      <c r="Z24" s="12"/>
      <c r="AA24" s="40">
        <f t="shared" ref="AA24:AA38" si="15">SUM(W24:Z24)</f>
        <v>0</v>
      </c>
      <c r="AB24" s="12">
        <v>-1781</v>
      </c>
      <c r="AC24" s="12">
        <v>-21658</v>
      </c>
      <c r="AD24" s="12">
        <v>-24241.249000000003</v>
      </c>
      <c r="AE24" s="12">
        <v>-27746.750999999997</v>
      </c>
      <c r="AF24" s="40">
        <f t="shared" ref="AF24:AF38" si="16">SUM(AB24:AE24)</f>
        <v>-75427</v>
      </c>
      <c r="AG24" s="12">
        <v>-46700</v>
      </c>
      <c r="AH24" s="12">
        <v>-70176</v>
      </c>
      <c r="AI24" s="12">
        <v>-96249</v>
      </c>
      <c r="AJ24" s="12">
        <v>-92070</v>
      </c>
      <c r="AK24" s="40">
        <f t="shared" ref="AK24:AK38" si="17">SUM(AG24:AJ24)</f>
        <v>-305195</v>
      </c>
      <c r="AL24" s="12">
        <v>-87829</v>
      </c>
      <c r="AM24" s="12">
        <v>-90149</v>
      </c>
      <c r="AN24" s="12">
        <v>-104196</v>
      </c>
      <c r="AO24" s="12">
        <v>-103636</v>
      </c>
      <c r="AP24" s="40">
        <f t="shared" ref="AP24:AP38" si="18">SUM(AL24:AO24)</f>
        <v>-385810</v>
      </c>
      <c r="AQ24" s="12">
        <v>-98747.050879999995</v>
      </c>
      <c r="AR24" s="12">
        <v>-103142</v>
      </c>
      <c r="AS24" s="12">
        <v>-120386</v>
      </c>
      <c r="AT24" s="1">
        <v>-138171</v>
      </c>
      <c r="AU24" s="40">
        <f t="shared" ref="AU24:AU38" si="19">SUM(AQ24:AT24)</f>
        <v>-460446.05088</v>
      </c>
      <c r="AV24" s="1">
        <v>-154125.67618000001</v>
      </c>
      <c r="AW24" s="1">
        <v>-147177.04014</v>
      </c>
      <c r="AX24" s="1">
        <v>-154725.89739</v>
      </c>
      <c r="AY24" s="1">
        <v>-162480</v>
      </c>
      <c r="AZ24" s="40">
        <f t="shared" ref="AZ24:AZ38" si="20">SUM(AV24:AY24)</f>
        <v>-618508.61370999995</v>
      </c>
      <c r="BA24" s="8">
        <v>-154110</v>
      </c>
    </row>
    <row r="25" spans="1:53">
      <c r="A25" s="9"/>
      <c r="B25" s="9" t="s">
        <v>412</v>
      </c>
      <c r="C25" s="10"/>
      <c r="D25" s="10"/>
      <c r="E25" s="10"/>
      <c r="F25" s="10"/>
      <c r="G25" s="39"/>
      <c r="H25" s="10"/>
      <c r="I25" s="10"/>
      <c r="J25" s="10"/>
      <c r="K25" s="10"/>
      <c r="L25" s="39"/>
      <c r="M25" s="10"/>
      <c r="N25" s="10"/>
      <c r="O25" s="10"/>
      <c r="P25" s="10"/>
      <c r="Q25" s="39"/>
      <c r="R25" s="10"/>
      <c r="S25" s="10"/>
      <c r="T25" s="10"/>
      <c r="U25" s="10"/>
      <c r="V25" s="39"/>
      <c r="W25" s="10"/>
      <c r="X25" s="10"/>
      <c r="Y25" s="10"/>
      <c r="Z25" s="10">
        <v>0</v>
      </c>
      <c r="AA25" s="39">
        <f t="shared" si="15"/>
        <v>0</v>
      </c>
      <c r="AB25" s="10">
        <v>114262</v>
      </c>
      <c r="AC25" s="10">
        <v>146128</v>
      </c>
      <c r="AD25" s="10">
        <v>291528.72200000001</v>
      </c>
      <c r="AE25" s="10">
        <v>315637.27799999999</v>
      </c>
      <c r="AF25" s="39">
        <f t="shared" si="16"/>
        <v>867556</v>
      </c>
      <c r="AG25" s="10">
        <v>238786</v>
      </c>
      <c r="AH25" s="10">
        <v>308489</v>
      </c>
      <c r="AI25" s="10">
        <v>403320</v>
      </c>
      <c r="AJ25" s="10">
        <v>290004</v>
      </c>
      <c r="AK25" s="39">
        <f t="shared" si="17"/>
        <v>1240599</v>
      </c>
      <c r="AL25" s="10">
        <v>345343</v>
      </c>
      <c r="AM25" s="10">
        <v>352525</v>
      </c>
      <c r="AN25" s="10">
        <v>368188</v>
      </c>
      <c r="AO25" s="10">
        <v>385455</v>
      </c>
      <c r="AP25" s="39">
        <f t="shared" si="18"/>
        <v>1451511</v>
      </c>
      <c r="AQ25" s="10">
        <f t="shared" ref="AQ25:BA25" si="21">AQ23+AQ24</f>
        <v>392637.08875</v>
      </c>
      <c r="AR25" s="10">
        <f t="shared" si="21"/>
        <v>401336</v>
      </c>
      <c r="AS25" s="10">
        <f t="shared" si="21"/>
        <v>411522</v>
      </c>
      <c r="AT25" s="10">
        <f t="shared" si="21"/>
        <v>455261</v>
      </c>
      <c r="AU25" s="39">
        <f t="shared" si="19"/>
        <v>1660756.0887500001</v>
      </c>
      <c r="AV25" s="10">
        <f t="shared" si="21"/>
        <v>404540.78943000006</v>
      </c>
      <c r="AW25" s="10">
        <f t="shared" si="21"/>
        <v>394690.95986</v>
      </c>
      <c r="AX25" s="10">
        <f>AX23+AX24</f>
        <v>437608.87220000004</v>
      </c>
      <c r="AY25" s="10">
        <f t="shared" si="21"/>
        <v>399228.21247999999</v>
      </c>
      <c r="AZ25" s="39">
        <f t="shared" si="20"/>
        <v>1636068.83397</v>
      </c>
      <c r="BA25" s="76">
        <f t="shared" si="21"/>
        <v>424685.78740000003</v>
      </c>
    </row>
    <row r="26" spans="1:53">
      <c r="A26" s="11"/>
      <c r="B26" s="11" t="s">
        <v>413</v>
      </c>
      <c r="C26" s="8"/>
      <c r="D26" s="8"/>
      <c r="E26" s="8"/>
      <c r="F26" s="8"/>
      <c r="G26" s="40"/>
      <c r="H26" s="8"/>
      <c r="I26" s="8"/>
      <c r="J26" s="8"/>
      <c r="K26" s="8"/>
      <c r="L26" s="40"/>
      <c r="M26" s="8"/>
      <c r="N26" s="8"/>
      <c r="O26" s="8"/>
      <c r="P26" s="8"/>
      <c r="Q26" s="40"/>
      <c r="R26" s="12"/>
      <c r="S26" s="12"/>
      <c r="T26" s="12"/>
      <c r="U26" s="12"/>
      <c r="V26" s="40"/>
      <c r="W26" s="12"/>
      <c r="X26" s="12"/>
      <c r="Y26" s="12"/>
      <c r="Z26" s="12">
        <v>0</v>
      </c>
      <c r="AA26" s="40">
        <f t="shared" si="15"/>
        <v>0</v>
      </c>
      <c r="AB26" s="12">
        <v>-441</v>
      </c>
      <c r="AC26" s="12">
        <v>-727</v>
      </c>
      <c r="AD26" s="12">
        <v>-1188.864</v>
      </c>
      <c r="AE26" s="12">
        <v>-6433.1360000000004</v>
      </c>
      <c r="AF26" s="40">
        <f t="shared" si="16"/>
        <v>-8790</v>
      </c>
      <c r="AG26" s="12">
        <v>-3225</v>
      </c>
      <c r="AH26" s="12">
        <v>-3180</v>
      </c>
      <c r="AI26" s="12">
        <v>-4650</v>
      </c>
      <c r="AJ26" s="12">
        <v>-7399</v>
      </c>
      <c r="AK26" s="40">
        <f t="shared" si="17"/>
        <v>-18454</v>
      </c>
      <c r="AL26" s="12">
        <v>-5375</v>
      </c>
      <c r="AM26" s="12">
        <v>-5550</v>
      </c>
      <c r="AN26" s="12">
        <v>-5033</v>
      </c>
      <c r="AO26" s="12">
        <v>-1723</v>
      </c>
      <c r="AP26" s="40">
        <f t="shared" si="18"/>
        <v>-17681</v>
      </c>
      <c r="AQ26" s="12">
        <v>-7231</v>
      </c>
      <c r="AR26" s="12">
        <v>-6518</v>
      </c>
      <c r="AS26" s="12">
        <v>-5980</v>
      </c>
      <c r="AT26" s="12">
        <v>-5905</v>
      </c>
      <c r="AU26" s="40">
        <f t="shared" si="19"/>
        <v>-25634</v>
      </c>
      <c r="AV26" s="12">
        <v>-8022.4818700000005</v>
      </c>
      <c r="AW26" s="12">
        <v>-6565.0119799999993</v>
      </c>
      <c r="AX26" s="12">
        <v>-6289</v>
      </c>
      <c r="AY26" s="12">
        <v>-11178</v>
      </c>
      <c r="AZ26" s="40">
        <f t="shared" si="20"/>
        <v>-32054.493849999999</v>
      </c>
      <c r="BA26" s="8">
        <v>-7946.1375599999974</v>
      </c>
    </row>
    <row r="27" spans="1:53">
      <c r="A27" s="11"/>
      <c r="B27" s="11" t="s">
        <v>414</v>
      </c>
      <c r="C27" s="13"/>
      <c r="D27" s="13"/>
      <c r="E27" s="13"/>
      <c r="F27" s="13"/>
      <c r="G27" s="41"/>
      <c r="H27" s="13"/>
      <c r="I27" s="13"/>
      <c r="J27" s="13"/>
      <c r="K27" s="13"/>
      <c r="L27" s="41"/>
      <c r="M27" s="13"/>
      <c r="N27" s="13"/>
      <c r="O27" s="13"/>
      <c r="P27" s="13"/>
      <c r="Q27" s="41"/>
      <c r="R27" s="13"/>
      <c r="S27" s="13"/>
      <c r="T27" s="13"/>
      <c r="U27" s="13"/>
      <c r="V27" s="41"/>
      <c r="W27" s="13"/>
      <c r="X27" s="13"/>
      <c r="Y27" s="13"/>
      <c r="Z27" s="13">
        <v>-3</v>
      </c>
      <c r="AA27" s="41">
        <f t="shared" si="15"/>
        <v>-3</v>
      </c>
      <c r="AB27" s="12">
        <v>-13458</v>
      </c>
      <c r="AC27" s="12">
        <v>-19410</v>
      </c>
      <c r="AD27" s="12">
        <v>-36391.182000000001</v>
      </c>
      <c r="AE27" s="12">
        <v>-39997.817999999999</v>
      </c>
      <c r="AF27" s="41">
        <f t="shared" si="16"/>
        <v>-109257</v>
      </c>
      <c r="AG27" s="12">
        <v>-34275</v>
      </c>
      <c r="AH27" s="12">
        <v>-45926</v>
      </c>
      <c r="AI27" s="12">
        <v>-60877</v>
      </c>
      <c r="AJ27" s="12">
        <v>-47374</v>
      </c>
      <c r="AK27" s="41">
        <f t="shared" si="17"/>
        <v>-188452</v>
      </c>
      <c r="AL27" s="12">
        <v>-53196</v>
      </c>
      <c r="AM27" s="12">
        <v>-54536</v>
      </c>
      <c r="AN27" s="12">
        <v>-58743</v>
      </c>
      <c r="AO27" s="12">
        <v>-60490</v>
      </c>
      <c r="AP27" s="41">
        <f t="shared" si="18"/>
        <v>-226965</v>
      </c>
      <c r="AQ27" s="12">
        <v>-60826.492829999996</v>
      </c>
      <c r="AR27" s="12">
        <v>-61809</v>
      </c>
      <c r="AS27" s="12">
        <v>-65345</v>
      </c>
      <c r="AT27" s="12">
        <v>-72841</v>
      </c>
      <c r="AU27" s="41">
        <f t="shared" si="19"/>
        <v>-260821.49283</v>
      </c>
      <c r="AV27" s="12">
        <v>-69748.868099999992</v>
      </c>
      <c r="AW27" s="12">
        <v>-67575.326099999962</v>
      </c>
      <c r="AX27" s="12">
        <v>-73797.775279999987</v>
      </c>
      <c r="AY27" s="12">
        <v>-70638.084430000003</v>
      </c>
      <c r="AZ27" s="41">
        <f t="shared" si="20"/>
        <v>-281760.05390999996</v>
      </c>
      <c r="BA27" s="8">
        <v>-72625.965239999932</v>
      </c>
    </row>
    <row r="28" spans="1:53">
      <c r="A28" s="11"/>
      <c r="B28" s="11" t="s">
        <v>415</v>
      </c>
      <c r="C28" s="13"/>
      <c r="D28" s="13"/>
      <c r="E28" s="13"/>
      <c r="F28" s="13"/>
      <c r="G28" s="41"/>
      <c r="H28" s="13"/>
      <c r="I28" s="13"/>
      <c r="J28" s="13"/>
      <c r="K28" s="13"/>
      <c r="L28" s="41"/>
      <c r="M28" s="13"/>
      <c r="N28" s="13"/>
      <c r="O28" s="13"/>
      <c r="P28" s="13"/>
      <c r="Q28" s="41"/>
      <c r="R28" s="13"/>
      <c r="S28" s="13"/>
      <c r="T28" s="13"/>
      <c r="U28" s="13"/>
      <c r="V28" s="41"/>
      <c r="W28" s="13"/>
      <c r="X28" s="13"/>
      <c r="Y28" s="13"/>
      <c r="Z28" s="13">
        <v>58</v>
      </c>
      <c r="AA28" s="41">
        <f t="shared" si="15"/>
        <v>58</v>
      </c>
      <c r="AB28" s="12">
        <v>60</v>
      </c>
      <c r="AC28" s="12">
        <v>580</v>
      </c>
      <c r="AD28" s="12">
        <v>2217.4409999999998</v>
      </c>
      <c r="AE28" s="12">
        <v>1946.5590000000002</v>
      </c>
      <c r="AF28" s="41">
        <f t="shared" si="16"/>
        <v>4804</v>
      </c>
      <c r="AG28" s="12">
        <v>7502</v>
      </c>
      <c r="AH28" s="12">
        <v>9081</v>
      </c>
      <c r="AI28" s="12">
        <v>17603</v>
      </c>
      <c r="AJ28" s="12">
        <v>12691</v>
      </c>
      <c r="AK28" s="41">
        <f t="shared" si="17"/>
        <v>46877</v>
      </c>
      <c r="AL28" s="12">
        <v>11947</v>
      </c>
      <c r="AM28" s="12">
        <v>14264</v>
      </c>
      <c r="AN28" s="12">
        <v>18653</v>
      </c>
      <c r="AO28" s="12">
        <v>15055</v>
      </c>
      <c r="AP28" s="41">
        <f t="shared" si="18"/>
        <v>59919</v>
      </c>
      <c r="AQ28" s="12">
        <v>15695</v>
      </c>
      <c r="AR28" s="12">
        <v>14709</v>
      </c>
      <c r="AS28" s="12">
        <v>10848</v>
      </c>
      <c r="AT28" s="12">
        <v>11551</v>
      </c>
      <c r="AU28" s="41">
        <f t="shared" si="19"/>
        <v>52803</v>
      </c>
      <c r="AV28" s="12">
        <v>14363.373460000001</v>
      </c>
      <c r="AW28" s="12">
        <v>18635</v>
      </c>
      <c r="AX28" s="12">
        <v>20565.275220000003</v>
      </c>
      <c r="AY28" s="12">
        <v>19445.034600000003</v>
      </c>
      <c r="AZ28" s="41">
        <f t="shared" si="20"/>
        <v>73008.683280000012</v>
      </c>
      <c r="BA28" s="8">
        <v>15562.010460000005</v>
      </c>
    </row>
    <row r="29" spans="1:53">
      <c r="A29" s="11"/>
      <c r="B29" s="11" t="s">
        <v>416</v>
      </c>
      <c r="C29" s="8"/>
      <c r="D29" s="8"/>
      <c r="E29" s="8"/>
      <c r="F29" s="8"/>
      <c r="G29" s="40"/>
      <c r="H29" s="8"/>
      <c r="I29" s="8"/>
      <c r="J29" s="8"/>
      <c r="K29" s="8"/>
      <c r="L29" s="40"/>
      <c r="M29" s="8"/>
      <c r="N29" s="8"/>
      <c r="O29" s="8"/>
      <c r="P29" s="8"/>
      <c r="Q29" s="40"/>
      <c r="R29" s="12"/>
      <c r="S29" s="12"/>
      <c r="T29" s="12"/>
      <c r="U29" s="12"/>
      <c r="V29" s="40"/>
      <c r="W29" s="12"/>
      <c r="X29" s="12"/>
      <c r="Y29" s="12"/>
      <c r="Z29" s="12">
        <v>0</v>
      </c>
      <c r="AA29" s="40">
        <f t="shared" si="15"/>
        <v>0</v>
      </c>
      <c r="AB29" s="12">
        <v>0</v>
      </c>
      <c r="AC29" s="12">
        <v>0</v>
      </c>
      <c r="AD29" s="12">
        <v>0</v>
      </c>
      <c r="AE29" s="12">
        <v>0</v>
      </c>
      <c r="AF29" s="40">
        <f t="shared" si="16"/>
        <v>0</v>
      </c>
      <c r="AG29" s="12">
        <v>0</v>
      </c>
      <c r="AH29" s="12">
        <v>0</v>
      </c>
      <c r="AI29" s="12">
        <v>0</v>
      </c>
      <c r="AJ29" s="12">
        <v>0</v>
      </c>
      <c r="AK29" s="40">
        <f t="shared" si="17"/>
        <v>0</v>
      </c>
      <c r="AL29" s="12">
        <v>0</v>
      </c>
      <c r="AM29" s="12">
        <v>0</v>
      </c>
      <c r="AN29" s="12">
        <v>0</v>
      </c>
      <c r="AO29" s="12">
        <v>0</v>
      </c>
      <c r="AP29" s="40">
        <f t="shared" si="18"/>
        <v>0</v>
      </c>
      <c r="AQ29" s="12">
        <v>0</v>
      </c>
      <c r="AR29" s="12">
        <v>0</v>
      </c>
      <c r="AS29" s="12">
        <v>0</v>
      </c>
      <c r="AT29" s="12">
        <v>0</v>
      </c>
      <c r="AU29" s="40">
        <f t="shared" si="19"/>
        <v>0</v>
      </c>
      <c r="AV29" s="12">
        <v>0</v>
      </c>
      <c r="AW29" s="12">
        <v>0</v>
      </c>
      <c r="AX29" s="12">
        <v>0</v>
      </c>
      <c r="AY29" s="12">
        <v>0</v>
      </c>
      <c r="AZ29" s="40">
        <f t="shared" si="20"/>
        <v>0</v>
      </c>
      <c r="BA29" s="8">
        <v>0</v>
      </c>
    </row>
    <row r="30" spans="1:53">
      <c r="A30" s="11"/>
      <c r="B30" s="11" t="s">
        <v>417</v>
      </c>
      <c r="C30" s="13"/>
      <c r="D30" s="13"/>
      <c r="E30" s="13"/>
      <c r="F30" s="13"/>
      <c r="G30" s="41"/>
      <c r="H30" s="13"/>
      <c r="I30" s="13"/>
      <c r="J30" s="13"/>
      <c r="K30" s="13"/>
      <c r="L30" s="41"/>
      <c r="M30" s="13"/>
      <c r="N30" s="13"/>
      <c r="O30" s="13"/>
      <c r="P30" s="13"/>
      <c r="Q30" s="41"/>
      <c r="R30" s="13"/>
      <c r="S30" s="13"/>
      <c r="T30" s="13"/>
      <c r="U30" s="13"/>
      <c r="V30" s="41"/>
      <c r="W30" s="13"/>
      <c r="X30" s="13"/>
      <c r="Y30" s="13"/>
      <c r="Z30" s="13">
        <v>0</v>
      </c>
      <c r="AA30" s="41">
        <f t="shared" si="15"/>
        <v>0</v>
      </c>
      <c r="AB30" s="12">
        <v>0</v>
      </c>
      <c r="AC30" s="12">
        <v>0</v>
      </c>
      <c r="AD30" s="12">
        <v>0</v>
      </c>
      <c r="AE30" s="12">
        <v>0</v>
      </c>
      <c r="AF30" s="41">
        <f t="shared" si="16"/>
        <v>0</v>
      </c>
      <c r="AG30" s="12">
        <v>0</v>
      </c>
      <c r="AH30" s="12">
        <v>0</v>
      </c>
      <c r="AI30" s="12">
        <v>0</v>
      </c>
      <c r="AJ30" s="12">
        <v>0</v>
      </c>
      <c r="AK30" s="41">
        <f t="shared" si="17"/>
        <v>0</v>
      </c>
      <c r="AL30" s="12">
        <v>0</v>
      </c>
      <c r="AM30" s="12">
        <v>0</v>
      </c>
      <c r="AN30" s="12">
        <v>0</v>
      </c>
      <c r="AO30" s="12">
        <v>0</v>
      </c>
      <c r="AP30" s="41">
        <f t="shared" si="18"/>
        <v>0</v>
      </c>
      <c r="AQ30" s="12">
        <v>0</v>
      </c>
      <c r="AR30" s="12">
        <v>2398</v>
      </c>
      <c r="AS30" s="12">
        <v>1</v>
      </c>
      <c r="AT30" s="12">
        <v>0</v>
      </c>
      <c r="AU30" s="41">
        <f t="shared" si="19"/>
        <v>2399</v>
      </c>
      <c r="AV30" s="12">
        <v>-178.09609</v>
      </c>
      <c r="AW30" s="12">
        <v>-885.76410999999996</v>
      </c>
      <c r="AX30" s="12">
        <v>-4387.1374299999998</v>
      </c>
      <c r="AY30" s="12">
        <v>-5825</v>
      </c>
      <c r="AZ30" s="41">
        <f t="shared" si="20"/>
        <v>-11275.99763</v>
      </c>
      <c r="BA30" s="8">
        <v>-725</v>
      </c>
    </row>
    <row r="31" spans="1:53">
      <c r="A31" s="9"/>
      <c r="B31" s="9" t="s">
        <v>418</v>
      </c>
      <c r="C31" s="10"/>
      <c r="D31" s="10"/>
      <c r="E31" s="10"/>
      <c r="F31" s="10"/>
      <c r="G31" s="39"/>
      <c r="H31" s="10"/>
      <c r="I31" s="10"/>
      <c r="J31" s="10"/>
      <c r="K31" s="10"/>
      <c r="L31" s="39"/>
      <c r="M31" s="10"/>
      <c r="N31" s="10"/>
      <c r="O31" s="10"/>
      <c r="P31" s="10"/>
      <c r="Q31" s="39"/>
      <c r="R31" s="10"/>
      <c r="S31" s="10"/>
      <c r="T31" s="10"/>
      <c r="U31" s="10"/>
      <c r="V31" s="39"/>
      <c r="W31" s="10"/>
      <c r="X31" s="10"/>
      <c r="Y31" s="10"/>
      <c r="Z31" s="10">
        <v>55</v>
      </c>
      <c r="AA31" s="39">
        <f t="shared" si="15"/>
        <v>55</v>
      </c>
      <c r="AB31" s="10">
        <v>100423</v>
      </c>
      <c r="AC31" s="10">
        <v>126571</v>
      </c>
      <c r="AD31" s="10">
        <v>256166.117</v>
      </c>
      <c r="AE31" s="10">
        <v>271152.88300000003</v>
      </c>
      <c r="AF31" s="39">
        <f t="shared" si="16"/>
        <v>754313</v>
      </c>
      <c r="AG31" s="10">
        <v>208788</v>
      </c>
      <c r="AH31" s="10">
        <v>268464</v>
      </c>
      <c r="AI31" s="10">
        <v>355396</v>
      </c>
      <c r="AJ31" s="10">
        <v>247920</v>
      </c>
      <c r="AK31" s="39">
        <f t="shared" si="17"/>
        <v>1080568</v>
      </c>
      <c r="AL31" s="10">
        <v>298719</v>
      </c>
      <c r="AM31" s="10">
        <v>306703</v>
      </c>
      <c r="AN31" s="10">
        <v>323065</v>
      </c>
      <c r="AO31" s="10">
        <v>338297</v>
      </c>
      <c r="AP31" s="39">
        <f t="shared" si="18"/>
        <v>1266784</v>
      </c>
      <c r="AQ31" s="10">
        <f t="shared" ref="AQ31:BA31" si="22">SUM(AQ25:AQ30)</f>
        <v>340274.59591999999</v>
      </c>
      <c r="AR31" s="10">
        <f t="shared" si="22"/>
        <v>350116</v>
      </c>
      <c r="AS31" s="10">
        <f t="shared" si="22"/>
        <v>351046</v>
      </c>
      <c r="AT31" s="10">
        <f t="shared" si="22"/>
        <v>388066</v>
      </c>
      <c r="AU31" s="39">
        <f t="shared" si="19"/>
        <v>1429502.59592</v>
      </c>
      <c r="AV31" s="10">
        <f t="shared" si="22"/>
        <v>340954.71682999999</v>
      </c>
      <c r="AW31" s="10">
        <f>SUM(AW25:AW30)</f>
        <v>338299.85767000006</v>
      </c>
      <c r="AX31" s="10">
        <f>SUM(AX25:AX30)</f>
        <v>373700.23471000005</v>
      </c>
      <c r="AY31" s="10">
        <f t="shared" si="22"/>
        <v>331032.16265000001</v>
      </c>
      <c r="AZ31" s="39">
        <f t="shared" si="20"/>
        <v>1383986.9718600002</v>
      </c>
      <c r="BA31" s="76">
        <f t="shared" si="22"/>
        <v>358950.69506000011</v>
      </c>
    </row>
    <row r="32" spans="1:53">
      <c r="A32" s="11"/>
      <c r="B32" s="11" t="s">
        <v>419</v>
      </c>
      <c r="C32" s="13"/>
      <c r="D32" s="13"/>
      <c r="E32" s="13"/>
      <c r="F32" s="13"/>
      <c r="G32" s="41"/>
      <c r="H32" s="13"/>
      <c r="I32" s="13"/>
      <c r="J32" s="13"/>
      <c r="K32" s="13"/>
      <c r="L32" s="41"/>
      <c r="M32" s="13"/>
      <c r="N32" s="13"/>
      <c r="O32" s="13"/>
      <c r="P32" s="13"/>
      <c r="Q32" s="41"/>
      <c r="R32" s="13"/>
      <c r="S32" s="13"/>
      <c r="T32" s="13"/>
      <c r="U32" s="13"/>
      <c r="V32" s="41"/>
      <c r="W32" s="13"/>
      <c r="X32" s="13"/>
      <c r="Y32" s="13"/>
      <c r="Z32" s="13">
        <v>0</v>
      </c>
      <c r="AA32" s="41">
        <f t="shared" si="15"/>
        <v>0</v>
      </c>
      <c r="AB32" s="12">
        <v>0</v>
      </c>
      <c r="AC32" s="12">
        <v>0</v>
      </c>
      <c r="AD32" s="12">
        <v>0</v>
      </c>
      <c r="AE32" s="12">
        <v>0</v>
      </c>
      <c r="AF32" s="41">
        <f t="shared" si="16"/>
        <v>0</v>
      </c>
      <c r="AG32" s="12">
        <v>0</v>
      </c>
      <c r="AH32" s="12">
        <v>0</v>
      </c>
      <c r="AI32" s="12">
        <v>0</v>
      </c>
      <c r="AJ32" s="12">
        <v>0</v>
      </c>
      <c r="AK32" s="41">
        <f t="shared" si="17"/>
        <v>0</v>
      </c>
      <c r="AL32" s="12">
        <v>0</v>
      </c>
      <c r="AM32" s="12">
        <v>0</v>
      </c>
      <c r="AN32" s="12">
        <v>0</v>
      </c>
      <c r="AO32" s="12">
        <v>0</v>
      </c>
      <c r="AP32" s="41">
        <f t="shared" si="18"/>
        <v>0</v>
      </c>
      <c r="AQ32" s="12">
        <v>0</v>
      </c>
      <c r="AR32" s="12">
        <v>0</v>
      </c>
      <c r="AS32" s="12">
        <v>0</v>
      </c>
      <c r="AT32" s="12">
        <v>0</v>
      </c>
      <c r="AU32" s="41">
        <f t="shared" si="19"/>
        <v>0</v>
      </c>
      <c r="AV32" s="12">
        <v>0</v>
      </c>
      <c r="AW32" s="12">
        <v>0</v>
      </c>
      <c r="AX32" s="12">
        <v>0</v>
      </c>
      <c r="AY32" s="12">
        <v>0</v>
      </c>
      <c r="AZ32" s="41">
        <f t="shared" si="20"/>
        <v>0</v>
      </c>
      <c r="BA32" s="8">
        <v>0</v>
      </c>
    </row>
    <row r="33" spans="1:53">
      <c r="A33" s="9"/>
      <c r="B33" s="9" t="s">
        <v>420</v>
      </c>
      <c r="C33" s="10"/>
      <c r="D33" s="10"/>
      <c r="E33" s="10"/>
      <c r="F33" s="10"/>
      <c r="G33" s="39"/>
      <c r="H33" s="10"/>
      <c r="I33" s="10"/>
      <c r="J33" s="10"/>
      <c r="K33" s="10"/>
      <c r="L33" s="39"/>
      <c r="M33" s="10"/>
      <c r="N33" s="10"/>
      <c r="O33" s="10"/>
      <c r="P33" s="10"/>
      <c r="Q33" s="39"/>
      <c r="R33" s="10"/>
      <c r="S33" s="10"/>
      <c r="T33" s="10"/>
      <c r="U33" s="10"/>
      <c r="V33" s="39"/>
      <c r="W33" s="10"/>
      <c r="X33" s="10"/>
      <c r="Y33" s="10"/>
      <c r="Z33" s="10">
        <v>55</v>
      </c>
      <c r="AA33" s="39">
        <f t="shared" si="15"/>
        <v>55</v>
      </c>
      <c r="AB33" s="10">
        <v>100423</v>
      </c>
      <c r="AC33" s="10">
        <v>126571</v>
      </c>
      <c r="AD33" s="10">
        <v>256166.117</v>
      </c>
      <c r="AE33" s="10">
        <v>271152.88300000003</v>
      </c>
      <c r="AF33" s="39">
        <f t="shared" si="16"/>
        <v>754313</v>
      </c>
      <c r="AG33" s="10">
        <v>208788</v>
      </c>
      <c r="AH33" s="10">
        <v>268464</v>
      </c>
      <c r="AI33" s="10">
        <v>355396</v>
      </c>
      <c r="AJ33" s="10">
        <v>247920</v>
      </c>
      <c r="AK33" s="39">
        <f t="shared" si="17"/>
        <v>1080568</v>
      </c>
      <c r="AL33" s="10">
        <v>298719</v>
      </c>
      <c r="AM33" s="10">
        <v>306703</v>
      </c>
      <c r="AN33" s="10">
        <v>323065</v>
      </c>
      <c r="AO33" s="10">
        <v>338297</v>
      </c>
      <c r="AP33" s="39">
        <f t="shared" si="18"/>
        <v>1266784</v>
      </c>
      <c r="AQ33" s="76">
        <f>AQ31</f>
        <v>340274.59591999999</v>
      </c>
      <c r="AR33" s="76">
        <f t="shared" ref="AR33:AT33" si="23">AR31</f>
        <v>350116</v>
      </c>
      <c r="AS33" s="76">
        <f t="shared" si="23"/>
        <v>351046</v>
      </c>
      <c r="AT33" s="76">
        <f t="shared" si="23"/>
        <v>388066</v>
      </c>
      <c r="AU33" s="39">
        <f t="shared" si="19"/>
        <v>1429502.59592</v>
      </c>
      <c r="AV33" s="76">
        <f>AV31</f>
        <v>340954.71682999999</v>
      </c>
      <c r="AW33" s="76">
        <f t="shared" ref="AW33:BA33" si="24">AW31</f>
        <v>338299.85767000006</v>
      </c>
      <c r="AX33" s="76">
        <f t="shared" si="24"/>
        <v>373700.23471000005</v>
      </c>
      <c r="AY33" s="76">
        <f t="shared" si="24"/>
        <v>331032.16265000001</v>
      </c>
      <c r="AZ33" s="39">
        <f t="shared" si="20"/>
        <v>1383986.9718600002</v>
      </c>
      <c r="BA33" s="76">
        <f t="shared" si="24"/>
        <v>358950.69506000011</v>
      </c>
    </row>
    <row r="34" spans="1:53">
      <c r="A34" s="11"/>
      <c r="B34" s="11" t="s">
        <v>421</v>
      </c>
      <c r="C34" s="13"/>
      <c r="D34" s="13"/>
      <c r="E34" s="13"/>
      <c r="F34" s="13"/>
      <c r="G34" s="41"/>
      <c r="H34" s="13"/>
      <c r="I34" s="13"/>
      <c r="J34" s="13"/>
      <c r="K34" s="13"/>
      <c r="L34" s="41"/>
      <c r="M34" s="13"/>
      <c r="N34" s="13"/>
      <c r="O34" s="13"/>
      <c r="P34" s="13"/>
      <c r="Q34" s="41"/>
      <c r="R34" s="13"/>
      <c r="S34" s="13"/>
      <c r="T34" s="13"/>
      <c r="U34" s="13"/>
      <c r="V34" s="41"/>
      <c r="W34" s="13"/>
      <c r="X34" s="13"/>
      <c r="Y34" s="13"/>
      <c r="Z34" s="13">
        <v>-10</v>
      </c>
      <c r="AA34" s="41">
        <f t="shared" si="15"/>
        <v>-10</v>
      </c>
      <c r="AB34" s="12">
        <v>-25099.562149999998</v>
      </c>
      <c r="AC34" s="12">
        <v>-31636.791440000008</v>
      </c>
      <c r="AD34" s="12">
        <v>-64035.646409999994</v>
      </c>
      <c r="AE34" s="12">
        <v>-67790</v>
      </c>
      <c r="AF34" s="41">
        <f t="shared" si="16"/>
        <v>-188562</v>
      </c>
      <c r="AG34" s="12">
        <v>-52196</v>
      </c>
      <c r="AH34" s="12">
        <v>-67115</v>
      </c>
      <c r="AI34" s="12">
        <v>-88849</v>
      </c>
      <c r="AJ34" s="12">
        <v>-62392</v>
      </c>
      <c r="AK34" s="41">
        <f t="shared" si="17"/>
        <v>-270552</v>
      </c>
      <c r="AL34" s="12">
        <v>-74679</v>
      </c>
      <c r="AM34" s="12">
        <v>-76672</v>
      </c>
      <c r="AN34" s="12">
        <v>-80765</v>
      </c>
      <c r="AO34" s="12">
        <v>-84577</v>
      </c>
      <c r="AP34" s="41">
        <f t="shared" si="18"/>
        <v>-316693</v>
      </c>
      <c r="AQ34" s="12">
        <v>-85305.170549999995</v>
      </c>
      <c r="AR34" s="12">
        <v>-87496</v>
      </c>
      <c r="AS34" s="12">
        <v>-87704</v>
      </c>
      <c r="AT34" s="12">
        <v>-97051</v>
      </c>
      <c r="AU34" s="41">
        <f t="shared" si="19"/>
        <v>-357556.17054999998</v>
      </c>
      <c r="AV34" s="12">
        <v>-85523.428409999993</v>
      </c>
      <c r="AW34" s="12">
        <v>-84798.082479999983</v>
      </c>
      <c r="AX34" s="12">
        <v>-94527.103820000018</v>
      </c>
      <c r="AY34" s="12">
        <v>-81429.991069999902</v>
      </c>
      <c r="AZ34" s="41">
        <f t="shared" si="20"/>
        <v>-346278.60577999987</v>
      </c>
      <c r="BA34" s="8">
        <v>-89964.656070000012</v>
      </c>
    </row>
    <row r="35" spans="1:53">
      <c r="A35" s="11"/>
      <c r="B35" s="11" t="s">
        <v>422</v>
      </c>
      <c r="C35" s="13"/>
      <c r="D35" s="13"/>
      <c r="E35" s="13"/>
      <c r="F35" s="13"/>
      <c r="G35" s="41"/>
      <c r="H35" s="13"/>
      <c r="I35" s="13"/>
      <c r="J35" s="13"/>
      <c r="K35" s="13"/>
      <c r="L35" s="41"/>
      <c r="M35" s="13"/>
      <c r="N35" s="13"/>
      <c r="O35" s="13"/>
      <c r="P35" s="13"/>
      <c r="Q35" s="41"/>
      <c r="R35" s="13"/>
      <c r="S35" s="13"/>
      <c r="T35" s="13"/>
      <c r="U35" s="13"/>
      <c r="V35" s="41"/>
      <c r="W35" s="13"/>
      <c r="X35" s="13"/>
      <c r="Y35" s="13"/>
      <c r="Z35" s="13">
        <v>-5</v>
      </c>
      <c r="AA35" s="41">
        <f t="shared" si="15"/>
        <v>-5</v>
      </c>
      <c r="AB35" s="12">
        <v>-9038.0023699999983</v>
      </c>
      <c r="AC35" s="12">
        <v>-11391.404920000001</v>
      </c>
      <c r="AD35" s="12">
        <v>-23054.592710000001</v>
      </c>
      <c r="AE35" s="12">
        <v>-24407</v>
      </c>
      <c r="AF35" s="41">
        <f t="shared" si="16"/>
        <v>-67891</v>
      </c>
      <c r="AG35" s="12">
        <v>-18793</v>
      </c>
      <c r="AH35" s="12">
        <v>-24164</v>
      </c>
      <c r="AI35" s="12">
        <v>-31985</v>
      </c>
      <c r="AJ35" s="12">
        <v>-22313</v>
      </c>
      <c r="AK35" s="41">
        <f t="shared" si="17"/>
        <v>-97255</v>
      </c>
      <c r="AL35" s="12">
        <v>-26887</v>
      </c>
      <c r="AM35" s="12">
        <v>-27604</v>
      </c>
      <c r="AN35" s="12">
        <v>-29076</v>
      </c>
      <c r="AO35" s="12">
        <v>-30450</v>
      </c>
      <c r="AP35" s="41">
        <f t="shared" si="18"/>
        <v>-114017</v>
      </c>
      <c r="AQ35" s="12">
        <v>-30631.20491</v>
      </c>
      <c r="AR35" s="12">
        <v>-31496</v>
      </c>
      <c r="AS35" s="12">
        <v>-31575</v>
      </c>
      <c r="AT35" s="12">
        <v>-34879</v>
      </c>
      <c r="AU35" s="41">
        <f t="shared" si="19"/>
        <v>-128581.20491</v>
      </c>
      <c r="AV35" s="12">
        <v>-30790.594229999999</v>
      </c>
      <c r="AW35" s="12">
        <v>-30529.469689999998</v>
      </c>
      <c r="AX35" s="12">
        <v>-34031.917379999992</v>
      </c>
      <c r="AY35" s="12">
        <v>-29214.581899999997</v>
      </c>
      <c r="AZ35" s="41">
        <f t="shared" si="20"/>
        <v>-124566.56319999998</v>
      </c>
      <c r="BA35" s="8">
        <v>-32389.436189999997</v>
      </c>
    </row>
    <row r="36" spans="1:53">
      <c r="A36" s="11"/>
      <c r="B36" s="11" t="s">
        <v>423</v>
      </c>
      <c r="C36" s="13"/>
      <c r="D36" s="13"/>
      <c r="E36" s="13"/>
      <c r="F36" s="13"/>
      <c r="G36" s="41"/>
      <c r="H36" s="13"/>
      <c r="I36" s="13"/>
      <c r="J36" s="13"/>
      <c r="K36" s="13"/>
      <c r="L36" s="41"/>
      <c r="M36" s="13"/>
      <c r="N36" s="13"/>
      <c r="O36" s="13"/>
      <c r="P36" s="13"/>
      <c r="Q36" s="41"/>
      <c r="R36" s="13"/>
      <c r="S36" s="13"/>
      <c r="T36" s="13"/>
      <c r="U36" s="13"/>
      <c r="V36" s="41"/>
      <c r="W36" s="13"/>
      <c r="X36" s="13"/>
      <c r="Y36" s="13"/>
      <c r="Z36" s="13">
        <v>0</v>
      </c>
      <c r="AA36" s="41">
        <f t="shared" si="15"/>
        <v>0</v>
      </c>
      <c r="AB36" s="12">
        <v>0</v>
      </c>
      <c r="AC36" s="12">
        <v>0</v>
      </c>
      <c r="AD36" s="12">
        <v>0</v>
      </c>
      <c r="AE36" s="12">
        <v>0</v>
      </c>
      <c r="AF36" s="41">
        <f t="shared" si="16"/>
        <v>0</v>
      </c>
      <c r="AG36" s="12">
        <v>0</v>
      </c>
      <c r="AH36" s="12">
        <v>0</v>
      </c>
      <c r="AI36" s="12">
        <v>0</v>
      </c>
      <c r="AJ36" s="12">
        <v>0</v>
      </c>
      <c r="AK36" s="41">
        <f t="shared" si="17"/>
        <v>0</v>
      </c>
      <c r="AL36" s="12">
        <v>0</v>
      </c>
      <c r="AM36" s="12">
        <v>0</v>
      </c>
      <c r="AN36" s="12">
        <v>0</v>
      </c>
      <c r="AO36" s="12">
        <v>0</v>
      </c>
      <c r="AP36" s="41">
        <f t="shared" si="18"/>
        <v>0</v>
      </c>
      <c r="AQ36" s="12">
        <v>0</v>
      </c>
      <c r="AR36" s="12">
        <v>0</v>
      </c>
      <c r="AS36" s="12">
        <v>-76</v>
      </c>
      <c r="AT36" s="12">
        <v>-47</v>
      </c>
      <c r="AU36" s="41">
        <f t="shared" si="19"/>
        <v>-123</v>
      </c>
      <c r="AV36" s="12">
        <v>40</v>
      </c>
      <c r="AW36" s="12">
        <v>2.3664899999999909</v>
      </c>
      <c r="AX36" s="12">
        <v>-5</v>
      </c>
      <c r="AY36" s="12">
        <v>-102</v>
      </c>
      <c r="AZ36" s="41">
        <f t="shared" si="20"/>
        <v>-64.633510000000001</v>
      </c>
      <c r="BA36" s="8">
        <v>53</v>
      </c>
    </row>
    <row r="37" spans="1:53">
      <c r="A37" s="11"/>
      <c r="B37" s="11" t="s">
        <v>424</v>
      </c>
      <c r="C37" s="13"/>
      <c r="D37" s="13"/>
      <c r="E37" s="13"/>
      <c r="F37" s="13"/>
      <c r="G37" s="41"/>
      <c r="H37" s="13"/>
      <c r="I37" s="13"/>
      <c r="J37" s="13"/>
      <c r="K37" s="13"/>
      <c r="L37" s="41"/>
      <c r="M37" s="13"/>
      <c r="N37" s="13"/>
      <c r="O37" s="13"/>
      <c r="P37" s="13"/>
      <c r="Q37" s="41"/>
      <c r="R37" s="13"/>
      <c r="S37" s="13"/>
      <c r="T37" s="13"/>
      <c r="U37" s="13"/>
      <c r="V37" s="41"/>
      <c r="W37" s="13"/>
      <c r="X37" s="13"/>
      <c r="Y37" s="13"/>
      <c r="Z37" s="13">
        <v>0</v>
      </c>
      <c r="AA37" s="41">
        <f t="shared" si="15"/>
        <v>0</v>
      </c>
      <c r="AB37" s="12">
        <v>0</v>
      </c>
      <c r="AC37" s="12">
        <v>0</v>
      </c>
      <c r="AD37" s="12">
        <v>0</v>
      </c>
      <c r="AE37" s="12">
        <v>0</v>
      </c>
      <c r="AF37" s="41">
        <f t="shared" si="16"/>
        <v>0</v>
      </c>
      <c r="AG37" s="12">
        <v>0</v>
      </c>
      <c r="AH37" s="12">
        <v>0</v>
      </c>
      <c r="AI37" s="12">
        <v>0</v>
      </c>
      <c r="AJ37" s="12">
        <v>0</v>
      </c>
      <c r="AK37" s="41">
        <f t="shared" si="17"/>
        <v>0</v>
      </c>
      <c r="AL37" s="12">
        <v>0</v>
      </c>
      <c r="AM37" s="12">
        <v>0</v>
      </c>
      <c r="AN37" s="12">
        <v>0</v>
      </c>
      <c r="AO37" s="12">
        <v>0</v>
      </c>
      <c r="AP37" s="41">
        <f t="shared" si="18"/>
        <v>0</v>
      </c>
      <c r="AQ37" s="12">
        <v>0</v>
      </c>
      <c r="AR37" s="12">
        <v>0</v>
      </c>
      <c r="AS37" s="12">
        <v>0</v>
      </c>
      <c r="AT37" s="12">
        <v>0</v>
      </c>
      <c r="AU37" s="41">
        <f t="shared" si="19"/>
        <v>0</v>
      </c>
      <c r="AV37" s="12">
        <v>0</v>
      </c>
      <c r="AW37" s="12">
        <v>0</v>
      </c>
      <c r="AX37" s="12">
        <v>0</v>
      </c>
      <c r="AY37" s="12">
        <v>0</v>
      </c>
      <c r="AZ37" s="41">
        <f t="shared" si="20"/>
        <v>0</v>
      </c>
      <c r="BA37" s="8">
        <v>0</v>
      </c>
    </row>
    <row r="38" spans="1:53">
      <c r="A38" s="15"/>
      <c r="B38" s="15" t="s">
        <v>450</v>
      </c>
      <c r="C38" s="16"/>
      <c r="D38" s="16"/>
      <c r="E38" s="16"/>
      <c r="F38" s="16"/>
      <c r="G38" s="45"/>
      <c r="H38" s="16"/>
      <c r="I38" s="16"/>
      <c r="J38" s="16"/>
      <c r="K38" s="16"/>
      <c r="L38" s="45"/>
      <c r="M38" s="16"/>
      <c r="N38" s="16"/>
      <c r="O38" s="16"/>
      <c r="P38" s="16"/>
      <c r="Q38" s="45"/>
      <c r="R38" s="16"/>
      <c r="S38" s="16"/>
      <c r="T38" s="16"/>
      <c r="U38" s="16"/>
      <c r="V38" s="45"/>
      <c r="W38" s="16"/>
      <c r="X38" s="16"/>
      <c r="Y38" s="16"/>
      <c r="Z38" s="16">
        <v>40</v>
      </c>
      <c r="AA38" s="45">
        <f t="shared" si="15"/>
        <v>40</v>
      </c>
      <c r="AB38" s="16">
        <v>66285.43548</v>
      </c>
      <c r="AC38" s="16">
        <v>83542.803639999998</v>
      </c>
      <c r="AD38" s="16">
        <v>169075.87788000001</v>
      </c>
      <c r="AE38" s="16">
        <v>178955.88300000003</v>
      </c>
      <c r="AF38" s="45">
        <f t="shared" si="16"/>
        <v>497860</v>
      </c>
      <c r="AG38" s="16">
        <v>137799</v>
      </c>
      <c r="AH38" s="16">
        <v>177185</v>
      </c>
      <c r="AI38" s="16">
        <v>234562</v>
      </c>
      <c r="AJ38" s="16">
        <v>163215</v>
      </c>
      <c r="AK38" s="45">
        <f t="shared" si="17"/>
        <v>712761</v>
      </c>
      <c r="AL38" s="16">
        <v>197153</v>
      </c>
      <c r="AM38" s="16">
        <v>202427</v>
      </c>
      <c r="AN38" s="16">
        <v>213224</v>
      </c>
      <c r="AO38" s="16">
        <v>223270</v>
      </c>
      <c r="AP38" s="45">
        <f t="shared" si="18"/>
        <v>836074</v>
      </c>
      <c r="AQ38" s="16">
        <f>SUM(AQ33:AQ37)</f>
        <v>224338.22046000001</v>
      </c>
      <c r="AR38" s="16">
        <f t="shared" ref="AR38:AT38" si="25">SUM(AR33:AR37)</f>
        <v>231124</v>
      </c>
      <c r="AS38" s="16">
        <f t="shared" si="25"/>
        <v>231691</v>
      </c>
      <c r="AT38" s="16">
        <f t="shared" si="25"/>
        <v>256089</v>
      </c>
      <c r="AU38" s="45">
        <f t="shared" si="19"/>
        <v>943242.22045999998</v>
      </c>
      <c r="AV38" s="16">
        <f>SUM(AV33:AV37)</f>
        <v>224680.69419000001</v>
      </c>
      <c r="AW38" s="16">
        <f t="shared" ref="AW38:BA38" si="26">SUM(AW33:AW37)</f>
        <v>222974.67199000006</v>
      </c>
      <c r="AX38" s="16">
        <f t="shared" si="26"/>
        <v>245136.21351000003</v>
      </c>
      <c r="AY38" s="16">
        <f t="shared" si="26"/>
        <v>220285.58968000012</v>
      </c>
      <c r="AZ38" s="45">
        <f t="shared" si="20"/>
        <v>913077.16937000013</v>
      </c>
      <c r="BA38" s="16">
        <f t="shared" si="26"/>
        <v>236649.60280000008</v>
      </c>
    </row>
    <row r="39" spans="1:53" ht="15.75" thickBot="1">
      <c r="A39" s="17"/>
      <c r="B39" s="17" t="s">
        <v>451</v>
      </c>
      <c r="C39" s="18"/>
      <c r="D39" s="18"/>
      <c r="E39" s="18"/>
      <c r="F39" s="18"/>
      <c r="G39" s="48"/>
      <c r="H39" s="18"/>
      <c r="I39" s="18"/>
      <c r="J39" s="18"/>
      <c r="K39" s="18"/>
      <c r="L39" s="48"/>
      <c r="M39" s="18"/>
      <c r="N39" s="18"/>
      <c r="O39" s="18"/>
      <c r="P39" s="18"/>
      <c r="Q39" s="48"/>
      <c r="R39" s="18"/>
      <c r="S39" s="18"/>
      <c r="T39" s="18"/>
      <c r="U39" s="18"/>
      <c r="V39" s="48"/>
      <c r="W39" s="18"/>
      <c r="X39" s="18"/>
      <c r="Y39" s="18"/>
      <c r="Z39" s="18">
        <v>1</v>
      </c>
      <c r="AA39" s="48">
        <v>1</v>
      </c>
      <c r="AB39" s="18">
        <v>1</v>
      </c>
      <c r="AC39" s="18">
        <v>1</v>
      </c>
      <c r="AD39" s="18">
        <v>1</v>
      </c>
      <c r="AE39" s="18">
        <v>1</v>
      </c>
      <c r="AF39" s="48">
        <v>1</v>
      </c>
      <c r="AG39" s="18">
        <v>1</v>
      </c>
      <c r="AH39" s="18">
        <v>1</v>
      </c>
      <c r="AI39" s="18">
        <v>1</v>
      </c>
      <c r="AJ39" s="18">
        <v>1</v>
      </c>
      <c r="AK39" s="48">
        <v>1</v>
      </c>
      <c r="AL39" s="18">
        <v>1</v>
      </c>
      <c r="AM39" s="18">
        <v>1</v>
      </c>
      <c r="AN39" s="18">
        <v>1</v>
      </c>
      <c r="AO39" s="18">
        <v>1</v>
      </c>
      <c r="AP39" s="48">
        <v>1</v>
      </c>
      <c r="AQ39" s="18">
        <v>1</v>
      </c>
      <c r="AR39" s="18">
        <v>1</v>
      </c>
      <c r="AS39" s="18">
        <v>1</v>
      </c>
      <c r="AT39" s="18">
        <v>1</v>
      </c>
      <c r="AU39" s="48">
        <v>1</v>
      </c>
      <c r="AV39" s="18">
        <v>1</v>
      </c>
      <c r="AW39" s="18">
        <v>1</v>
      </c>
      <c r="AX39" s="18">
        <v>1</v>
      </c>
      <c r="AY39" s="18">
        <v>1</v>
      </c>
      <c r="AZ39" s="48">
        <v>1</v>
      </c>
      <c r="BA39" s="18">
        <v>1</v>
      </c>
    </row>
    <row r="40" spans="1:53">
      <c r="AK40" s="8"/>
      <c r="AL40" s="8"/>
      <c r="AM40" s="8"/>
      <c r="AN40" s="476"/>
      <c r="AO40" s="8"/>
      <c r="AP40" s="476"/>
      <c r="AQ40" s="8"/>
      <c r="AR40" s="8"/>
      <c r="AS40" s="476"/>
      <c r="AT40" s="8"/>
      <c r="AU40" s="476"/>
      <c r="AV40" s="8"/>
      <c r="AW40" s="8"/>
      <c r="AX40" s="8"/>
      <c r="AY40" s="8"/>
      <c r="AZ40" s="476"/>
      <c r="BA40" s="476"/>
    </row>
    <row r="41" spans="1:53">
      <c r="Z41" s="8"/>
      <c r="AA41" s="8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</row>
    <row r="42" spans="1:53"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</row>
    <row r="43" spans="1:53">
      <c r="AF43" s="8"/>
      <c r="AK43" s="8"/>
      <c r="AL43" s="8"/>
      <c r="AP43" s="8"/>
      <c r="AQ43" s="8"/>
      <c r="AU43" s="8"/>
      <c r="AZ43" s="8"/>
      <c r="BA43" s="8"/>
    </row>
    <row r="45" spans="1:53">
      <c r="Y45" s="8"/>
      <c r="Z45" s="8"/>
      <c r="AA45" s="8"/>
      <c r="AC45" s="8"/>
      <c r="AD45" s="8"/>
      <c r="AE45" s="8"/>
      <c r="AF45" s="8"/>
      <c r="AK45" s="8"/>
      <c r="AP45" s="8"/>
      <c r="AU45" s="8"/>
      <c r="AZ45" s="8"/>
      <c r="BA45" s="8"/>
    </row>
    <row r="46" spans="1:53">
      <c r="Y46" s="114"/>
      <c r="Z46" s="114"/>
      <c r="AA46" s="114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7FF3-C67F-454B-888E-AEA5FADC1439}">
  <dimension ref="A1:AN68"/>
  <sheetViews>
    <sheetView showGridLines="0" showRowColHeaders="0" zoomScale="75" zoomScaleNormal="75" workbookViewId="0">
      <pane xSplit="2" ySplit="3" topLeftCell="O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2.85546875" customWidth="1"/>
    <col min="2" max="2" width="70.7109375" customWidth="1"/>
    <col min="3" max="12" width="18.5703125" customWidth="1"/>
    <col min="13" max="19" width="12.42578125" bestFit="1" customWidth="1"/>
    <col min="20" max="30" width="9.42578125" customWidth="1"/>
    <col min="31" max="31" width="12.42578125" bestFit="1" customWidth="1"/>
    <col min="34" max="34" width="12.42578125" customWidth="1"/>
  </cols>
  <sheetData>
    <row r="1" spans="1:40" ht="15" customHeight="1">
      <c r="A1" s="619"/>
      <c r="B1" s="619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31"/>
      <c r="S1" s="630"/>
    </row>
    <row r="2" spans="1:40" ht="15" customHeight="1">
      <c r="A2" s="619"/>
      <c r="B2" s="619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32"/>
      <c r="S2" s="630"/>
    </row>
    <row r="3" spans="1:40" ht="50.1" customHeight="1">
      <c r="A3" s="747"/>
      <c r="B3" s="735" t="s">
        <v>1122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31"/>
      <c r="S3" s="630"/>
    </row>
    <row r="4" spans="1:40" ht="10.35" customHeight="1"/>
    <row r="5" spans="1:40" s="30" customFormat="1" ht="25.35" customHeight="1">
      <c r="A5" s="625"/>
      <c r="B5" s="625" t="s">
        <v>32</v>
      </c>
      <c r="C5" s="643">
        <v>44621</v>
      </c>
      <c r="D5" s="643">
        <v>44713</v>
      </c>
      <c r="E5" s="643">
        <v>44805</v>
      </c>
      <c r="F5" s="643">
        <v>44896</v>
      </c>
      <c r="G5" s="643">
        <v>44986</v>
      </c>
      <c r="H5" s="643">
        <v>45078</v>
      </c>
      <c r="I5" s="643">
        <v>45170</v>
      </c>
      <c r="J5" s="643">
        <v>45261</v>
      </c>
      <c r="K5" s="643">
        <v>45352</v>
      </c>
      <c r="L5" s="643">
        <v>45444</v>
      </c>
      <c r="M5" s="643">
        <v>45536</v>
      </c>
      <c r="N5" s="643">
        <v>45627</v>
      </c>
      <c r="O5" s="643">
        <v>45717</v>
      </c>
      <c r="P5" s="643">
        <v>45809</v>
      </c>
      <c r="Q5" s="643">
        <v>45901</v>
      </c>
      <c r="R5" s="644">
        <v>45992</v>
      </c>
      <c r="S5" s="645">
        <v>46082</v>
      </c>
    </row>
    <row r="6" spans="1:40">
      <c r="A6" s="627"/>
      <c r="B6" s="627" t="s">
        <v>5</v>
      </c>
      <c r="C6" s="627"/>
      <c r="D6" s="627"/>
      <c r="E6" s="627"/>
      <c r="F6" s="634">
        <v>13147526</v>
      </c>
      <c r="G6" s="634">
        <v>14017541</v>
      </c>
      <c r="H6" s="634">
        <v>13456728</v>
      </c>
      <c r="I6" s="634">
        <v>14400965</v>
      </c>
      <c r="J6" s="634">
        <v>14004319</v>
      </c>
      <c r="K6" s="634">
        <v>14865194</v>
      </c>
      <c r="L6" s="634">
        <v>13700466.702130003</v>
      </c>
      <c r="M6" s="634">
        <v>13943235.39793</v>
      </c>
      <c r="N6" s="634">
        <v>14024015.750489999</v>
      </c>
      <c r="O6" s="634">
        <v>14254621.09932</v>
      </c>
      <c r="P6" s="634">
        <f>P7+P16</f>
        <v>14423704.779199999</v>
      </c>
      <c r="Q6" s="634">
        <f>Q7+Q16</f>
        <v>14624521.127719998</v>
      </c>
      <c r="R6" s="634">
        <f>R7+R16</f>
        <v>14765000.91093</v>
      </c>
      <c r="S6" s="634">
        <f>S7+S16</f>
        <v>14925260.887430001</v>
      </c>
      <c r="AE6" s="8"/>
      <c r="AF6" s="30"/>
      <c r="AG6" s="8"/>
      <c r="AH6" s="8"/>
      <c r="AI6" s="8"/>
      <c r="AJ6" s="8"/>
      <c r="AK6" s="8"/>
      <c r="AL6" s="8"/>
      <c r="AM6" s="8"/>
      <c r="AN6" s="8"/>
    </row>
    <row r="7" spans="1:40">
      <c r="A7" s="21"/>
      <c r="B7" s="21" t="s">
        <v>6</v>
      </c>
      <c r="C7" s="175"/>
      <c r="D7" s="175"/>
      <c r="E7" s="175"/>
      <c r="F7" s="175">
        <v>1666990</v>
      </c>
      <c r="G7" s="175">
        <v>2219859</v>
      </c>
      <c r="H7" s="175">
        <v>986008</v>
      </c>
      <c r="I7" s="175">
        <v>2026608</v>
      </c>
      <c r="J7" s="175">
        <v>1464596</v>
      </c>
      <c r="K7" s="175">
        <v>2454205</v>
      </c>
      <c r="L7" s="175">
        <v>1412180.7891599999</v>
      </c>
      <c r="M7" s="175">
        <v>1284485.3118200002</v>
      </c>
      <c r="N7" s="175">
        <v>1969461.6172499997</v>
      </c>
      <c r="O7" s="175">
        <v>2033656.3807099999</v>
      </c>
      <c r="P7" s="175">
        <f>SUM(P8:P15)</f>
        <v>1717451.3164599997</v>
      </c>
      <c r="Q7" s="175">
        <f>SUM(Q8:Q15)</f>
        <v>1932385.2706199999</v>
      </c>
      <c r="R7" s="175">
        <f>SUM(R8:R15)</f>
        <v>2046298.27996</v>
      </c>
      <c r="S7" s="175">
        <f>SUM(S8:S15)</f>
        <v>2119840.8339299997</v>
      </c>
      <c r="AE7" s="8"/>
      <c r="AF7" s="30"/>
      <c r="AG7" s="8"/>
      <c r="AH7" s="8"/>
      <c r="AI7" s="8"/>
      <c r="AJ7" s="8"/>
      <c r="AK7" s="8"/>
      <c r="AL7" s="8"/>
    </row>
    <row r="8" spans="1:40">
      <c r="A8" s="11"/>
      <c r="B8" s="11" t="s">
        <v>7</v>
      </c>
      <c r="C8" s="176"/>
      <c r="D8" s="176"/>
      <c r="E8" s="176"/>
      <c r="F8" s="176">
        <v>716</v>
      </c>
      <c r="G8" s="176">
        <v>441</v>
      </c>
      <c r="H8" s="176">
        <v>167</v>
      </c>
      <c r="I8" s="176">
        <v>299</v>
      </c>
      <c r="J8" s="176">
        <v>430</v>
      </c>
      <c r="K8" s="176">
        <v>243</v>
      </c>
      <c r="L8" s="176">
        <v>417.52085</v>
      </c>
      <c r="M8" s="176">
        <v>474.08647999999999</v>
      </c>
      <c r="N8" s="176">
        <v>435.20130999999998</v>
      </c>
      <c r="O8" s="176">
        <v>291.37799999999999</v>
      </c>
      <c r="P8" s="176">
        <v>275.64272000000005</v>
      </c>
      <c r="Q8" s="176">
        <v>204.26172999999997</v>
      </c>
      <c r="R8" s="176">
        <v>306</v>
      </c>
      <c r="S8" s="176">
        <v>364.18351000000001</v>
      </c>
      <c r="AE8" s="8"/>
      <c r="AF8" s="30"/>
      <c r="AG8" s="8"/>
      <c r="AH8" s="8"/>
      <c r="AI8" s="8"/>
      <c r="AJ8" s="8"/>
      <c r="AK8" s="8"/>
      <c r="AL8" s="8"/>
    </row>
    <row r="9" spans="1:40">
      <c r="A9" s="11"/>
      <c r="B9" s="11" t="s">
        <v>8</v>
      </c>
      <c r="C9" s="216"/>
      <c r="D9" s="176"/>
      <c r="E9" s="176"/>
      <c r="F9" s="176">
        <v>917344</v>
      </c>
      <c r="G9" s="216">
        <v>1295643</v>
      </c>
      <c r="H9" s="176">
        <v>826047</v>
      </c>
      <c r="I9" s="176">
        <v>1878859</v>
      </c>
      <c r="J9" s="176">
        <v>850819</v>
      </c>
      <c r="K9" s="176">
        <v>1264033</v>
      </c>
      <c r="L9" s="176">
        <v>884679</v>
      </c>
      <c r="M9" s="176">
        <v>913017.63774999999</v>
      </c>
      <c r="N9" s="176">
        <v>1209485.6615599999</v>
      </c>
      <c r="O9" s="176">
        <v>1204838.08714</v>
      </c>
      <c r="P9" s="176">
        <v>1113124.1850899998</v>
      </c>
      <c r="Q9" s="176">
        <v>1103992.3717999998</v>
      </c>
      <c r="R9" s="176">
        <v>1696088.87537</v>
      </c>
      <c r="S9" s="176">
        <v>1109108.3374700001</v>
      </c>
      <c r="AE9" s="8"/>
      <c r="AF9" s="30"/>
      <c r="AG9" s="8"/>
      <c r="AH9" s="8"/>
      <c r="AI9" s="8"/>
      <c r="AJ9" s="8"/>
      <c r="AK9" s="8"/>
      <c r="AL9" s="8"/>
    </row>
    <row r="10" spans="1:40">
      <c r="A10" s="11"/>
      <c r="B10" s="11" t="s">
        <v>9</v>
      </c>
      <c r="C10" s="216"/>
      <c r="D10" s="176"/>
      <c r="E10" s="176"/>
      <c r="F10" s="176">
        <v>503386</v>
      </c>
      <c r="G10" s="216">
        <v>798679</v>
      </c>
      <c r="H10" s="176">
        <v>0</v>
      </c>
      <c r="I10" s="176">
        <v>0</v>
      </c>
      <c r="J10" s="176">
        <v>439963</v>
      </c>
      <c r="K10" s="176">
        <v>1027975</v>
      </c>
      <c r="L10" s="176">
        <v>339678.38532</v>
      </c>
      <c r="M10" s="176">
        <v>212164.61478</v>
      </c>
      <c r="N10" s="176">
        <v>583359.3713</v>
      </c>
      <c r="O10" s="176">
        <v>624399.61042000004</v>
      </c>
      <c r="P10" s="176">
        <v>450926.30754000001</v>
      </c>
      <c r="Q10" s="176">
        <v>645014.06850000005</v>
      </c>
      <c r="R10" s="176">
        <v>160832.00409999999</v>
      </c>
      <c r="S10" s="176">
        <v>826580.01342999993</v>
      </c>
      <c r="AE10" s="8"/>
      <c r="AF10" s="30"/>
      <c r="AG10" s="8"/>
      <c r="AH10" s="8"/>
      <c r="AI10" s="8"/>
      <c r="AJ10" s="8"/>
      <c r="AK10" s="8"/>
      <c r="AL10" s="8"/>
    </row>
    <row r="11" spans="1:40">
      <c r="A11" s="11"/>
      <c r="B11" s="11" t="s">
        <v>10</v>
      </c>
      <c r="C11" s="216"/>
      <c r="D11" s="176"/>
      <c r="E11" s="176"/>
      <c r="F11" s="176">
        <v>15523</v>
      </c>
      <c r="G11" s="216">
        <v>21613</v>
      </c>
      <c r="H11" s="176">
        <v>12004</v>
      </c>
      <c r="I11" s="176">
        <v>17689</v>
      </c>
      <c r="J11" s="176">
        <v>19186</v>
      </c>
      <c r="K11" s="176">
        <v>25257</v>
      </c>
      <c r="L11" s="176">
        <v>12271.14179</v>
      </c>
      <c r="M11" s="176">
        <v>18694.489369999999</v>
      </c>
      <c r="N11" s="176">
        <v>21092.922719999999</v>
      </c>
      <c r="O11" s="176">
        <v>29300.675030000002</v>
      </c>
      <c r="P11" s="176">
        <v>14786.18111</v>
      </c>
      <c r="Q11" s="176">
        <v>21600.914059999999</v>
      </c>
      <c r="R11" s="176">
        <v>24223.903879999998</v>
      </c>
      <c r="S11" s="176">
        <v>33724.687549999995</v>
      </c>
      <c r="AE11" s="8"/>
      <c r="AF11" s="30"/>
      <c r="AG11" s="8"/>
      <c r="AH11" s="8"/>
      <c r="AI11" s="8"/>
      <c r="AJ11" s="8"/>
      <c r="AK11" s="8"/>
      <c r="AL11" s="8"/>
    </row>
    <row r="12" spans="1:40">
      <c r="A12" s="11"/>
      <c r="B12" s="11" t="s">
        <v>11</v>
      </c>
      <c r="C12" s="216"/>
      <c r="D12" s="216"/>
      <c r="E12" s="216"/>
      <c r="F12" s="216">
        <v>105715</v>
      </c>
      <c r="G12" s="216">
        <v>102112</v>
      </c>
      <c r="H12" s="216">
        <v>140461</v>
      </c>
      <c r="I12" s="216">
        <v>124899</v>
      </c>
      <c r="J12" s="216">
        <v>152522</v>
      </c>
      <c r="K12" s="216">
        <v>132890</v>
      </c>
      <c r="L12" s="176">
        <v>172430.36524000001</v>
      </c>
      <c r="M12" s="176">
        <v>137271.27124999999</v>
      </c>
      <c r="N12" s="176">
        <v>153339.49673000001</v>
      </c>
      <c r="O12" s="176">
        <v>173625.62958000001</v>
      </c>
      <c r="P12" s="176">
        <v>137538</v>
      </c>
      <c r="Q12" s="176">
        <v>157674.44303999998</v>
      </c>
      <c r="R12" s="176">
        <v>161459.17827999996</v>
      </c>
      <c r="S12" s="176">
        <v>148788.65121999991</v>
      </c>
      <c r="AE12" s="8"/>
      <c r="AF12" s="30"/>
      <c r="AG12" s="8"/>
      <c r="AH12" s="8"/>
      <c r="AI12" s="8"/>
      <c r="AJ12" s="8"/>
      <c r="AK12" s="8"/>
      <c r="AL12" s="8"/>
    </row>
    <row r="13" spans="1:40">
      <c r="A13" s="11"/>
      <c r="B13" s="11" t="s">
        <v>12</v>
      </c>
      <c r="C13" s="216"/>
      <c r="D13" s="186"/>
      <c r="E13" s="186"/>
      <c r="F13" s="186">
        <v>41</v>
      </c>
      <c r="G13" s="216">
        <v>23</v>
      </c>
      <c r="H13" s="186">
        <v>6431</v>
      </c>
      <c r="I13" s="186">
        <v>2509</v>
      </c>
      <c r="J13" s="186">
        <v>7</v>
      </c>
      <c r="K13" s="186">
        <v>2582</v>
      </c>
      <c r="L13" s="186">
        <v>1974.7963500000001</v>
      </c>
      <c r="M13" s="186">
        <v>607.89589000000001</v>
      </c>
      <c r="N13" s="186">
        <v>0</v>
      </c>
      <c r="O13" s="186">
        <v>0</v>
      </c>
      <c r="P13" s="186">
        <v>0</v>
      </c>
      <c r="Q13" s="186">
        <v>0</v>
      </c>
      <c r="R13" s="186">
        <v>0</v>
      </c>
      <c r="S13" s="176">
        <v>0</v>
      </c>
      <c r="AE13" s="8"/>
      <c r="AF13" s="30"/>
      <c r="AG13" s="8"/>
      <c r="AH13" s="8"/>
      <c r="AI13" s="8"/>
      <c r="AJ13" s="8"/>
      <c r="AK13" s="8"/>
      <c r="AL13" s="8"/>
    </row>
    <row r="14" spans="1:40">
      <c r="A14" s="11"/>
      <c r="B14" s="11" t="s">
        <v>13</v>
      </c>
      <c r="C14" s="216"/>
      <c r="D14" s="176"/>
      <c r="E14" s="176"/>
      <c r="F14" s="176">
        <v>1395</v>
      </c>
      <c r="G14" s="216">
        <v>1348</v>
      </c>
      <c r="H14" s="176">
        <v>898</v>
      </c>
      <c r="I14" s="176">
        <v>2353</v>
      </c>
      <c r="J14" s="176">
        <v>1669</v>
      </c>
      <c r="K14" s="176">
        <v>1225</v>
      </c>
      <c r="L14" s="176">
        <v>730.17593999999997</v>
      </c>
      <c r="M14" s="176">
        <v>2255.3163000000004</v>
      </c>
      <c r="N14" s="176">
        <v>1749.9636300000002</v>
      </c>
      <c r="O14" s="176">
        <v>1200.00054</v>
      </c>
      <c r="P14" s="176">
        <v>801</v>
      </c>
      <c r="Q14" s="176">
        <v>3899.2114900000001</v>
      </c>
      <c r="R14" s="176">
        <v>3388.3183300000001</v>
      </c>
      <c r="S14" s="176">
        <v>1274.96075</v>
      </c>
      <c r="AE14" s="8"/>
      <c r="AF14" s="30"/>
      <c r="AG14" s="8"/>
      <c r="AH14" s="8"/>
      <c r="AI14" s="8"/>
      <c r="AJ14" s="8"/>
      <c r="AK14" s="8"/>
      <c r="AL14" s="8"/>
    </row>
    <row r="15" spans="1:40">
      <c r="A15" s="11"/>
      <c r="B15" s="11" t="s">
        <v>14</v>
      </c>
      <c r="C15" s="216"/>
      <c r="D15" s="176"/>
      <c r="E15" s="176"/>
      <c r="F15" s="176">
        <v>122870</v>
      </c>
      <c r="G15" s="21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AE15" s="8"/>
      <c r="AF15" s="30"/>
      <c r="AG15" s="8"/>
      <c r="AH15" s="8"/>
      <c r="AI15" s="8"/>
      <c r="AJ15" s="8"/>
      <c r="AK15" s="8"/>
      <c r="AL15" s="8"/>
    </row>
    <row r="16" spans="1:40">
      <c r="A16" s="21"/>
      <c r="B16" s="21" t="s">
        <v>15</v>
      </c>
      <c r="C16" s="175"/>
      <c r="D16" s="175"/>
      <c r="E16" s="175"/>
      <c r="F16" s="175">
        <v>11480536</v>
      </c>
      <c r="G16" s="175">
        <v>11797682</v>
      </c>
      <c r="H16" s="175">
        <v>12470720</v>
      </c>
      <c r="I16" s="175">
        <v>12374357</v>
      </c>
      <c r="J16" s="175">
        <v>12539723</v>
      </c>
      <c r="K16" s="175">
        <v>12410989</v>
      </c>
      <c r="L16" s="175">
        <v>12288285.912970003</v>
      </c>
      <c r="M16" s="175">
        <v>12658750.08611</v>
      </c>
      <c r="N16" s="175">
        <v>12054554.133239999</v>
      </c>
      <c r="O16" s="175">
        <v>12220964.71861</v>
      </c>
      <c r="P16" s="175">
        <f>P17+P18</f>
        <v>12706253.462739998</v>
      </c>
      <c r="Q16" s="175">
        <f>Q17+Q18</f>
        <v>12692135.857099999</v>
      </c>
      <c r="R16" s="175">
        <v>12718702.630969999</v>
      </c>
      <c r="S16" s="175">
        <f>SUM(S17:S18)</f>
        <v>12805420.0535</v>
      </c>
      <c r="AE16" s="8"/>
      <c r="AF16" s="30"/>
      <c r="AG16" s="8"/>
      <c r="AH16" s="8"/>
      <c r="AI16" s="8"/>
      <c r="AJ16" s="8"/>
      <c r="AK16" s="8"/>
      <c r="AL16" s="8"/>
    </row>
    <row r="17" spans="1:38">
      <c r="A17" s="11"/>
      <c r="B17" s="11" t="s">
        <v>16</v>
      </c>
      <c r="C17" s="176"/>
      <c r="D17" s="176"/>
      <c r="E17" s="176"/>
      <c r="F17" s="176">
        <v>11480514</v>
      </c>
      <c r="G17" s="176">
        <v>11797664</v>
      </c>
      <c r="H17" s="176">
        <v>12470705</v>
      </c>
      <c r="I17" s="176">
        <v>12374345</v>
      </c>
      <c r="J17" s="176">
        <v>12539712</v>
      </c>
      <c r="K17" s="176">
        <v>12410979</v>
      </c>
      <c r="L17" s="176">
        <v>12288276.938490003</v>
      </c>
      <c r="M17" s="176">
        <v>12658741.91773</v>
      </c>
      <c r="N17" s="176">
        <v>12054546.770959999</v>
      </c>
      <c r="O17" s="176">
        <v>12220912.589430001</v>
      </c>
      <c r="P17" s="176">
        <v>12695842.384219998</v>
      </c>
      <c r="Q17" s="176">
        <v>12681881.45609</v>
      </c>
      <c r="R17" s="176">
        <v>12708993.75491</v>
      </c>
      <c r="S17" s="176">
        <v>12796251.55439</v>
      </c>
      <c r="AE17" s="8"/>
      <c r="AF17" s="30"/>
      <c r="AG17" s="8"/>
      <c r="AH17" s="8"/>
      <c r="AI17" s="8"/>
      <c r="AJ17" s="8"/>
      <c r="AK17" s="8"/>
      <c r="AL17" s="8"/>
    </row>
    <row r="18" spans="1:38">
      <c r="A18" s="11"/>
      <c r="B18" s="11" t="s">
        <v>13</v>
      </c>
      <c r="C18" s="216"/>
      <c r="D18" s="216"/>
      <c r="E18" s="216"/>
      <c r="F18" s="216">
        <v>22</v>
      </c>
      <c r="G18" s="216">
        <v>18</v>
      </c>
      <c r="H18" s="216">
        <v>15</v>
      </c>
      <c r="I18" s="216">
        <v>12</v>
      </c>
      <c r="J18" s="216">
        <v>11</v>
      </c>
      <c r="K18" s="216">
        <v>10</v>
      </c>
      <c r="L18" s="176">
        <v>8.9744799999999962</v>
      </c>
      <c r="M18" s="176">
        <v>8.1683800000000044</v>
      </c>
      <c r="N18" s="176">
        <v>7.3622799999999993</v>
      </c>
      <c r="O18" s="176">
        <v>52.129179999999998</v>
      </c>
      <c r="P18" s="176">
        <v>10411.078519999999</v>
      </c>
      <c r="Q18" s="176">
        <v>10254.40101</v>
      </c>
      <c r="R18" s="176">
        <v>9708.8760600000005</v>
      </c>
      <c r="S18" s="176">
        <v>9168.4991100000007</v>
      </c>
      <c r="AE18" s="8"/>
      <c r="AF18" s="30"/>
      <c r="AG18" s="8"/>
      <c r="AH18" s="8"/>
      <c r="AI18" s="8"/>
      <c r="AJ18" s="8"/>
      <c r="AK18" s="8"/>
      <c r="AL18" s="8"/>
    </row>
    <row r="19" spans="1:38">
      <c r="A19" s="627"/>
      <c r="B19" s="627" t="s">
        <v>17</v>
      </c>
      <c r="C19" s="627"/>
      <c r="D19" s="627"/>
      <c r="E19" s="627"/>
      <c r="F19" s="634">
        <v>820156</v>
      </c>
      <c r="G19" s="634">
        <v>831414</v>
      </c>
      <c r="H19" s="634">
        <v>135395</v>
      </c>
      <c r="I19" s="634">
        <v>118577</v>
      </c>
      <c r="J19" s="634">
        <v>1418439</v>
      </c>
      <c r="K19" s="634">
        <v>1435759</v>
      </c>
      <c r="L19" s="634">
        <v>1010035.07751</v>
      </c>
      <c r="M19" s="634">
        <v>874223.93917999999</v>
      </c>
      <c r="N19" s="634">
        <v>1134691.86381</v>
      </c>
      <c r="O19" s="634">
        <v>222014.44922000001</v>
      </c>
      <c r="P19" s="634">
        <f>P20+P26</f>
        <v>1092988.52467</v>
      </c>
      <c r="Q19" s="634">
        <v>1118851.0966099999</v>
      </c>
      <c r="R19" s="634">
        <v>1214517.1554999999</v>
      </c>
      <c r="S19" s="634">
        <f>S20+S26</f>
        <v>1153252.0846699998</v>
      </c>
      <c r="AE19" s="8"/>
      <c r="AF19" s="30"/>
      <c r="AG19" s="8"/>
      <c r="AH19" s="8"/>
      <c r="AI19" s="8"/>
      <c r="AJ19" s="8"/>
      <c r="AK19" s="8"/>
      <c r="AL19" s="8"/>
    </row>
    <row r="20" spans="1:38">
      <c r="A20" s="21"/>
      <c r="B20" s="21" t="s">
        <v>6</v>
      </c>
      <c r="C20" s="175"/>
      <c r="D20" s="175"/>
      <c r="E20" s="175"/>
      <c r="F20" s="175">
        <v>817365</v>
      </c>
      <c r="G20" s="175">
        <v>828658</v>
      </c>
      <c r="H20" s="175">
        <v>132508</v>
      </c>
      <c r="I20" s="175">
        <v>115310</v>
      </c>
      <c r="J20" s="175">
        <v>1415172</v>
      </c>
      <c r="K20" s="175">
        <v>1431767</v>
      </c>
      <c r="L20" s="175">
        <v>1006783</v>
      </c>
      <c r="M20" s="175">
        <v>870971.93917999999</v>
      </c>
      <c r="N20" s="175">
        <v>1131439.86381</v>
      </c>
      <c r="O20" s="175">
        <v>218307.44922000001</v>
      </c>
      <c r="P20" s="175">
        <f>SUM(P21:P25)</f>
        <v>1080073.52467</v>
      </c>
      <c r="Q20" s="175">
        <f>SUM(Q21:Q25)</f>
        <v>1106037.0966099999</v>
      </c>
      <c r="R20" s="175">
        <f>SUM(R21:R25)</f>
        <v>1202265.6086000002</v>
      </c>
      <c r="S20" s="175">
        <f>SUM(S21:S25)</f>
        <v>1141150.0846699998</v>
      </c>
      <c r="AE20" s="8"/>
      <c r="AF20" s="30"/>
      <c r="AG20" s="8"/>
      <c r="AH20" s="8"/>
      <c r="AI20" s="8"/>
      <c r="AJ20" s="8"/>
      <c r="AK20" s="8"/>
      <c r="AL20" s="8"/>
    </row>
    <row r="21" spans="1:38">
      <c r="A21" s="11"/>
      <c r="B21" s="11" t="s">
        <v>19</v>
      </c>
      <c r="C21" s="176"/>
      <c r="D21" s="176"/>
      <c r="E21" s="176"/>
      <c r="F21" s="176">
        <v>76465</v>
      </c>
      <c r="G21" s="176">
        <v>48466</v>
      </c>
      <c r="H21" s="176">
        <v>73953</v>
      </c>
      <c r="I21" s="176">
        <v>55590</v>
      </c>
      <c r="J21" s="176">
        <v>74572</v>
      </c>
      <c r="K21" s="176">
        <v>57475</v>
      </c>
      <c r="L21" s="176">
        <v>103951</v>
      </c>
      <c r="M21" s="176">
        <v>99943.796300000002</v>
      </c>
      <c r="N21" s="176">
        <v>102810.17369</v>
      </c>
      <c r="O21" s="176">
        <v>140069.87367</v>
      </c>
      <c r="P21" s="176">
        <v>83053.41876</v>
      </c>
      <c r="Q21" s="176">
        <v>67787.905610000002</v>
      </c>
      <c r="R21" s="176">
        <v>81335</v>
      </c>
      <c r="S21" s="176">
        <v>74607.688760000005</v>
      </c>
      <c r="AE21" s="8"/>
      <c r="AF21" s="30"/>
      <c r="AG21" s="8"/>
      <c r="AH21" s="8"/>
      <c r="AI21" s="8"/>
      <c r="AJ21" s="8"/>
      <c r="AK21" s="8"/>
      <c r="AL21" s="8"/>
    </row>
    <row r="22" spans="1:38">
      <c r="A22" s="11"/>
      <c r="B22" s="11" t="s">
        <v>33</v>
      </c>
      <c r="C22" s="176"/>
      <c r="D22" s="176"/>
      <c r="E22" s="176"/>
      <c r="F22" s="176">
        <v>0</v>
      </c>
      <c r="G22" s="176">
        <v>0</v>
      </c>
      <c r="H22" s="176">
        <v>0</v>
      </c>
      <c r="I22" s="176">
        <v>7</v>
      </c>
      <c r="J22" s="176">
        <v>27</v>
      </c>
      <c r="K22" s="176">
        <v>5</v>
      </c>
      <c r="L22" s="176">
        <v>115</v>
      </c>
      <c r="M22" s="176">
        <v>17.14809</v>
      </c>
      <c r="N22" s="176">
        <v>0.58987999999999996</v>
      </c>
      <c r="O22" s="176">
        <v>0</v>
      </c>
      <c r="P22" s="176">
        <v>0.23400000000000001</v>
      </c>
      <c r="Q22" s="176">
        <v>0.15212999999999999</v>
      </c>
      <c r="R22" s="176">
        <v>18.04909</v>
      </c>
      <c r="S22" s="176">
        <v>8.5889999999999994E-2</v>
      </c>
      <c r="AE22" s="8"/>
      <c r="AF22" s="30"/>
      <c r="AG22" s="8"/>
      <c r="AH22" s="8"/>
      <c r="AI22" s="8"/>
      <c r="AJ22" s="8"/>
      <c r="AK22" s="8"/>
      <c r="AL22" s="8"/>
    </row>
    <row r="23" spans="1:38">
      <c r="A23" s="11"/>
      <c r="B23" s="11" t="s">
        <v>20</v>
      </c>
      <c r="C23" s="176"/>
      <c r="D23" s="177"/>
      <c r="E23" s="177"/>
      <c r="F23" s="177">
        <v>696958</v>
      </c>
      <c r="G23" s="176">
        <v>719612</v>
      </c>
      <c r="H23" s="177">
        <v>3</v>
      </c>
      <c r="I23" s="177">
        <v>3</v>
      </c>
      <c r="J23" s="177">
        <v>1278351</v>
      </c>
      <c r="K23" s="177">
        <v>1310781</v>
      </c>
      <c r="L23" s="177">
        <v>840006</v>
      </c>
      <c r="M23" s="177">
        <v>702005.44568</v>
      </c>
      <c r="N23" s="177">
        <v>941302.25811000005</v>
      </c>
      <c r="O23" s="177">
        <v>11641.888939999999</v>
      </c>
      <c r="P23" s="177">
        <v>930008.53715999995</v>
      </c>
      <c r="Q23" s="177">
        <v>960008.33635999996</v>
      </c>
      <c r="R23" s="177">
        <v>1050008</v>
      </c>
      <c r="S23" s="176">
        <v>990007.58282000001</v>
      </c>
      <c r="AE23" s="8"/>
      <c r="AF23" s="30"/>
      <c r="AG23" s="8"/>
      <c r="AH23" s="8"/>
      <c r="AI23" s="8"/>
      <c r="AJ23" s="8"/>
      <c r="AK23" s="8"/>
      <c r="AL23" s="8"/>
    </row>
    <row r="24" spans="1:38">
      <c r="A24" s="11"/>
      <c r="B24" s="11" t="s">
        <v>21</v>
      </c>
      <c r="C24" s="177"/>
      <c r="D24" s="177"/>
      <c r="E24" s="177"/>
      <c r="F24" s="177">
        <v>43942</v>
      </c>
      <c r="G24" s="177">
        <v>58143</v>
      </c>
      <c r="H24" s="177">
        <v>53737</v>
      </c>
      <c r="I24" s="177">
        <v>52608</v>
      </c>
      <c r="J24" s="177">
        <v>62214</v>
      </c>
      <c r="K24" s="177">
        <v>61044</v>
      </c>
      <c r="L24" s="177">
        <v>57774.895360000002</v>
      </c>
      <c r="M24" s="177">
        <v>61404.219989999998</v>
      </c>
      <c r="N24" s="177">
        <v>87193.05575</v>
      </c>
      <c r="O24" s="177">
        <v>63090.930650000002</v>
      </c>
      <c r="P24" s="177">
        <v>60869.192130000003</v>
      </c>
      <c r="Q24" s="177">
        <v>69226.194560000004</v>
      </c>
      <c r="R24" s="177">
        <v>70405.885709999988</v>
      </c>
      <c r="S24" s="176">
        <v>72144.438989999995</v>
      </c>
      <c r="AE24" s="8"/>
      <c r="AF24" s="30"/>
      <c r="AG24" s="8"/>
      <c r="AH24" s="8"/>
      <c r="AI24" s="8"/>
      <c r="AJ24" s="8"/>
      <c r="AK24" s="8"/>
      <c r="AL24" s="8"/>
    </row>
    <row r="25" spans="1:38">
      <c r="A25" s="11"/>
      <c r="B25" s="11" t="s">
        <v>22</v>
      </c>
      <c r="C25" s="177"/>
      <c r="D25" s="177"/>
      <c r="E25" s="177"/>
      <c r="F25" s="177">
        <v>0</v>
      </c>
      <c r="G25" s="177">
        <v>2437</v>
      </c>
      <c r="H25" s="177">
        <v>4815</v>
      </c>
      <c r="I25" s="177">
        <v>7102</v>
      </c>
      <c r="J25" s="177">
        <v>8</v>
      </c>
      <c r="K25" s="177">
        <v>2462</v>
      </c>
      <c r="L25" s="177">
        <v>4936.2863299999999</v>
      </c>
      <c r="M25" s="177">
        <v>7601.3291200000003</v>
      </c>
      <c r="N25" s="177">
        <v>133.78638000000001</v>
      </c>
      <c r="O25" s="177">
        <v>3503.75596</v>
      </c>
      <c r="P25" s="177">
        <v>6142.1426199999996</v>
      </c>
      <c r="Q25" s="177">
        <v>9014.5079499999993</v>
      </c>
      <c r="R25" s="177">
        <v>498.67379999999997</v>
      </c>
      <c r="S25" s="176">
        <v>4390.2882099999997</v>
      </c>
      <c r="AE25" s="8"/>
      <c r="AF25" s="30"/>
      <c r="AG25" s="8"/>
      <c r="AH25" s="8"/>
      <c r="AI25" s="8"/>
      <c r="AJ25" s="8"/>
      <c r="AK25" s="8"/>
      <c r="AL25" s="8"/>
    </row>
    <row r="26" spans="1:38">
      <c r="A26" s="21"/>
      <c r="B26" s="21" t="s">
        <v>15</v>
      </c>
      <c r="C26" s="175"/>
      <c r="D26" s="175"/>
      <c r="E26" s="175"/>
      <c r="F26" s="175">
        <v>2791</v>
      </c>
      <c r="G26" s="175">
        <v>2756</v>
      </c>
      <c r="H26" s="175">
        <v>2887</v>
      </c>
      <c r="I26" s="175">
        <v>3267</v>
      </c>
      <c r="J26" s="175">
        <v>3267</v>
      </c>
      <c r="K26" s="175">
        <v>3992</v>
      </c>
      <c r="L26" s="175">
        <v>3252</v>
      </c>
      <c r="M26" s="175">
        <v>3252</v>
      </c>
      <c r="N26" s="175">
        <v>3252</v>
      </c>
      <c r="O26" s="175">
        <v>3707</v>
      </c>
      <c r="P26" s="175">
        <f>P27</f>
        <v>12915</v>
      </c>
      <c r="Q26" s="175">
        <v>12814</v>
      </c>
      <c r="R26" s="175">
        <v>12251</v>
      </c>
      <c r="S26" s="175">
        <f>S27</f>
        <v>12102</v>
      </c>
      <c r="AE26" s="8"/>
      <c r="AF26" s="30"/>
      <c r="AG26" s="8"/>
      <c r="AH26" s="8"/>
      <c r="AI26" s="8"/>
      <c r="AJ26" s="8"/>
      <c r="AK26" s="8"/>
      <c r="AL26" s="8"/>
    </row>
    <row r="27" spans="1:38">
      <c r="A27" s="11"/>
      <c r="B27" s="11" t="s">
        <v>19</v>
      </c>
      <c r="C27" s="176"/>
      <c r="D27" s="216"/>
      <c r="E27" s="216"/>
      <c r="F27" s="216">
        <v>2791</v>
      </c>
      <c r="G27" s="176">
        <v>2756</v>
      </c>
      <c r="H27" s="216">
        <v>2887</v>
      </c>
      <c r="I27" s="216">
        <v>3267</v>
      </c>
      <c r="J27" s="216">
        <v>3267</v>
      </c>
      <c r="K27" s="216">
        <v>3992</v>
      </c>
      <c r="L27" s="176">
        <v>3252</v>
      </c>
      <c r="M27" s="176">
        <v>3252</v>
      </c>
      <c r="N27" s="176">
        <v>3252</v>
      </c>
      <c r="O27" s="176">
        <v>3707</v>
      </c>
      <c r="P27" s="176">
        <v>12915</v>
      </c>
      <c r="Q27" s="176">
        <v>12814</v>
      </c>
      <c r="R27" s="176">
        <v>12251</v>
      </c>
      <c r="S27" s="176">
        <v>12102</v>
      </c>
      <c r="AE27" s="8"/>
      <c r="AF27" s="30"/>
      <c r="AG27" s="8"/>
      <c r="AH27" s="8"/>
      <c r="AI27" s="8"/>
      <c r="AJ27" s="8"/>
      <c r="AK27" s="8"/>
      <c r="AL27" s="8"/>
    </row>
    <row r="28" spans="1:38">
      <c r="A28" s="627"/>
      <c r="B28" s="627" t="s">
        <v>25</v>
      </c>
      <c r="C28" s="627"/>
      <c r="D28" s="627"/>
      <c r="E28" s="627"/>
      <c r="F28" s="634">
        <v>12327370</v>
      </c>
      <c r="G28" s="634">
        <v>13186127</v>
      </c>
      <c r="H28" s="634">
        <v>13321333</v>
      </c>
      <c r="I28" s="634">
        <v>14282389</v>
      </c>
      <c r="J28" s="634">
        <v>12585880</v>
      </c>
      <c r="K28" s="634">
        <v>13429435</v>
      </c>
      <c r="L28" s="634">
        <v>12690431.624620002</v>
      </c>
      <c r="M28" s="634">
        <v>13069011.45884</v>
      </c>
      <c r="N28" s="634">
        <v>12889323.886769999</v>
      </c>
      <c r="O28" s="634">
        <v>14032606.650600001</v>
      </c>
      <c r="P28" s="634">
        <f>SUM(P29:P34)</f>
        <v>13330715.99447</v>
      </c>
      <c r="Q28" s="634">
        <f>SUM(Q29:Q34)</f>
        <v>13505669.031109998</v>
      </c>
      <c r="R28" s="634">
        <v>13550484.016320001</v>
      </c>
      <c r="S28" s="634">
        <f>SUM(S29:S32)</f>
        <v>13772008.80215</v>
      </c>
      <c r="AE28" s="8"/>
      <c r="AF28" s="30"/>
      <c r="AG28" s="8"/>
      <c r="AH28" s="8"/>
      <c r="AI28" s="8"/>
      <c r="AJ28" s="8"/>
      <c r="AK28" s="8"/>
      <c r="AL28" s="8"/>
    </row>
    <row r="29" spans="1:38">
      <c r="A29" s="11"/>
      <c r="B29" s="11" t="s">
        <v>26</v>
      </c>
      <c r="C29" s="576"/>
      <c r="D29" s="576"/>
      <c r="E29" s="576"/>
      <c r="F29" s="577">
        <v>2756687</v>
      </c>
      <c r="G29" s="577">
        <v>2756687</v>
      </c>
      <c r="H29" s="577">
        <v>2756687</v>
      </c>
      <c r="I29" s="577">
        <v>2756687</v>
      </c>
      <c r="J29" s="577">
        <v>2756687</v>
      </c>
      <c r="K29" s="577">
        <v>2756687</v>
      </c>
      <c r="L29" s="577">
        <v>2756687.1670200001</v>
      </c>
      <c r="M29" s="577">
        <v>2756687.1670200001</v>
      </c>
      <c r="N29" s="577">
        <v>2756687</v>
      </c>
      <c r="O29" s="577">
        <v>2756687.1670200001</v>
      </c>
      <c r="P29" s="577">
        <v>3678771.5402500001</v>
      </c>
      <c r="Q29" s="577">
        <v>3678771.5402500001</v>
      </c>
      <c r="R29" s="604">
        <v>3678771.5402500001</v>
      </c>
      <c r="S29" s="604">
        <v>3678771.5402500001</v>
      </c>
      <c r="AE29" s="8"/>
      <c r="AF29" s="30"/>
      <c r="AG29" s="8"/>
      <c r="AH29" s="8"/>
      <c r="AI29" s="8"/>
      <c r="AJ29" s="8"/>
      <c r="AK29" s="8"/>
      <c r="AL29" s="8"/>
    </row>
    <row r="30" spans="1:38">
      <c r="A30" s="11"/>
      <c r="B30" s="11" t="s">
        <v>27</v>
      </c>
      <c r="C30" s="176"/>
      <c r="D30" s="176"/>
      <c r="E30" s="176"/>
      <c r="F30" s="176">
        <v>1717119</v>
      </c>
      <c r="G30" s="176">
        <v>1717119</v>
      </c>
      <c r="H30" s="176">
        <v>1717119</v>
      </c>
      <c r="I30" s="176">
        <v>1717119</v>
      </c>
      <c r="J30" s="176">
        <v>3678772</v>
      </c>
      <c r="K30" s="176">
        <v>3678772</v>
      </c>
      <c r="L30" s="176">
        <v>3678771.5402500001</v>
      </c>
      <c r="M30" s="176">
        <v>3630534.7925499999</v>
      </c>
      <c r="N30" s="176">
        <v>4011956</v>
      </c>
      <c r="O30" s="176">
        <v>4011956.3774899999</v>
      </c>
      <c r="P30" s="176">
        <v>3089871.0042599998</v>
      </c>
      <c r="Q30" s="176">
        <v>3089871.0042599998</v>
      </c>
      <c r="R30" s="176">
        <v>4441431.0883900002</v>
      </c>
      <c r="S30" s="176">
        <v>3451431.0883900002</v>
      </c>
      <c r="AE30" s="8"/>
      <c r="AF30" s="30"/>
      <c r="AG30" s="8"/>
      <c r="AH30" s="8"/>
      <c r="AI30" s="8"/>
      <c r="AJ30" s="8"/>
      <c r="AK30" s="8"/>
      <c r="AL30" s="8"/>
    </row>
    <row r="31" spans="1:38">
      <c r="A31" s="11"/>
      <c r="B31" s="11" t="s">
        <v>28</v>
      </c>
      <c r="C31" s="176"/>
      <c r="D31" s="176"/>
      <c r="E31" s="176"/>
      <c r="F31" s="176">
        <v>5519370</v>
      </c>
      <c r="G31" s="216">
        <v>5563756</v>
      </c>
      <c r="H31" s="176">
        <v>5632597</v>
      </c>
      <c r="I31" s="176">
        <v>5619340</v>
      </c>
      <c r="J31" s="176">
        <v>5777028</v>
      </c>
      <c r="K31" s="176">
        <v>5764874</v>
      </c>
      <c r="L31" s="176">
        <v>5585500.4460399998</v>
      </c>
      <c r="M31" s="176">
        <v>5577367.27238</v>
      </c>
      <c r="N31" s="176">
        <v>5171977</v>
      </c>
      <c r="O31" s="176">
        <v>5264841.3098200001</v>
      </c>
      <c r="P31" s="176">
        <v>5413246.2781600002</v>
      </c>
      <c r="Q31" s="176">
        <v>5407444.9986800002</v>
      </c>
      <c r="R31" s="176">
        <v>5430281.3876800006</v>
      </c>
      <c r="S31" s="176">
        <v>5491527.7965799998</v>
      </c>
      <c r="AE31" s="8"/>
      <c r="AF31" s="30"/>
      <c r="AG31" s="8"/>
      <c r="AH31" s="8"/>
      <c r="AI31" s="8"/>
      <c r="AJ31" s="8"/>
      <c r="AK31" s="8"/>
      <c r="AL31" s="8"/>
    </row>
    <row r="32" spans="1:38">
      <c r="A32" s="11"/>
      <c r="B32" s="11" t="s">
        <v>29</v>
      </c>
      <c r="C32" s="176"/>
      <c r="D32" s="216"/>
      <c r="E32" s="176"/>
      <c r="F32" s="176">
        <v>0</v>
      </c>
      <c r="G32" s="216">
        <v>2345521</v>
      </c>
      <c r="H32" s="176">
        <v>3214930</v>
      </c>
      <c r="I32" s="176">
        <v>4189243</v>
      </c>
      <c r="J32" s="176">
        <v>0</v>
      </c>
      <c r="K32" s="176">
        <v>855709.21901</v>
      </c>
      <c r="L32" s="176">
        <v>669472.47130999994</v>
      </c>
      <c r="M32" s="176">
        <v>1104422.22689</v>
      </c>
      <c r="N32" s="176">
        <v>0</v>
      </c>
      <c r="O32" s="176">
        <v>1050418.7555800001</v>
      </c>
      <c r="P32" s="176">
        <v>1148827.1717999999</v>
      </c>
      <c r="Q32" s="176">
        <v>1329581.48792</v>
      </c>
      <c r="R32" s="176">
        <v>0</v>
      </c>
      <c r="S32" s="176">
        <v>1150278.37693</v>
      </c>
      <c r="AE32" s="8"/>
      <c r="AF32" s="30"/>
      <c r="AG32" s="8"/>
      <c r="AH32" s="8"/>
      <c r="AI32" s="8"/>
      <c r="AJ32" s="8"/>
      <c r="AK32" s="8"/>
      <c r="AL32" s="8"/>
    </row>
    <row r="33" spans="1:39">
      <c r="A33" s="11"/>
      <c r="B33" s="11" t="s">
        <v>34</v>
      </c>
      <c r="C33" s="176"/>
      <c r="D33" s="216"/>
      <c r="E33" s="176"/>
      <c r="F33" s="176">
        <v>1531150</v>
      </c>
      <c r="G33" s="21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AE33" s="8"/>
      <c r="AF33" s="30"/>
      <c r="AG33" s="8"/>
      <c r="AH33" s="8"/>
      <c r="AI33" s="8"/>
      <c r="AJ33" s="8"/>
      <c r="AK33" s="8"/>
      <c r="AL33" s="8"/>
    </row>
    <row r="34" spans="1:39">
      <c r="A34" s="11"/>
      <c r="B34" s="11" t="s">
        <v>30</v>
      </c>
      <c r="C34" s="176"/>
      <c r="D34" s="216"/>
      <c r="E34" s="176"/>
      <c r="F34" s="176">
        <v>803044</v>
      </c>
      <c r="G34" s="216">
        <v>803044</v>
      </c>
      <c r="H34" s="176">
        <v>0</v>
      </c>
      <c r="I34" s="176">
        <v>0</v>
      </c>
      <c r="J34" s="176">
        <v>373393</v>
      </c>
      <c r="K34" s="176">
        <v>373393</v>
      </c>
      <c r="L34" s="176">
        <v>0</v>
      </c>
      <c r="M34" s="176">
        <v>0</v>
      </c>
      <c r="N34" s="176">
        <v>948704</v>
      </c>
      <c r="O34" s="176">
        <v>948704.04069000005</v>
      </c>
      <c r="P34" s="176">
        <v>0</v>
      </c>
      <c r="Q34" s="176">
        <v>0</v>
      </c>
      <c r="R34" s="176"/>
      <c r="S34" s="176">
        <v>0</v>
      </c>
      <c r="AE34" s="8"/>
      <c r="AF34" s="30"/>
      <c r="AG34" s="8"/>
      <c r="AH34" s="8"/>
      <c r="AI34" s="8"/>
      <c r="AJ34" s="8"/>
      <c r="AK34" s="8"/>
      <c r="AL34" s="8"/>
    </row>
    <row r="35" spans="1:39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AF35" s="30"/>
      <c r="AH35" s="8"/>
    </row>
    <row r="36" spans="1:39" ht="10.35" customHeight="1"/>
    <row r="37" spans="1:39" s="36" customFormat="1" ht="25.35" customHeight="1">
      <c r="A37" s="625"/>
      <c r="B37" s="625" t="s">
        <v>35</v>
      </c>
      <c r="C37" s="626">
        <v>44621</v>
      </c>
      <c r="D37" s="626">
        <v>44713</v>
      </c>
      <c r="E37" s="626">
        <v>44805</v>
      </c>
      <c r="F37" s="626">
        <v>44896</v>
      </c>
      <c r="G37" s="626">
        <v>44986</v>
      </c>
      <c r="H37" s="626">
        <v>45078</v>
      </c>
      <c r="I37" s="626">
        <v>45170</v>
      </c>
      <c r="J37" s="626">
        <v>45261</v>
      </c>
      <c r="K37" s="626">
        <v>45352</v>
      </c>
      <c r="L37" s="626">
        <v>45444</v>
      </c>
      <c r="M37" s="626">
        <v>45536</v>
      </c>
      <c r="N37" s="626">
        <v>45627</v>
      </c>
      <c r="O37" s="626">
        <v>45717</v>
      </c>
      <c r="P37" s="626">
        <v>45809</v>
      </c>
      <c r="Q37" s="626">
        <v>45901</v>
      </c>
      <c r="R37" s="636">
        <v>45992</v>
      </c>
      <c r="S37" s="645">
        <v>46082</v>
      </c>
    </row>
    <row r="38" spans="1:39">
      <c r="A38" s="627"/>
      <c r="B38" s="627" t="s">
        <v>5</v>
      </c>
      <c r="C38" s="627"/>
      <c r="D38" s="627"/>
      <c r="E38" s="627"/>
      <c r="F38" s="634">
        <v>13044865</v>
      </c>
      <c r="G38" s="634">
        <v>13923879</v>
      </c>
      <c r="H38" s="634">
        <v>13335997</v>
      </c>
      <c r="I38" s="634">
        <v>14302468</v>
      </c>
      <c r="J38" s="634">
        <v>13881091</v>
      </c>
      <c r="K38" s="634">
        <v>14761318</v>
      </c>
      <c r="L38" s="634">
        <v>13545147.447980002</v>
      </c>
      <c r="M38" s="634">
        <v>13788956.03458</v>
      </c>
      <c r="N38" s="634">
        <v>13864022.391830001</v>
      </c>
      <c r="O38" s="634">
        <v>14065386.203540001</v>
      </c>
      <c r="P38" s="634">
        <f>P39+P48</f>
        <v>14289810.83884</v>
      </c>
      <c r="Q38" s="634">
        <f>Q39+Q48</f>
        <v>14504043.680579998</v>
      </c>
      <c r="R38" s="634">
        <v>14641325.3453</v>
      </c>
      <c r="S38" s="634">
        <f>S39+S48</f>
        <v>14796197.890070001</v>
      </c>
      <c r="AE38" s="8"/>
      <c r="AF38" s="8"/>
      <c r="AG38" s="8"/>
      <c r="AH38" s="8"/>
      <c r="AI38" s="8"/>
      <c r="AJ38" s="8"/>
      <c r="AK38" s="8"/>
      <c r="AL38" s="8"/>
      <c r="AM38" s="8"/>
    </row>
    <row r="39" spans="1:39">
      <c r="A39" s="21"/>
      <c r="B39" s="21" t="s">
        <v>6</v>
      </c>
      <c r="C39" s="175"/>
      <c r="D39" s="175"/>
      <c r="E39" s="175"/>
      <c r="F39" s="175">
        <v>1401703</v>
      </c>
      <c r="G39" s="175">
        <v>1734585</v>
      </c>
      <c r="H39" s="175">
        <v>414957</v>
      </c>
      <c r="I39" s="175">
        <v>1203035</v>
      </c>
      <c r="J39" s="175">
        <v>1028510</v>
      </c>
      <c r="K39" s="175">
        <v>1889148</v>
      </c>
      <c r="L39" s="175">
        <v>1333505.7779199998</v>
      </c>
      <c r="M39" s="175">
        <v>1155134.88164</v>
      </c>
      <c r="N39" s="175">
        <v>1752141.1351900001</v>
      </c>
      <c r="O39" s="175">
        <v>1681278.1473800002</v>
      </c>
      <c r="P39" s="175">
        <f>SUM(P40:P47)</f>
        <v>1771537.4337299997</v>
      </c>
      <c r="Q39" s="175">
        <f>SUM(Q40:Q47)</f>
        <v>1922323.0049999999</v>
      </c>
      <c r="R39" s="175">
        <f>SUM(R40:R47)</f>
        <v>2037876.50196</v>
      </c>
      <c r="S39" s="175">
        <f>SUM(S40:S47)</f>
        <v>1532312.6718700004</v>
      </c>
      <c r="AE39" s="8"/>
      <c r="AF39" s="8"/>
      <c r="AG39" s="8"/>
      <c r="AH39" s="8"/>
      <c r="AI39" s="8"/>
      <c r="AJ39" s="8"/>
      <c r="AK39" s="8"/>
      <c r="AL39" s="8"/>
      <c r="AM39" s="8"/>
    </row>
    <row r="40" spans="1:39">
      <c r="A40" s="11"/>
      <c r="B40" s="11" t="s">
        <v>7</v>
      </c>
      <c r="C40" s="176"/>
      <c r="D40" s="176"/>
      <c r="E40" s="176"/>
      <c r="F40" s="176">
        <v>64</v>
      </c>
      <c r="G40" s="176">
        <v>60</v>
      </c>
      <c r="H40" s="176">
        <v>64</v>
      </c>
      <c r="I40" s="176">
        <v>56</v>
      </c>
      <c r="J40" s="176">
        <v>81</v>
      </c>
      <c r="K40" s="176">
        <v>63</v>
      </c>
      <c r="L40" s="176">
        <v>62.820800000000006</v>
      </c>
      <c r="M40" s="176">
        <v>150.83337</v>
      </c>
      <c r="N40" s="176">
        <v>88</v>
      </c>
      <c r="O40" s="176">
        <v>142.20215999999999</v>
      </c>
      <c r="P40" s="176">
        <v>149.08269999999999</v>
      </c>
      <c r="Q40" s="176">
        <v>103.57720999999999</v>
      </c>
      <c r="R40" s="176">
        <v>79.994489999999985</v>
      </c>
      <c r="S40" s="176">
        <v>139.95997999999997</v>
      </c>
      <c r="AE40" s="8"/>
      <c r="AF40" s="8"/>
      <c r="AG40" s="8"/>
      <c r="AH40" s="8"/>
      <c r="AI40" s="8"/>
      <c r="AJ40" s="8"/>
      <c r="AK40" s="8"/>
      <c r="AL40" s="8"/>
      <c r="AM40" s="8"/>
    </row>
    <row r="41" spans="1:39">
      <c r="A41" s="11"/>
      <c r="B41" s="11" t="s">
        <v>8</v>
      </c>
      <c r="C41" s="176"/>
      <c r="D41" s="216"/>
      <c r="E41" s="216"/>
      <c r="F41" s="216">
        <v>581255</v>
      </c>
      <c r="G41" s="176">
        <v>765881</v>
      </c>
      <c r="H41" s="216">
        <v>360492</v>
      </c>
      <c r="I41" s="216">
        <v>1149318</v>
      </c>
      <c r="J41" s="216">
        <v>261855</v>
      </c>
      <c r="K41" s="216">
        <v>534426</v>
      </c>
      <c r="L41" s="176">
        <v>360212.11715999997</v>
      </c>
      <c r="M41" s="176">
        <v>465207.44183000003</v>
      </c>
      <c r="N41" s="176">
        <v>861267</v>
      </c>
      <c r="O41" s="176">
        <v>563372.70961999998</v>
      </c>
      <c r="P41" s="176">
        <v>582493.95585999999</v>
      </c>
      <c r="Q41" s="176">
        <v>553379.1571800001</v>
      </c>
      <c r="R41" s="176">
        <v>1197727.57127</v>
      </c>
      <c r="S41" s="176">
        <v>567687.6304400001</v>
      </c>
      <c r="AE41" s="8"/>
      <c r="AF41" s="8"/>
      <c r="AG41" s="8"/>
      <c r="AH41" s="8"/>
      <c r="AI41" s="8"/>
      <c r="AJ41" s="8"/>
      <c r="AK41" s="8"/>
      <c r="AL41" s="8"/>
      <c r="AM41" s="8"/>
    </row>
    <row r="42" spans="1:39">
      <c r="A42" s="11"/>
      <c r="B42" s="11" t="s">
        <v>9</v>
      </c>
      <c r="C42" s="176"/>
      <c r="D42" s="176"/>
      <c r="E42" s="176"/>
      <c r="F42" s="176">
        <v>650592</v>
      </c>
      <c r="G42" s="176">
        <v>919099</v>
      </c>
      <c r="H42" s="176">
        <v>0</v>
      </c>
      <c r="I42" s="176">
        <v>0</v>
      </c>
      <c r="J42" s="176">
        <v>714126</v>
      </c>
      <c r="K42" s="176">
        <v>1288757</v>
      </c>
      <c r="L42" s="176">
        <v>917478.89277999999</v>
      </c>
      <c r="M42" s="176">
        <v>635220.57279999997</v>
      </c>
      <c r="N42" s="176">
        <v>836272</v>
      </c>
      <c r="O42" s="176">
        <v>1062659.18423</v>
      </c>
      <c r="P42" s="176">
        <v>1132319.8820799999</v>
      </c>
      <c r="Q42" s="176">
        <v>1307089.2368599998</v>
      </c>
      <c r="R42" s="176">
        <v>757512.77003999997</v>
      </c>
      <c r="S42" s="176">
        <v>899022.32761000004</v>
      </c>
      <c r="AE42" s="8"/>
      <c r="AF42" s="8"/>
      <c r="AG42" s="8"/>
      <c r="AH42" s="8"/>
      <c r="AI42" s="8"/>
      <c r="AJ42" s="8"/>
      <c r="AK42" s="8"/>
      <c r="AL42" s="8"/>
      <c r="AM42" s="8"/>
    </row>
    <row r="43" spans="1:39">
      <c r="A43" s="11"/>
      <c r="B43" s="11" t="s">
        <v>10</v>
      </c>
      <c r="C43" s="176"/>
      <c r="D43" s="176"/>
      <c r="E43" s="176"/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AE43" s="8"/>
      <c r="AF43" s="8"/>
      <c r="AG43" s="8"/>
      <c r="AH43" s="8"/>
      <c r="AI43" s="8"/>
      <c r="AJ43" s="8"/>
      <c r="AK43" s="8"/>
      <c r="AL43" s="8"/>
      <c r="AM43" s="8"/>
    </row>
    <row r="44" spans="1:39">
      <c r="A44" s="11"/>
      <c r="B44" s="11" t="s">
        <v>11</v>
      </c>
      <c r="C44" s="176"/>
      <c r="D44" s="176"/>
      <c r="E44" s="176"/>
      <c r="F44" s="176">
        <v>45551</v>
      </c>
      <c r="G44" s="176">
        <v>48218</v>
      </c>
      <c r="H44" s="176">
        <v>48037</v>
      </c>
      <c r="I44" s="176">
        <v>49698</v>
      </c>
      <c r="J44" s="176">
        <v>50983</v>
      </c>
      <c r="K44" s="176">
        <v>62744</v>
      </c>
      <c r="L44" s="176">
        <v>53673.884389999999</v>
      </c>
      <c r="M44" s="176">
        <v>52460.717720000001</v>
      </c>
      <c r="N44" s="176">
        <v>53128</v>
      </c>
      <c r="O44" s="176">
        <v>53975.838109999997</v>
      </c>
      <c r="P44" s="176">
        <v>55930.910239999997</v>
      </c>
      <c r="Q44" s="176">
        <v>59713.479349999994</v>
      </c>
      <c r="R44" s="176">
        <v>81169.731930000009</v>
      </c>
      <c r="S44" s="176">
        <v>64476.534070000002</v>
      </c>
      <c r="AE44" s="8"/>
      <c r="AF44" s="8"/>
      <c r="AG44" s="8"/>
      <c r="AH44" s="8"/>
      <c r="AI44" s="8"/>
      <c r="AJ44" s="8"/>
      <c r="AK44" s="8"/>
      <c r="AL44" s="8"/>
      <c r="AM44" s="8"/>
    </row>
    <row r="45" spans="1:39">
      <c r="A45" s="11"/>
      <c r="B45" s="11" t="s">
        <v>12</v>
      </c>
      <c r="C45" s="176"/>
      <c r="D45" s="176"/>
      <c r="E45" s="176"/>
      <c r="F45" s="176">
        <v>0</v>
      </c>
      <c r="G45" s="176">
        <v>2</v>
      </c>
      <c r="H45" s="176">
        <v>5490</v>
      </c>
      <c r="I45" s="176">
        <v>1643</v>
      </c>
      <c r="J45" s="176">
        <v>7</v>
      </c>
      <c r="K45" s="176">
        <v>2166</v>
      </c>
      <c r="L45" s="176">
        <v>1563.8172299999999</v>
      </c>
      <c r="M45" s="176">
        <v>230.02188999999998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AE45" s="8"/>
      <c r="AF45" s="8"/>
      <c r="AG45" s="8"/>
      <c r="AH45" s="8"/>
      <c r="AI45" s="8"/>
      <c r="AJ45" s="8"/>
      <c r="AK45" s="8"/>
      <c r="AL45" s="8"/>
      <c r="AM45" s="8"/>
    </row>
    <row r="46" spans="1:39">
      <c r="A46" s="11"/>
      <c r="B46" s="11" t="s">
        <v>13</v>
      </c>
      <c r="C46" s="176"/>
      <c r="D46" s="216"/>
      <c r="E46" s="216"/>
      <c r="F46" s="216">
        <v>1371</v>
      </c>
      <c r="G46" s="176">
        <v>1325</v>
      </c>
      <c r="H46" s="216">
        <v>874</v>
      </c>
      <c r="I46" s="216">
        <v>2320</v>
      </c>
      <c r="J46" s="216">
        <v>1458</v>
      </c>
      <c r="K46" s="216">
        <v>992</v>
      </c>
      <c r="L46" s="176">
        <v>514.24555999999995</v>
      </c>
      <c r="M46" s="176">
        <v>1865.29403</v>
      </c>
      <c r="N46" s="176">
        <v>1386.03331</v>
      </c>
      <c r="O46" s="176">
        <v>1128.21326</v>
      </c>
      <c r="P46" s="176">
        <v>643.6028500000001</v>
      </c>
      <c r="Q46" s="176">
        <v>2037.5544</v>
      </c>
      <c r="R46" s="176">
        <v>1386.4342300000001</v>
      </c>
      <c r="S46" s="176">
        <v>986.21977000000004</v>
      </c>
      <c r="AE46" s="8"/>
      <c r="AF46" s="8"/>
      <c r="AG46" s="8"/>
      <c r="AH46" s="8"/>
      <c r="AI46" s="8"/>
      <c r="AJ46" s="8"/>
      <c r="AK46" s="8"/>
      <c r="AL46" s="8"/>
      <c r="AM46" s="8"/>
    </row>
    <row r="47" spans="1:39">
      <c r="A47" s="11"/>
      <c r="B47" s="11" t="s">
        <v>14</v>
      </c>
      <c r="C47" s="176"/>
      <c r="D47" s="216"/>
      <c r="E47" s="216"/>
      <c r="F47" s="216">
        <v>122870</v>
      </c>
      <c r="G47" s="176">
        <v>0</v>
      </c>
      <c r="H47" s="216">
        <v>0</v>
      </c>
      <c r="I47" s="216">
        <v>0</v>
      </c>
      <c r="J47" s="216">
        <v>0</v>
      </c>
      <c r="K47" s="216">
        <v>0</v>
      </c>
      <c r="L47" s="176">
        <v>0</v>
      </c>
      <c r="M47" s="176">
        <v>0</v>
      </c>
      <c r="N47" s="176"/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AE47" s="8"/>
      <c r="AF47" s="8"/>
      <c r="AG47" s="8"/>
      <c r="AH47" s="8"/>
      <c r="AI47" s="8"/>
      <c r="AJ47" s="8"/>
      <c r="AK47" s="8"/>
      <c r="AL47" s="8"/>
      <c r="AM47" s="8"/>
    </row>
    <row r="48" spans="1:39">
      <c r="A48" s="21"/>
      <c r="B48" s="21" t="s">
        <v>15</v>
      </c>
      <c r="C48" s="175"/>
      <c r="D48" s="175"/>
      <c r="E48" s="175"/>
      <c r="F48" s="175">
        <v>11643162</v>
      </c>
      <c r="G48" s="175">
        <v>12189294</v>
      </c>
      <c r="H48" s="175">
        <v>12921040</v>
      </c>
      <c r="I48" s="175">
        <v>13099433</v>
      </c>
      <c r="J48" s="175">
        <v>12852581</v>
      </c>
      <c r="K48" s="175">
        <v>12872170</v>
      </c>
      <c r="L48" s="175">
        <v>12211641.670060001</v>
      </c>
      <c r="M48" s="175">
        <v>12633821.152939999</v>
      </c>
      <c r="N48" s="175">
        <v>12111881.25664</v>
      </c>
      <c r="O48" s="175">
        <v>12384108.056159999</v>
      </c>
      <c r="P48" s="175">
        <f>P49+P50</f>
        <v>12518273.40511</v>
      </c>
      <c r="Q48" s="175">
        <f>Q49+Q50</f>
        <v>12581720.675579999</v>
      </c>
      <c r="R48" s="175">
        <f>R49+R50</f>
        <v>12603447.96728</v>
      </c>
      <c r="S48" s="175">
        <f>SUM(S49:S50)</f>
        <v>13263885.2182</v>
      </c>
      <c r="AE48" s="8"/>
      <c r="AF48" s="8"/>
      <c r="AG48" s="8"/>
      <c r="AH48" s="8"/>
      <c r="AI48" s="8"/>
      <c r="AJ48" s="8"/>
      <c r="AK48" s="8"/>
      <c r="AL48" s="8"/>
      <c r="AM48" s="8"/>
    </row>
    <row r="49" spans="1:39">
      <c r="A49" s="11"/>
      <c r="B49" s="11" t="s">
        <v>16</v>
      </c>
      <c r="C49" s="176"/>
      <c r="D49" s="216"/>
      <c r="E49" s="216"/>
      <c r="F49" s="216">
        <v>11643140</v>
      </c>
      <c r="G49" s="176">
        <v>12189275</v>
      </c>
      <c r="H49" s="216">
        <v>12921025</v>
      </c>
      <c r="I49" s="216">
        <v>13099421</v>
      </c>
      <c r="J49" s="216">
        <v>12852570</v>
      </c>
      <c r="K49" s="216">
        <v>12872160</v>
      </c>
      <c r="L49" s="176">
        <v>12211632.695580002</v>
      </c>
      <c r="M49" s="176">
        <v>12633812.98456</v>
      </c>
      <c r="N49" s="176">
        <v>12111873.89436</v>
      </c>
      <c r="O49" s="176">
        <v>12384055.92698</v>
      </c>
      <c r="P49" s="176">
        <v>12507862.32659</v>
      </c>
      <c r="Q49" s="176">
        <v>12571466.274569999</v>
      </c>
      <c r="R49" s="176">
        <v>12593739.96728</v>
      </c>
      <c r="S49" s="176">
        <v>13254716.71909</v>
      </c>
      <c r="AE49" s="8"/>
      <c r="AF49" s="8"/>
      <c r="AG49" s="8"/>
      <c r="AH49" s="8"/>
      <c r="AI49" s="8"/>
      <c r="AJ49" s="8"/>
      <c r="AK49" s="8"/>
      <c r="AL49" s="8"/>
      <c r="AM49" s="8"/>
    </row>
    <row r="50" spans="1:39">
      <c r="A50" s="11"/>
      <c r="B50" s="11" t="s">
        <v>13</v>
      </c>
      <c r="C50" s="176"/>
      <c r="D50" s="176"/>
      <c r="E50" s="176"/>
      <c r="F50" s="176">
        <v>22</v>
      </c>
      <c r="G50" s="176">
        <v>19</v>
      </c>
      <c r="H50" s="176">
        <v>15</v>
      </c>
      <c r="I50" s="176">
        <v>12</v>
      </c>
      <c r="J50" s="176">
        <v>11</v>
      </c>
      <c r="K50" s="176">
        <v>10</v>
      </c>
      <c r="L50" s="176">
        <v>8.9744799999999962</v>
      </c>
      <c r="M50" s="176">
        <v>8.1683800000000044</v>
      </c>
      <c r="N50" s="176">
        <v>7.3622799999999993</v>
      </c>
      <c r="O50" s="176">
        <v>52.129179999999998</v>
      </c>
      <c r="P50" s="176">
        <v>10411.078519999999</v>
      </c>
      <c r="Q50" s="176">
        <v>10254.40101</v>
      </c>
      <c r="R50" s="176">
        <v>9708</v>
      </c>
      <c r="S50" s="176">
        <v>9168.4991100000007</v>
      </c>
      <c r="AE50" s="8"/>
      <c r="AF50" s="8"/>
      <c r="AG50" s="8"/>
      <c r="AH50" s="8"/>
      <c r="AI50" s="8"/>
      <c r="AJ50" s="8"/>
      <c r="AK50" s="8"/>
      <c r="AL50" s="8"/>
      <c r="AM50" s="8"/>
    </row>
    <row r="51" spans="1:39">
      <c r="A51" s="627"/>
      <c r="B51" s="627" t="s">
        <v>17</v>
      </c>
      <c r="C51" s="627"/>
      <c r="D51" s="627"/>
      <c r="E51" s="627"/>
      <c r="F51" s="634">
        <v>717495</v>
      </c>
      <c r="G51" s="634">
        <v>737752</v>
      </c>
      <c r="H51" s="634">
        <v>14665</v>
      </c>
      <c r="I51" s="634">
        <v>20080</v>
      </c>
      <c r="J51" s="634">
        <v>1295211</v>
      </c>
      <c r="K51" s="634">
        <v>1331883</v>
      </c>
      <c r="L51" s="634">
        <v>854715.82336000004</v>
      </c>
      <c r="M51" s="634">
        <v>719944.57574</v>
      </c>
      <c r="N51" s="634">
        <v>974698.50506</v>
      </c>
      <c r="O51" s="634">
        <v>32779.552940000001</v>
      </c>
      <c r="P51" s="634">
        <f>P52+P57</f>
        <v>959094.69071</v>
      </c>
      <c r="Q51" s="634">
        <f>Q52+Q57</f>
        <v>998374.64946999995</v>
      </c>
      <c r="R51" s="634">
        <v>1090841.32898</v>
      </c>
      <c r="S51" s="634">
        <f>S52+S57</f>
        <v>1024189.0879200001</v>
      </c>
      <c r="AE51" s="8"/>
      <c r="AF51" s="8"/>
      <c r="AG51" s="8"/>
      <c r="AH51" s="8"/>
      <c r="AI51" s="8"/>
      <c r="AJ51" s="8"/>
      <c r="AK51" s="8"/>
      <c r="AL51" s="8"/>
      <c r="AM51" s="8"/>
    </row>
    <row r="52" spans="1:39">
      <c r="A52" s="21"/>
      <c r="B52" s="21" t="s">
        <v>6</v>
      </c>
      <c r="C52" s="175"/>
      <c r="D52" s="175"/>
      <c r="E52" s="175"/>
      <c r="F52" s="175">
        <v>715565</v>
      </c>
      <c r="G52" s="175">
        <v>735857</v>
      </c>
      <c r="H52" s="175">
        <v>12638</v>
      </c>
      <c r="I52" s="175">
        <v>17621</v>
      </c>
      <c r="J52" s="175">
        <v>1292752</v>
      </c>
      <c r="K52" s="175">
        <v>1328916</v>
      </c>
      <c r="L52" s="175">
        <v>852395</v>
      </c>
      <c r="M52" s="175">
        <v>717623.57574</v>
      </c>
      <c r="N52" s="175">
        <v>972377.50506</v>
      </c>
      <c r="O52" s="175">
        <v>30199.552939999994</v>
      </c>
      <c r="P52" s="175">
        <f>SUM(P53:P56)</f>
        <v>947306.69071</v>
      </c>
      <c r="Q52" s="175">
        <f>SUM(Q53:Q56)</f>
        <v>986626.64946999995</v>
      </c>
      <c r="R52" s="175">
        <f>SUM(R53:R56)</f>
        <v>1079655.90921</v>
      </c>
      <c r="S52" s="175">
        <f>SUM(S53:S56)</f>
        <v>1013380.0879200001</v>
      </c>
      <c r="AE52" s="8"/>
      <c r="AG52" s="8"/>
      <c r="AH52" s="8"/>
      <c r="AI52" s="8"/>
      <c r="AJ52" s="8"/>
      <c r="AK52" s="8"/>
      <c r="AL52" s="8"/>
      <c r="AM52" s="8"/>
    </row>
    <row r="53" spans="1:39">
      <c r="A53" s="11"/>
      <c r="B53" s="11" t="s">
        <v>19</v>
      </c>
      <c r="C53" s="176"/>
      <c r="D53" s="216"/>
      <c r="E53" s="216"/>
      <c r="F53" s="216">
        <v>11819</v>
      </c>
      <c r="G53" s="176">
        <v>11786</v>
      </c>
      <c r="H53" s="216">
        <v>10493</v>
      </c>
      <c r="I53" s="216">
        <v>15858</v>
      </c>
      <c r="J53" s="216">
        <v>12234</v>
      </c>
      <c r="K53" s="216">
        <v>15133</v>
      </c>
      <c r="L53" s="176">
        <v>10140</v>
      </c>
      <c r="M53" s="176">
        <v>13373.20019</v>
      </c>
      <c r="N53" s="176">
        <v>11094</v>
      </c>
      <c r="O53" s="176">
        <v>13335.984909999999</v>
      </c>
      <c r="P53" s="176">
        <v>12380</v>
      </c>
      <c r="Q53" s="176">
        <v>23340.577819999999</v>
      </c>
      <c r="R53" s="176">
        <v>15224</v>
      </c>
      <c r="S53" s="176">
        <v>20021.947459999999</v>
      </c>
      <c r="AE53" s="8"/>
      <c r="AF53" s="8"/>
      <c r="AG53" s="8"/>
      <c r="AH53" s="8"/>
      <c r="AI53" s="8"/>
      <c r="AJ53" s="8"/>
      <c r="AK53" s="8"/>
      <c r="AL53" s="8"/>
      <c r="AM53" s="8"/>
    </row>
    <row r="54" spans="1:39">
      <c r="A54" s="11"/>
      <c r="B54" s="11" t="s">
        <v>20</v>
      </c>
      <c r="C54" s="176"/>
      <c r="D54" s="216"/>
      <c r="E54" s="216"/>
      <c r="F54" s="216">
        <v>696958</v>
      </c>
      <c r="G54" s="176">
        <v>719613</v>
      </c>
      <c r="H54" s="216">
        <v>3</v>
      </c>
      <c r="I54" s="216">
        <v>3</v>
      </c>
      <c r="J54" s="216">
        <v>1278351</v>
      </c>
      <c r="K54" s="216">
        <v>1310781</v>
      </c>
      <c r="L54" s="176">
        <v>840006</v>
      </c>
      <c r="M54" s="176">
        <v>702005.44568</v>
      </c>
      <c r="N54" s="176">
        <v>941302.25811000005</v>
      </c>
      <c r="O54" s="176">
        <v>11641.888939999999</v>
      </c>
      <c r="P54" s="176">
        <v>930009</v>
      </c>
      <c r="Q54" s="176">
        <v>960008.33635999996</v>
      </c>
      <c r="R54" s="176">
        <v>1050008</v>
      </c>
      <c r="S54" s="176">
        <v>990007.58282000001</v>
      </c>
      <c r="AE54" s="8"/>
      <c r="AF54" s="8"/>
      <c r="AG54" s="8"/>
      <c r="AH54" s="8"/>
      <c r="AI54" s="8"/>
      <c r="AJ54" s="8"/>
      <c r="AK54" s="8"/>
      <c r="AL54" s="8"/>
      <c r="AM54" s="8"/>
    </row>
    <row r="55" spans="1:39">
      <c r="A55" s="11"/>
      <c r="B55" s="11" t="s">
        <v>21</v>
      </c>
      <c r="C55" s="177"/>
      <c r="D55" s="177"/>
      <c r="E55" s="177"/>
      <c r="F55" s="177">
        <v>6788</v>
      </c>
      <c r="G55" s="177">
        <v>4458</v>
      </c>
      <c r="H55" s="177">
        <v>2142</v>
      </c>
      <c r="I55" s="177">
        <v>1757</v>
      </c>
      <c r="J55" s="177">
        <v>2167</v>
      </c>
      <c r="K55" s="177">
        <v>3001</v>
      </c>
      <c r="L55" s="177">
        <v>2249.2592100000002</v>
      </c>
      <c r="M55" s="177">
        <v>2216.4935099999998</v>
      </c>
      <c r="N55" s="177">
        <v>19952.160540000001</v>
      </c>
      <c r="O55" s="177">
        <v>5138.1033299999999</v>
      </c>
      <c r="P55" s="177">
        <v>4826.83788</v>
      </c>
      <c r="Q55" s="177">
        <v>3046.5512899999999</v>
      </c>
      <c r="R55" s="177">
        <v>14104.34143</v>
      </c>
      <c r="S55" s="176">
        <v>2936.5972299999999</v>
      </c>
      <c r="AE55" s="8"/>
      <c r="AF55" s="8"/>
      <c r="AG55" s="8"/>
      <c r="AH55" s="8"/>
      <c r="AI55" s="8"/>
      <c r="AJ55" s="8"/>
      <c r="AK55" s="8"/>
      <c r="AL55" s="8"/>
      <c r="AM55" s="8"/>
    </row>
    <row r="56" spans="1:39">
      <c r="A56" s="11"/>
      <c r="B56" s="11" t="s">
        <v>22</v>
      </c>
      <c r="C56" s="177"/>
      <c r="D56" s="177"/>
      <c r="E56" s="177"/>
      <c r="F56" s="177">
        <v>0</v>
      </c>
      <c r="G56" s="177">
        <v>0</v>
      </c>
      <c r="H56" s="177">
        <v>0</v>
      </c>
      <c r="I56" s="177">
        <v>3</v>
      </c>
      <c r="J56" s="177">
        <v>0</v>
      </c>
      <c r="K56" s="177">
        <v>1</v>
      </c>
      <c r="L56" s="177">
        <v>0</v>
      </c>
      <c r="M56" s="177">
        <v>28.436360000000001</v>
      </c>
      <c r="N56" s="177">
        <v>28.569510000000001</v>
      </c>
      <c r="O56" s="177">
        <v>83.575759999999988</v>
      </c>
      <c r="P56" s="177">
        <v>90.852829999999997</v>
      </c>
      <c r="Q56" s="177">
        <v>231.184</v>
      </c>
      <c r="R56" s="177">
        <v>319.56778000000003</v>
      </c>
      <c r="S56" s="176">
        <v>413.96041000000002</v>
      </c>
      <c r="AE56" s="8"/>
      <c r="AF56" s="8"/>
      <c r="AG56" s="8"/>
      <c r="AH56" s="8"/>
      <c r="AI56" s="8"/>
      <c r="AJ56" s="8"/>
      <c r="AK56" s="8"/>
      <c r="AL56" s="8"/>
      <c r="AM56" s="8"/>
    </row>
    <row r="57" spans="1:39">
      <c r="A57" s="21"/>
      <c r="B57" s="21" t="s">
        <v>15</v>
      </c>
      <c r="C57" s="175"/>
      <c r="D57" s="175"/>
      <c r="E57" s="175"/>
      <c r="F57" s="175">
        <v>1930</v>
      </c>
      <c r="G57" s="175">
        <v>1895</v>
      </c>
      <c r="H57" s="175">
        <v>2027</v>
      </c>
      <c r="I57" s="175">
        <v>2459</v>
      </c>
      <c r="J57" s="175">
        <v>2459</v>
      </c>
      <c r="K57" s="175">
        <v>2967</v>
      </c>
      <c r="L57" s="175">
        <v>2321</v>
      </c>
      <c r="M57" s="175">
        <v>2321</v>
      </c>
      <c r="N57" s="175">
        <v>2321</v>
      </c>
      <c r="O57" s="175">
        <v>2579</v>
      </c>
      <c r="P57" s="175">
        <f>P58</f>
        <v>11788</v>
      </c>
      <c r="Q57" s="175">
        <f>Q58</f>
        <v>11748</v>
      </c>
      <c r="R57" s="175">
        <v>11185</v>
      </c>
      <c r="S57" s="175">
        <f>S58</f>
        <v>10809</v>
      </c>
      <c r="AE57" s="8"/>
      <c r="AF57" s="8"/>
      <c r="AG57" s="8"/>
      <c r="AH57" s="8"/>
      <c r="AI57" s="8"/>
      <c r="AJ57" s="8"/>
      <c r="AK57" s="8"/>
      <c r="AL57" s="8"/>
      <c r="AM57" s="8"/>
    </row>
    <row r="58" spans="1:39">
      <c r="A58" s="11"/>
      <c r="B58" s="11" t="s">
        <v>19</v>
      </c>
      <c r="C58" s="176"/>
      <c r="D58" s="216"/>
      <c r="E58" s="216"/>
      <c r="F58" s="216">
        <v>1930</v>
      </c>
      <c r="G58" s="176">
        <v>1895</v>
      </c>
      <c r="H58" s="216">
        <v>2027</v>
      </c>
      <c r="I58" s="216">
        <v>2459</v>
      </c>
      <c r="J58" s="216">
        <v>2459</v>
      </c>
      <c r="K58" s="216">
        <v>2967</v>
      </c>
      <c r="L58" s="176">
        <v>2321</v>
      </c>
      <c r="M58" s="176">
        <v>2321</v>
      </c>
      <c r="N58" s="176">
        <v>2321</v>
      </c>
      <c r="O58" s="176">
        <v>2579</v>
      </c>
      <c r="P58" s="176">
        <v>11788</v>
      </c>
      <c r="Q58" s="176">
        <v>11748</v>
      </c>
      <c r="R58" s="176">
        <v>11185</v>
      </c>
      <c r="S58" s="176">
        <v>10809</v>
      </c>
      <c r="AE58" s="8"/>
      <c r="AF58" s="8"/>
      <c r="AG58" s="8"/>
      <c r="AH58" s="8"/>
      <c r="AI58" s="8"/>
      <c r="AJ58" s="8"/>
      <c r="AK58" s="8"/>
      <c r="AL58" s="8"/>
      <c r="AM58" s="8"/>
    </row>
    <row r="59" spans="1:39">
      <c r="A59" s="627"/>
      <c r="B59" s="627" t="s">
        <v>25</v>
      </c>
      <c r="C59" s="627"/>
      <c r="D59" s="627"/>
      <c r="E59" s="627"/>
      <c r="F59" s="634">
        <v>12327370</v>
      </c>
      <c r="G59" s="634">
        <v>13186127</v>
      </c>
      <c r="H59" s="634">
        <v>13321333</v>
      </c>
      <c r="I59" s="634">
        <v>14282389</v>
      </c>
      <c r="J59" s="634">
        <v>12585880</v>
      </c>
      <c r="K59" s="634">
        <v>13429435</v>
      </c>
      <c r="L59" s="634">
        <v>12690431.624620002</v>
      </c>
      <c r="M59" s="634">
        <v>13069011.45884</v>
      </c>
      <c r="N59" s="634">
        <v>12889323.886769999</v>
      </c>
      <c r="O59" s="634">
        <v>14032606.650600001</v>
      </c>
      <c r="P59" s="634">
        <f>SUM(P60:P65)</f>
        <v>13330715.99447</v>
      </c>
      <c r="Q59" s="634">
        <f>SUM(Q60:Q65)</f>
        <v>13505669.031109998</v>
      </c>
      <c r="R59" s="634">
        <v>13550484.016320001</v>
      </c>
      <c r="S59" s="634">
        <f>SUM(S60:S63)</f>
        <v>13772008.80215</v>
      </c>
      <c r="AE59" s="8"/>
      <c r="AF59" s="8"/>
      <c r="AG59" s="8"/>
      <c r="AH59" s="8"/>
      <c r="AI59" s="8"/>
      <c r="AJ59" s="8"/>
      <c r="AK59" s="8"/>
      <c r="AL59" s="8"/>
      <c r="AM59" s="8"/>
    </row>
    <row r="60" spans="1:39">
      <c r="A60" s="11"/>
      <c r="B60" s="11" t="s">
        <v>26</v>
      </c>
      <c r="C60" s="176"/>
      <c r="D60" s="176"/>
      <c r="E60" s="176"/>
      <c r="F60" s="176">
        <v>2756687</v>
      </c>
      <c r="G60" s="176">
        <v>2756687</v>
      </c>
      <c r="H60" s="176">
        <v>2756687</v>
      </c>
      <c r="I60" s="176">
        <v>2756687</v>
      </c>
      <c r="J60" s="176">
        <v>2756687</v>
      </c>
      <c r="K60" s="176">
        <v>2756687</v>
      </c>
      <c r="L60" s="176">
        <v>2756687.1670200001</v>
      </c>
      <c r="M60" s="176">
        <v>2756687.1670200001</v>
      </c>
      <c r="N60" s="176">
        <v>2756687</v>
      </c>
      <c r="O60" s="176">
        <v>2756687.1670200001</v>
      </c>
      <c r="P60" s="176">
        <v>3678771.5402500001</v>
      </c>
      <c r="Q60" s="176">
        <v>3678771.5402500001</v>
      </c>
      <c r="R60" s="176">
        <v>3678771.5402500001</v>
      </c>
      <c r="S60" s="176">
        <v>3678771.5402500001</v>
      </c>
      <c r="AE60" s="8"/>
      <c r="AF60" s="8"/>
      <c r="AG60" s="8"/>
      <c r="AH60" s="8"/>
      <c r="AI60" s="8"/>
      <c r="AJ60" s="8"/>
      <c r="AK60" s="8"/>
      <c r="AL60" s="8"/>
      <c r="AM60" s="8"/>
    </row>
    <row r="61" spans="1:39">
      <c r="A61" s="11"/>
      <c r="B61" s="11" t="s">
        <v>27</v>
      </c>
      <c r="C61" s="176"/>
      <c r="D61" s="176"/>
      <c r="E61" s="176"/>
      <c r="F61" s="176">
        <v>1717119</v>
      </c>
      <c r="G61" s="176">
        <v>1717119</v>
      </c>
      <c r="H61" s="176">
        <v>1717119</v>
      </c>
      <c r="I61" s="176">
        <v>1717119</v>
      </c>
      <c r="J61" s="176">
        <v>3678772</v>
      </c>
      <c r="K61" s="176">
        <v>3678772</v>
      </c>
      <c r="L61" s="176">
        <v>3678771.5402500001</v>
      </c>
      <c r="M61" s="176">
        <v>3630534.7925499999</v>
      </c>
      <c r="N61" s="176">
        <v>4011956</v>
      </c>
      <c r="O61" s="176">
        <v>4011956</v>
      </c>
      <c r="P61" s="176">
        <v>3089871.0042599998</v>
      </c>
      <c r="Q61" s="176">
        <v>3089871.0042599998</v>
      </c>
      <c r="R61" s="176">
        <v>4441431.0883900002</v>
      </c>
      <c r="S61" s="176">
        <v>3451431.0883900002</v>
      </c>
      <c r="AE61" s="8"/>
      <c r="AF61" s="8"/>
      <c r="AG61" s="8"/>
      <c r="AH61" s="8"/>
      <c r="AI61" s="8"/>
      <c r="AJ61" s="8"/>
      <c r="AK61" s="8"/>
      <c r="AL61" s="8"/>
      <c r="AM61" s="8"/>
    </row>
    <row r="62" spans="1:39">
      <c r="A62" s="11"/>
      <c r="B62" s="11" t="s">
        <v>28</v>
      </c>
      <c r="C62" s="176"/>
      <c r="D62" s="176"/>
      <c r="E62" s="176"/>
      <c r="F62" s="176">
        <v>5519370</v>
      </c>
      <c r="G62" s="176">
        <v>5563756</v>
      </c>
      <c r="H62" s="176">
        <v>5632597</v>
      </c>
      <c r="I62" s="176">
        <v>5619340</v>
      </c>
      <c r="J62" s="176">
        <v>5777028</v>
      </c>
      <c r="K62" s="176">
        <v>5764874</v>
      </c>
      <c r="L62" s="176">
        <v>5585501</v>
      </c>
      <c r="M62" s="176">
        <v>5577367.27238</v>
      </c>
      <c r="N62" s="176">
        <v>5171977.3015700001</v>
      </c>
      <c r="O62" s="176">
        <v>5264841.3098200001</v>
      </c>
      <c r="P62" s="176">
        <v>5413246.2781600002</v>
      </c>
      <c r="Q62" s="176">
        <v>5407444.9986800002</v>
      </c>
      <c r="R62" s="176">
        <v>5430281.3876800006</v>
      </c>
      <c r="S62" s="176">
        <v>5491527.7965799998</v>
      </c>
      <c r="AE62" s="8"/>
      <c r="AF62" s="8"/>
      <c r="AG62" s="8"/>
      <c r="AH62" s="8"/>
      <c r="AI62" s="8"/>
      <c r="AJ62" s="8"/>
      <c r="AK62" s="8"/>
      <c r="AL62" s="8"/>
      <c r="AM62" s="8"/>
    </row>
    <row r="63" spans="1:39">
      <c r="A63" s="11"/>
      <c r="B63" s="11" t="s">
        <v>29</v>
      </c>
      <c r="C63" s="176"/>
      <c r="D63" s="176"/>
      <c r="E63" s="176"/>
      <c r="F63" s="176">
        <v>0</v>
      </c>
      <c r="G63" s="176">
        <v>2345521</v>
      </c>
      <c r="H63" s="176">
        <v>3214930</v>
      </c>
      <c r="I63" s="176">
        <v>4189243</v>
      </c>
      <c r="J63" s="176">
        <v>0</v>
      </c>
      <c r="K63" s="176">
        <v>855709.21901</v>
      </c>
      <c r="L63" s="176">
        <v>669472.47131000005</v>
      </c>
      <c r="M63" s="176">
        <v>1104422.22689</v>
      </c>
      <c r="N63" s="176">
        <v>0</v>
      </c>
      <c r="O63" s="176">
        <v>1050418.7555800001</v>
      </c>
      <c r="P63" s="176">
        <v>1148827.1717999999</v>
      </c>
      <c r="Q63" s="176">
        <v>1329581.48792</v>
      </c>
      <c r="R63" s="176">
        <v>0</v>
      </c>
      <c r="S63" s="176">
        <v>1150278.37693</v>
      </c>
      <c r="AE63" s="8"/>
      <c r="AF63" s="8"/>
      <c r="AG63" s="8"/>
      <c r="AH63" s="8"/>
      <c r="AI63" s="8"/>
      <c r="AJ63" s="8"/>
      <c r="AK63" s="8"/>
      <c r="AL63" s="8"/>
      <c r="AM63" s="8"/>
    </row>
    <row r="64" spans="1:39">
      <c r="A64" s="11"/>
      <c r="B64" s="11" t="s">
        <v>34</v>
      </c>
      <c r="C64" s="216"/>
      <c r="D64" s="216"/>
      <c r="E64" s="216"/>
      <c r="F64" s="216">
        <v>1531150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AE64" s="8"/>
      <c r="AF64" s="8"/>
      <c r="AG64" s="8"/>
      <c r="AH64" s="8"/>
      <c r="AI64" s="8"/>
      <c r="AJ64" s="8"/>
      <c r="AK64" s="8"/>
      <c r="AL64" s="8"/>
      <c r="AM64" s="8"/>
    </row>
    <row r="65" spans="1:39">
      <c r="A65" s="11"/>
      <c r="B65" s="11" t="s">
        <v>30</v>
      </c>
      <c r="C65" s="116"/>
      <c r="F65" s="176">
        <v>803044</v>
      </c>
      <c r="G65" s="176">
        <v>803044</v>
      </c>
      <c r="H65" s="65">
        <v>0</v>
      </c>
      <c r="I65" s="176">
        <v>0</v>
      </c>
      <c r="J65" s="1">
        <v>373393</v>
      </c>
      <c r="K65" s="1">
        <v>373393</v>
      </c>
      <c r="L65" s="1">
        <v>0</v>
      </c>
      <c r="M65" s="1">
        <v>0</v>
      </c>
      <c r="N65" s="1">
        <v>948704.04069000005</v>
      </c>
      <c r="O65" s="1">
        <v>948704.04069000005</v>
      </c>
      <c r="P65" s="1">
        <v>0</v>
      </c>
      <c r="Q65" s="1">
        <v>0</v>
      </c>
      <c r="R65" s="1">
        <v>0</v>
      </c>
      <c r="S65" s="176">
        <v>0</v>
      </c>
      <c r="AE65" s="8"/>
      <c r="AF65" s="8"/>
      <c r="AG65" s="8"/>
      <c r="AH65" s="8"/>
      <c r="AI65" s="8"/>
      <c r="AJ65" s="8"/>
      <c r="AK65" s="8"/>
      <c r="AL65" s="8"/>
      <c r="AM65" s="8"/>
    </row>
    <row r="66" spans="1:39">
      <c r="F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AG66" s="8"/>
      <c r="AH66" s="8"/>
      <c r="AI66" s="8"/>
      <c r="AJ66" s="8"/>
      <c r="AK66" s="8"/>
      <c r="AL66" s="8"/>
      <c r="AM66" s="8"/>
    </row>
    <row r="68" spans="1:39" ht="10.3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606D1-F8BF-447E-8BBC-C43BFA6D17F9}">
  <dimension ref="A1:BC43"/>
  <sheetViews>
    <sheetView showGridLines="0" showRowColHeaders="0" zoomScale="75" zoomScaleNormal="75" workbookViewId="0">
      <pane xSplit="1" ySplit="4" topLeftCell="AU5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ColWidth="14.42578125" defaultRowHeight="15" outlineLevelCol="1"/>
  <cols>
    <col min="1" max="1" width="70.7109375" style="20" customWidth="1"/>
    <col min="2" max="5" width="14.42578125" style="20" customWidth="1" outlineLevel="1"/>
    <col min="6" max="6" width="14.42578125" style="20" customWidth="1"/>
    <col min="7" max="10" width="14.42578125" style="20" customWidth="1" outlineLevel="1"/>
    <col min="11" max="11" width="14.42578125" style="20" customWidth="1"/>
    <col min="12" max="15" width="14.42578125" style="20" customWidth="1" outlineLevel="1"/>
    <col min="16" max="16" width="14.42578125" style="20" customWidth="1"/>
    <col min="17" max="20" width="14.42578125" style="20" customWidth="1" outlineLevel="1"/>
    <col min="21" max="21" width="14.42578125" style="20" bestFit="1" customWidth="1"/>
    <col min="22" max="25" width="14.42578125" style="20" customWidth="1" outlineLevel="1"/>
    <col min="26" max="26" width="14.42578125" style="20"/>
    <col min="27" max="28" width="14.42578125" style="20" customWidth="1" outlineLevel="1"/>
    <col min="29" max="30" width="14.42578125" customWidth="1" outlineLevel="1"/>
    <col min="32" max="35" width="14.42578125" customWidth="1" outlineLevel="1"/>
    <col min="37" max="38" width="16.42578125" hidden="1" customWidth="1" outlineLevel="1"/>
    <col min="39" max="40" width="17.42578125" hidden="1" customWidth="1" outlineLevel="1"/>
    <col min="41" max="41" width="16.42578125" bestFit="1" customWidth="1" collapsed="1"/>
    <col min="42" max="43" width="16.42578125" hidden="1" customWidth="1" outlineLevel="1"/>
    <col min="44" max="44" width="14.42578125" hidden="1" customWidth="1" outlineLevel="1"/>
    <col min="45" max="45" width="15.42578125" hidden="1" customWidth="1" outlineLevel="1"/>
    <col min="46" max="46" width="16.42578125" bestFit="1" customWidth="1" collapsed="1"/>
    <col min="47" max="50" width="15.42578125" customWidth="1" outlineLevel="1"/>
    <col min="51" max="51" width="16.42578125" bestFit="1" customWidth="1"/>
    <col min="52" max="52" width="16.42578125" customWidth="1"/>
  </cols>
  <sheetData>
    <row r="1" spans="1:55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31"/>
      <c r="AZ1" s="630"/>
    </row>
    <row r="2" spans="1:55" ht="1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32"/>
      <c r="AZ2" s="630"/>
    </row>
    <row r="3" spans="1:55" ht="50.1" customHeight="1">
      <c r="A3" s="635" t="s">
        <v>1106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31"/>
      <c r="AZ3" s="630"/>
    </row>
    <row r="4" spans="1:55" s="20" customFormat="1" ht="10.15" customHeight="1" thickBot="1">
      <c r="A4" s="50"/>
    </row>
    <row r="5" spans="1:55" s="30" customFormat="1" ht="24.4" customHeight="1">
      <c r="A5" s="625" t="s">
        <v>1107</v>
      </c>
      <c r="B5" s="626" t="s">
        <v>224</v>
      </c>
      <c r="C5" s="626" t="s">
        <v>225</v>
      </c>
      <c r="D5" s="626" t="s">
        <v>226</v>
      </c>
      <c r="E5" s="626" t="s">
        <v>227</v>
      </c>
      <c r="F5" s="652">
        <v>2016</v>
      </c>
      <c r="G5" s="626" t="s">
        <v>228</v>
      </c>
      <c r="H5" s="626" t="s">
        <v>229</v>
      </c>
      <c r="I5" s="626" t="s">
        <v>230</v>
      </c>
      <c r="J5" s="626" t="s">
        <v>231</v>
      </c>
      <c r="K5" s="652">
        <v>2017</v>
      </c>
      <c r="L5" s="626" t="s">
        <v>232</v>
      </c>
      <c r="M5" s="626" t="s">
        <v>233</v>
      </c>
      <c r="N5" s="626" t="s">
        <v>234</v>
      </c>
      <c r="O5" s="626" t="s">
        <v>235</v>
      </c>
      <c r="P5" s="652">
        <v>2018</v>
      </c>
      <c r="Q5" s="626" t="s">
        <v>236</v>
      </c>
      <c r="R5" s="626" t="s">
        <v>237</v>
      </c>
      <c r="S5" s="626" t="s">
        <v>238</v>
      </c>
      <c r="T5" s="626" t="s">
        <v>239</v>
      </c>
      <c r="U5" s="652">
        <v>2019</v>
      </c>
      <c r="V5" s="626" t="s">
        <v>240</v>
      </c>
      <c r="W5" s="626" t="s">
        <v>241</v>
      </c>
      <c r="X5" s="626" t="s">
        <v>242</v>
      </c>
      <c r="Y5" s="626" t="s">
        <v>243</v>
      </c>
      <c r="Z5" s="652">
        <v>2020</v>
      </c>
      <c r="AA5" s="626" t="s">
        <v>244</v>
      </c>
      <c r="AB5" s="626" t="s">
        <v>245</v>
      </c>
      <c r="AC5" s="626" t="s">
        <v>246</v>
      </c>
      <c r="AD5" s="626" t="s">
        <v>247</v>
      </c>
      <c r="AE5" s="652">
        <v>2021</v>
      </c>
      <c r="AF5" s="626" t="s">
        <v>248</v>
      </c>
      <c r="AG5" s="626" t="s">
        <v>249</v>
      </c>
      <c r="AH5" s="626" t="s">
        <v>250</v>
      </c>
      <c r="AI5" s="626" t="s">
        <v>215</v>
      </c>
      <c r="AJ5" s="652">
        <v>2022</v>
      </c>
      <c r="AK5" s="626" t="s">
        <v>252</v>
      </c>
      <c r="AL5" s="626" t="s">
        <v>253</v>
      </c>
      <c r="AM5" s="626" t="s">
        <v>254</v>
      </c>
      <c r="AN5" s="626" t="s">
        <v>219</v>
      </c>
      <c r="AO5" s="652">
        <v>2023</v>
      </c>
      <c r="AP5" s="626" t="s">
        <v>223</v>
      </c>
      <c r="AQ5" s="626" t="s">
        <v>256</v>
      </c>
      <c r="AR5" s="626" t="s">
        <v>357</v>
      </c>
      <c r="AS5" s="626" t="s">
        <v>358</v>
      </c>
      <c r="AT5" s="652">
        <v>2024</v>
      </c>
      <c r="AU5" s="626" t="s">
        <v>359</v>
      </c>
      <c r="AV5" s="626" t="s">
        <v>1115</v>
      </c>
      <c r="AW5" s="626" t="s">
        <v>1116</v>
      </c>
      <c r="AX5" s="626" t="s">
        <v>1117</v>
      </c>
      <c r="AY5" s="653" t="s">
        <v>1118</v>
      </c>
      <c r="AZ5" s="645" t="s">
        <v>1124</v>
      </c>
    </row>
    <row r="6" spans="1:55" ht="14.85" customHeight="1">
      <c r="A6" s="54" t="s">
        <v>458</v>
      </c>
      <c r="B6" s="76"/>
      <c r="C6" s="76"/>
      <c r="D6" s="76"/>
      <c r="E6" s="76"/>
      <c r="F6" s="39"/>
      <c r="G6" s="76"/>
      <c r="H6" s="76"/>
      <c r="I6" s="76"/>
      <c r="J6" s="76"/>
      <c r="K6" s="39"/>
      <c r="L6" s="76"/>
      <c r="M6" s="76"/>
      <c r="N6" s="76"/>
      <c r="O6" s="76"/>
      <c r="P6" s="39"/>
      <c r="Q6" s="76"/>
      <c r="R6" s="76"/>
      <c r="S6" s="76"/>
      <c r="T6" s="76"/>
      <c r="U6" s="39"/>
      <c r="V6" s="76"/>
      <c r="W6" s="76"/>
      <c r="X6" s="76"/>
      <c r="Y6" s="76"/>
      <c r="Z6" s="39"/>
      <c r="AA6" s="76"/>
      <c r="AB6" s="76"/>
      <c r="AC6" s="76"/>
      <c r="AD6" s="76"/>
      <c r="AE6" s="39"/>
      <c r="AF6" s="76"/>
      <c r="AG6" s="76"/>
      <c r="AH6" s="76"/>
      <c r="AI6" s="76"/>
      <c r="AJ6" s="39"/>
      <c r="AK6" s="76"/>
      <c r="AL6" s="76"/>
      <c r="AM6" s="76"/>
      <c r="AN6" s="76"/>
      <c r="AO6" s="39"/>
      <c r="AP6" s="76"/>
      <c r="AQ6" s="76"/>
      <c r="AR6" s="76"/>
      <c r="AS6" s="76"/>
      <c r="AT6" s="39"/>
      <c r="AU6" s="76"/>
      <c r="AV6" s="76"/>
      <c r="AW6" s="76"/>
      <c r="AX6" s="76"/>
      <c r="AY6" s="39"/>
      <c r="AZ6" s="10"/>
      <c r="BA6" s="30"/>
      <c r="BB6" s="30"/>
      <c r="BC6" s="8"/>
    </row>
    <row r="7" spans="1:55" ht="14.85" customHeight="1">
      <c r="A7" s="9" t="s">
        <v>1108</v>
      </c>
      <c r="B7" s="76">
        <f>SUM(B8:B10)</f>
        <v>16294.302189999997</v>
      </c>
      <c r="C7" s="76">
        <f t="shared" ref="C7:E7" si="0">SUM(C8:C10)</f>
        <v>15754.679050000002</v>
      </c>
      <c r="D7" s="76">
        <f t="shared" si="0"/>
        <v>19211.774830000002</v>
      </c>
      <c r="E7" s="76">
        <f t="shared" si="0"/>
        <v>12404.639760000002</v>
      </c>
      <c r="F7" s="39">
        <f t="shared" ref="F7" si="1">SUM(B7:E7)</f>
        <v>63665.395830000009</v>
      </c>
      <c r="G7" s="76">
        <f>SUM(G8:G10)</f>
        <v>23373.896269999997</v>
      </c>
      <c r="H7" s="76">
        <f t="shared" ref="H7" si="2">SUM(H8:H10)</f>
        <v>24307.864429999998</v>
      </c>
      <c r="I7" s="76">
        <f t="shared" ref="I7" si="3">SUM(I8:I10)</f>
        <v>26794.499059999995</v>
      </c>
      <c r="J7" s="76">
        <f t="shared" ref="J7" si="4">SUM(J8:J10)</f>
        <v>21019.949199999999</v>
      </c>
      <c r="K7" s="39">
        <f t="shared" ref="K7" si="5">SUM(G7:J7)</f>
        <v>95496.208959999989</v>
      </c>
      <c r="L7" s="76">
        <f>SUM(L8:L10)</f>
        <v>23705.983999999997</v>
      </c>
      <c r="M7" s="76">
        <f t="shared" ref="M7" si="6">SUM(M8:M10)</f>
        <v>28960.514879999999</v>
      </c>
      <c r="N7" s="76">
        <f t="shared" ref="N7" si="7">SUM(N8:N10)</f>
        <v>29939.496070000001</v>
      </c>
      <c r="O7" s="76">
        <f t="shared" ref="O7" si="8">SUM(O8:O10)</f>
        <v>32202.105</v>
      </c>
      <c r="P7" s="39">
        <f t="shared" ref="P7" si="9">SUM(L7:O7)</f>
        <v>114808.09994999999</v>
      </c>
      <c r="Q7" s="76">
        <f>SUM(Q8:Q10)</f>
        <v>29771.09532</v>
      </c>
      <c r="R7" s="76">
        <f t="shared" ref="R7" si="10">SUM(R8:R10)</f>
        <v>37864.52592</v>
      </c>
      <c r="S7" s="76">
        <f t="shared" ref="S7:T7" si="11">SUM(S8:S10)</f>
        <v>40515.799930000001</v>
      </c>
      <c r="T7" s="76">
        <f t="shared" si="11"/>
        <v>-1920.0829700000049</v>
      </c>
      <c r="U7" s="39">
        <f t="shared" ref="U7" si="12">SUM(Q7:T7)</f>
        <v>106231.33820000001</v>
      </c>
      <c r="V7" s="76">
        <f>SUM(V8:V10)</f>
        <v>30528.245159999999</v>
      </c>
      <c r="W7" s="76">
        <f t="shared" ref="W7" si="13">SUM(W8:W10)</f>
        <v>25927.572729999996</v>
      </c>
      <c r="X7" s="76">
        <f t="shared" ref="X7" si="14">SUM(X8:X10)</f>
        <v>37693.899889999993</v>
      </c>
      <c r="Y7" s="76">
        <f t="shared" ref="Y7" si="15">SUM(Y8:Y10)</f>
        <v>36231.553490000006</v>
      </c>
      <c r="Z7" s="39">
        <f t="shared" ref="Z7" si="16">SUM(V7:Y7)</f>
        <v>130381.27126999998</v>
      </c>
      <c r="AA7" s="76">
        <f>SUM(AA8:AA10)</f>
        <v>16177.085279999999</v>
      </c>
      <c r="AB7" s="76">
        <f t="shared" ref="AB7" si="17">SUM(AB8:AB10)</f>
        <v>17523.727139999999</v>
      </c>
      <c r="AC7" s="76">
        <f t="shared" ref="AC7" si="18">SUM(AC8:AC10)</f>
        <v>14340.062099999996</v>
      </c>
      <c r="AD7" s="76">
        <f t="shared" ref="AD7" si="19">SUM(AD8:AD10)</f>
        <v>12977.948180000005</v>
      </c>
      <c r="AE7" s="39">
        <f t="shared" ref="AE7" si="20">SUM(AA7:AD7)</f>
        <v>61018.822700000004</v>
      </c>
      <c r="AF7" s="76">
        <f>SUM(AF8:AF10)</f>
        <v>12829</v>
      </c>
      <c r="AG7" s="76">
        <f t="shared" ref="AG7" si="21">SUM(AG8:AG10)</f>
        <v>11573</v>
      </c>
      <c r="AH7" s="76">
        <f t="shared" ref="AH7" si="22">SUM(AH8:AH10)</f>
        <v>10914</v>
      </c>
      <c r="AI7" s="76">
        <f t="shared" ref="AI7" si="23">SUM(AI8:AI10)</f>
        <v>10136</v>
      </c>
      <c r="AJ7" s="39">
        <f t="shared" ref="AJ7" si="24">SUM(AF7:AI7)</f>
        <v>45452</v>
      </c>
      <c r="AK7" s="76">
        <f>SUM(AK8:AK10)</f>
        <v>9835</v>
      </c>
      <c r="AL7" s="76">
        <f t="shared" ref="AL7" si="25">SUM(AL8:AL10)</f>
        <v>9894</v>
      </c>
      <c r="AM7" s="76">
        <f t="shared" ref="AM7" si="26">SUM(AM8:AM10)</f>
        <v>9455</v>
      </c>
      <c r="AN7" s="76">
        <f t="shared" ref="AN7" si="27">SUM(AN8:AN10)</f>
        <v>9191</v>
      </c>
      <c r="AO7" s="39">
        <f t="shared" ref="AO7" si="28">SUM(AK7:AN7)</f>
        <v>38375</v>
      </c>
      <c r="AP7" s="76">
        <f>SUM(AP8:AP10)</f>
        <v>8653</v>
      </c>
      <c r="AQ7" s="76">
        <f t="shared" ref="AQ7" si="29">SUM(AQ8:AQ10)</f>
        <v>8433</v>
      </c>
      <c r="AR7" s="76">
        <f t="shared" ref="AR7" si="30">SUM(AR8:AR10)</f>
        <v>8426</v>
      </c>
      <c r="AS7" s="76">
        <f t="shared" ref="AS7" si="31">SUM(AS8:AS10)</f>
        <v>8327</v>
      </c>
      <c r="AT7" s="39">
        <f t="shared" ref="AT7" si="32">SUM(AP7:AS7)</f>
        <v>33839</v>
      </c>
      <c r="AU7" s="76">
        <f>SUM(AU8:AU10)</f>
        <v>7875.92695</v>
      </c>
      <c r="AV7" s="76">
        <f>SUM(AV8:AV10)</f>
        <v>7511.0418399999999</v>
      </c>
      <c r="AW7" s="76">
        <f>SUM(AW8:AW10)</f>
        <v>7278</v>
      </c>
      <c r="AX7" s="76">
        <f>SUM(AX8:AX10)</f>
        <v>7056.0540700000001</v>
      </c>
      <c r="AY7" s="39">
        <f>SUM(AU7:AX7)</f>
        <v>29721.022859999997</v>
      </c>
      <c r="AZ7" s="76">
        <f>SUM(AZ8:AZ10)</f>
        <v>6759.0730400000002</v>
      </c>
      <c r="BA7" s="30"/>
      <c r="BB7" s="30"/>
      <c r="BC7" s="8"/>
    </row>
    <row r="8" spans="1:55" ht="14.85" customHeight="1">
      <c r="A8" s="717" t="s">
        <v>275</v>
      </c>
      <c r="B8" s="8">
        <f>'DRE CAIXA SEGURIDADE CONTABIL'!C19</f>
        <v>2647.0067100000001</v>
      </c>
      <c r="C8" s="8">
        <f>'DRE CAIXA SEGURIDADE CONTABIL'!D19</f>
        <v>1952.4398799999999</v>
      </c>
      <c r="D8" s="8">
        <f>'DRE CAIXA SEGURIDADE CONTABIL'!E19</f>
        <v>2407.8960200000006</v>
      </c>
      <c r="E8" s="8">
        <f>'DRE CAIXA SEGURIDADE CONTABIL'!F19</f>
        <v>3315.3241000000007</v>
      </c>
      <c r="F8" s="40">
        <f>SUM(B8:E8)</f>
        <v>10322.666710000001</v>
      </c>
      <c r="G8" s="8">
        <f>'DRE CAIXA SEGURIDADE CONTABIL'!H19</f>
        <v>4176.1040299999995</v>
      </c>
      <c r="H8" s="8">
        <f>'DRE CAIXA SEGURIDADE CONTABIL'!I19</f>
        <v>3162.8367600000001</v>
      </c>
      <c r="I8" s="8">
        <f>'DRE CAIXA SEGURIDADE CONTABIL'!J19</f>
        <v>3505.1761800000008</v>
      </c>
      <c r="J8" s="8">
        <f>'DRE CAIXA SEGURIDADE CONTABIL'!K19</f>
        <v>1963.8138999999985</v>
      </c>
      <c r="K8" s="40">
        <f>SUM(G8:J8)</f>
        <v>12807.93087</v>
      </c>
      <c r="L8" s="8">
        <f>'DRE CAIXA SEGURIDADE CONTABIL'!M19</f>
        <v>3304.5078399999998</v>
      </c>
      <c r="M8" s="8">
        <f>'DRE CAIXA SEGURIDADE CONTABIL'!N19</f>
        <v>3253.8506100000004</v>
      </c>
      <c r="N8" s="8">
        <f>'DRE CAIXA SEGURIDADE CONTABIL'!O19</f>
        <v>5337.9667099999997</v>
      </c>
      <c r="O8" s="8">
        <f>'DRE CAIXA SEGURIDADE CONTABIL'!P19</f>
        <v>5233.4943700000013</v>
      </c>
      <c r="P8" s="40">
        <f>SUM(L8:O8)</f>
        <v>17129.819530000001</v>
      </c>
      <c r="Q8" s="8">
        <f>'DRE CAIXA SEGURIDADE CONTABIL'!R19</f>
        <v>3301.2249200000001</v>
      </c>
      <c r="R8" s="8">
        <f>'DRE CAIXA SEGURIDADE CONTABIL'!S19</f>
        <v>5259.4952200000007</v>
      </c>
      <c r="S8" s="8">
        <f>'DRE CAIXA SEGURIDADE CONTABIL'!T19</f>
        <v>6234.6843599999993</v>
      </c>
      <c r="T8" s="8">
        <f>'DRE CAIXA SEGURIDADE CONTABIL'!U19</f>
        <v>-10842.58921</v>
      </c>
      <c r="U8" s="40">
        <f>SUM(Q8:T8)</f>
        <v>3952.8152900000005</v>
      </c>
      <c r="V8" s="8">
        <f>'DRE CAIXA SEGURIDADE CONTABIL'!W19</f>
        <v>1703.64267</v>
      </c>
      <c r="W8" s="8">
        <f>'DRE CAIXA SEGURIDADE CONTABIL'!X19</f>
        <v>3467.6972700000006</v>
      </c>
      <c r="X8" s="8">
        <f>'DRE CAIXA SEGURIDADE CONTABIL'!Y19</f>
        <v>1797.0754999999999</v>
      </c>
      <c r="Y8" s="8">
        <f>'DRE CAIXA SEGURIDADE CONTABIL'!Z19</f>
        <v>1574.3457599999988</v>
      </c>
      <c r="Z8" s="40">
        <f>SUM(V8:Y8)</f>
        <v>8542.761199999999</v>
      </c>
      <c r="AA8" s="8">
        <f>'DRE CAIXA SEGURIDADE CONTABIL'!AB19</f>
        <v>1704.3182099999999</v>
      </c>
      <c r="AB8" s="8">
        <f>'DRE CAIXA SEGURIDADE CONTABIL'!AC19</f>
        <v>1410.9515200000001</v>
      </c>
      <c r="AC8" s="8">
        <f>'DRE CAIXA SEGURIDADE CONTABIL'!AD19</f>
        <v>150.92835000000014</v>
      </c>
      <c r="AD8" s="8">
        <f>'DRE CAIXA SEGURIDADE CONTABIL'!AE19</f>
        <v>0</v>
      </c>
      <c r="AE8" s="40">
        <f>SUM(AA8:AD8)</f>
        <v>3266.1980800000001</v>
      </c>
      <c r="AF8" s="8">
        <f>'DRE CAIXA SEGURIDADE CONTABIL'!AG19</f>
        <v>0</v>
      </c>
      <c r="AG8" s="8">
        <f>'DRE CAIXA SEGURIDADE CONTABIL'!AH19</f>
        <v>0</v>
      </c>
      <c r="AH8" s="8">
        <f>'DRE CAIXA SEGURIDADE CONTABIL'!AI19</f>
        <v>0</v>
      </c>
      <c r="AI8" s="8">
        <f>'DRE CAIXA SEGURIDADE CONTABIL'!AJ19</f>
        <v>0</v>
      </c>
      <c r="AJ8" s="40">
        <f>SUM(AF8:AI8)</f>
        <v>0</v>
      </c>
      <c r="AK8" s="8">
        <f>'DRE CAIXA SEGURIDADE CONTABIL'!AL19</f>
        <v>0</v>
      </c>
      <c r="AL8" s="8">
        <f>'DRE CAIXA SEGURIDADE CONTABIL'!AM19</f>
        <v>0</v>
      </c>
      <c r="AM8" s="8">
        <f>'DRE CAIXA SEGURIDADE CONTABIL'!AN19</f>
        <v>0</v>
      </c>
      <c r="AN8" s="8">
        <f>'DRE CAIXA SEGURIDADE CONTABIL'!AO19</f>
        <v>0</v>
      </c>
      <c r="AO8" s="40">
        <f>SUM(AK8:AN8)</f>
        <v>0</v>
      </c>
      <c r="AP8" s="8">
        <f>'DRE CAIXA SEGURIDADE CONTABIL'!AQ19</f>
        <v>0</v>
      </c>
      <c r="AQ8" s="8">
        <f>'DRE CAIXA SEGURIDADE CONTABIL'!AR19</f>
        <v>0</v>
      </c>
      <c r="AR8" s="8">
        <f>'DRE CAIXA SEGURIDADE CONTABIL'!AS19</f>
        <v>0</v>
      </c>
      <c r="AS8" s="8">
        <f>'DRE CAIXA SEGURIDADE CONTABIL'!AT19</f>
        <v>0</v>
      </c>
      <c r="AT8" s="40">
        <f>SUM(AP8:AS8)</f>
        <v>0</v>
      </c>
      <c r="AU8" s="8">
        <f>'DRE CAIXA SEGURIDADE CONTABIL'!AV19</f>
        <v>0</v>
      </c>
      <c r="AV8" s="8">
        <f>'DRE CAIXA SEGURIDADE CONTABIL'!AW19</f>
        <v>0</v>
      </c>
      <c r="AW8" s="8">
        <f>'DRE CAIXA SEGURIDADE CONTABIL'!AX19</f>
        <v>0</v>
      </c>
      <c r="AX8" s="8">
        <f>'DRE CAIXA SEGURIDADE CONTABIL'!AY19</f>
        <v>0</v>
      </c>
      <c r="AY8" s="40">
        <f>SUM(AU8:AX8)</f>
        <v>0</v>
      </c>
      <c r="AZ8" s="8">
        <f>'DRE CAIXA SEGURIDADE CONTABIL'!BA19</f>
        <v>0</v>
      </c>
      <c r="BA8" s="30"/>
      <c r="BB8" s="215"/>
      <c r="BC8" s="8"/>
    </row>
    <row r="9" spans="1:55" ht="14.85" customHeight="1">
      <c r="A9" s="717" t="s">
        <v>277</v>
      </c>
      <c r="B9" s="8">
        <f>'DRE CAIXA SEGURIDADE CONTABIL'!C20</f>
        <v>4285.8790399999989</v>
      </c>
      <c r="C9" s="8">
        <f>'DRE CAIXA SEGURIDADE CONTABIL'!D20</f>
        <v>4691.1730400000006</v>
      </c>
      <c r="D9" s="8">
        <f>'DRE CAIXA SEGURIDADE CONTABIL'!E20</f>
        <v>5568.6564500000013</v>
      </c>
      <c r="E9" s="8">
        <f>'DRE CAIXA SEGURIDADE CONTABIL'!F20</f>
        <v>3208.091919999998</v>
      </c>
      <c r="F9" s="40">
        <f t="shared" ref="F9:F26" si="33">SUM(B9:E9)</f>
        <v>17753.800449999999</v>
      </c>
      <c r="G9" s="8">
        <f>'DRE CAIXA SEGURIDADE CONTABIL'!H20</f>
        <v>5934.3816799999995</v>
      </c>
      <c r="H9" s="8">
        <f>'DRE CAIXA SEGURIDADE CONTABIL'!I20</f>
        <v>6516.12799</v>
      </c>
      <c r="I9" s="8">
        <f>'DRE CAIXA SEGURIDADE CONTABIL'!J20</f>
        <v>6664.3183199999985</v>
      </c>
      <c r="J9" s="8">
        <f>'DRE CAIXA SEGURIDADE CONTABIL'!K20</f>
        <v>4843.2561200000009</v>
      </c>
      <c r="K9" s="40">
        <f t="shared" ref="K9:K27" si="34">SUM(G9:J9)</f>
        <v>23958.08411</v>
      </c>
      <c r="L9" s="8">
        <f>'DRE CAIXA SEGURIDADE CONTABIL'!M20</f>
        <v>3594.8093799999997</v>
      </c>
      <c r="M9" s="8">
        <f>'DRE CAIXA SEGURIDADE CONTABIL'!N20</f>
        <v>6440.9302399999997</v>
      </c>
      <c r="N9" s="8">
        <f>'DRE CAIXA SEGURIDADE CONTABIL'!O20</f>
        <v>6855.6991100000014</v>
      </c>
      <c r="O9" s="8">
        <f>'DRE CAIXA SEGURIDADE CONTABIL'!P20</f>
        <v>5554.7250000000004</v>
      </c>
      <c r="P9" s="40">
        <f t="shared" ref="P9:P26" si="35">SUM(L9:O9)</f>
        <v>22446.16373</v>
      </c>
      <c r="Q9" s="8">
        <f>'DRE CAIXA SEGURIDADE CONTABIL'!R20</f>
        <v>4537.7527599999994</v>
      </c>
      <c r="R9" s="8">
        <f>'DRE CAIXA SEGURIDADE CONTABIL'!S20</f>
        <v>7374.7725</v>
      </c>
      <c r="S9" s="8">
        <f>'DRE CAIXA SEGURIDADE CONTABIL'!T20</f>
        <v>8317.0072400000008</v>
      </c>
      <c r="T9" s="8">
        <f>'DRE CAIXA SEGURIDADE CONTABIL'!U20</f>
        <v>1586.4728599999994</v>
      </c>
      <c r="U9" s="40">
        <f t="shared" ref="U9:U27" si="36">SUM(Q9:T9)</f>
        <v>21816.005359999999</v>
      </c>
      <c r="V9" s="8">
        <f>'DRE CAIXA SEGURIDADE CONTABIL'!W20</f>
        <v>7522.6654600000002</v>
      </c>
      <c r="W9" s="8">
        <f>'DRE CAIXA SEGURIDADE CONTABIL'!X20</f>
        <v>5522.9755500000001</v>
      </c>
      <c r="X9" s="8">
        <f>'DRE CAIXA SEGURIDADE CONTABIL'!Y20</f>
        <v>2932.4690900000001</v>
      </c>
      <c r="Y9" s="8">
        <f>'DRE CAIXA SEGURIDADE CONTABIL'!Z20</f>
        <v>3191.3905000000018</v>
      </c>
      <c r="Z9" s="40">
        <f t="shared" ref="Z9:Z27" si="37">SUM(V9:Y9)</f>
        <v>19169.500600000003</v>
      </c>
      <c r="AA9" s="8">
        <f>'DRE CAIXA SEGURIDADE CONTABIL'!AB20</f>
        <v>1828.2783700000002</v>
      </c>
      <c r="AB9" s="8">
        <f>'DRE CAIXA SEGURIDADE CONTABIL'!AC20</f>
        <v>1886.86608</v>
      </c>
      <c r="AC9" s="8">
        <f>'DRE CAIXA SEGURIDADE CONTABIL'!AD20</f>
        <v>1465.4596200000001</v>
      </c>
      <c r="AD9" s="8">
        <f>'DRE CAIXA SEGURIDADE CONTABIL'!AE20</f>
        <v>207.5212399999993</v>
      </c>
      <c r="AE9" s="40">
        <f t="shared" ref="AE9:AE27" si="38">SUM(AA9:AD9)</f>
        <v>5388.1253099999994</v>
      </c>
      <c r="AF9" s="8">
        <f>'DRE CAIXA SEGURIDADE CONTABIL'!AG20</f>
        <v>0</v>
      </c>
      <c r="AG9" s="8">
        <f>'DRE CAIXA SEGURIDADE CONTABIL'!AH20</f>
        <v>0</v>
      </c>
      <c r="AH9" s="8">
        <f>'DRE CAIXA SEGURIDADE CONTABIL'!AI20</f>
        <v>0</v>
      </c>
      <c r="AI9" s="8">
        <f>'DRE CAIXA SEGURIDADE CONTABIL'!AJ20</f>
        <v>1</v>
      </c>
      <c r="AJ9" s="40">
        <f t="shared" ref="AJ9:AJ27" si="39">SUM(AF9:AI9)</f>
        <v>1</v>
      </c>
      <c r="AK9" s="8">
        <f>'DRE CAIXA SEGURIDADE CONTABIL'!AL20</f>
        <v>0</v>
      </c>
      <c r="AL9" s="8">
        <f>'DRE CAIXA SEGURIDADE CONTABIL'!AM20</f>
        <v>0</v>
      </c>
      <c r="AM9" s="8">
        <f>'DRE CAIXA SEGURIDADE CONTABIL'!AN20</f>
        <v>0</v>
      </c>
      <c r="AN9" s="8">
        <f>'DRE CAIXA SEGURIDADE CONTABIL'!AO20</f>
        <v>0</v>
      </c>
      <c r="AO9" s="40">
        <f t="shared" ref="AO9:AO27" si="40">SUM(AK9:AN9)</f>
        <v>0</v>
      </c>
      <c r="AP9" s="8">
        <f>'DRE CAIXA SEGURIDADE CONTABIL'!AQ20</f>
        <v>0</v>
      </c>
      <c r="AQ9" s="8">
        <f>'DRE CAIXA SEGURIDADE CONTABIL'!AR20</f>
        <v>0</v>
      </c>
      <c r="AR9" s="8">
        <f>'DRE CAIXA SEGURIDADE CONTABIL'!AS20</f>
        <v>0</v>
      </c>
      <c r="AS9" s="8">
        <f>'DRE CAIXA SEGURIDADE CONTABIL'!AT20</f>
        <v>0</v>
      </c>
      <c r="AT9" s="40">
        <f t="shared" ref="AT9:AT27" si="41">SUM(AP9:AS9)</f>
        <v>0</v>
      </c>
      <c r="AU9" s="8">
        <f>'DRE CAIXA SEGURIDADE CONTABIL'!AV20</f>
        <v>0</v>
      </c>
      <c r="AV9" s="8">
        <f>'DRE CAIXA SEGURIDADE CONTABIL'!AW20</f>
        <v>0</v>
      </c>
      <c r="AW9" s="8">
        <f>'DRE CAIXA SEGURIDADE CONTABIL'!AX20</f>
        <v>0</v>
      </c>
      <c r="AX9" s="8">
        <f>'DRE CAIXA SEGURIDADE CONTABIL'!AY20</f>
        <v>0</v>
      </c>
      <c r="AY9" s="40">
        <f t="shared" ref="AY9:AY27" si="42">SUM(AU9:AX9)</f>
        <v>0</v>
      </c>
      <c r="AZ9" s="8">
        <f>'DRE CAIXA SEGURIDADE CONTABIL'!BA20</f>
        <v>0</v>
      </c>
      <c r="BA9" s="30"/>
      <c r="BB9" s="215"/>
      <c r="BC9" s="8"/>
    </row>
    <row r="10" spans="1:55" ht="14.85" customHeight="1">
      <c r="A10" s="717" t="s">
        <v>279</v>
      </c>
      <c r="B10" s="8">
        <f>'DRE CAIXA SEGURIDADE CONTABIL'!C21</f>
        <v>9361.4164399999972</v>
      </c>
      <c r="C10" s="8">
        <f>'DRE CAIXA SEGURIDADE CONTABIL'!D21</f>
        <v>9111.0661300000029</v>
      </c>
      <c r="D10" s="8">
        <f>'DRE CAIXA SEGURIDADE CONTABIL'!E21</f>
        <v>11235.22236</v>
      </c>
      <c r="E10" s="8">
        <f>'DRE CAIXA SEGURIDADE CONTABIL'!F21</f>
        <v>5881.2237400000022</v>
      </c>
      <c r="F10" s="40">
        <f t="shared" si="33"/>
        <v>35588.928670000001</v>
      </c>
      <c r="G10" s="8">
        <f>'DRE CAIXA SEGURIDADE CONTABIL'!H21</f>
        <v>13263.41056</v>
      </c>
      <c r="H10" s="8">
        <f>'DRE CAIXA SEGURIDADE CONTABIL'!I21</f>
        <v>14628.899679999999</v>
      </c>
      <c r="I10" s="8">
        <f>'DRE CAIXA SEGURIDADE CONTABIL'!J21</f>
        <v>16625.004559999998</v>
      </c>
      <c r="J10" s="8">
        <f>'DRE CAIXA SEGURIDADE CONTABIL'!K21</f>
        <v>14212.87918</v>
      </c>
      <c r="K10" s="40">
        <f t="shared" si="34"/>
        <v>58730.193979999996</v>
      </c>
      <c r="L10" s="8">
        <f>'DRE CAIXA SEGURIDADE CONTABIL'!M21</f>
        <v>16806.66678</v>
      </c>
      <c r="M10" s="8">
        <f>'DRE CAIXA SEGURIDADE CONTABIL'!N21</f>
        <v>19265.73403</v>
      </c>
      <c r="N10" s="8">
        <f>'DRE CAIXA SEGURIDADE CONTABIL'!O21</f>
        <v>17745.830249999999</v>
      </c>
      <c r="O10" s="8">
        <f>'DRE CAIXA SEGURIDADE CONTABIL'!P21</f>
        <v>21413.885629999997</v>
      </c>
      <c r="P10" s="40">
        <f t="shared" si="35"/>
        <v>75232.116689999995</v>
      </c>
      <c r="Q10" s="8">
        <f>'DRE CAIXA SEGURIDADE CONTABIL'!R21</f>
        <v>21932.11764</v>
      </c>
      <c r="R10" s="8">
        <f>'DRE CAIXA SEGURIDADE CONTABIL'!S21</f>
        <v>25230.258200000004</v>
      </c>
      <c r="S10" s="8">
        <f>'DRE CAIXA SEGURIDADE CONTABIL'!T21</f>
        <v>25964.108329999999</v>
      </c>
      <c r="T10" s="8">
        <f>'DRE CAIXA SEGURIDADE CONTABIL'!U21</f>
        <v>7336.0333799999953</v>
      </c>
      <c r="U10" s="40">
        <f t="shared" si="36"/>
        <v>80462.517550000004</v>
      </c>
      <c r="V10" s="8">
        <f>'DRE CAIXA SEGURIDADE CONTABIL'!W21</f>
        <v>21301.937030000001</v>
      </c>
      <c r="W10" s="8">
        <f>'DRE CAIXA SEGURIDADE CONTABIL'!X21</f>
        <v>16936.899909999996</v>
      </c>
      <c r="X10" s="8">
        <f>'DRE CAIXA SEGURIDADE CONTABIL'!Y21</f>
        <v>32964.355299999996</v>
      </c>
      <c r="Y10" s="8">
        <f>'DRE CAIXA SEGURIDADE CONTABIL'!Z21</f>
        <v>31465.817230000004</v>
      </c>
      <c r="Z10" s="40">
        <f t="shared" si="37"/>
        <v>102669.00946999999</v>
      </c>
      <c r="AA10" s="8">
        <f>'DRE CAIXA SEGURIDADE CONTABIL'!AB21</f>
        <v>12644.4887</v>
      </c>
      <c r="AB10" s="8">
        <f>'DRE CAIXA SEGURIDADE CONTABIL'!AC21</f>
        <v>14225.909539999999</v>
      </c>
      <c r="AC10" s="8">
        <f>'DRE CAIXA SEGURIDADE CONTABIL'!AD21</f>
        <v>12723.674129999996</v>
      </c>
      <c r="AD10" s="8">
        <f>'DRE CAIXA SEGURIDADE CONTABIL'!AE21</f>
        <v>12770.426940000005</v>
      </c>
      <c r="AE10" s="40">
        <f t="shared" si="38"/>
        <v>52364.499309999999</v>
      </c>
      <c r="AF10" s="8">
        <f>'DRE CAIXA SEGURIDADE CONTABIL'!AG21</f>
        <v>12829</v>
      </c>
      <c r="AG10" s="8">
        <f>'DRE CAIXA SEGURIDADE CONTABIL'!AH21</f>
        <v>11573</v>
      </c>
      <c r="AH10" s="8">
        <f>'DRE CAIXA SEGURIDADE CONTABIL'!AI21</f>
        <v>10914</v>
      </c>
      <c r="AI10" s="8">
        <f>'DRE CAIXA SEGURIDADE CONTABIL'!AJ21</f>
        <v>10135</v>
      </c>
      <c r="AJ10" s="40">
        <f t="shared" si="39"/>
        <v>45451</v>
      </c>
      <c r="AK10" s="8">
        <f>'DRE CAIXA SEGURIDADE CONTABIL'!AL21</f>
        <v>9835</v>
      </c>
      <c r="AL10" s="8">
        <f>'DRE CAIXA SEGURIDADE CONTABIL'!AM21</f>
        <v>9894</v>
      </c>
      <c r="AM10" s="8">
        <f>'DRE CAIXA SEGURIDADE CONTABIL'!AN21</f>
        <v>9455</v>
      </c>
      <c r="AN10" s="8">
        <f>'DRE CAIXA SEGURIDADE CONTABIL'!AO21</f>
        <v>9191</v>
      </c>
      <c r="AO10" s="40">
        <f t="shared" si="40"/>
        <v>38375</v>
      </c>
      <c r="AP10" s="8">
        <f>'DRE CAIXA SEGURIDADE CONTABIL'!AQ21</f>
        <v>8653</v>
      </c>
      <c r="AQ10" s="8">
        <f>'DRE CAIXA SEGURIDADE CONTABIL'!AR21</f>
        <v>8433</v>
      </c>
      <c r="AR10" s="8">
        <f>'DRE CAIXA SEGURIDADE CONTABIL'!AS21</f>
        <v>8426</v>
      </c>
      <c r="AS10" s="8">
        <f>'DRE CAIXA SEGURIDADE CONTABIL'!AT21</f>
        <v>8327</v>
      </c>
      <c r="AT10" s="40">
        <f t="shared" si="41"/>
        <v>33839</v>
      </c>
      <c r="AU10" s="8">
        <f>'DRE CAIXA SEGURIDADE CONTABIL'!AV21</f>
        <v>7875.92695</v>
      </c>
      <c r="AV10" s="8">
        <f>'DRE CAIXA SEGURIDADE CONTABIL'!AW21</f>
        <v>7511.0418399999999</v>
      </c>
      <c r="AW10" s="8">
        <f>'DRE CAIXA SEGURIDADE CONTABIL'!AX21</f>
        <v>7278</v>
      </c>
      <c r="AX10" s="8">
        <f>'DRE CAIXA SEGURIDADE CONTABIL'!AY21</f>
        <v>7056.0540700000001</v>
      </c>
      <c r="AY10" s="40">
        <f t="shared" si="42"/>
        <v>29721.022859999997</v>
      </c>
      <c r="AZ10" s="8">
        <f>'DRE CAIXA SEGURIDADE CONTABIL'!BA21</f>
        <v>6759.0730400000002</v>
      </c>
      <c r="BA10" s="30"/>
      <c r="BB10" s="215"/>
      <c r="BC10" s="8"/>
    </row>
    <row r="11" spans="1:55" ht="14.85" customHeight="1">
      <c r="A11" s="9" t="s">
        <v>1109</v>
      </c>
      <c r="B11" s="76">
        <f>B12+B13+B14+B15</f>
        <v>72274.314849999995</v>
      </c>
      <c r="C11" s="76">
        <f t="shared" ref="C11:E11" si="43">C12+C13+C14+C15</f>
        <v>53627.248550000011</v>
      </c>
      <c r="D11" s="76">
        <f t="shared" si="43"/>
        <v>61286.999999999956</v>
      </c>
      <c r="E11" s="76">
        <f t="shared" si="43"/>
        <v>77231.477989999956</v>
      </c>
      <c r="F11" s="39">
        <f>SUM(B11:E11)</f>
        <v>264420.04138999991</v>
      </c>
      <c r="G11" s="76">
        <f t="shared" ref="G11:J11" si="44">G12+G13+G14+G15</f>
        <v>114239.4589</v>
      </c>
      <c r="H11" s="76">
        <f t="shared" si="44"/>
        <v>102601.15399000002</v>
      </c>
      <c r="I11" s="76">
        <f t="shared" si="44"/>
        <v>106159.66198999999</v>
      </c>
      <c r="J11" s="76">
        <f t="shared" si="44"/>
        <v>87987.857380000001</v>
      </c>
      <c r="K11" s="39">
        <f>SUM(G11:J11)</f>
        <v>410988.13226000004</v>
      </c>
      <c r="L11" s="76">
        <f t="shared" ref="L11:O11" si="45">L12+L13+L14+L15</f>
        <v>179064.37813</v>
      </c>
      <c r="M11" s="76">
        <f t="shared" si="45"/>
        <v>126974.04283000001</v>
      </c>
      <c r="N11" s="76">
        <f t="shared" si="45"/>
        <v>122920.81857999998</v>
      </c>
      <c r="O11" s="76">
        <f t="shared" si="45"/>
        <v>122644.89170000002</v>
      </c>
      <c r="P11" s="39">
        <f t="shared" si="35"/>
        <v>551604.13124000002</v>
      </c>
      <c r="Q11" s="76">
        <f t="shared" ref="Q11:T11" si="46">Q12+Q13+Q14+Q15</f>
        <v>152137.04510999998</v>
      </c>
      <c r="R11" s="76">
        <f t="shared" si="46"/>
        <v>146550.84269000002</v>
      </c>
      <c r="S11" s="76">
        <f t="shared" si="46"/>
        <v>151770.81214999995</v>
      </c>
      <c r="T11" s="76">
        <f t="shared" si="46"/>
        <v>89642.155390000029</v>
      </c>
      <c r="U11" s="39">
        <f t="shared" si="36"/>
        <v>540100.85534000001</v>
      </c>
      <c r="V11" s="76">
        <f t="shared" ref="V11:Y11" si="47">V12+V13+V14+V15</f>
        <v>142538.44527999999</v>
      </c>
      <c r="W11" s="76">
        <f t="shared" si="47"/>
        <v>131152.80127</v>
      </c>
      <c r="X11" s="76">
        <f t="shared" si="47"/>
        <v>289007.13811</v>
      </c>
      <c r="Y11" s="76">
        <f t="shared" si="47"/>
        <v>201610.21623999995</v>
      </c>
      <c r="Z11" s="39">
        <f t="shared" si="37"/>
        <v>764308.60089999996</v>
      </c>
      <c r="AA11" s="76">
        <f t="shared" ref="AA11:AD11" si="48">AA12+AA13+AA14+AA15</f>
        <v>62721.258690000002</v>
      </c>
      <c r="AB11" s="76">
        <f t="shared" si="48"/>
        <v>28952.937879999994</v>
      </c>
      <c r="AC11" s="76">
        <f t="shared" si="48"/>
        <v>23780.044720000013</v>
      </c>
      <c r="AD11" s="76">
        <f t="shared" si="48"/>
        <v>4405.0928699999968</v>
      </c>
      <c r="AE11" s="39">
        <f t="shared" ref="AE11" si="49">AE12+AE13+AE14</f>
        <v>119859.33416</v>
      </c>
      <c r="AF11" s="76">
        <f t="shared" ref="AF11:AI11" si="50">AF12+AF13+AF14+AF15</f>
        <v>28676</v>
      </c>
      <c r="AG11" s="76">
        <f t="shared" si="50"/>
        <v>20565</v>
      </c>
      <c r="AH11" s="76">
        <f t="shared" si="50"/>
        <v>22644</v>
      </c>
      <c r="AI11" s="76">
        <f t="shared" si="50"/>
        <v>24310</v>
      </c>
      <c r="AJ11" s="39">
        <f t="shared" si="39"/>
        <v>96195</v>
      </c>
      <c r="AK11" s="76">
        <f t="shared" ref="AK11:AN11" si="51">AK12+AK13+AK14+AK15</f>
        <v>30494</v>
      </c>
      <c r="AL11" s="76">
        <f t="shared" si="51"/>
        <v>28388</v>
      </c>
      <c r="AM11" s="76">
        <f t="shared" si="51"/>
        <v>29016</v>
      </c>
      <c r="AN11" s="76">
        <f t="shared" si="51"/>
        <v>30976</v>
      </c>
      <c r="AO11" s="39">
        <f t="shared" si="40"/>
        <v>118874</v>
      </c>
      <c r="AP11" s="76">
        <f t="shared" ref="AP11:AS11" si="52">AP12+AP13+AP14+AP15</f>
        <v>43138</v>
      </c>
      <c r="AQ11" s="76">
        <f t="shared" si="52"/>
        <v>32397</v>
      </c>
      <c r="AR11" s="76">
        <f t="shared" si="52"/>
        <v>32807</v>
      </c>
      <c r="AS11" s="76">
        <f t="shared" si="52"/>
        <v>66632</v>
      </c>
      <c r="AT11" s="39">
        <f t="shared" si="41"/>
        <v>174974</v>
      </c>
      <c r="AU11" s="76">
        <f t="shared" ref="AU11:AV11" si="53">AU12+AU13+AU14+AU15</f>
        <v>48034.70904999999</v>
      </c>
      <c r="AV11" s="76">
        <f t="shared" si="53"/>
        <v>35755</v>
      </c>
      <c r="AW11" s="76">
        <f t="shared" ref="AW11:AX11" si="54">AW12+AW13+AW14+AW15</f>
        <v>35476.726430000002</v>
      </c>
      <c r="AX11" s="76">
        <f t="shared" si="54"/>
        <v>53790.238739999993</v>
      </c>
      <c r="AY11" s="39">
        <f t="shared" si="42"/>
        <v>173056.67421999999</v>
      </c>
      <c r="AZ11" s="76">
        <f t="shared" ref="AZ11" si="55">AZ12+AZ13+AZ14+AZ15</f>
        <v>35132.101020000002</v>
      </c>
      <c r="BA11" s="30"/>
      <c r="BB11" s="215"/>
      <c r="BC11" s="8"/>
    </row>
    <row r="12" spans="1:55" ht="14.85" customHeight="1">
      <c r="A12" s="717" t="s">
        <v>294</v>
      </c>
      <c r="B12" s="8">
        <f>'DRE CAIXA SEGURIDADE CONTABIL'!C22</f>
        <v>26125</v>
      </c>
      <c r="C12" s="8">
        <f>'DRE CAIXA SEGURIDADE CONTABIL'!D22</f>
        <v>22866.000000000007</v>
      </c>
      <c r="D12" s="8">
        <f>'DRE CAIXA SEGURIDADE CONTABIL'!E22</f>
        <v>22500.000000000007</v>
      </c>
      <c r="E12" s="8">
        <f>'DRE CAIXA SEGURIDADE CONTABIL'!F22</f>
        <v>19684.368059999986</v>
      </c>
      <c r="F12" s="40">
        <f t="shared" si="33"/>
        <v>91175.368060000008</v>
      </c>
      <c r="G12" s="8">
        <f>'DRE CAIXA SEGURIDADE CONTABIL'!H22</f>
        <v>29851.235389999998</v>
      </c>
      <c r="H12" s="8">
        <f>'DRE CAIXA SEGURIDADE CONTABIL'!I22</f>
        <v>26250.789220000002</v>
      </c>
      <c r="I12" s="8">
        <f>'DRE CAIXA SEGURIDADE CONTABIL'!J22</f>
        <v>26755.961689999996</v>
      </c>
      <c r="J12" s="8">
        <f>'DRE CAIXA SEGURIDADE CONTABIL'!K22</f>
        <v>26975.38513000001</v>
      </c>
      <c r="K12" s="40">
        <f t="shared" si="34"/>
        <v>109833.37143</v>
      </c>
      <c r="L12" s="8">
        <f>'DRE CAIXA SEGURIDADE CONTABIL'!M22</f>
        <v>27957.785030000003</v>
      </c>
      <c r="M12" s="8">
        <f>'DRE CAIXA SEGURIDADE CONTABIL'!N22</f>
        <v>29093.127759999999</v>
      </c>
      <c r="N12" s="8">
        <f>'DRE CAIXA SEGURIDADE CONTABIL'!O22</f>
        <v>27761.318029999995</v>
      </c>
      <c r="O12" s="8">
        <f>'DRE CAIXA SEGURIDADE CONTABIL'!P22</f>
        <v>25639.407750000017</v>
      </c>
      <c r="P12" s="40">
        <f t="shared" si="35"/>
        <v>110451.63857000001</v>
      </c>
      <c r="Q12" s="8">
        <f>'DRE CAIXA SEGURIDADE CONTABIL'!R22</f>
        <v>26772.866249999999</v>
      </c>
      <c r="R12" s="8">
        <f>'DRE CAIXA SEGURIDADE CONTABIL'!S22</f>
        <v>27887.497800000005</v>
      </c>
      <c r="S12" s="8">
        <f>'DRE CAIXA SEGURIDADE CONTABIL'!T22</f>
        <v>27291.314809999982</v>
      </c>
      <c r="T12" s="8">
        <f>'DRE CAIXA SEGURIDADE CONTABIL'!U22</f>
        <v>25164.458940000011</v>
      </c>
      <c r="U12" s="40">
        <f t="shared" si="36"/>
        <v>107116.1378</v>
      </c>
      <c r="V12" s="8">
        <f>'DRE CAIXA SEGURIDADE CONTABIL'!W22</f>
        <v>29050.265769999998</v>
      </c>
      <c r="W12" s="8">
        <f>'DRE CAIXA SEGURIDADE CONTABIL'!X22</f>
        <v>29131.783630000005</v>
      </c>
      <c r="X12" s="8">
        <f>'DRE CAIXA SEGURIDADE CONTABIL'!Y22</f>
        <v>29096.444869999988</v>
      </c>
      <c r="Y12" s="8">
        <f>'DRE CAIXA SEGURIDADE CONTABIL'!Z22</f>
        <v>29172.094370000006</v>
      </c>
      <c r="Z12" s="40">
        <f t="shared" si="37"/>
        <v>116450.58864</v>
      </c>
      <c r="AA12" s="8">
        <f>'DRE CAIXA SEGURIDADE CONTABIL'!AB22</f>
        <v>34602.20938</v>
      </c>
      <c r="AB12" s="8">
        <f>'DRE CAIXA SEGURIDADE CONTABIL'!AC22</f>
        <v>30231.405919999994</v>
      </c>
      <c r="AC12" s="8">
        <f>'DRE CAIXA SEGURIDADE CONTABIL'!AD22</f>
        <v>30370.021090000009</v>
      </c>
      <c r="AD12" s="8">
        <f>'DRE CAIXA SEGURIDADE CONTABIL'!AE22</f>
        <v>30618.520860000001</v>
      </c>
      <c r="AE12" s="40">
        <f t="shared" si="38"/>
        <v>125822.15725</v>
      </c>
      <c r="AF12" s="8">
        <f>'DRE CAIXA SEGURIDADE CONTABIL'!AG22</f>
        <v>31384</v>
      </c>
      <c r="AG12" s="8">
        <f>'DRE CAIXA SEGURIDADE CONTABIL'!AH22</f>
        <v>30627</v>
      </c>
      <c r="AH12" s="8">
        <f>'DRE CAIXA SEGURIDADE CONTABIL'!AI22</f>
        <v>31475</v>
      </c>
      <c r="AI12" s="8">
        <f>'DRE CAIXA SEGURIDADE CONTABIL'!AJ22</f>
        <v>31581</v>
      </c>
      <c r="AJ12" s="40">
        <f t="shared" si="39"/>
        <v>125067</v>
      </c>
      <c r="AK12" s="8">
        <f>'DRE CAIXA SEGURIDADE CONTABIL'!AL22</f>
        <v>33341</v>
      </c>
      <c r="AL12" s="8">
        <f>'DRE CAIXA SEGURIDADE CONTABIL'!AM22</f>
        <v>31736</v>
      </c>
      <c r="AM12" s="8">
        <f>'DRE CAIXA SEGURIDADE CONTABIL'!AN22</f>
        <v>31689</v>
      </c>
      <c r="AN12" s="8">
        <f>'DRE CAIXA SEGURIDADE CONTABIL'!AO22</f>
        <v>32024</v>
      </c>
      <c r="AO12" s="40">
        <f t="shared" si="40"/>
        <v>128790</v>
      </c>
      <c r="AP12" s="8">
        <f>'DRE CAIXA SEGURIDADE CONTABIL'!AQ22</f>
        <v>43119</v>
      </c>
      <c r="AQ12" s="8">
        <f>'DRE CAIXA SEGURIDADE CONTABIL'!AR22</f>
        <v>32230</v>
      </c>
      <c r="AR12" s="8">
        <f>'DRE CAIXA SEGURIDADE CONTABIL'!AS22</f>
        <v>32139</v>
      </c>
      <c r="AS12" s="8">
        <f>'DRE CAIXA SEGURIDADE CONTABIL'!AT22</f>
        <v>66941</v>
      </c>
      <c r="AT12" s="40">
        <f t="shared" si="41"/>
        <v>174429</v>
      </c>
      <c r="AU12" s="8">
        <f>'DRE CAIXA SEGURIDADE CONTABIL'!AV22</f>
        <v>46526.735689999994</v>
      </c>
      <c r="AV12" s="8">
        <f>'DRE CAIXA SEGURIDADE CONTABIL'!AW22</f>
        <v>34549</v>
      </c>
      <c r="AW12" s="8">
        <f>'DRE CAIXA SEGURIDADE CONTABIL'!AX22</f>
        <v>34158.559030000004</v>
      </c>
      <c r="AX12" s="8">
        <f>'DRE CAIXA SEGURIDADE CONTABIL'!AY22</f>
        <v>52660.007639999996</v>
      </c>
      <c r="AY12" s="40">
        <f t="shared" si="42"/>
        <v>167894.30236</v>
      </c>
      <c r="AZ12" s="8">
        <f>'DRE CAIXA SEGURIDADE CONTABIL'!BA22</f>
        <v>33899.89978</v>
      </c>
      <c r="BA12" s="30"/>
      <c r="BB12" s="215"/>
      <c r="BC12" s="8"/>
    </row>
    <row r="13" spans="1:55" ht="14.85" customHeight="1">
      <c r="A13" s="717" t="s">
        <v>292</v>
      </c>
      <c r="B13" s="8">
        <f>'DRE CAIXA SEGURIDADE CONTABIL'!C23</f>
        <v>28265.000000000004</v>
      </c>
      <c r="C13" s="8">
        <f>'DRE CAIXA SEGURIDADE CONTABIL'!D23</f>
        <v>27732.000000000025</v>
      </c>
      <c r="D13" s="8">
        <f>'DRE CAIXA SEGURIDADE CONTABIL'!E23</f>
        <v>35462.999999999956</v>
      </c>
      <c r="E13" s="8">
        <f>'DRE CAIXA SEGURIDADE CONTABIL'!F23</f>
        <v>53717.819041525501</v>
      </c>
      <c r="F13" s="40">
        <f t="shared" si="33"/>
        <v>145177.81904152548</v>
      </c>
      <c r="G13" s="8">
        <f>'DRE CAIXA SEGURIDADE CONTABIL'!H23</f>
        <v>67159.019610000003</v>
      </c>
      <c r="H13" s="8">
        <f>'DRE CAIXA SEGURIDADE CONTABIL'!I23</f>
        <v>72317.752950000009</v>
      </c>
      <c r="I13" s="8">
        <f>'DRE CAIXA SEGURIDADE CONTABIL'!J23</f>
        <v>73247.401939999996</v>
      </c>
      <c r="J13" s="8">
        <f>'DRE CAIXA SEGURIDADE CONTABIL'!K23</f>
        <v>52474.558749999997</v>
      </c>
      <c r="K13" s="40">
        <f t="shared" si="34"/>
        <v>265198.73325000005</v>
      </c>
      <c r="L13" s="8">
        <f>'DRE CAIXA SEGURIDADE CONTABIL'!M23</f>
        <v>61590.879689999994</v>
      </c>
      <c r="M13" s="8">
        <f>'DRE CAIXA SEGURIDADE CONTABIL'!N23</f>
        <v>86143.474319999994</v>
      </c>
      <c r="N13" s="8">
        <f>'DRE CAIXA SEGURIDADE CONTABIL'!O23</f>
        <v>87810.21037999999</v>
      </c>
      <c r="O13" s="8">
        <f>'DRE CAIXA SEGURIDADE CONTABIL'!P23</f>
        <v>86925.616560000009</v>
      </c>
      <c r="P13" s="40">
        <f t="shared" si="35"/>
        <v>322470.18094999995</v>
      </c>
      <c r="Q13" s="8">
        <f>'DRE CAIXA SEGURIDADE CONTABIL'!R23</f>
        <v>100659.71281</v>
      </c>
      <c r="R13" s="8">
        <f>'DRE CAIXA SEGURIDADE CONTABIL'!S23</f>
        <v>108968.95843000001</v>
      </c>
      <c r="S13" s="8">
        <f>'DRE CAIXA SEGURIDADE CONTABIL'!T23</f>
        <v>116132.95714999997</v>
      </c>
      <c r="T13" s="8">
        <f>'DRE CAIXA SEGURIDADE CONTABIL'!U23</f>
        <v>96409.608730000022</v>
      </c>
      <c r="U13" s="40">
        <f t="shared" si="36"/>
        <v>422171.23712000001</v>
      </c>
      <c r="V13" s="8">
        <f>'DRE CAIXA SEGURIDADE CONTABIL'!W23</f>
        <v>106793.66065999999</v>
      </c>
      <c r="W13" s="8">
        <f>'DRE CAIXA SEGURIDADE CONTABIL'!X23</f>
        <v>95081.823250000001</v>
      </c>
      <c r="X13" s="8">
        <f>'DRE CAIXA SEGURIDADE CONTABIL'!Y23</f>
        <v>235299.88246000002</v>
      </c>
      <c r="Y13" s="8">
        <f>'DRE CAIXA SEGURIDADE CONTABIL'!Z23</f>
        <v>149988.01143999994</v>
      </c>
      <c r="Z13" s="40">
        <f t="shared" si="37"/>
        <v>587163.37780999998</v>
      </c>
      <c r="AA13" s="8">
        <f>'DRE CAIXA SEGURIDADE CONTABIL'!AB23</f>
        <v>21981.241460000001</v>
      </c>
      <c r="AB13" s="8">
        <f>'DRE CAIXA SEGURIDADE CONTABIL'!AC23</f>
        <v>-2296.3428399999998</v>
      </c>
      <c r="AC13" s="8">
        <f>'DRE CAIXA SEGURIDADE CONTABIL'!AD23</f>
        <v>-7818.3075499999977</v>
      </c>
      <c r="AD13" s="8">
        <f>'DRE CAIXA SEGURIDADE CONTABIL'!AE23</f>
        <v>-27347.608170000003</v>
      </c>
      <c r="AE13" s="40">
        <f t="shared" si="38"/>
        <v>-15481.017100000001</v>
      </c>
      <c r="AF13" s="8">
        <f>'DRE CAIXA SEGURIDADE CONTABIL'!AG23</f>
        <v>-8907</v>
      </c>
      <c r="AG13" s="8">
        <f>'DRE CAIXA SEGURIDADE CONTABIL'!AH23</f>
        <v>-11273</v>
      </c>
      <c r="AH13" s="8">
        <f>'DRE CAIXA SEGURIDADE CONTABIL'!AI23</f>
        <v>-9962</v>
      </c>
      <c r="AI13" s="8">
        <f>'DRE CAIXA SEGURIDADE CONTABIL'!AJ23</f>
        <v>-8568</v>
      </c>
      <c r="AJ13" s="40">
        <f t="shared" si="39"/>
        <v>-38710</v>
      </c>
      <c r="AK13" s="8">
        <f>'DRE CAIXA SEGURIDADE CONTABIL'!AL23</f>
        <v>-4155</v>
      </c>
      <c r="AL13" s="8">
        <f>'DRE CAIXA SEGURIDADE CONTABIL'!AM23</f>
        <v>-4215</v>
      </c>
      <c r="AM13" s="8">
        <f>'DRE CAIXA SEGURIDADE CONTABIL'!AN23</f>
        <v>-3979</v>
      </c>
      <c r="AN13" s="8">
        <f>'DRE CAIXA SEGURIDADE CONTABIL'!AO23</f>
        <v>-2332</v>
      </c>
      <c r="AO13" s="40">
        <f t="shared" si="40"/>
        <v>-14681</v>
      </c>
      <c r="AP13" s="8">
        <f>'DRE CAIXA SEGURIDADE CONTABIL'!AQ23</f>
        <v>-1190</v>
      </c>
      <c r="AQ13" s="8">
        <f>'DRE CAIXA SEGURIDADE CONTABIL'!AR23</f>
        <v>-1033</v>
      </c>
      <c r="AR13" s="8">
        <f>'DRE CAIXA SEGURIDADE CONTABIL'!AS23</f>
        <v>-508</v>
      </c>
      <c r="AS13" s="8">
        <f>'DRE CAIXA SEGURIDADE CONTABIL'!AT23</f>
        <v>-1464</v>
      </c>
      <c r="AT13" s="40">
        <f t="shared" si="41"/>
        <v>-4195</v>
      </c>
      <c r="AU13" s="8">
        <f>'DRE CAIXA SEGURIDADE CONTABIL'!AV23</f>
        <v>440.55829999999997</v>
      </c>
      <c r="AV13" s="8">
        <f>'DRE CAIXA SEGURIDADE CONTABIL'!AW23</f>
        <v>158</v>
      </c>
      <c r="AW13" s="8">
        <f>'DRE CAIXA SEGURIDADE CONTABIL'!AX23</f>
        <v>269.18612000000002</v>
      </c>
      <c r="AX13" s="8">
        <f>'DRE CAIXA SEGURIDADE CONTABIL'!AY23</f>
        <v>96.749260000000007</v>
      </c>
      <c r="AY13" s="40">
        <f t="shared" si="42"/>
        <v>964.49368000000004</v>
      </c>
      <c r="AZ13" s="8">
        <f>'DRE CAIXA SEGURIDADE CONTABIL'!BA23</f>
        <v>162.20123999999998</v>
      </c>
      <c r="BA13" s="30"/>
      <c r="BB13" s="215"/>
      <c r="BC13" s="8"/>
    </row>
    <row r="14" spans="1:55" ht="14.85" customHeight="1">
      <c r="A14" s="717" t="s">
        <v>381</v>
      </c>
      <c r="B14" s="8">
        <f>'DRE CAIXA SEGURIDADE CONTABIL'!C24</f>
        <v>4403</v>
      </c>
      <c r="C14" s="8">
        <f>'DRE CAIXA SEGURIDADE CONTABIL'!D24</f>
        <v>3029.2485499999848</v>
      </c>
      <c r="D14" s="8">
        <f>'DRE CAIXA SEGURIDADE CONTABIL'!E24</f>
        <v>3323.9999999999955</v>
      </c>
      <c r="E14" s="8">
        <f>'DRE CAIXA SEGURIDADE CONTABIL'!F24</f>
        <v>3829.2908884744661</v>
      </c>
      <c r="F14" s="40">
        <f t="shared" si="33"/>
        <v>14585.539438474447</v>
      </c>
      <c r="G14" s="8">
        <f>'DRE CAIXA SEGURIDADE CONTABIL'!H24</f>
        <v>3604.4377599999998</v>
      </c>
      <c r="H14" s="8">
        <f>'DRE CAIXA SEGURIDADE CONTABIL'!I24</f>
        <v>4032.6118200000001</v>
      </c>
      <c r="I14" s="8">
        <f>'DRE CAIXA SEGURIDADE CONTABIL'!J24</f>
        <v>6156.2983599999998</v>
      </c>
      <c r="J14" s="8">
        <f>'DRE CAIXA SEGURIDADE CONTABIL'!K24</f>
        <v>8537.9135000000024</v>
      </c>
      <c r="K14" s="40">
        <f t="shared" si="34"/>
        <v>22331.261440000002</v>
      </c>
      <c r="L14" s="8">
        <f>'DRE CAIXA SEGURIDADE CONTABIL'!M24</f>
        <v>4944.19049</v>
      </c>
      <c r="M14" s="8">
        <f>'DRE CAIXA SEGURIDADE CONTABIL'!N24</f>
        <v>9218.3194700000004</v>
      </c>
      <c r="N14" s="8">
        <f>'DRE CAIXA SEGURIDADE CONTABIL'!O24</f>
        <v>7349.2901699999984</v>
      </c>
      <c r="O14" s="8">
        <f>'DRE CAIXA SEGURIDADE CONTABIL'!P24</f>
        <v>10079.867390000001</v>
      </c>
      <c r="P14" s="40">
        <f t="shared" si="35"/>
        <v>31591.667519999995</v>
      </c>
      <c r="Q14" s="8">
        <f>'DRE CAIXA SEGURIDADE CONTABIL'!R24</f>
        <v>6645.6103600000006</v>
      </c>
      <c r="R14" s="8">
        <f>'DRE CAIXA SEGURIDADE CONTABIL'!S24</f>
        <v>9694.3864600000015</v>
      </c>
      <c r="S14" s="8">
        <f>'DRE CAIXA SEGURIDADE CONTABIL'!T24</f>
        <v>12310.321969999999</v>
      </c>
      <c r="T14" s="8">
        <f>'DRE CAIXA SEGURIDADE CONTABIL'!U24</f>
        <v>-31931.91228</v>
      </c>
      <c r="U14" s="40">
        <f t="shared" si="36"/>
        <v>-3281.5934899999993</v>
      </c>
      <c r="V14" s="8">
        <f>'DRE CAIXA SEGURIDADE CONTABIL'!W24</f>
        <v>6694.5188499999995</v>
      </c>
      <c r="W14" s="8">
        <f>'DRE CAIXA SEGURIDADE CONTABIL'!X24</f>
        <v>6939.1943900000006</v>
      </c>
      <c r="X14" s="8">
        <f>'DRE CAIXA SEGURIDADE CONTABIL'!Y24</f>
        <v>24610.81078</v>
      </c>
      <c r="Y14" s="8">
        <f>'DRE CAIXA SEGURIDADE CONTABIL'!Z24</f>
        <v>22450.110430000001</v>
      </c>
      <c r="Z14" s="40">
        <f t="shared" si="37"/>
        <v>60694.634449999998</v>
      </c>
      <c r="AA14" s="8">
        <f>'DRE CAIXA SEGURIDADE CONTABIL'!AB24</f>
        <v>6137.8078499999992</v>
      </c>
      <c r="AB14" s="8">
        <f>'DRE CAIXA SEGURIDADE CONTABIL'!AC24</f>
        <v>1017.8748000000007</v>
      </c>
      <c r="AC14" s="8">
        <f>'DRE CAIXA SEGURIDADE CONTABIL'!AD24</f>
        <v>1228.3311800000001</v>
      </c>
      <c r="AD14" s="8">
        <f>'DRE CAIXA SEGURIDADE CONTABIL'!AE24</f>
        <v>1134.1801799999996</v>
      </c>
      <c r="AE14" s="40">
        <f t="shared" si="38"/>
        <v>9518.1940099999993</v>
      </c>
      <c r="AF14" s="8">
        <f>'DRE CAIXA SEGURIDADE CONTABIL'!AG24</f>
        <v>6199</v>
      </c>
      <c r="AG14" s="8">
        <f>'DRE CAIXA SEGURIDADE CONTABIL'!AH24</f>
        <v>1211</v>
      </c>
      <c r="AH14" s="8">
        <f>'DRE CAIXA SEGURIDADE CONTABIL'!AI24</f>
        <v>1131</v>
      </c>
      <c r="AI14" s="8">
        <f>'DRE CAIXA SEGURIDADE CONTABIL'!AJ24</f>
        <v>1297</v>
      </c>
      <c r="AJ14" s="40">
        <f t="shared" si="39"/>
        <v>9838</v>
      </c>
      <c r="AK14" s="8">
        <f>'DRE CAIXA SEGURIDADE CONTABIL'!AL24</f>
        <v>1308</v>
      </c>
      <c r="AL14" s="8">
        <f>'DRE CAIXA SEGURIDADE CONTABIL'!AM24</f>
        <v>867</v>
      </c>
      <c r="AM14" s="8">
        <f>'DRE CAIXA SEGURIDADE CONTABIL'!AN24</f>
        <v>1306</v>
      </c>
      <c r="AN14" s="8">
        <f>'DRE CAIXA SEGURIDADE CONTABIL'!AO24</f>
        <v>1284</v>
      </c>
      <c r="AO14" s="40">
        <f t="shared" si="40"/>
        <v>4765</v>
      </c>
      <c r="AP14" s="8">
        <f>'DRE CAIXA SEGURIDADE CONTABIL'!AQ24</f>
        <v>1209</v>
      </c>
      <c r="AQ14" s="8">
        <f>'DRE CAIXA SEGURIDADE CONTABIL'!AR24</f>
        <v>1200</v>
      </c>
      <c r="AR14" s="8">
        <f>'DRE CAIXA SEGURIDADE CONTABIL'!AS24</f>
        <v>1176</v>
      </c>
      <c r="AS14" s="8">
        <f>'DRE CAIXA SEGURIDADE CONTABIL'!AT24</f>
        <v>1155</v>
      </c>
      <c r="AT14" s="40">
        <f t="shared" si="41"/>
        <v>4740</v>
      </c>
      <c r="AU14" s="8">
        <f>'DRE CAIXA SEGURIDADE CONTABIL'!AV24</f>
        <v>1067.41506</v>
      </c>
      <c r="AV14" s="8">
        <f>'DRE CAIXA SEGURIDADE CONTABIL'!AW24</f>
        <v>1048</v>
      </c>
      <c r="AW14" s="8">
        <f>'DRE CAIXA SEGURIDADE CONTABIL'!AX24</f>
        <v>1048.9812799999997</v>
      </c>
      <c r="AX14" s="8">
        <f>'DRE CAIXA SEGURIDADE CONTABIL'!AY24</f>
        <v>1033.4818400000001</v>
      </c>
      <c r="AY14" s="40">
        <f t="shared" si="42"/>
        <v>4197.8781800000006</v>
      </c>
      <c r="AZ14" s="8">
        <f>'DRE CAIXA SEGURIDADE CONTABIL'!BA24</f>
        <v>1070</v>
      </c>
      <c r="BA14" s="30"/>
      <c r="BB14" s="215"/>
      <c r="BC14" s="8"/>
    </row>
    <row r="15" spans="1:55" ht="14.85" customHeight="1">
      <c r="A15" s="717" t="s">
        <v>286</v>
      </c>
      <c r="B15" s="8">
        <f>'DRE CAIXA SEGURIDADE CONTABIL'!C25</f>
        <v>13481.314849999999</v>
      </c>
      <c r="C15" s="8">
        <f>'DRE CAIXA SEGURIDADE CONTABIL'!D25</f>
        <v>0</v>
      </c>
      <c r="D15" s="8">
        <f>'DRE CAIXA SEGURIDADE CONTABIL'!E25</f>
        <v>0</v>
      </c>
      <c r="E15" s="8">
        <f>'DRE CAIXA SEGURIDADE CONTABIL'!F25</f>
        <v>0</v>
      </c>
      <c r="F15" s="40">
        <f t="shared" si="33"/>
        <v>13481.314849999999</v>
      </c>
      <c r="G15" s="8">
        <f>'DRE CAIXA SEGURIDADE CONTABIL'!H25</f>
        <v>13624.76614</v>
      </c>
      <c r="H15" s="8">
        <f>'DRE CAIXA SEGURIDADE CONTABIL'!I25</f>
        <v>0</v>
      </c>
      <c r="I15" s="8">
        <f>'DRE CAIXA SEGURIDADE CONTABIL'!J25</f>
        <v>0</v>
      </c>
      <c r="J15" s="8">
        <f>'DRE CAIXA SEGURIDADE CONTABIL'!K25</f>
        <v>0</v>
      </c>
      <c r="K15" s="40">
        <f t="shared" si="34"/>
        <v>13624.76614</v>
      </c>
      <c r="L15" s="8">
        <f>'DRE CAIXA SEGURIDADE CONTABIL'!M25</f>
        <v>84571.522920000003</v>
      </c>
      <c r="M15" s="8">
        <f>'DRE CAIXA SEGURIDADE CONTABIL'!N25</f>
        <v>2519.1212800000012</v>
      </c>
      <c r="N15" s="8">
        <f>'DRE CAIXA SEGURIDADE CONTABIL'!O25</f>
        <v>0</v>
      </c>
      <c r="O15" s="8">
        <f>'DRE CAIXA SEGURIDADE CONTABIL'!P25</f>
        <v>0</v>
      </c>
      <c r="P15" s="40">
        <f t="shared" si="35"/>
        <v>87090.64420000001</v>
      </c>
      <c r="Q15" s="8">
        <f>'DRE CAIXA SEGURIDADE CONTABIL'!R25</f>
        <v>18058.85569</v>
      </c>
      <c r="R15" s="8">
        <f>'DRE CAIXA SEGURIDADE CONTABIL'!S25</f>
        <v>0</v>
      </c>
      <c r="S15" s="8">
        <f>'DRE CAIXA SEGURIDADE CONTABIL'!T25</f>
        <v>-3963.7817800000012</v>
      </c>
      <c r="T15" s="8">
        <f>'DRE CAIXA SEGURIDADE CONTABIL'!U25</f>
        <v>0</v>
      </c>
      <c r="U15" s="40">
        <f t="shared" si="36"/>
        <v>14095.073909999999</v>
      </c>
      <c r="V15" s="8">
        <f>'DRE CAIXA SEGURIDADE CONTABIL'!W25</f>
        <v>0</v>
      </c>
      <c r="W15" s="8">
        <f>'DRE CAIXA SEGURIDADE CONTABIL'!X25</f>
        <v>0</v>
      </c>
      <c r="X15" s="8">
        <f>'DRE CAIXA SEGURIDADE CONTABIL'!Y25</f>
        <v>0</v>
      </c>
      <c r="Y15" s="8">
        <f>'DRE CAIXA SEGURIDADE CONTABIL'!Z25</f>
        <v>0</v>
      </c>
      <c r="Z15" s="40"/>
      <c r="AA15" s="8">
        <f>'DRE CAIXA SEGURIDADE CONTABIL'!AB25</f>
        <v>0</v>
      </c>
      <c r="AB15" s="8">
        <f>'DRE CAIXA SEGURIDADE CONTABIL'!AC25</f>
        <v>0</v>
      </c>
      <c r="AC15" s="8">
        <f>'DRE CAIXA SEGURIDADE CONTABIL'!AD25</f>
        <v>0</v>
      </c>
      <c r="AD15" s="8">
        <f>'DRE CAIXA SEGURIDADE CONTABIL'!AE25</f>
        <v>0</v>
      </c>
      <c r="AE15" s="40"/>
      <c r="AF15" s="8">
        <f>'DRE CAIXA SEGURIDADE CONTABIL'!AG25</f>
        <v>0</v>
      </c>
      <c r="AG15" s="8">
        <f>'DRE CAIXA SEGURIDADE CONTABIL'!AH25</f>
        <v>0</v>
      </c>
      <c r="AH15" s="8">
        <f>'DRE CAIXA SEGURIDADE CONTABIL'!AI25</f>
        <v>0</v>
      </c>
      <c r="AI15" s="8">
        <f>'DRE CAIXA SEGURIDADE CONTABIL'!AJ25</f>
        <v>0</v>
      </c>
      <c r="AJ15" s="40"/>
      <c r="AK15" s="8">
        <f>'DRE CAIXA SEGURIDADE CONTABIL'!AL25</f>
        <v>0</v>
      </c>
      <c r="AL15" s="8">
        <f>'DRE CAIXA SEGURIDADE CONTABIL'!AM25</f>
        <v>0</v>
      </c>
      <c r="AM15" s="8">
        <f>'DRE CAIXA SEGURIDADE CONTABIL'!AN25</f>
        <v>0</v>
      </c>
      <c r="AN15" s="8">
        <f>'DRE CAIXA SEGURIDADE CONTABIL'!AO25</f>
        <v>0</v>
      </c>
      <c r="AO15" s="40"/>
      <c r="AP15" s="8">
        <f>'DRE CAIXA SEGURIDADE CONTABIL'!AQ25</f>
        <v>0</v>
      </c>
      <c r="AQ15" s="8">
        <f>'DRE CAIXA SEGURIDADE CONTABIL'!AR25</f>
        <v>0</v>
      </c>
      <c r="AR15" s="8">
        <f>'DRE CAIXA SEGURIDADE CONTABIL'!AS25</f>
        <v>0</v>
      </c>
      <c r="AS15" s="8">
        <f>'DRE CAIXA SEGURIDADE CONTABIL'!AT25</f>
        <v>0</v>
      </c>
      <c r="AT15" s="40"/>
      <c r="AU15" s="8">
        <f>'DRE CAIXA SEGURIDADE CONTABIL'!AV25</f>
        <v>0</v>
      </c>
      <c r="AV15" s="8">
        <f>'DRE CAIXA SEGURIDADE CONTABIL'!AW25</f>
        <v>0</v>
      </c>
      <c r="AW15" s="8">
        <f>'DRE CAIXA SEGURIDADE CONTABIL'!AX25</f>
        <v>0</v>
      </c>
      <c r="AX15" s="8">
        <f>'DRE CAIXA SEGURIDADE CONTABIL'!AY25</f>
        <v>0</v>
      </c>
      <c r="AY15" s="40"/>
      <c r="AZ15" s="8">
        <f>'DRE CAIXA SEGURIDADE CONTABIL'!BA25</f>
        <v>0</v>
      </c>
      <c r="BA15" s="30"/>
      <c r="BB15" s="215"/>
      <c r="BC15" s="8"/>
    </row>
    <row r="16" spans="1:55">
      <c r="A16" s="54" t="s">
        <v>1110</v>
      </c>
      <c r="B16" s="76"/>
      <c r="C16" s="76"/>
      <c r="D16" s="76"/>
      <c r="E16" s="76"/>
      <c r="F16" s="39"/>
      <c r="G16" s="76"/>
      <c r="H16" s="76"/>
      <c r="I16" s="76"/>
      <c r="J16" s="76"/>
      <c r="K16" s="39"/>
      <c r="L16" s="76"/>
      <c r="M16" s="76"/>
      <c r="N16" s="76"/>
      <c r="O16" s="76"/>
      <c r="P16" s="39"/>
      <c r="Q16" s="76"/>
      <c r="R16" s="76"/>
      <c r="S16" s="76"/>
      <c r="T16" s="76"/>
      <c r="U16" s="39"/>
      <c r="V16" s="76"/>
      <c r="W16" s="76"/>
      <c r="X16" s="76"/>
      <c r="Y16" s="76"/>
      <c r="Z16" s="39"/>
      <c r="AA16" s="76"/>
      <c r="AB16" s="76"/>
      <c r="AC16" s="76"/>
      <c r="AD16" s="76"/>
      <c r="AE16" s="39"/>
      <c r="AF16" s="76"/>
      <c r="AG16" s="76"/>
      <c r="AH16" s="76"/>
      <c r="AI16" s="76"/>
      <c r="AJ16" s="39"/>
      <c r="AK16" s="76"/>
      <c r="AL16" s="76"/>
      <c r="AM16" s="76"/>
      <c r="AN16" s="76"/>
      <c r="AO16" s="39"/>
      <c r="AP16" s="76"/>
      <c r="AQ16" s="76"/>
      <c r="AR16" s="76"/>
      <c r="AS16" s="76"/>
      <c r="AT16" s="39"/>
      <c r="AU16" s="76"/>
      <c r="AV16" s="76"/>
      <c r="AW16" s="76"/>
      <c r="AX16" s="76"/>
      <c r="AY16" s="39"/>
      <c r="AZ16" s="76"/>
      <c r="BA16" s="30"/>
      <c r="BB16" s="30"/>
      <c r="BC16" s="8"/>
    </row>
    <row r="17" spans="1:55" ht="14.85" customHeight="1">
      <c r="A17" s="9" t="s">
        <v>1108</v>
      </c>
      <c r="B17" s="719">
        <f>SUM(B18:B20)</f>
        <v>0</v>
      </c>
      <c r="C17" s="719">
        <f t="shared" ref="C17:E17" si="56">SUM(C18:C20)</f>
        <v>0</v>
      </c>
      <c r="D17" s="719">
        <f t="shared" si="56"/>
        <v>0</v>
      </c>
      <c r="E17" s="719">
        <f t="shared" si="56"/>
        <v>0</v>
      </c>
      <c r="F17" s="39">
        <f t="shared" ref="F17" si="57">SUM(B17:E17)</f>
        <v>0</v>
      </c>
      <c r="G17" s="76">
        <f>SUM(G18:G20)</f>
        <v>0</v>
      </c>
      <c r="H17" s="76">
        <f t="shared" ref="H17" si="58">SUM(H18:H20)</f>
        <v>0</v>
      </c>
      <c r="I17" s="76">
        <f t="shared" ref="I17" si="59">SUM(I18:I20)</f>
        <v>0</v>
      </c>
      <c r="J17" s="76">
        <f t="shared" ref="J17" si="60">SUM(J18:J20)</f>
        <v>0</v>
      </c>
      <c r="K17" s="39">
        <f t="shared" ref="K17" si="61">SUM(G17:J17)</f>
        <v>0</v>
      </c>
      <c r="L17" s="76">
        <f>SUM(L18:L20)</f>
        <v>0</v>
      </c>
      <c r="M17" s="76">
        <f t="shared" ref="M17" si="62">SUM(M18:M20)</f>
        <v>0</v>
      </c>
      <c r="N17" s="76">
        <f t="shared" ref="N17" si="63">SUM(N18:N20)</f>
        <v>0</v>
      </c>
      <c r="O17" s="76">
        <f t="shared" ref="O17" si="64">SUM(O18:O20)</f>
        <v>0</v>
      </c>
      <c r="P17" s="39"/>
      <c r="Q17" s="76">
        <f>SUM(Q18:Q20)</f>
        <v>0</v>
      </c>
      <c r="R17" s="76">
        <f t="shared" ref="R17" si="65">SUM(R18:R20)</f>
        <v>0</v>
      </c>
      <c r="S17" s="76">
        <f t="shared" ref="S17:T17" si="66">SUM(S18:S20)</f>
        <v>0</v>
      </c>
      <c r="T17" s="76">
        <f t="shared" si="66"/>
        <v>0</v>
      </c>
      <c r="U17" s="39"/>
      <c r="V17" s="76">
        <f>SUM(V18:V20)</f>
        <v>0</v>
      </c>
      <c r="W17" s="76">
        <f t="shared" ref="W17" si="67">SUM(W18:W20)</f>
        <v>0</v>
      </c>
      <c r="X17" s="76">
        <f t="shared" ref="X17" si="68">SUM(X18:X20)</f>
        <v>0</v>
      </c>
      <c r="Y17" s="76">
        <f t="shared" ref="Y17" si="69">SUM(Y18:Y20)</f>
        <v>0</v>
      </c>
      <c r="Z17" s="39"/>
      <c r="AA17" s="76">
        <f>SUM(AA18:AA20)</f>
        <v>13344.21117</v>
      </c>
      <c r="AB17" s="76">
        <f t="shared" ref="AB17" si="70">SUM(AB18:AB20)</f>
        <v>16520.48747</v>
      </c>
      <c r="AC17" s="76">
        <f t="shared" ref="AC17" si="71">SUM(AC18:AC20)</f>
        <v>25843.37875</v>
      </c>
      <c r="AD17" s="76">
        <f t="shared" ref="AD17" si="72">SUM(AD18:AD20)</f>
        <v>39181.346659999996</v>
      </c>
      <c r="AE17" s="39">
        <f t="shared" ref="AE17" si="73">SUM(AA17:AD17)</f>
        <v>94889.424050000001</v>
      </c>
      <c r="AF17" s="76">
        <f>SUM(AF18:AF20)</f>
        <v>58296</v>
      </c>
      <c r="AG17" s="76">
        <f t="shared" ref="AG17" si="74">SUM(AG18:AG20)</f>
        <v>93454</v>
      </c>
      <c r="AH17" s="76">
        <f t="shared" ref="AH17" si="75">SUM(AH18:AH20)</f>
        <v>121897</v>
      </c>
      <c r="AI17" s="76">
        <f t="shared" ref="AI17" si="76">SUM(AI18:AI20)</f>
        <v>121749</v>
      </c>
      <c r="AJ17" s="39">
        <f t="shared" ref="AJ17" si="77">SUM(AF17:AI17)</f>
        <v>395396</v>
      </c>
      <c r="AK17" s="76">
        <f>SUM(AK18:AK20)</f>
        <v>124207</v>
      </c>
      <c r="AL17" s="76">
        <f t="shared" ref="AL17" si="78">SUM(AL18:AL20)</f>
        <v>127183</v>
      </c>
      <c r="AM17" s="76">
        <f t="shared" ref="AM17" si="79">SUM(AM18:AM20)</f>
        <v>151345</v>
      </c>
      <c r="AN17" s="76">
        <f t="shared" ref="AN17" si="80">SUM(AN18:AN20)</f>
        <v>153480</v>
      </c>
      <c r="AO17" s="39">
        <f t="shared" ref="AO17" si="81">SUM(AK17:AN17)</f>
        <v>556215</v>
      </c>
      <c r="AP17" s="76">
        <f t="shared" ref="AP17" si="82">SUM(AP18:AP20)</f>
        <v>149503</v>
      </c>
      <c r="AQ17" s="76">
        <f t="shared" ref="AQ17" si="83">SUM(AQ18:AQ20)</f>
        <v>135770</v>
      </c>
      <c r="AR17" s="76">
        <f t="shared" ref="AR17" si="84">SUM(AR18:AR20)</f>
        <v>155405</v>
      </c>
      <c r="AS17" s="76">
        <f t="shared" ref="AS17:AU17" si="85">SUM(AS18:AS20)</f>
        <v>189529</v>
      </c>
      <c r="AT17" s="39">
        <f t="shared" ref="AT17" si="86">SUM(AP17:AS17)</f>
        <v>630207</v>
      </c>
      <c r="AU17" s="76">
        <f t="shared" si="85"/>
        <v>213067.63790999999</v>
      </c>
      <c r="AV17" s="76">
        <f t="shared" ref="AV17:AW17" si="87">SUM(AV18:AV20)</f>
        <v>193601.03396000003</v>
      </c>
      <c r="AW17" s="76">
        <f t="shared" si="87"/>
        <v>211302.76010000004</v>
      </c>
      <c r="AX17" s="76">
        <f t="shared" ref="AX17:AZ17" si="88">SUM(AX18:AX20)</f>
        <v>219766.19878000004</v>
      </c>
      <c r="AY17" s="39">
        <f t="shared" ref="AY17" si="89">SUM(AU17:AX17)</f>
        <v>837737.63075000001</v>
      </c>
      <c r="AZ17" s="76">
        <f t="shared" si="88"/>
        <v>217437.09002999999</v>
      </c>
      <c r="BA17" s="30"/>
      <c r="BB17" s="30"/>
      <c r="BC17" s="8"/>
    </row>
    <row r="18" spans="1:55" ht="14.85" customHeight="1">
      <c r="A18" s="717" t="s">
        <v>275</v>
      </c>
      <c r="B18" s="8">
        <f>'DRE CAIXA SEGURIDADE CONTABIL'!C32</f>
        <v>0</v>
      </c>
      <c r="C18" s="8">
        <f>'DRE CAIXA SEGURIDADE CONTABIL'!D32</f>
        <v>0</v>
      </c>
      <c r="D18" s="8">
        <f>'DRE CAIXA SEGURIDADE CONTABIL'!E32</f>
        <v>0</v>
      </c>
      <c r="E18" s="8">
        <f>'DRE CAIXA SEGURIDADE CONTABIL'!F32</f>
        <v>0</v>
      </c>
      <c r="F18" s="40">
        <f t="shared" si="33"/>
        <v>0</v>
      </c>
      <c r="G18" s="8">
        <f>'DRE CAIXA SEGURIDADE CONTABIL'!H32</f>
        <v>0</v>
      </c>
      <c r="H18" s="8">
        <f>'DRE CAIXA SEGURIDADE CONTABIL'!I32</f>
        <v>0</v>
      </c>
      <c r="I18" s="8">
        <f>'DRE CAIXA SEGURIDADE CONTABIL'!J32</f>
        <v>0</v>
      </c>
      <c r="J18" s="8">
        <f>'DRE CAIXA SEGURIDADE CONTABIL'!K32</f>
        <v>0</v>
      </c>
      <c r="K18" s="40">
        <f t="shared" si="34"/>
        <v>0</v>
      </c>
      <c r="L18" s="8">
        <f>'DRE CAIXA SEGURIDADE CONTABIL'!M32</f>
        <v>0</v>
      </c>
      <c r="M18" s="8">
        <f>'DRE CAIXA SEGURIDADE CONTABIL'!N32</f>
        <v>0</v>
      </c>
      <c r="N18" s="8">
        <f>'DRE CAIXA SEGURIDADE CONTABIL'!O32</f>
        <v>0</v>
      </c>
      <c r="O18" s="8">
        <f>'DRE CAIXA SEGURIDADE CONTABIL'!P32</f>
        <v>0</v>
      </c>
      <c r="P18" s="40">
        <f t="shared" si="35"/>
        <v>0</v>
      </c>
      <c r="Q18" s="8">
        <f>'DRE CAIXA SEGURIDADE CONTABIL'!R32</f>
        <v>0</v>
      </c>
      <c r="R18" s="8">
        <f>'DRE CAIXA SEGURIDADE CONTABIL'!S32</f>
        <v>0</v>
      </c>
      <c r="S18" s="8">
        <f>'DRE CAIXA SEGURIDADE CONTABIL'!T32</f>
        <v>0</v>
      </c>
      <c r="T18" s="8">
        <f>'DRE CAIXA SEGURIDADE CONTABIL'!U32</f>
        <v>0</v>
      </c>
      <c r="U18" s="40">
        <f t="shared" si="36"/>
        <v>0</v>
      </c>
      <c r="V18" s="8">
        <f>'DRE CAIXA SEGURIDADE CONTABIL'!W32</f>
        <v>0</v>
      </c>
      <c r="W18" s="8">
        <f>'DRE CAIXA SEGURIDADE CONTABIL'!X32</f>
        <v>0</v>
      </c>
      <c r="X18" s="8">
        <f>'DRE CAIXA SEGURIDADE CONTABIL'!Y32</f>
        <v>0</v>
      </c>
      <c r="Y18" s="8">
        <f>'DRE CAIXA SEGURIDADE CONTABIL'!Z32</f>
        <v>0</v>
      </c>
      <c r="Z18" s="40">
        <f t="shared" si="37"/>
        <v>0</v>
      </c>
      <c r="AA18" s="8">
        <f>'DRE CAIXA SEGURIDADE CONTABIL'!AB32</f>
        <v>0</v>
      </c>
      <c r="AB18" s="8">
        <f>'DRE CAIXA SEGURIDADE CONTABIL'!AC32</f>
        <v>0</v>
      </c>
      <c r="AC18" s="8">
        <f>'DRE CAIXA SEGURIDADE CONTABIL'!AD32</f>
        <v>6379.6751800000002</v>
      </c>
      <c r="AD18" s="8">
        <f>'DRE CAIXA SEGURIDADE CONTABIL'!AE32</f>
        <v>8454.2459299999991</v>
      </c>
      <c r="AE18" s="40">
        <f t="shared" si="38"/>
        <v>14833.921109999999</v>
      </c>
      <c r="AF18" s="8">
        <f>'DRE CAIXA SEGURIDADE CONTABIL'!AG32</f>
        <v>6028</v>
      </c>
      <c r="AG18" s="8">
        <f>'DRE CAIXA SEGURIDADE CONTABIL'!AH32</f>
        <v>13727</v>
      </c>
      <c r="AH18" s="8">
        <f>'DRE CAIXA SEGURIDADE CONTABIL'!AI32</f>
        <v>20490</v>
      </c>
      <c r="AI18" s="8">
        <f>'DRE CAIXA SEGURIDADE CONTABIL'!AJ32</f>
        <v>14749</v>
      </c>
      <c r="AJ18" s="40">
        <f t="shared" si="39"/>
        <v>54994</v>
      </c>
      <c r="AK18" s="8">
        <f>'DRE CAIXA SEGURIDADE CONTABIL'!AL32</f>
        <v>21581</v>
      </c>
      <c r="AL18" s="8">
        <f>'DRE CAIXA SEGURIDADE CONTABIL'!AM32</f>
        <v>23032</v>
      </c>
      <c r="AM18" s="8">
        <f>'DRE CAIXA SEGURIDADE CONTABIL'!AN32</f>
        <v>30344</v>
      </c>
      <c r="AN18" s="8">
        <f>'DRE CAIXA SEGURIDADE CONTABIL'!AO32</f>
        <v>28879</v>
      </c>
      <c r="AO18" s="40">
        <f t="shared" si="40"/>
        <v>103836</v>
      </c>
      <c r="AP18" s="8">
        <f>'DRE CAIXA SEGURIDADE CONTABIL'!AQ32</f>
        <v>28589</v>
      </c>
      <c r="AQ18" s="8">
        <f>'DRE CAIXA SEGURIDADE CONTABIL'!AR32</f>
        <v>24483</v>
      </c>
      <c r="AR18" s="8">
        <f>'DRE CAIXA SEGURIDADE CONTABIL'!AS32</f>
        <v>26014</v>
      </c>
      <c r="AS18" s="8">
        <f>'DRE CAIXA SEGURIDADE CONTABIL'!AT32</f>
        <v>28803</v>
      </c>
      <c r="AT18" s="40">
        <f t="shared" si="41"/>
        <v>107889</v>
      </c>
      <c r="AU18" s="8">
        <f>'DRE CAIXA SEGURIDADE CONTABIL'!AV32</f>
        <v>30113.047649999997</v>
      </c>
      <c r="AV18" s="8">
        <f>'DRE CAIXA SEGURIDADE CONTABIL'!AW32</f>
        <v>31462</v>
      </c>
      <c r="AW18" s="8">
        <f>'DRE CAIXA SEGURIDADE CONTABIL'!AX32</f>
        <v>35996.749249999993</v>
      </c>
      <c r="AX18" s="8">
        <f>'DRE CAIXA SEGURIDADE CONTABIL'!AY32</f>
        <v>38459.375310000003</v>
      </c>
      <c r="AY18" s="40">
        <f t="shared" si="42"/>
        <v>136031.17220999999</v>
      </c>
      <c r="AZ18" s="8">
        <f>'DRE CAIXA SEGURIDADE CONTABIL'!BA32</f>
        <v>39250.161209999998</v>
      </c>
      <c r="BA18" s="30"/>
      <c r="BB18" s="753"/>
      <c r="BC18" s="8"/>
    </row>
    <row r="19" spans="1:55" ht="14.85" customHeight="1">
      <c r="A19" s="717" t="s">
        <v>277</v>
      </c>
      <c r="B19" s="8">
        <f>'DRE CAIXA SEGURIDADE CONTABIL'!C33</f>
        <v>0</v>
      </c>
      <c r="C19" s="8">
        <f>'DRE CAIXA SEGURIDADE CONTABIL'!D33</f>
        <v>0</v>
      </c>
      <c r="D19" s="8">
        <f>'DRE CAIXA SEGURIDADE CONTABIL'!E33</f>
        <v>0</v>
      </c>
      <c r="E19" s="8">
        <f>'DRE CAIXA SEGURIDADE CONTABIL'!F33</f>
        <v>0</v>
      </c>
      <c r="F19" s="40">
        <f t="shared" si="33"/>
        <v>0</v>
      </c>
      <c r="G19" s="8">
        <f>'DRE CAIXA SEGURIDADE CONTABIL'!H33</f>
        <v>0</v>
      </c>
      <c r="H19" s="8">
        <f>'DRE CAIXA SEGURIDADE CONTABIL'!I33</f>
        <v>0</v>
      </c>
      <c r="I19" s="8">
        <f>'DRE CAIXA SEGURIDADE CONTABIL'!J33</f>
        <v>0</v>
      </c>
      <c r="J19" s="8">
        <f>'DRE CAIXA SEGURIDADE CONTABIL'!K33</f>
        <v>0</v>
      </c>
      <c r="K19" s="40">
        <f t="shared" si="34"/>
        <v>0</v>
      </c>
      <c r="L19" s="8">
        <f>'DRE CAIXA SEGURIDADE CONTABIL'!M33</f>
        <v>0</v>
      </c>
      <c r="M19" s="8">
        <f>'DRE CAIXA SEGURIDADE CONTABIL'!N33</f>
        <v>0</v>
      </c>
      <c r="N19" s="8">
        <f>'DRE CAIXA SEGURIDADE CONTABIL'!O33</f>
        <v>0</v>
      </c>
      <c r="O19" s="8">
        <f>'DRE CAIXA SEGURIDADE CONTABIL'!P33</f>
        <v>0</v>
      </c>
      <c r="P19" s="40">
        <f t="shared" si="35"/>
        <v>0</v>
      </c>
      <c r="Q19" s="8">
        <f>'DRE CAIXA SEGURIDADE CONTABIL'!R33</f>
        <v>0</v>
      </c>
      <c r="R19" s="8">
        <f>'DRE CAIXA SEGURIDADE CONTABIL'!S33</f>
        <v>0</v>
      </c>
      <c r="S19" s="8">
        <f>'DRE CAIXA SEGURIDADE CONTABIL'!T33</f>
        <v>0</v>
      </c>
      <c r="T19" s="8">
        <f>'DRE CAIXA SEGURIDADE CONTABIL'!U33</f>
        <v>0</v>
      </c>
      <c r="U19" s="40">
        <f t="shared" si="36"/>
        <v>0</v>
      </c>
      <c r="V19" s="8">
        <f>'DRE CAIXA SEGURIDADE CONTABIL'!W33</f>
        <v>0</v>
      </c>
      <c r="W19" s="8">
        <f>'DRE CAIXA SEGURIDADE CONTABIL'!X33</f>
        <v>0</v>
      </c>
      <c r="X19" s="8">
        <f>'DRE CAIXA SEGURIDADE CONTABIL'!Y33</f>
        <v>0</v>
      </c>
      <c r="Y19" s="8">
        <f>'DRE CAIXA SEGURIDADE CONTABIL'!Z33</f>
        <v>0</v>
      </c>
      <c r="Z19" s="40">
        <f t="shared" si="37"/>
        <v>0</v>
      </c>
      <c r="AA19" s="8">
        <f>'DRE CAIXA SEGURIDADE CONTABIL'!AB33</f>
        <v>0</v>
      </c>
      <c r="AB19" s="8">
        <f>'DRE CAIXA SEGURIDADE CONTABIL'!AC33</f>
        <v>0</v>
      </c>
      <c r="AC19" s="8">
        <f>'DRE CAIXA SEGURIDADE CONTABIL'!AD33</f>
        <v>625.17274999999995</v>
      </c>
      <c r="AD19" s="8">
        <f>'DRE CAIXA SEGURIDADE CONTABIL'!AE33</f>
        <v>7527.6387500000001</v>
      </c>
      <c r="AE19" s="40">
        <f t="shared" si="38"/>
        <v>8152.8114999999998</v>
      </c>
      <c r="AF19" s="8">
        <f>'DRE CAIXA SEGURIDADE CONTABIL'!AG33</f>
        <v>29931</v>
      </c>
      <c r="AG19" s="8">
        <f>'DRE CAIXA SEGURIDADE CONTABIL'!AH33</f>
        <v>56516</v>
      </c>
      <c r="AH19" s="8">
        <f>'DRE CAIXA SEGURIDADE CONTABIL'!AI33</f>
        <v>78055</v>
      </c>
      <c r="AI19" s="8">
        <f>'DRE CAIXA SEGURIDADE CONTABIL'!AJ33</f>
        <v>90656</v>
      </c>
      <c r="AJ19" s="40">
        <f t="shared" si="39"/>
        <v>255158</v>
      </c>
      <c r="AK19" s="8">
        <f>'DRE CAIXA SEGURIDADE CONTABIL'!AL33</f>
        <v>84791</v>
      </c>
      <c r="AL19" s="8">
        <f>'DRE CAIXA SEGURIDADE CONTABIL'!AM33</f>
        <v>85412</v>
      </c>
      <c r="AM19" s="8">
        <f>'DRE CAIXA SEGURIDADE CONTABIL'!AN33</f>
        <v>101694</v>
      </c>
      <c r="AN19" s="8">
        <f>'DRE CAIXA SEGURIDADE CONTABIL'!AO33</f>
        <v>106181</v>
      </c>
      <c r="AO19" s="40">
        <f t="shared" si="40"/>
        <v>378078</v>
      </c>
      <c r="AP19" s="8">
        <f>'DRE CAIXA SEGURIDADE CONTABIL'!AQ33</f>
        <v>101221</v>
      </c>
      <c r="AQ19" s="8">
        <f>'DRE CAIXA SEGURIDADE CONTABIL'!AR33</f>
        <v>92460</v>
      </c>
      <c r="AR19" s="8">
        <f>'DRE CAIXA SEGURIDADE CONTABIL'!AS33</f>
        <v>108665</v>
      </c>
      <c r="AS19" s="8">
        <f>'DRE CAIXA SEGURIDADE CONTABIL'!AT33</f>
        <v>137759</v>
      </c>
      <c r="AT19" s="40">
        <f t="shared" si="41"/>
        <v>440105</v>
      </c>
      <c r="AU19" s="8">
        <f>'DRE CAIXA SEGURIDADE CONTABIL'!AV33</f>
        <v>160925.9228</v>
      </c>
      <c r="AV19" s="8">
        <f>'DRE CAIXA SEGURIDADE CONTABIL'!AW33</f>
        <v>143328.89732000005</v>
      </c>
      <c r="AW19" s="8">
        <f>'DRE CAIXA SEGURIDADE CONTABIL'!AX33</f>
        <v>152423.90014000004</v>
      </c>
      <c r="AX19" s="8">
        <f>'DRE CAIXA SEGURIDADE CONTABIL'!AY33</f>
        <v>160613.83526000005</v>
      </c>
      <c r="AY19" s="40">
        <f t="shared" si="42"/>
        <v>617292.55552000017</v>
      </c>
      <c r="AZ19" s="8">
        <f>'DRE CAIXA SEGURIDADE CONTABIL'!BA33</f>
        <v>156273.66566</v>
      </c>
      <c r="BA19" s="30"/>
      <c r="BB19" s="753"/>
      <c r="BC19" s="8"/>
    </row>
    <row r="20" spans="1:55" ht="14.85" customHeight="1">
      <c r="A20" s="717" t="s">
        <v>279</v>
      </c>
      <c r="B20" s="8">
        <f>'DRE CAIXA SEGURIDADE CONTABIL'!C29</f>
        <v>0</v>
      </c>
      <c r="C20" s="8">
        <f>'DRE CAIXA SEGURIDADE CONTABIL'!D29</f>
        <v>0</v>
      </c>
      <c r="D20" s="8">
        <f>'DRE CAIXA SEGURIDADE CONTABIL'!E29</f>
        <v>0</v>
      </c>
      <c r="E20" s="8">
        <f>'DRE CAIXA SEGURIDADE CONTABIL'!F29</f>
        <v>0</v>
      </c>
      <c r="F20" s="40">
        <f t="shared" si="33"/>
        <v>0</v>
      </c>
      <c r="G20" s="8">
        <f>'DRE CAIXA SEGURIDADE CONTABIL'!H29</f>
        <v>0</v>
      </c>
      <c r="H20" s="8">
        <f>'DRE CAIXA SEGURIDADE CONTABIL'!I29</f>
        <v>0</v>
      </c>
      <c r="I20" s="8">
        <f>'DRE CAIXA SEGURIDADE CONTABIL'!J29</f>
        <v>0</v>
      </c>
      <c r="J20" s="8">
        <f>'DRE CAIXA SEGURIDADE CONTABIL'!K29</f>
        <v>0</v>
      </c>
      <c r="K20" s="40">
        <f t="shared" si="34"/>
        <v>0</v>
      </c>
      <c r="L20" s="8">
        <f>'DRE CAIXA SEGURIDADE CONTABIL'!M29</f>
        <v>0</v>
      </c>
      <c r="M20" s="8">
        <f>'DRE CAIXA SEGURIDADE CONTABIL'!N29</f>
        <v>0</v>
      </c>
      <c r="N20" s="8">
        <f>'DRE CAIXA SEGURIDADE CONTABIL'!O29</f>
        <v>0</v>
      </c>
      <c r="O20" s="8">
        <f>'DRE CAIXA SEGURIDADE CONTABIL'!P29</f>
        <v>0</v>
      </c>
      <c r="P20" s="40">
        <f t="shared" si="35"/>
        <v>0</v>
      </c>
      <c r="Q20" s="8">
        <f>'DRE CAIXA SEGURIDADE CONTABIL'!R29</f>
        <v>0</v>
      </c>
      <c r="R20" s="8">
        <f>'DRE CAIXA SEGURIDADE CONTABIL'!S29</f>
        <v>0</v>
      </c>
      <c r="S20" s="8">
        <f>'DRE CAIXA SEGURIDADE CONTABIL'!T29</f>
        <v>0</v>
      </c>
      <c r="T20" s="8">
        <f>'DRE CAIXA SEGURIDADE CONTABIL'!U29</f>
        <v>0</v>
      </c>
      <c r="U20" s="40">
        <f t="shared" si="36"/>
        <v>0</v>
      </c>
      <c r="V20" s="8">
        <f>'DRE CAIXA SEGURIDADE CONTABIL'!W29</f>
        <v>0</v>
      </c>
      <c r="W20" s="8">
        <f>'DRE CAIXA SEGURIDADE CONTABIL'!X29</f>
        <v>0</v>
      </c>
      <c r="X20" s="8">
        <f>'DRE CAIXA SEGURIDADE CONTABIL'!Y29</f>
        <v>0</v>
      </c>
      <c r="Y20" s="8">
        <f>'DRE CAIXA SEGURIDADE CONTABIL'!Z29</f>
        <v>0</v>
      </c>
      <c r="Z20" s="40">
        <f t="shared" si="37"/>
        <v>0</v>
      </c>
      <c r="AA20" s="8">
        <f>'DRE CAIXA SEGURIDADE CONTABIL'!AB29</f>
        <v>13344.21117</v>
      </c>
      <c r="AB20" s="8">
        <f>'DRE CAIXA SEGURIDADE CONTABIL'!AC29</f>
        <v>16520.48747</v>
      </c>
      <c r="AC20" s="8">
        <f>'DRE CAIXA SEGURIDADE CONTABIL'!AD29</f>
        <v>18838.53082</v>
      </c>
      <c r="AD20" s="8">
        <f>'DRE CAIXA SEGURIDADE CONTABIL'!AE29</f>
        <v>23199.461979999996</v>
      </c>
      <c r="AE20" s="40">
        <f t="shared" si="38"/>
        <v>71902.691439999995</v>
      </c>
      <c r="AF20" s="8">
        <f>'DRE CAIXA SEGURIDADE CONTABIL'!AG29</f>
        <v>22337</v>
      </c>
      <c r="AG20" s="8">
        <f>'DRE CAIXA SEGURIDADE CONTABIL'!AH29</f>
        <v>23211</v>
      </c>
      <c r="AH20" s="8">
        <f>'DRE CAIXA SEGURIDADE CONTABIL'!AI29</f>
        <v>23352</v>
      </c>
      <c r="AI20" s="8">
        <f>'DRE CAIXA SEGURIDADE CONTABIL'!AJ29</f>
        <v>16344</v>
      </c>
      <c r="AJ20" s="40">
        <f t="shared" si="39"/>
        <v>85244</v>
      </c>
      <c r="AK20" s="8">
        <f>'DRE CAIXA SEGURIDADE CONTABIL'!AL29</f>
        <v>17835</v>
      </c>
      <c r="AL20" s="8">
        <f>'DRE CAIXA SEGURIDADE CONTABIL'!AM29</f>
        <v>18739</v>
      </c>
      <c r="AM20" s="8">
        <f>'DRE CAIXA SEGURIDADE CONTABIL'!AN29</f>
        <v>19307</v>
      </c>
      <c r="AN20" s="8">
        <f>'DRE CAIXA SEGURIDADE CONTABIL'!AO29</f>
        <v>18420</v>
      </c>
      <c r="AO20" s="40">
        <f t="shared" si="40"/>
        <v>74301</v>
      </c>
      <c r="AP20" s="8">
        <f>'DRE CAIXA SEGURIDADE CONTABIL'!AQ29</f>
        <v>19693</v>
      </c>
      <c r="AQ20" s="8">
        <f>'DRE CAIXA SEGURIDADE CONTABIL'!AR29</f>
        <v>18827</v>
      </c>
      <c r="AR20" s="8">
        <f>'DRE CAIXA SEGURIDADE CONTABIL'!AS29</f>
        <v>20726</v>
      </c>
      <c r="AS20" s="8">
        <f>'DRE CAIXA SEGURIDADE CONTABIL'!AT29</f>
        <v>22967</v>
      </c>
      <c r="AT20" s="40">
        <f t="shared" si="41"/>
        <v>82213</v>
      </c>
      <c r="AU20" s="8">
        <f>'DRE CAIXA SEGURIDADE CONTABIL'!AV29</f>
        <v>22028.667460000001</v>
      </c>
      <c r="AV20" s="8">
        <f>'DRE CAIXA SEGURIDADE CONTABIL'!AW29</f>
        <v>18810.136639999997</v>
      </c>
      <c r="AW20" s="8">
        <f>'DRE CAIXA SEGURIDADE CONTABIL'!AX29</f>
        <v>22882.110710000015</v>
      </c>
      <c r="AX20" s="8">
        <f>'DRE CAIXA SEGURIDADE CONTABIL'!AY29</f>
        <v>20692.988209999989</v>
      </c>
      <c r="AY20" s="40">
        <f t="shared" si="42"/>
        <v>84413.903019999998</v>
      </c>
      <c r="AZ20" s="8">
        <f>'DRE CAIXA SEGURIDADE CONTABIL'!BA29</f>
        <v>21913.263160000002</v>
      </c>
      <c r="BA20" s="30"/>
      <c r="BB20" s="753"/>
      <c r="BC20" s="8"/>
    </row>
    <row r="21" spans="1:55" ht="14.85" customHeight="1">
      <c r="A21" s="9" t="s">
        <v>1109</v>
      </c>
      <c r="B21" s="76">
        <f>SUM(B22:B26)</f>
        <v>0</v>
      </c>
      <c r="C21" s="76">
        <f t="shared" ref="C21:G21" si="90">SUM(C22:C26)</f>
        <v>0</v>
      </c>
      <c r="D21" s="76">
        <f t="shared" si="90"/>
        <v>0</v>
      </c>
      <c r="E21" s="76">
        <f t="shared" si="90"/>
        <v>0</v>
      </c>
      <c r="F21" s="39">
        <f t="shared" si="33"/>
        <v>0</v>
      </c>
      <c r="G21" s="76">
        <f t="shared" si="90"/>
        <v>0</v>
      </c>
      <c r="H21" s="76">
        <f t="shared" ref="H21" si="91">SUM(H22:H26)</f>
        <v>0</v>
      </c>
      <c r="I21" s="76">
        <f t="shared" ref="I21" si="92">SUM(I22:I26)</f>
        <v>0</v>
      </c>
      <c r="J21" s="76">
        <f t="shared" ref="J21:L21" si="93">SUM(J22:J26)</f>
        <v>0</v>
      </c>
      <c r="K21" s="39"/>
      <c r="L21" s="76">
        <f t="shared" si="93"/>
        <v>0</v>
      </c>
      <c r="M21" s="76">
        <f t="shared" ref="M21" si="94">SUM(M22:M26)</f>
        <v>0</v>
      </c>
      <c r="N21" s="76">
        <f t="shared" ref="N21" si="95">SUM(N22:N26)</f>
        <v>0</v>
      </c>
      <c r="O21" s="76">
        <f t="shared" ref="O21:Q21" si="96">SUM(O22:O26)</f>
        <v>0</v>
      </c>
      <c r="P21" s="39"/>
      <c r="Q21" s="76">
        <f t="shared" si="96"/>
        <v>0</v>
      </c>
      <c r="R21" s="76">
        <f t="shared" ref="R21" si="97">SUM(R22:R26)</f>
        <v>0</v>
      </c>
      <c r="S21" s="76">
        <f t="shared" ref="S21" si="98">SUM(S22:S26)</f>
        <v>0</v>
      </c>
      <c r="T21" s="76">
        <f t="shared" ref="T21:V21" si="99">SUM(T22:T26)</f>
        <v>0</v>
      </c>
      <c r="U21" s="39">
        <f t="shared" si="36"/>
        <v>0</v>
      </c>
      <c r="V21" s="76">
        <f t="shared" si="99"/>
        <v>0</v>
      </c>
      <c r="W21" s="76">
        <f t="shared" ref="W21" si="100">SUM(W22:W26)</f>
        <v>0</v>
      </c>
      <c r="X21" s="76">
        <f t="shared" ref="X21" si="101">SUM(X22:X26)</f>
        <v>0</v>
      </c>
      <c r="Y21" s="76">
        <f t="shared" ref="Y21:AA21" si="102">SUM(Y22:Y26)</f>
        <v>0</v>
      </c>
      <c r="Z21" s="39">
        <f t="shared" si="37"/>
        <v>0</v>
      </c>
      <c r="AA21" s="76">
        <f t="shared" si="102"/>
        <v>102699.41495000001</v>
      </c>
      <c r="AB21" s="76">
        <f t="shared" ref="AB21" si="103">SUM(AB22:AB26)</f>
        <v>151265.26446999999</v>
      </c>
      <c r="AC21" s="76">
        <f t="shared" ref="AC21" si="104">SUM(AC22:AC26)</f>
        <v>289926.21399000002</v>
      </c>
      <c r="AD21" s="76">
        <f t="shared" ref="AD21:AF21" si="105">SUM(AD22:AD26)</f>
        <v>304200.64579000004</v>
      </c>
      <c r="AE21" s="39">
        <f t="shared" si="38"/>
        <v>848091.5392</v>
      </c>
      <c r="AF21" s="76">
        <f t="shared" si="105"/>
        <v>227190</v>
      </c>
      <c r="AG21" s="76">
        <f t="shared" ref="AG21" si="106">SUM(AG22:AG26)</f>
        <v>285210</v>
      </c>
      <c r="AH21" s="76">
        <f t="shared" ref="AH21" si="107">SUM(AH22:AH26)</f>
        <v>377672</v>
      </c>
      <c r="AI21" s="76">
        <f t="shared" ref="AI21:AK21" si="108">SUM(AI22:AI26)</f>
        <v>260325</v>
      </c>
      <c r="AJ21" s="39">
        <f t="shared" si="39"/>
        <v>1150397</v>
      </c>
      <c r="AK21" s="76">
        <f t="shared" si="108"/>
        <v>308965</v>
      </c>
      <c r="AL21" s="76">
        <f t="shared" ref="AL21" si="109">SUM(AL22:AL26)</f>
        <v>315492</v>
      </c>
      <c r="AM21" s="76">
        <f t="shared" ref="AM21" si="110">SUM(AM22:AM26)</f>
        <v>321039</v>
      </c>
      <c r="AN21" s="76">
        <f t="shared" ref="AN21:AP21" si="111">SUM(AN22:AN26)</f>
        <v>335610</v>
      </c>
      <c r="AO21" s="39">
        <f t="shared" si="40"/>
        <v>1281106</v>
      </c>
      <c r="AP21" s="76">
        <f t="shared" si="111"/>
        <v>341881</v>
      </c>
      <c r="AQ21" s="76">
        <f t="shared" ref="AQ21" si="112">SUM(AQ22:AQ26)</f>
        <v>368708</v>
      </c>
      <c r="AR21" s="76">
        <f t="shared" ref="AR21" si="113">SUM(AR22:AR26)</f>
        <v>376503</v>
      </c>
      <c r="AS21" s="76">
        <f t="shared" ref="AS21:AU21" si="114">SUM(AS22:AS26)</f>
        <v>403903</v>
      </c>
      <c r="AT21" s="39">
        <f t="shared" si="41"/>
        <v>1490995</v>
      </c>
      <c r="AU21" s="76">
        <f t="shared" si="114"/>
        <v>345598.66530000005</v>
      </c>
      <c r="AV21" s="76">
        <f t="shared" ref="AV21:AW21" si="115">SUM(AV22:AV26)</f>
        <v>348266.51502999995</v>
      </c>
      <c r="AW21" s="76">
        <f t="shared" si="115"/>
        <v>381031.54253000004</v>
      </c>
      <c r="AX21" s="76">
        <f t="shared" ref="AX21:AZ21" si="116">SUM(AX22:AX26)</f>
        <v>341942.57623000001</v>
      </c>
      <c r="AY21" s="39">
        <f t="shared" si="42"/>
        <v>1416839.2990900001</v>
      </c>
      <c r="AZ21" s="76">
        <f t="shared" si="116"/>
        <v>361358.52768999996</v>
      </c>
      <c r="BA21" s="30"/>
      <c r="BB21" s="753"/>
      <c r="BC21" s="8"/>
    </row>
    <row r="22" spans="1:55" ht="14.85" customHeight="1">
      <c r="A22" s="717" t="s">
        <v>294</v>
      </c>
      <c r="B22" s="8">
        <f>'DRE CAIXA SEGURIDADE CONTABIL'!C30</f>
        <v>0</v>
      </c>
      <c r="C22" s="8">
        <f>'DRE CAIXA SEGURIDADE CONTABIL'!D30</f>
        <v>0</v>
      </c>
      <c r="D22" s="8">
        <f>'DRE CAIXA SEGURIDADE CONTABIL'!E30</f>
        <v>0</v>
      </c>
      <c r="E22" s="8">
        <f>'DRE CAIXA SEGURIDADE CONTABIL'!F30</f>
        <v>0</v>
      </c>
      <c r="F22" s="40">
        <f t="shared" si="33"/>
        <v>0</v>
      </c>
      <c r="G22" s="8">
        <f>'DRE CAIXA SEGURIDADE CONTABIL'!H30</f>
        <v>0</v>
      </c>
      <c r="H22" s="8">
        <f>'DRE CAIXA SEGURIDADE CONTABIL'!I30</f>
        <v>0</v>
      </c>
      <c r="I22" s="8">
        <f>'DRE CAIXA SEGURIDADE CONTABIL'!J30</f>
        <v>0</v>
      </c>
      <c r="J22" s="8">
        <f>'DRE CAIXA SEGURIDADE CONTABIL'!K30</f>
        <v>0</v>
      </c>
      <c r="K22" s="40">
        <f t="shared" si="34"/>
        <v>0</v>
      </c>
      <c r="L22" s="8">
        <f>'DRE CAIXA SEGURIDADE CONTABIL'!M30</f>
        <v>0</v>
      </c>
      <c r="M22" s="8">
        <f>'DRE CAIXA SEGURIDADE CONTABIL'!N30</f>
        <v>0</v>
      </c>
      <c r="N22" s="8">
        <f>'DRE CAIXA SEGURIDADE CONTABIL'!O30</f>
        <v>0</v>
      </c>
      <c r="O22" s="8">
        <f>'DRE CAIXA SEGURIDADE CONTABIL'!P30</f>
        <v>0</v>
      </c>
      <c r="P22" s="40">
        <f t="shared" si="35"/>
        <v>0</v>
      </c>
      <c r="Q22" s="8">
        <f>'DRE CAIXA SEGURIDADE CONTABIL'!R30</f>
        <v>0</v>
      </c>
      <c r="R22" s="8">
        <f>'DRE CAIXA SEGURIDADE CONTABIL'!S30</f>
        <v>0</v>
      </c>
      <c r="S22" s="8">
        <f>'DRE CAIXA SEGURIDADE CONTABIL'!T30</f>
        <v>0</v>
      </c>
      <c r="T22" s="8">
        <f>'DRE CAIXA SEGURIDADE CONTABIL'!U30</f>
        <v>0</v>
      </c>
      <c r="U22" s="40">
        <f t="shared" si="36"/>
        <v>0</v>
      </c>
      <c r="V22" s="8">
        <f>'DRE CAIXA SEGURIDADE CONTABIL'!W30</f>
        <v>0</v>
      </c>
      <c r="W22" s="8">
        <f>'DRE CAIXA SEGURIDADE CONTABIL'!X30</f>
        <v>0</v>
      </c>
      <c r="X22" s="8">
        <f>'DRE CAIXA SEGURIDADE CONTABIL'!Y30</f>
        <v>0</v>
      </c>
      <c r="Y22" s="8">
        <f>'DRE CAIXA SEGURIDADE CONTABIL'!Z30</f>
        <v>0</v>
      </c>
      <c r="Z22" s="40">
        <f t="shared" si="37"/>
        <v>0</v>
      </c>
      <c r="AA22" s="8">
        <f>'DRE CAIXA SEGURIDADE CONTABIL'!AB30</f>
        <v>0</v>
      </c>
      <c r="AB22" s="8">
        <f>'DRE CAIXA SEGURIDADE CONTABIL'!AC30</f>
        <v>1115.6157800000001</v>
      </c>
      <c r="AC22" s="8">
        <f>'DRE CAIXA SEGURIDADE CONTABIL'!AD30</f>
        <v>5017.2139999999999</v>
      </c>
      <c r="AD22" s="8">
        <f>'DRE CAIXA SEGURIDADE CONTABIL'!AE30</f>
        <v>6475.7491800000007</v>
      </c>
      <c r="AE22" s="40">
        <f t="shared" si="38"/>
        <v>12608.578960000001</v>
      </c>
      <c r="AF22" s="8">
        <f>'DRE CAIXA SEGURIDADE CONTABIL'!AG30</f>
        <v>9623</v>
      </c>
      <c r="AG22" s="8">
        <f>'DRE CAIXA SEGURIDADE CONTABIL'!AH30</f>
        <v>12207</v>
      </c>
      <c r="AH22" s="8">
        <f>'DRE CAIXA SEGURIDADE CONTABIL'!AI30</f>
        <v>15799</v>
      </c>
      <c r="AI22" s="8">
        <f>'DRE CAIXA SEGURIDADE CONTABIL'!AJ30</f>
        <v>19698</v>
      </c>
      <c r="AJ22" s="40">
        <f t="shared" si="39"/>
        <v>57327</v>
      </c>
      <c r="AK22" s="8">
        <f>'DRE CAIXA SEGURIDADE CONTABIL'!AL30</f>
        <v>26198</v>
      </c>
      <c r="AL22" s="8">
        <f>'DRE CAIXA SEGURIDADE CONTABIL'!AM30</f>
        <v>38695</v>
      </c>
      <c r="AM22" s="8">
        <f>'DRE CAIXA SEGURIDADE CONTABIL'!AN30</f>
        <v>44278</v>
      </c>
      <c r="AN22" s="8">
        <f>'DRE CAIXA SEGURIDADE CONTABIL'!AO30</f>
        <v>51072</v>
      </c>
      <c r="AO22" s="40">
        <f t="shared" si="40"/>
        <v>160243</v>
      </c>
      <c r="AP22" s="8">
        <f>'DRE CAIXA SEGURIDADE CONTABIL'!AQ30</f>
        <v>56156</v>
      </c>
      <c r="AQ22" s="8">
        <f>'DRE CAIXA SEGURIDADE CONTABIL'!AR30</f>
        <v>63839</v>
      </c>
      <c r="AR22" s="8">
        <f>'DRE CAIXA SEGURIDADE CONTABIL'!AS30</f>
        <v>72598</v>
      </c>
      <c r="AS22" s="8">
        <f>'DRE CAIXA SEGURIDADE CONTABIL'!AT30</f>
        <v>78998</v>
      </c>
      <c r="AT22" s="40">
        <f t="shared" si="41"/>
        <v>271591</v>
      </c>
      <c r="AU22" s="8">
        <f>'DRE CAIXA SEGURIDADE CONTABIL'!AV30</f>
        <v>84273.190220000004</v>
      </c>
      <c r="AV22" s="8">
        <f>'DRE CAIXA SEGURIDADE CONTABIL'!AW30</f>
        <v>90383.776269999988</v>
      </c>
      <c r="AW22" s="8">
        <f>'DRE CAIXA SEGURIDADE CONTABIL'!AX30</f>
        <v>97483.769409999994</v>
      </c>
      <c r="AX22" s="8">
        <f>'DRE CAIXA SEGURIDADE CONTABIL'!AY30</f>
        <v>104389</v>
      </c>
      <c r="AY22" s="40">
        <f t="shared" si="42"/>
        <v>376529.73589999997</v>
      </c>
      <c r="AZ22" s="8">
        <f>'DRE CAIXA SEGURIDADE CONTABIL'!BA30</f>
        <v>114766.98334999999</v>
      </c>
      <c r="BA22" s="30"/>
      <c r="BB22" s="753"/>
      <c r="BC22" s="8"/>
    </row>
    <row r="23" spans="1:55" ht="14.85" customHeight="1">
      <c r="A23" s="717" t="s">
        <v>296</v>
      </c>
      <c r="B23" s="8">
        <f>'DRE CAIXA SEGURIDADE CONTABIL'!C31</f>
        <v>0</v>
      </c>
      <c r="C23" s="8">
        <f>'DRE CAIXA SEGURIDADE CONTABIL'!D31</f>
        <v>0</v>
      </c>
      <c r="D23" s="8">
        <f>'DRE CAIXA SEGURIDADE CONTABIL'!E31</f>
        <v>0</v>
      </c>
      <c r="E23" s="8">
        <f>'DRE CAIXA SEGURIDADE CONTABIL'!F31</f>
        <v>0</v>
      </c>
      <c r="F23" s="40">
        <f t="shared" si="33"/>
        <v>0</v>
      </c>
      <c r="G23" s="8">
        <f>'DRE CAIXA SEGURIDADE CONTABIL'!H31</f>
        <v>0</v>
      </c>
      <c r="H23" s="8">
        <f>'DRE CAIXA SEGURIDADE CONTABIL'!I31</f>
        <v>0</v>
      </c>
      <c r="I23" s="8">
        <f>'DRE CAIXA SEGURIDADE CONTABIL'!J31</f>
        <v>0</v>
      </c>
      <c r="J23" s="8">
        <f>'DRE CAIXA SEGURIDADE CONTABIL'!K31</f>
        <v>0</v>
      </c>
      <c r="K23" s="40">
        <f t="shared" si="34"/>
        <v>0</v>
      </c>
      <c r="L23" s="8">
        <f>'DRE CAIXA SEGURIDADE CONTABIL'!M31</f>
        <v>0</v>
      </c>
      <c r="M23" s="8">
        <f>'DRE CAIXA SEGURIDADE CONTABIL'!N31</f>
        <v>0</v>
      </c>
      <c r="N23" s="8">
        <f>'DRE CAIXA SEGURIDADE CONTABIL'!O31</f>
        <v>0</v>
      </c>
      <c r="O23" s="8">
        <f>'DRE CAIXA SEGURIDADE CONTABIL'!P31</f>
        <v>0</v>
      </c>
      <c r="P23" s="40">
        <f t="shared" si="35"/>
        <v>0</v>
      </c>
      <c r="Q23" s="8">
        <f>'DRE CAIXA SEGURIDADE CONTABIL'!R31</f>
        <v>0</v>
      </c>
      <c r="R23" s="8">
        <f>'DRE CAIXA SEGURIDADE CONTABIL'!S31</f>
        <v>0</v>
      </c>
      <c r="S23" s="8">
        <f>'DRE CAIXA SEGURIDADE CONTABIL'!T31</f>
        <v>0</v>
      </c>
      <c r="T23" s="8">
        <f>'DRE CAIXA SEGURIDADE CONTABIL'!U31</f>
        <v>0</v>
      </c>
      <c r="U23" s="40">
        <f t="shared" si="36"/>
        <v>0</v>
      </c>
      <c r="V23" s="8">
        <f>'DRE CAIXA SEGURIDADE CONTABIL'!W31</f>
        <v>0</v>
      </c>
      <c r="W23" s="8">
        <f>'DRE CAIXA SEGURIDADE CONTABIL'!X31</f>
        <v>0</v>
      </c>
      <c r="X23" s="8">
        <f>'DRE CAIXA SEGURIDADE CONTABIL'!Y31</f>
        <v>0</v>
      </c>
      <c r="Y23" s="8">
        <f>'DRE CAIXA SEGURIDADE CONTABIL'!Z31</f>
        <v>0</v>
      </c>
      <c r="Z23" s="40">
        <f t="shared" si="37"/>
        <v>0</v>
      </c>
      <c r="AA23" s="8">
        <f>'DRE CAIXA SEGURIDADE CONTABIL'!AB31</f>
        <v>14707.750370000002</v>
      </c>
      <c r="AB23" s="8">
        <f>'DRE CAIXA SEGURIDADE CONTABIL'!AC31</f>
        <v>34243.350870000002</v>
      </c>
      <c r="AC23" s="8">
        <f>'DRE CAIXA SEGURIDADE CONTABIL'!AD31</f>
        <v>50129.761829999989</v>
      </c>
      <c r="AD23" s="8">
        <f>'DRE CAIXA SEGURIDADE CONTABIL'!AE31</f>
        <v>63928.733469999999</v>
      </c>
      <c r="AE23" s="40">
        <f t="shared" si="38"/>
        <v>163009.59654</v>
      </c>
      <c r="AF23" s="8">
        <f>'DRE CAIXA SEGURIDADE CONTABIL'!AG31</f>
        <v>56926</v>
      </c>
      <c r="AG23" s="8">
        <f>'DRE CAIXA SEGURIDADE CONTABIL'!AH31</f>
        <v>63794</v>
      </c>
      <c r="AH23" s="8">
        <f>'DRE CAIXA SEGURIDADE CONTABIL'!AI31</f>
        <v>79334</v>
      </c>
      <c r="AI23" s="8">
        <f>'DRE CAIXA SEGURIDADE CONTABIL'!AJ31</f>
        <v>69331</v>
      </c>
      <c r="AJ23" s="40">
        <f t="shared" si="39"/>
        <v>269385</v>
      </c>
      <c r="AK23" s="8">
        <f>'DRE CAIXA SEGURIDADE CONTABIL'!AL31</f>
        <v>64879</v>
      </c>
      <c r="AL23" s="8">
        <f>'DRE CAIXA SEGURIDADE CONTABIL'!AM31</f>
        <v>60889</v>
      </c>
      <c r="AM23" s="8">
        <f>'DRE CAIXA SEGURIDADE CONTABIL'!AN31</f>
        <v>66844</v>
      </c>
      <c r="AN23" s="8">
        <f>'DRE CAIXA SEGURIDADE CONTABIL'!AO31</f>
        <v>66359</v>
      </c>
      <c r="AO23" s="40">
        <f t="shared" si="40"/>
        <v>258971</v>
      </c>
      <c r="AP23" s="8">
        <f>'DRE CAIXA SEGURIDADE CONTABIL'!AQ31</f>
        <v>66076</v>
      </c>
      <c r="AQ23" s="8">
        <f>'DRE CAIXA SEGURIDADE CONTABIL'!AR31</f>
        <v>73378</v>
      </c>
      <c r="AR23" s="8">
        <f>'DRE CAIXA SEGURIDADE CONTABIL'!AS31</f>
        <v>77935</v>
      </c>
      <c r="AS23" s="8">
        <f>'DRE CAIXA SEGURIDADE CONTABIL'!AT31</f>
        <v>78506</v>
      </c>
      <c r="AT23" s="40">
        <f t="shared" si="41"/>
        <v>295895</v>
      </c>
      <c r="AU23" s="8">
        <f>'DRE CAIXA SEGURIDADE CONTABIL'!AV31</f>
        <v>86528.731709999993</v>
      </c>
      <c r="AV23" s="8">
        <f>'DRE CAIXA SEGURIDADE CONTABIL'!AW31</f>
        <v>91456.468859999964</v>
      </c>
      <c r="AW23" s="8">
        <f>'DRE CAIXA SEGURIDADE CONTABIL'!AX31</f>
        <v>100909.94935000001</v>
      </c>
      <c r="AX23" s="8">
        <f>'DRE CAIXA SEGURIDADE CONTABIL'!AY31</f>
        <v>98962.065449999995</v>
      </c>
      <c r="AY23" s="40">
        <f t="shared" si="42"/>
        <v>377857.21536999999</v>
      </c>
      <c r="AZ23" s="8">
        <f>'DRE CAIXA SEGURIDADE CONTABIL'!BA31</f>
        <v>93676.687009999994</v>
      </c>
      <c r="BA23" s="30"/>
      <c r="BB23" s="753"/>
      <c r="BC23" s="8"/>
    </row>
    <row r="24" spans="1:55" ht="14.85" customHeight="1">
      <c r="A24" s="717" t="s">
        <v>292</v>
      </c>
      <c r="B24" s="8">
        <f>'DRE CAIXA SEGURIDADE CONTABIL'!C28</f>
        <v>0</v>
      </c>
      <c r="C24" s="8">
        <f>'DRE CAIXA SEGURIDADE CONTABIL'!D28</f>
        <v>0</v>
      </c>
      <c r="D24" s="8">
        <f>'DRE CAIXA SEGURIDADE CONTABIL'!E28</f>
        <v>0</v>
      </c>
      <c r="E24" s="8">
        <f>'DRE CAIXA SEGURIDADE CONTABIL'!F28</f>
        <v>0</v>
      </c>
      <c r="F24" s="40">
        <f>SUM(B24:E24)</f>
        <v>0</v>
      </c>
      <c r="G24" s="8">
        <f>'DRE CAIXA SEGURIDADE CONTABIL'!H28</f>
        <v>0</v>
      </c>
      <c r="H24" s="8">
        <f>'DRE CAIXA SEGURIDADE CONTABIL'!I28</f>
        <v>0</v>
      </c>
      <c r="I24" s="8">
        <f>'DRE CAIXA SEGURIDADE CONTABIL'!J28</f>
        <v>0</v>
      </c>
      <c r="J24" s="8">
        <f>'DRE CAIXA SEGURIDADE CONTABIL'!K28</f>
        <v>0</v>
      </c>
      <c r="K24" s="40">
        <f>SUM(G24:J24)</f>
        <v>0</v>
      </c>
      <c r="L24" s="8">
        <f>'DRE CAIXA SEGURIDADE CONTABIL'!M28</f>
        <v>0</v>
      </c>
      <c r="M24" s="8">
        <f>'DRE CAIXA SEGURIDADE CONTABIL'!N28</f>
        <v>0</v>
      </c>
      <c r="N24" s="8">
        <f>'DRE CAIXA SEGURIDADE CONTABIL'!O28</f>
        <v>0</v>
      </c>
      <c r="O24" s="8">
        <f>'DRE CAIXA SEGURIDADE CONTABIL'!P28</f>
        <v>0</v>
      </c>
      <c r="P24" s="40">
        <f>SUM(L24:O24)</f>
        <v>0</v>
      </c>
      <c r="Q24" s="8">
        <f>'DRE CAIXA SEGURIDADE CONTABIL'!R28</f>
        <v>0</v>
      </c>
      <c r="R24" s="8">
        <f>'DRE CAIXA SEGURIDADE CONTABIL'!S28</f>
        <v>0</v>
      </c>
      <c r="S24" s="8">
        <f>'DRE CAIXA SEGURIDADE CONTABIL'!T28</f>
        <v>0</v>
      </c>
      <c r="T24" s="8">
        <f>'DRE CAIXA SEGURIDADE CONTABIL'!U28</f>
        <v>0</v>
      </c>
      <c r="U24" s="40">
        <f>SUM(Q24:T24)</f>
        <v>0</v>
      </c>
      <c r="V24" s="8">
        <f>'DRE CAIXA SEGURIDADE CONTABIL'!W28</f>
        <v>0</v>
      </c>
      <c r="W24" s="8">
        <f>'DRE CAIXA SEGURIDADE CONTABIL'!X28</f>
        <v>0</v>
      </c>
      <c r="X24" s="8">
        <f>'DRE CAIXA SEGURIDADE CONTABIL'!Y28</f>
        <v>0</v>
      </c>
      <c r="Y24" s="8">
        <f>'DRE CAIXA SEGURIDADE CONTABIL'!Z28</f>
        <v>0</v>
      </c>
      <c r="Z24" s="40">
        <f>SUM(V24:Y24)</f>
        <v>0</v>
      </c>
      <c r="AA24" s="8">
        <f>'DRE CAIXA SEGURIDADE CONTABIL'!AB28</f>
        <v>77995.33941</v>
      </c>
      <c r="AB24" s="8">
        <f>'DRE CAIXA SEGURIDADE CONTABIL'!AC28</f>
        <v>100105.40303999999</v>
      </c>
      <c r="AC24" s="8">
        <f>'DRE CAIXA SEGURIDADE CONTABIL'!AD28</f>
        <v>209429.62568000003</v>
      </c>
      <c r="AD24" s="8">
        <f>'DRE CAIXA SEGURIDADE CONTABIL'!AE28</f>
        <v>202800.24335000003</v>
      </c>
      <c r="AE24" s="40">
        <f>SUM(AA24:AD24)</f>
        <v>590330.61148000008</v>
      </c>
      <c r="AF24" s="8">
        <f>'DRE CAIXA SEGURIDADE CONTABIL'!AG28</f>
        <v>129927</v>
      </c>
      <c r="AG24" s="8">
        <f>'DRE CAIXA SEGURIDADE CONTABIL'!AH28</f>
        <v>177505</v>
      </c>
      <c r="AH24" s="8">
        <f>'DRE CAIXA SEGURIDADE CONTABIL'!AI28</f>
        <v>234232</v>
      </c>
      <c r="AI24" s="8">
        <f>'DRE CAIXA SEGURIDADE CONTABIL'!AJ28</f>
        <v>130471</v>
      </c>
      <c r="AJ24" s="40">
        <f>SUM(AF24:AI24)</f>
        <v>672135</v>
      </c>
      <c r="AK24" s="8">
        <f>'DRE CAIXA SEGURIDADE CONTABIL'!AL28</f>
        <v>171652</v>
      </c>
      <c r="AL24" s="8">
        <f>'DRE CAIXA SEGURIDADE CONTABIL'!AM28</f>
        <v>159849</v>
      </c>
      <c r="AM24" s="8">
        <f>'DRE CAIXA SEGURIDADE CONTABIL'!AN28</f>
        <v>160439</v>
      </c>
      <c r="AN24" s="8">
        <f>'DRE CAIXA SEGURIDADE CONTABIL'!AO28</f>
        <v>164411</v>
      </c>
      <c r="AO24" s="40">
        <f>SUM(AK24:AN24)</f>
        <v>656351</v>
      </c>
      <c r="AP24" s="8">
        <f>'DRE CAIXA SEGURIDADE CONTABIL'!AQ28</f>
        <v>165631</v>
      </c>
      <c r="AQ24" s="8">
        <f>'DRE CAIXA SEGURIDADE CONTABIL'!AR28</f>
        <v>177764</v>
      </c>
      <c r="AR24" s="8">
        <f>'DRE CAIXA SEGURIDADE CONTABIL'!AS28</f>
        <v>165395</v>
      </c>
      <c r="AS24" s="8">
        <f>'DRE CAIXA SEGURIDADE CONTABIL'!AT28</f>
        <v>185509</v>
      </c>
      <c r="AT24" s="40">
        <f>SUM(AP24:AS24)</f>
        <v>694299</v>
      </c>
      <c r="AU24" s="8">
        <f>'DRE CAIXA SEGURIDADE CONTABIL'!AV28</f>
        <v>116019.78047</v>
      </c>
      <c r="AV24" s="8">
        <f>'DRE CAIXA SEGURIDADE CONTABIL'!AW28</f>
        <v>101661.70065000003</v>
      </c>
      <c r="AW24" s="8">
        <f>'DRE CAIXA SEGURIDADE CONTABIL'!AX28</f>
        <v>113307</v>
      </c>
      <c r="AX24" s="8">
        <f>'DRE CAIXA SEGURIDADE CONTABIL'!AY28</f>
        <v>70076</v>
      </c>
      <c r="AY24" s="40">
        <f>SUM(AU24:AX24)</f>
        <v>401064.48112000001</v>
      </c>
      <c r="AZ24" s="8">
        <f>'DRE CAIXA SEGURIDADE CONTABIL'!BA28</f>
        <v>91493.82411999999</v>
      </c>
      <c r="BA24" s="30"/>
      <c r="BB24" s="753"/>
      <c r="BC24" s="8"/>
    </row>
    <row r="25" spans="1:55" ht="14.85" customHeight="1">
      <c r="A25" s="717" t="s">
        <v>290</v>
      </c>
      <c r="B25" s="8">
        <f>'DRE CAIXA SEGURIDADE CONTABIL'!C27</f>
        <v>0</v>
      </c>
      <c r="C25" s="8">
        <f>'DRE CAIXA SEGURIDADE CONTABIL'!D27</f>
        <v>0</v>
      </c>
      <c r="D25" s="8">
        <f>'DRE CAIXA SEGURIDADE CONTABIL'!E27</f>
        <v>0</v>
      </c>
      <c r="E25" s="8">
        <f>'DRE CAIXA SEGURIDADE CONTABIL'!F27</f>
        <v>0</v>
      </c>
      <c r="F25" s="40">
        <f>SUM(B25:E25)</f>
        <v>0</v>
      </c>
      <c r="G25" s="8">
        <f>'DRE CAIXA SEGURIDADE CONTABIL'!H27</f>
        <v>0</v>
      </c>
      <c r="H25" s="8">
        <f>'DRE CAIXA SEGURIDADE CONTABIL'!I27</f>
        <v>0</v>
      </c>
      <c r="I25" s="8">
        <f>'DRE CAIXA SEGURIDADE CONTABIL'!J27</f>
        <v>0</v>
      </c>
      <c r="J25" s="8">
        <f>'DRE CAIXA SEGURIDADE CONTABIL'!K27</f>
        <v>0</v>
      </c>
      <c r="K25" s="40">
        <f>SUM(G25:J25)</f>
        <v>0</v>
      </c>
      <c r="L25" s="8">
        <f>'DRE CAIXA SEGURIDADE CONTABIL'!M27</f>
        <v>0</v>
      </c>
      <c r="M25" s="8">
        <f>'DRE CAIXA SEGURIDADE CONTABIL'!N27</f>
        <v>0</v>
      </c>
      <c r="N25" s="8">
        <f>'DRE CAIXA SEGURIDADE CONTABIL'!O27</f>
        <v>0</v>
      </c>
      <c r="O25" s="8">
        <f>'DRE CAIXA SEGURIDADE CONTABIL'!P27</f>
        <v>0</v>
      </c>
      <c r="P25" s="40">
        <f>SUM(L25:O25)</f>
        <v>0</v>
      </c>
      <c r="Q25" s="8">
        <f>'DRE CAIXA SEGURIDADE CONTABIL'!R27</f>
        <v>0</v>
      </c>
      <c r="R25" s="8">
        <f>'DRE CAIXA SEGURIDADE CONTABIL'!S27</f>
        <v>0</v>
      </c>
      <c r="S25" s="8">
        <f>'DRE CAIXA SEGURIDADE CONTABIL'!T27</f>
        <v>0</v>
      </c>
      <c r="T25" s="8">
        <f>'DRE CAIXA SEGURIDADE CONTABIL'!U27</f>
        <v>0</v>
      </c>
      <c r="U25" s="40">
        <f>SUM(Q25:T25)</f>
        <v>0</v>
      </c>
      <c r="V25" s="8">
        <f>'DRE CAIXA SEGURIDADE CONTABIL'!W27</f>
        <v>0</v>
      </c>
      <c r="W25" s="8">
        <f>'DRE CAIXA SEGURIDADE CONTABIL'!X27</f>
        <v>0</v>
      </c>
      <c r="X25" s="8">
        <f>'DRE CAIXA SEGURIDADE CONTABIL'!Y27</f>
        <v>0</v>
      </c>
      <c r="Y25" s="8">
        <f>'DRE CAIXA SEGURIDADE CONTABIL'!Z27</f>
        <v>0</v>
      </c>
      <c r="Z25" s="40">
        <f>SUM(V25:Y25)</f>
        <v>0</v>
      </c>
      <c r="AA25" s="8">
        <f>'DRE CAIXA SEGURIDADE CONTABIL'!AB27</f>
        <v>9996.3251700000001</v>
      </c>
      <c r="AB25" s="8">
        <f>'DRE CAIXA SEGURIDADE CONTABIL'!AC27</f>
        <v>15800.894779999999</v>
      </c>
      <c r="AC25" s="8">
        <f>'DRE CAIXA SEGURIDADE CONTABIL'!AD27</f>
        <v>25326.22653</v>
      </c>
      <c r="AD25" s="8">
        <f>'DRE CAIXA SEGURIDADE CONTABIL'!AE27</f>
        <v>30358.872930000001</v>
      </c>
      <c r="AE25" s="40">
        <f>SUM(AA25:AD25)</f>
        <v>81482.319409999996</v>
      </c>
      <c r="AF25" s="8">
        <f>'DRE CAIXA SEGURIDADE CONTABIL'!AG27</f>
        <v>27614</v>
      </c>
      <c r="AG25" s="8">
        <f>'DRE CAIXA SEGURIDADE CONTABIL'!AH27</f>
        <v>26089</v>
      </c>
      <c r="AH25" s="8">
        <f>'DRE CAIXA SEGURIDADE CONTABIL'!AI27</f>
        <v>38792</v>
      </c>
      <c r="AI25" s="8">
        <f>'DRE CAIXA SEGURIDADE CONTABIL'!AJ27</f>
        <v>32576</v>
      </c>
      <c r="AJ25" s="40">
        <f>SUM(AF25:AI25)</f>
        <v>125071</v>
      </c>
      <c r="AK25" s="8">
        <f>'DRE CAIXA SEGURIDADE CONTABIL'!AL27</f>
        <v>38093</v>
      </c>
      <c r="AL25" s="8">
        <f>'DRE CAIXA SEGURIDADE CONTABIL'!AM27</f>
        <v>44789</v>
      </c>
      <c r="AM25" s="8">
        <f>'DRE CAIXA SEGURIDADE CONTABIL'!AN27</f>
        <v>40333</v>
      </c>
      <c r="AN25" s="8">
        <f>'DRE CAIXA SEGURIDADE CONTABIL'!AO27</f>
        <v>45235</v>
      </c>
      <c r="AO25" s="40">
        <f>SUM(AK25:AN25)</f>
        <v>168450</v>
      </c>
      <c r="AP25" s="8">
        <f>'DRE CAIXA SEGURIDADE CONTABIL'!AQ27</f>
        <v>39941</v>
      </c>
      <c r="AQ25" s="8">
        <f>'DRE CAIXA SEGURIDADE CONTABIL'!AR27</f>
        <v>40512</v>
      </c>
      <c r="AR25" s="8">
        <f>'DRE CAIXA SEGURIDADE CONTABIL'!AS27</f>
        <v>43097</v>
      </c>
      <c r="AS25" s="8">
        <f>'DRE CAIXA SEGURIDADE CONTABIL'!AT27</f>
        <v>44430</v>
      </c>
      <c r="AT25" s="40">
        <f>SUM(AP25:AS25)</f>
        <v>167980</v>
      </c>
      <c r="AU25" s="8">
        <f>'DRE CAIXA SEGURIDADE CONTABIL'!AV27</f>
        <v>39124.469149999997</v>
      </c>
      <c r="AV25" s="8">
        <f>'DRE CAIXA SEGURIDADE CONTABIL'!AW27</f>
        <v>45199.961029999991</v>
      </c>
      <c r="AW25" s="8">
        <f>'DRE CAIXA SEGURIDADE CONTABIL'!AX27</f>
        <v>47257</v>
      </c>
      <c r="AX25" s="8">
        <f>'DRE CAIXA SEGURIDADE CONTABIL'!AY27</f>
        <v>44977</v>
      </c>
      <c r="AY25" s="40">
        <f>SUM(AU25:AX25)</f>
        <v>176558.43018</v>
      </c>
      <c r="AZ25" s="8">
        <f>'DRE CAIXA SEGURIDADE CONTABIL'!BA27</f>
        <v>40123.412959999994</v>
      </c>
      <c r="BA25" s="30"/>
      <c r="BB25" s="753"/>
      <c r="BC25" s="8"/>
    </row>
    <row r="26" spans="1:55" ht="14.85" customHeight="1">
      <c r="A26" s="717" t="s">
        <v>1111</v>
      </c>
      <c r="B26" s="8">
        <f>'DRE CAIXA SEGURIDADE CONTABIL'!C34+'DRE CAIXA SEGURIDADE CONTABIL'!C35+'DRE CAIXA SEGURIDADE CONTABIL'!C36+'DRE CAIXA SEGURIDADE CONTABIL'!C37</f>
        <v>0</v>
      </c>
      <c r="C26" s="8">
        <f>'DRE CAIXA SEGURIDADE CONTABIL'!D34+'DRE CAIXA SEGURIDADE CONTABIL'!D35+'DRE CAIXA SEGURIDADE CONTABIL'!D36+'DRE CAIXA SEGURIDADE CONTABIL'!D37</f>
        <v>0</v>
      </c>
      <c r="D26" s="8">
        <f>'DRE CAIXA SEGURIDADE CONTABIL'!E34+'DRE CAIXA SEGURIDADE CONTABIL'!E35+'DRE CAIXA SEGURIDADE CONTABIL'!E36+'DRE CAIXA SEGURIDADE CONTABIL'!E37</f>
        <v>0</v>
      </c>
      <c r="E26" s="8">
        <f>'DRE CAIXA SEGURIDADE CONTABIL'!F34+'DRE CAIXA SEGURIDADE CONTABIL'!F35+'DRE CAIXA SEGURIDADE CONTABIL'!F36+'DRE CAIXA SEGURIDADE CONTABIL'!F37</f>
        <v>0</v>
      </c>
      <c r="F26" s="40">
        <f t="shared" si="33"/>
        <v>0</v>
      </c>
      <c r="G26" s="8">
        <f>'DRE CAIXA SEGURIDADE CONTABIL'!H34+'DRE CAIXA SEGURIDADE CONTABIL'!H35+'DRE CAIXA SEGURIDADE CONTABIL'!H36+'DRE CAIXA SEGURIDADE CONTABIL'!H37</f>
        <v>0</v>
      </c>
      <c r="H26" s="8">
        <f>'DRE CAIXA SEGURIDADE CONTABIL'!I34+'DRE CAIXA SEGURIDADE CONTABIL'!I35+'DRE CAIXA SEGURIDADE CONTABIL'!I36+'DRE CAIXA SEGURIDADE CONTABIL'!I37</f>
        <v>0</v>
      </c>
      <c r="I26" s="8">
        <f>'DRE CAIXA SEGURIDADE CONTABIL'!J34+'DRE CAIXA SEGURIDADE CONTABIL'!J35+'DRE CAIXA SEGURIDADE CONTABIL'!J36+'DRE CAIXA SEGURIDADE CONTABIL'!J37</f>
        <v>0</v>
      </c>
      <c r="J26" s="8">
        <f>'DRE CAIXA SEGURIDADE CONTABIL'!K34+'DRE CAIXA SEGURIDADE CONTABIL'!K35+'DRE CAIXA SEGURIDADE CONTABIL'!K36+'DRE CAIXA SEGURIDADE CONTABIL'!K37</f>
        <v>0</v>
      </c>
      <c r="K26" s="40">
        <f t="shared" si="34"/>
        <v>0</v>
      </c>
      <c r="L26" s="8">
        <f>'DRE CAIXA SEGURIDADE CONTABIL'!M34+'DRE CAIXA SEGURIDADE CONTABIL'!M35+'DRE CAIXA SEGURIDADE CONTABIL'!M36+'DRE CAIXA SEGURIDADE CONTABIL'!M37</f>
        <v>0</v>
      </c>
      <c r="M26" s="8">
        <f>'DRE CAIXA SEGURIDADE CONTABIL'!N34+'DRE CAIXA SEGURIDADE CONTABIL'!N35+'DRE CAIXA SEGURIDADE CONTABIL'!N36+'DRE CAIXA SEGURIDADE CONTABIL'!N37</f>
        <v>0</v>
      </c>
      <c r="N26" s="8">
        <f>'DRE CAIXA SEGURIDADE CONTABIL'!O34+'DRE CAIXA SEGURIDADE CONTABIL'!O35+'DRE CAIXA SEGURIDADE CONTABIL'!O36+'DRE CAIXA SEGURIDADE CONTABIL'!O37</f>
        <v>0</v>
      </c>
      <c r="O26" s="8">
        <f>'DRE CAIXA SEGURIDADE CONTABIL'!P34+'DRE CAIXA SEGURIDADE CONTABIL'!P35+'DRE CAIXA SEGURIDADE CONTABIL'!P36+'DRE CAIXA SEGURIDADE CONTABIL'!P37</f>
        <v>0</v>
      </c>
      <c r="P26" s="40">
        <f t="shared" si="35"/>
        <v>0</v>
      </c>
      <c r="Q26" s="8">
        <f>'DRE CAIXA SEGURIDADE CONTABIL'!R34+'DRE CAIXA SEGURIDADE CONTABIL'!R35+'DRE CAIXA SEGURIDADE CONTABIL'!R36+'DRE CAIXA SEGURIDADE CONTABIL'!R37</f>
        <v>0</v>
      </c>
      <c r="R26" s="8">
        <f>'DRE CAIXA SEGURIDADE CONTABIL'!S34+'DRE CAIXA SEGURIDADE CONTABIL'!S35+'DRE CAIXA SEGURIDADE CONTABIL'!S36+'DRE CAIXA SEGURIDADE CONTABIL'!S37</f>
        <v>0</v>
      </c>
      <c r="S26" s="8">
        <f>'DRE CAIXA SEGURIDADE CONTABIL'!T34+'DRE CAIXA SEGURIDADE CONTABIL'!T35+'DRE CAIXA SEGURIDADE CONTABIL'!T36+'DRE CAIXA SEGURIDADE CONTABIL'!T37</f>
        <v>0</v>
      </c>
      <c r="T26" s="8">
        <f>'DRE CAIXA SEGURIDADE CONTABIL'!U34+'DRE CAIXA SEGURIDADE CONTABIL'!U35+'DRE CAIXA SEGURIDADE CONTABIL'!U36+'DRE CAIXA SEGURIDADE CONTABIL'!U37</f>
        <v>0</v>
      </c>
      <c r="U26" s="40">
        <f t="shared" si="36"/>
        <v>0</v>
      </c>
      <c r="V26" s="8">
        <f>'DRE CAIXA SEGURIDADE CONTABIL'!W34+'DRE CAIXA SEGURIDADE CONTABIL'!W35+'DRE CAIXA SEGURIDADE CONTABIL'!W36+'DRE CAIXA SEGURIDADE CONTABIL'!W37</f>
        <v>0</v>
      </c>
      <c r="W26" s="8">
        <f>'DRE CAIXA SEGURIDADE CONTABIL'!X34+'DRE CAIXA SEGURIDADE CONTABIL'!X35+'DRE CAIXA SEGURIDADE CONTABIL'!X36+'DRE CAIXA SEGURIDADE CONTABIL'!X37</f>
        <v>0</v>
      </c>
      <c r="X26" s="8">
        <f>'DRE CAIXA SEGURIDADE CONTABIL'!Y34+'DRE CAIXA SEGURIDADE CONTABIL'!Y35+'DRE CAIXA SEGURIDADE CONTABIL'!Y36+'DRE CAIXA SEGURIDADE CONTABIL'!Y37</f>
        <v>0</v>
      </c>
      <c r="Y26" s="8">
        <f>'DRE CAIXA SEGURIDADE CONTABIL'!Z34+'DRE CAIXA SEGURIDADE CONTABIL'!Z35+'DRE CAIXA SEGURIDADE CONTABIL'!Z36+'DRE CAIXA SEGURIDADE CONTABIL'!Z37</f>
        <v>0</v>
      </c>
      <c r="Z26" s="40">
        <f t="shared" si="37"/>
        <v>0</v>
      </c>
      <c r="AA26" s="8">
        <f>'DRE CAIXA SEGURIDADE CONTABIL'!AB34+'DRE CAIXA SEGURIDADE CONTABIL'!AB35+'DRE CAIXA SEGURIDADE CONTABIL'!AB36+'DRE CAIXA SEGURIDADE CONTABIL'!AB37</f>
        <v>0</v>
      </c>
      <c r="AB26" s="8">
        <f>'DRE CAIXA SEGURIDADE CONTABIL'!AC34+'DRE CAIXA SEGURIDADE CONTABIL'!AC35+'DRE CAIXA SEGURIDADE CONTABIL'!AC36+'DRE CAIXA SEGURIDADE CONTABIL'!AC37</f>
        <v>0</v>
      </c>
      <c r="AC26" s="8">
        <f>'DRE CAIXA SEGURIDADE CONTABIL'!AD34+'DRE CAIXA SEGURIDADE CONTABIL'!AD35+'DRE CAIXA SEGURIDADE CONTABIL'!AD36+'DRE CAIXA SEGURIDADE CONTABIL'!AD37</f>
        <v>23.385950000000005</v>
      </c>
      <c r="AD26" s="8">
        <f>'DRE CAIXA SEGURIDADE CONTABIL'!AE34+'DRE CAIXA SEGURIDADE CONTABIL'!AE35+'DRE CAIXA SEGURIDADE CONTABIL'!AE36+'DRE CAIXA SEGURIDADE CONTABIL'!AE37</f>
        <v>637.04685999999981</v>
      </c>
      <c r="AE26" s="40">
        <f t="shared" si="38"/>
        <v>660.43280999999979</v>
      </c>
      <c r="AF26" s="8">
        <f>'DRE CAIXA SEGURIDADE CONTABIL'!AG34+'DRE CAIXA SEGURIDADE CONTABIL'!AG35+'DRE CAIXA SEGURIDADE CONTABIL'!AG36+'DRE CAIXA SEGURIDADE CONTABIL'!AG37</f>
        <v>3100</v>
      </c>
      <c r="AG26" s="8">
        <f>'DRE CAIXA SEGURIDADE CONTABIL'!AH34+'DRE CAIXA SEGURIDADE CONTABIL'!AH35+'DRE CAIXA SEGURIDADE CONTABIL'!AH36+'DRE CAIXA SEGURIDADE CONTABIL'!AH37</f>
        <v>5615</v>
      </c>
      <c r="AH26" s="8">
        <f>'DRE CAIXA SEGURIDADE CONTABIL'!AI34+'DRE CAIXA SEGURIDADE CONTABIL'!AI35+'DRE CAIXA SEGURIDADE CONTABIL'!AI36+'DRE CAIXA SEGURIDADE CONTABIL'!AI37</f>
        <v>9515</v>
      </c>
      <c r="AI26" s="8">
        <f>'DRE CAIXA SEGURIDADE CONTABIL'!AJ34+'DRE CAIXA SEGURIDADE CONTABIL'!AJ35+'DRE CAIXA SEGURIDADE CONTABIL'!AJ36+'DRE CAIXA SEGURIDADE CONTABIL'!AJ37</f>
        <v>8249</v>
      </c>
      <c r="AJ26" s="40">
        <f t="shared" si="39"/>
        <v>26479</v>
      </c>
      <c r="AK26" s="8">
        <f>'DRE CAIXA SEGURIDADE CONTABIL'!AL34+'DRE CAIXA SEGURIDADE CONTABIL'!AL35+'DRE CAIXA SEGURIDADE CONTABIL'!AL36+'DRE CAIXA SEGURIDADE CONTABIL'!AL37</f>
        <v>8143</v>
      </c>
      <c r="AL26" s="8">
        <f>'DRE CAIXA SEGURIDADE CONTABIL'!AM34+'DRE CAIXA SEGURIDADE CONTABIL'!AM35+'DRE CAIXA SEGURIDADE CONTABIL'!AM36+'DRE CAIXA SEGURIDADE CONTABIL'!AM37</f>
        <v>11270</v>
      </c>
      <c r="AM26" s="8">
        <f>'DRE CAIXA SEGURIDADE CONTABIL'!AN34+'DRE CAIXA SEGURIDADE CONTABIL'!AN35+'DRE CAIXA SEGURIDADE CONTABIL'!AN36+'DRE CAIXA SEGURIDADE CONTABIL'!AN37</f>
        <v>9145</v>
      </c>
      <c r="AN26" s="8">
        <f>'DRE CAIXA SEGURIDADE CONTABIL'!AO34+'DRE CAIXA SEGURIDADE CONTABIL'!AO35+'DRE CAIXA SEGURIDADE CONTABIL'!AO36+'DRE CAIXA SEGURIDADE CONTABIL'!AO37</f>
        <v>8533</v>
      </c>
      <c r="AO26" s="40">
        <f t="shared" si="40"/>
        <v>37091</v>
      </c>
      <c r="AP26" s="8">
        <f>'DRE CAIXA SEGURIDADE CONTABIL'!AQ34+'DRE CAIXA SEGURIDADE CONTABIL'!AQ35+'DRE CAIXA SEGURIDADE CONTABIL'!AQ36+'DRE CAIXA SEGURIDADE CONTABIL'!AQ37</f>
        <v>14077</v>
      </c>
      <c r="AQ26" s="8">
        <f>'DRE CAIXA SEGURIDADE CONTABIL'!AR34+'DRE CAIXA SEGURIDADE CONTABIL'!AR35+'DRE CAIXA SEGURIDADE CONTABIL'!AR36+'DRE CAIXA SEGURIDADE CONTABIL'!AR37</f>
        <v>13215</v>
      </c>
      <c r="AR26" s="8">
        <f>'DRE CAIXA SEGURIDADE CONTABIL'!AS34+'DRE CAIXA SEGURIDADE CONTABIL'!AS35+'DRE CAIXA SEGURIDADE CONTABIL'!AS36+'DRE CAIXA SEGURIDADE CONTABIL'!AS37</f>
        <v>17478</v>
      </c>
      <c r="AS26" s="8">
        <f>'DRE CAIXA SEGURIDADE CONTABIL'!AT34+'DRE CAIXA SEGURIDADE CONTABIL'!AT35+'DRE CAIXA SEGURIDADE CONTABIL'!AT36+'DRE CAIXA SEGURIDADE CONTABIL'!AT37</f>
        <v>16460</v>
      </c>
      <c r="AT26" s="40">
        <f t="shared" si="41"/>
        <v>61230</v>
      </c>
      <c r="AU26" s="8">
        <f>'DRE CAIXA SEGURIDADE CONTABIL'!AV34+'DRE CAIXA SEGURIDADE CONTABIL'!AV35+'DRE CAIXA SEGURIDADE CONTABIL'!AV36+'DRE CAIXA SEGURIDADE CONTABIL'!AV37</f>
        <v>19652.493749999998</v>
      </c>
      <c r="AV26" s="8">
        <f>'DRE CAIXA SEGURIDADE CONTABIL'!AW34+'DRE CAIXA SEGURIDADE CONTABIL'!AW35+'DRE CAIXA SEGURIDADE CONTABIL'!AW36+'DRE CAIXA SEGURIDADE CONTABIL'!AW37</f>
        <v>19564.608219999998</v>
      </c>
      <c r="AW26" s="8">
        <f>'DRE CAIXA SEGURIDADE CONTABIL'!AX34+'DRE CAIXA SEGURIDADE CONTABIL'!AX35+'DRE CAIXA SEGURIDADE CONTABIL'!AX36+'DRE CAIXA SEGURIDADE CONTABIL'!AX37</f>
        <v>22073.82377000001</v>
      </c>
      <c r="AX26" s="8">
        <f>'DRE CAIXA SEGURIDADE CONTABIL'!AY34+'DRE CAIXA SEGURIDADE CONTABIL'!AY35+'DRE CAIXA SEGURIDADE CONTABIL'!AY36+'DRE CAIXA SEGURIDADE CONTABIL'!AY37</f>
        <v>23538.51077999999</v>
      </c>
      <c r="AY26" s="40">
        <f t="shared" si="42"/>
        <v>84829.436519999988</v>
      </c>
      <c r="AZ26" s="8">
        <f>'DRE CAIXA SEGURIDADE CONTABIL'!BA34+'DRE CAIXA SEGURIDADE CONTABIL'!BA35+'DRE CAIXA SEGURIDADE CONTABIL'!BA36+'DRE CAIXA SEGURIDADE CONTABIL'!BA37</f>
        <v>21297.62025</v>
      </c>
      <c r="BA26" s="30"/>
      <c r="BB26" s="753"/>
      <c r="BC26" s="8"/>
    </row>
    <row r="27" spans="1:55" s="2" customFormat="1" ht="14.85" customHeight="1" thickBot="1">
      <c r="A27" s="54" t="s">
        <v>1112</v>
      </c>
      <c r="B27" s="76">
        <f>SUM(B18:B21)+SUM(B8:B11)</f>
        <v>88568.617039999997</v>
      </c>
      <c r="C27" s="76">
        <f t="shared" ref="C27:AS27" si="117">SUM(C18:C21)+SUM(C8:C11)</f>
        <v>69381.92760000001</v>
      </c>
      <c r="D27" s="76">
        <f t="shared" si="117"/>
        <v>80498.774829999951</v>
      </c>
      <c r="E27" s="76">
        <f t="shared" si="117"/>
        <v>89636.117749999961</v>
      </c>
      <c r="F27" s="716">
        <f>SUM(B27:E27)</f>
        <v>328085.43721999991</v>
      </c>
      <c r="G27" s="76">
        <f t="shared" si="117"/>
        <v>137613.35517</v>
      </c>
      <c r="H27" s="76">
        <f t="shared" si="117"/>
        <v>126909.01842000002</v>
      </c>
      <c r="I27" s="76">
        <f t="shared" si="117"/>
        <v>132954.16105</v>
      </c>
      <c r="J27" s="76">
        <f t="shared" si="117"/>
        <v>109007.80658</v>
      </c>
      <c r="K27" s="716">
        <f t="shared" si="34"/>
        <v>506484.34122000006</v>
      </c>
      <c r="L27" s="76">
        <f t="shared" si="117"/>
        <v>202770.36212999999</v>
      </c>
      <c r="M27" s="76">
        <f t="shared" si="117"/>
        <v>155934.55770999999</v>
      </c>
      <c r="N27" s="76">
        <f t="shared" si="117"/>
        <v>152860.31464999999</v>
      </c>
      <c r="O27" s="76">
        <f t="shared" si="117"/>
        <v>154846.99670000002</v>
      </c>
      <c r="P27" s="716">
        <f>SUM(L27:O27)</f>
        <v>666412.23118999996</v>
      </c>
      <c r="Q27" s="76">
        <f t="shared" si="117"/>
        <v>181908.14042999997</v>
      </c>
      <c r="R27" s="76">
        <f>SUM(R18:R21)+SUM(R8:R11)</f>
        <v>184415.36861</v>
      </c>
      <c r="S27" s="76">
        <f>SUM(S18:S21)+SUM(S8:S11)</f>
        <v>192286.61207999996</v>
      </c>
      <c r="T27" s="76">
        <f>SUM(T18:T21)+SUM(T8:T11)</f>
        <v>87722.072420000026</v>
      </c>
      <c r="U27" s="716">
        <f t="shared" si="36"/>
        <v>646332.19353999989</v>
      </c>
      <c r="V27" s="76">
        <f t="shared" si="117"/>
        <v>173066.69043999998</v>
      </c>
      <c r="W27" s="76">
        <f t="shared" si="117"/>
        <v>157080.37399999998</v>
      </c>
      <c r="X27" s="76">
        <f t="shared" si="117"/>
        <v>326701.038</v>
      </c>
      <c r="Y27" s="76">
        <f t="shared" si="117"/>
        <v>237841.76972999994</v>
      </c>
      <c r="Z27" s="716">
        <f t="shared" si="37"/>
        <v>894689.87216999999</v>
      </c>
      <c r="AA27" s="76">
        <f>SUM(AA18:AA21)+SUM(AA8:AA11)</f>
        <v>194941.97009000002</v>
      </c>
      <c r="AB27" s="76">
        <f t="shared" si="117"/>
        <v>214262.41695999997</v>
      </c>
      <c r="AC27" s="76">
        <f t="shared" si="117"/>
        <v>353889.69955999998</v>
      </c>
      <c r="AD27" s="76">
        <f t="shared" si="117"/>
        <v>360765.03350000002</v>
      </c>
      <c r="AE27" s="716">
        <f t="shared" si="38"/>
        <v>1123859.12011</v>
      </c>
      <c r="AF27" s="76">
        <f t="shared" si="117"/>
        <v>326991</v>
      </c>
      <c r="AG27" s="76">
        <f t="shared" si="117"/>
        <v>410802</v>
      </c>
      <c r="AH27" s="76">
        <f t="shared" si="117"/>
        <v>533127</v>
      </c>
      <c r="AI27" s="76">
        <f t="shared" si="117"/>
        <v>416520</v>
      </c>
      <c r="AJ27" s="716">
        <f t="shared" si="39"/>
        <v>1687440</v>
      </c>
      <c r="AK27" s="76">
        <f>SUM(AK18:AK21)+SUM(AK8:AK11)</f>
        <v>473501</v>
      </c>
      <c r="AL27" s="76">
        <f>SUM(AL18:AL21)+SUM(AL8:AL11)</f>
        <v>480957</v>
      </c>
      <c r="AM27" s="76">
        <f t="shared" si="117"/>
        <v>510855</v>
      </c>
      <c r="AN27" s="76">
        <f t="shared" si="117"/>
        <v>529257</v>
      </c>
      <c r="AO27" s="716">
        <f t="shared" si="40"/>
        <v>1994570</v>
      </c>
      <c r="AP27" s="76">
        <f t="shared" si="117"/>
        <v>543175</v>
      </c>
      <c r="AQ27" s="76">
        <f t="shared" si="117"/>
        <v>545308</v>
      </c>
      <c r="AR27" s="76">
        <f t="shared" si="117"/>
        <v>573141</v>
      </c>
      <c r="AS27" s="76">
        <f t="shared" si="117"/>
        <v>668391</v>
      </c>
      <c r="AT27" s="716">
        <f t="shared" si="41"/>
        <v>2330015</v>
      </c>
      <c r="AU27" s="76">
        <f>SUM(AU18:AU21)+SUM(AU8:AU11)</f>
        <v>614576.93920999998</v>
      </c>
      <c r="AV27" s="76">
        <f>SUM(AV18:AV21)+SUM(AV8:AV11)</f>
        <v>585133.59083</v>
      </c>
      <c r="AW27" s="76">
        <f>SUM(AW18:AW21)+SUM(AW8:AW11)</f>
        <v>635089.02906000009</v>
      </c>
      <c r="AX27" s="76">
        <f>SUM(AX18:AX21)+SUM(AX8:AX11)</f>
        <v>622555.06782</v>
      </c>
      <c r="AY27" s="716">
        <f t="shared" si="42"/>
        <v>2457354.6269200002</v>
      </c>
      <c r="AZ27" s="76">
        <f>SUM(AZ18:AZ21)+SUM(AZ8:AZ11)</f>
        <v>620686.79177999997</v>
      </c>
      <c r="BA27" s="387"/>
      <c r="BB27" s="753"/>
      <c r="BC27" s="102"/>
    </row>
    <row r="28" spans="1:55" ht="15.75" thickBot="1"/>
    <row r="29" spans="1:55" ht="24.4" customHeight="1">
      <c r="A29" s="625" t="s">
        <v>1113</v>
      </c>
      <c r="B29" s="626" t="s">
        <v>224</v>
      </c>
      <c r="C29" s="626" t="s">
        <v>225</v>
      </c>
      <c r="D29" s="626" t="s">
        <v>226</v>
      </c>
      <c r="E29" s="626" t="s">
        <v>227</v>
      </c>
      <c r="F29" s="652">
        <v>2016</v>
      </c>
      <c r="G29" s="626" t="s">
        <v>228</v>
      </c>
      <c r="H29" s="626" t="s">
        <v>229</v>
      </c>
      <c r="I29" s="626" t="s">
        <v>230</v>
      </c>
      <c r="J29" s="626" t="s">
        <v>231</v>
      </c>
      <c r="K29" s="652">
        <v>2017</v>
      </c>
      <c r="L29" s="626" t="s">
        <v>232</v>
      </c>
      <c r="M29" s="626" t="s">
        <v>233</v>
      </c>
      <c r="N29" s="626" t="s">
        <v>234</v>
      </c>
      <c r="O29" s="626" t="s">
        <v>235</v>
      </c>
      <c r="P29" s="652">
        <v>2018</v>
      </c>
      <c r="Q29" s="626" t="s">
        <v>236</v>
      </c>
      <c r="R29" s="626" t="s">
        <v>237</v>
      </c>
      <c r="S29" s="626" t="s">
        <v>238</v>
      </c>
      <c r="T29" s="626" t="s">
        <v>239</v>
      </c>
      <c r="U29" s="652">
        <v>2019</v>
      </c>
      <c r="V29" s="626" t="s">
        <v>240</v>
      </c>
      <c r="W29" s="626" t="s">
        <v>241</v>
      </c>
      <c r="X29" s="626" t="s">
        <v>242</v>
      </c>
      <c r="Y29" s="626" t="s">
        <v>243</v>
      </c>
      <c r="Z29" s="652">
        <v>2020</v>
      </c>
      <c r="AA29" s="626" t="s">
        <v>244</v>
      </c>
      <c r="AB29" s="626" t="s">
        <v>245</v>
      </c>
      <c r="AC29" s="626" t="s">
        <v>246</v>
      </c>
      <c r="AD29" s="626" t="s">
        <v>247</v>
      </c>
      <c r="AE29" s="652">
        <v>2021</v>
      </c>
      <c r="AF29" s="626" t="s">
        <v>248</v>
      </c>
      <c r="AG29" s="626" t="s">
        <v>249</v>
      </c>
      <c r="AH29" s="626" t="s">
        <v>250</v>
      </c>
      <c r="AI29" s="626" t="s">
        <v>215</v>
      </c>
      <c r="AJ29" s="652">
        <v>2022</v>
      </c>
      <c r="AK29" s="626" t="s">
        <v>252</v>
      </c>
      <c r="AL29" s="626" t="s">
        <v>253</v>
      </c>
      <c r="AM29" s="626" t="s">
        <v>254</v>
      </c>
      <c r="AN29" s="626" t="s">
        <v>219</v>
      </c>
      <c r="AO29" s="652">
        <v>2023</v>
      </c>
      <c r="AP29" s="626" t="s">
        <v>223</v>
      </c>
      <c r="AQ29" s="626" t="s">
        <v>256</v>
      </c>
      <c r="AR29" s="626" t="s">
        <v>357</v>
      </c>
      <c r="AS29" s="626" t="s">
        <v>358</v>
      </c>
      <c r="AT29" s="652">
        <v>2024</v>
      </c>
      <c r="AU29" s="626" t="s">
        <v>359</v>
      </c>
      <c r="AV29" s="626" t="s">
        <v>1115</v>
      </c>
      <c r="AW29" s="626" t="s">
        <v>1116</v>
      </c>
      <c r="AX29" s="626" t="s">
        <v>1117</v>
      </c>
      <c r="AY29" s="653" t="s">
        <v>1118</v>
      </c>
      <c r="AZ29" s="645" t="s">
        <v>1124</v>
      </c>
    </row>
    <row r="30" spans="1:55" ht="14.85" customHeight="1">
      <c r="A30" s="9" t="s">
        <v>1108</v>
      </c>
      <c r="B30" s="76">
        <f>SUM(B31:B33)</f>
        <v>16294.302189999997</v>
      </c>
      <c r="C30" s="76">
        <f t="shared" ref="C30:E30" si="118">SUM(C31:C33)</f>
        <v>15754.679050000002</v>
      </c>
      <c r="D30" s="76">
        <f t="shared" si="118"/>
        <v>19211.774830000002</v>
      </c>
      <c r="E30" s="76">
        <f t="shared" si="118"/>
        <v>12404.639760000002</v>
      </c>
      <c r="F30" s="39">
        <f t="shared" ref="F30:F34" si="119">SUM(B30:E30)</f>
        <v>63665.395830000009</v>
      </c>
      <c r="G30" s="76">
        <f>SUM(G31:G33)</f>
        <v>23373.896269999997</v>
      </c>
      <c r="H30" s="76">
        <f t="shared" ref="H30" si="120">SUM(H31:H33)</f>
        <v>24307.864429999998</v>
      </c>
      <c r="I30" s="76">
        <f t="shared" ref="I30" si="121">SUM(I31:I33)</f>
        <v>26794.499059999995</v>
      </c>
      <c r="J30" s="76">
        <f t="shared" ref="J30" si="122">SUM(J31:J33)</f>
        <v>21019.949199999999</v>
      </c>
      <c r="K30" s="39">
        <f t="shared" ref="K30" si="123">SUM(G30:J30)</f>
        <v>95496.208959999989</v>
      </c>
      <c r="L30" s="76">
        <f>SUM(L31:L33)</f>
        <v>23705.983999999997</v>
      </c>
      <c r="M30" s="76">
        <f t="shared" ref="M30" si="124">SUM(M31:M33)</f>
        <v>28960.514879999999</v>
      </c>
      <c r="N30" s="76">
        <f t="shared" ref="N30" si="125">SUM(N31:N33)</f>
        <v>29939.496070000001</v>
      </c>
      <c r="O30" s="76">
        <f t="shared" ref="O30" si="126">SUM(O31:O33)</f>
        <v>32202.105</v>
      </c>
      <c r="P30" s="39">
        <f t="shared" ref="P30" si="127">SUM(L30:O30)</f>
        <v>114808.09994999999</v>
      </c>
      <c r="Q30" s="76">
        <f>SUM(Q31:Q33)</f>
        <v>29771.09532</v>
      </c>
      <c r="R30" s="76">
        <f t="shared" ref="R30" si="128">SUM(R31:R33)</f>
        <v>37864.52592</v>
      </c>
      <c r="S30" s="76">
        <f t="shared" ref="S30" si="129">SUM(S31:S33)</f>
        <v>40515.799930000001</v>
      </c>
      <c r="T30" s="76">
        <f t="shared" ref="T30" si="130">SUM(T31:T33)</f>
        <v>-1920.0829700000049</v>
      </c>
      <c r="U30" s="39">
        <f t="shared" ref="U30" si="131">SUM(Q30:T30)</f>
        <v>106231.33820000001</v>
      </c>
      <c r="V30" s="76">
        <f>SUM(V31:V33)</f>
        <v>30528.245159999999</v>
      </c>
      <c r="W30" s="76">
        <f t="shared" ref="W30" si="132">SUM(W31:W33)</f>
        <v>25927.572729999996</v>
      </c>
      <c r="X30" s="76">
        <f t="shared" ref="X30" si="133">SUM(X31:X33)</f>
        <v>37693.899889999993</v>
      </c>
      <c r="Y30" s="76">
        <f t="shared" ref="Y30" si="134">SUM(Y31:Y33)</f>
        <v>36231.553490000006</v>
      </c>
      <c r="Z30" s="39">
        <f t="shared" ref="Z30" si="135">SUM(V30:Y30)</f>
        <v>130381.27126999998</v>
      </c>
      <c r="AA30" s="76">
        <f>SUM(AA31:AA33)</f>
        <v>29521.296450000002</v>
      </c>
      <c r="AB30" s="76">
        <f t="shared" ref="AB30" si="136">SUM(AB31:AB33)</f>
        <v>34044.214610000003</v>
      </c>
      <c r="AC30" s="76">
        <f t="shared" ref="AC30" si="137">SUM(AC31:AC33)</f>
        <v>36584.345779999996</v>
      </c>
      <c r="AD30" s="76">
        <f t="shared" ref="AD30" si="138">SUM(AD31:AD33)</f>
        <v>41957.0196</v>
      </c>
      <c r="AE30" s="39">
        <f t="shared" ref="AE30" si="139">SUM(AA30:AD30)</f>
        <v>142106.87643999999</v>
      </c>
      <c r="AF30" s="76">
        <f>SUM(AF31:AF33)</f>
        <v>43035</v>
      </c>
      <c r="AG30" s="76">
        <f t="shared" ref="AG30" si="140">SUM(AG31:AG33)</f>
        <v>56119</v>
      </c>
      <c r="AH30" s="76">
        <f t="shared" ref="AH30" si="141">SUM(AH31:AH33)</f>
        <v>63365</v>
      </c>
      <c r="AI30" s="76">
        <f t="shared" ref="AI30" si="142">SUM(AI31:AI33)</f>
        <v>55647</v>
      </c>
      <c r="AJ30" s="39">
        <f t="shared" ref="AJ30" si="143">SUM(AF30:AI30)</f>
        <v>218166</v>
      </c>
      <c r="AK30" s="76">
        <f>SUM(AK31:AK33)</f>
        <v>64965</v>
      </c>
      <c r="AL30" s="76">
        <f t="shared" ref="AL30" si="144">SUM(AL31:AL33)</f>
        <v>65748</v>
      </c>
      <c r="AM30" s="76">
        <f t="shared" ref="AM30" si="145">SUM(AM31:AM33)</f>
        <v>75322</v>
      </c>
      <c r="AN30" s="76">
        <f t="shared" ref="AN30" si="146">SUM(AN31:AN33)</f>
        <v>76920</v>
      </c>
      <c r="AO30" s="39">
        <f t="shared" ref="AO30" si="147">SUM(AK30:AN30)</f>
        <v>282955</v>
      </c>
      <c r="AP30" s="76">
        <f>SUM(AP31:AP33)</f>
        <v>78115</v>
      </c>
      <c r="AQ30" s="76">
        <f t="shared" ref="AQ30" si="148">SUM(AQ31:AQ33)</f>
        <v>65616</v>
      </c>
      <c r="AR30" s="76">
        <f t="shared" ref="AR30" si="149">SUM(AR31:AR33)</f>
        <v>72188</v>
      </c>
      <c r="AS30" s="76">
        <f t="shared" ref="AS30:AW30" si="150">SUM(AS31:AS33)</f>
        <v>84582</v>
      </c>
      <c r="AT30" s="39">
        <f t="shared" ref="AT30" si="151">SUM(AP30:AS30)</f>
        <v>300501</v>
      </c>
      <c r="AU30" s="76">
        <f t="shared" si="150"/>
        <v>94854.66088000001</v>
      </c>
      <c r="AV30" s="76">
        <f t="shared" si="150"/>
        <v>83321.936210000102</v>
      </c>
      <c r="AW30" s="76">
        <f t="shared" si="150"/>
        <v>96085.116489999986</v>
      </c>
      <c r="AX30" s="76">
        <f t="shared" ref="AX30:AZ30" si="152">SUM(AX31:AX33)</f>
        <v>98442.223550000053</v>
      </c>
      <c r="AY30" s="39">
        <f t="shared" ref="AY30" si="153">SUM(AU30:AX30)</f>
        <v>372703.93713000015</v>
      </c>
      <c r="AZ30" s="76">
        <f t="shared" si="152"/>
        <v>102019.12456999999</v>
      </c>
      <c r="BA30" s="30"/>
      <c r="BB30" s="758"/>
      <c r="BC30" s="8"/>
    </row>
    <row r="31" spans="1:55" ht="14.85" customHeight="1">
      <c r="A31" s="717" t="s">
        <v>275</v>
      </c>
      <c r="B31" s="8">
        <f t="shared" ref="B31:E33" si="154">B8+B18</f>
        <v>2647.0067100000001</v>
      </c>
      <c r="C31" s="8">
        <f t="shared" si="154"/>
        <v>1952.4398799999999</v>
      </c>
      <c r="D31" s="8">
        <f t="shared" si="154"/>
        <v>2407.8960200000006</v>
      </c>
      <c r="E31" s="8">
        <f t="shared" si="154"/>
        <v>3315.3241000000007</v>
      </c>
      <c r="F31" s="40">
        <f>SUM(B31:E31)</f>
        <v>10322.666710000001</v>
      </c>
      <c r="G31" s="8">
        <f t="shared" ref="G31:J33" si="155">G8+G18</f>
        <v>4176.1040299999995</v>
      </c>
      <c r="H31" s="8">
        <f t="shared" si="155"/>
        <v>3162.8367600000001</v>
      </c>
      <c r="I31" s="8">
        <f t="shared" si="155"/>
        <v>3505.1761800000008</v>
      </c>
      <c r="J31" s="8">
        <f t="shared" si="155"/>
        <v>1963.8138999999985</v>
      </c>
      <c r="K31" s="40">
        <f>SUM(G31:J31)</f>
        <v>12807.93087</v>
      </c>
      <c r="L31" s="8">
        <f t="shared" ref="L31:O33" si="156">L8+L18</f>
        <v>3304.5078399999998</v>
      </c>
      <c r="M31" s="8">
        <f t="shared" si="156"/>
        <v>3253.8506100000004</v>
      </c>
      <c r="N31" s="8">
        <f t="shared" si="156"/>
        <v>5337.9667099999997</v>
      </c>
      <c r="O31" s="8">
        <f t="shared" si="156"/>
        <v>5233.4943700000013</v>
      </c>
      <c r="P31" s="40">
        <f>SUM(L31:O31)</f>
        <v>17129.819530000001</v>
      </c>
      <c r="Q31" s="8">
        <f t="shared" ref="Q31:T33" si="157">Q8+Q18</f>
        <v>3301.2249200000001</v>
      </c>
      <c r="R31" s="8">
        <f t="shared" si="157"/>
        <v>5259.4952200000007</v>
      </c>
      <c r="S31" s="8">
        <f t="shared" si="157"/>
        <v>6234.6843599999993</v>
      </c>
      <c r="T31" s="8">
        <f t="shared" si="157"/>
        <v>-10842.58921</v>
      </c>
      <c r="U31" s="40">
        <f>SUM(Q31:T31)</f>
        <v>3952.8152900000005</v>
      </c>
      <c r="V31" s="8">
        <f t="shared" ref="V31:Y33" si="158">V8+V18</f>
        <v>1703.64267</v>
      </c>
      <c r="W31" s="8">
        <f t="shared" si="158"/>
        <v>3467.6972700000006</v>
      </c>
      <c r="X31" s="8">
        <f t="shared" si="158"/>
        <v>1797.0754999999999</v>
      </c>
      <c r="Y31" s="8">
        <f t="shared" si="158"/>
        <v>1574.3457599999988</v>
      </c>
      <c r="Z31" s="40">
        <f>SUM(V31:Y31)</f>
        <v>8542.761199999999</v>
      </c>
      <c r="AA31" s="8">
        <v>1704.3182099999999</v>
      </c>
      <c r="AB31" s="8">
        <v>1410.9515200000001</v>
      </c>
      <c r="AC31" s="8">
        <v>3327.7363400000004</v>
      </c>
      <c r="AD31" s="8">
        <v>3222.8699099999994</v>
      </c>
      <c r="AE31" s="40">
        <f>SUM(AA31:AD31)</f>
        <v>9665.8759800000007</v>
      </c>
      <c r="AF31" s="8">
        <v>-210</v>
      </c>
      <c r="AG31" s="8">
        <v>5390</v>
      </c>
      <c r="AH31" s="8">
        <v>6361</v>
      </c>
      <c r="AI31" s="8">
        <v>1218</v>
      </c>
      <c r="AJ31" s="40">
        <f>SUM(AF31:AI31)</f>
        <v>12759</v>
      </c>
      <c r="AK31" s="8">
        <v>11331</v>
      </c>
      <c r="AL31" s="8">
        <v>12907</v>
      </c>
      <c r="AM31" s="8">
        <v>16806</v>
      </c>
      <c r="AN31" s="8">
        <v>18125</v>
      </c>
      <c r="AO31" s="40">
        <f>SUM(AK31:AN31)</f>
        <v>59169</v>
      </c>
      <c r="AP31" s="8">
        <v>19794</v>
      </c>
      <c r="AQ31" s="8">
        <v>11251</v>
      </c>
      <c r="AR31" s="8">
        <v>11385</v>
      </c>
      <c r="AS31" s="8">
        <v>14630</v>
      </c>
      <c r="AT31" s="40">
        <f>SUM(AP31:AS31)</f>
        <v>57060</v>
      </c>
      <c r="AU31" s="8">
        <v>16096.714659999996</v>
      </c>
      <c r="AV31" s="8">
        <v>15459.961529999997</v>
      </c>
      <c r="AW31" s="8">
        <v>20076.984569999979</v>
      </c>
      <c r="AX31" s="8">
        <v>22938.495830000003</v>
      </c>
      <c r="AY31" s="40">
        <f>SUM(AU31:AX31)</f>
        <v>74572.15658999997</v>
      </c>
      <c r="AZ31" s="8">
        <v>25723.370490000001</v>
      </c>
      <c r="BA31" s="593"/>
      <c r="BB31" s="758"/>
      <c r="BC31" s="8"/>
    </row>
    <row r="32" spans="1:55" ht="14.85" customHeight="1">
      <c r="A32" s="717" t="s">
        <v>277</v>
      </c>
      <c r="B32" s="8">
        <f t="shared" si="154"/>
        <v>4285.8790399999989</v>
      </c>
      <c r="C32" s="8">
        <f t="shared" si="154"/>
        <v>4691.1730400000006</v>
      </c>
      <c r="D32" s="8">
        <f t="shared" si="154"/>
        <v>5568.6564500000013</v>
      </c>
      <c r="E32" s="8">
        <f t="shared" si="154"/>
        <v>3208.091919999998</v>
      </c>
      <c r="F32" s="40">
        <f t="shared" si="119"/>
        <v>17753.800449999999</v>
      </c>
      <c r="G32" s="8">
        <f t="shared" si="155"/>
        <v>5934.3816799999995</v>
      </c>
      <c r="H32" s="8">
        <f t="shared" si="155"/>
        <v>6516.12799</v>
      </c>
      <c r="I32" s="8">
        <f t="shared" si="155"/>
        <v>6664.3183199999985</v>
      </c>
      <c r="J32" s="8">
        <f t="shared" si="155"/>
        <v>4843.2561200000009</v>
      </c>
      <c r="K32" s="40">
        <f t="shared" ref="K32:K34" si="159">SUM(G32:J32)</f>
        <v>23958.08411</v>
      </c>
      <c r="L32" s="8">
        <f t="shared" si="156"/>
        <v>3594.8093799999997</v>
      </c>
      <c r="M32" s="8">
        <f t="shared" si="156"/>
        <v>6440.9302399999997</v>
      </c>
      <c r="N32" s="8">
        <f t="shared" si="156"/>
        <v>6855.6991100000014</v>
      </c>
      <c r="O32" s="8">
        <f t="shared" si="156"/>
        <v>5554.7250000000004</v>
      </c>
      <c r="P32" s="40">
        <f t="shared" ref="P32:P34" si="160">SUM(L32:O32)</f>
        <v>22446.16373</v>
      </c>
      <c r="Q32" s="8">
        <f t="shared" si="157"/>
        <v>4537.7527599999994</v>
      </c>
      <c r="R32" s="8">
        <f t="shared" si="157"/>
        <v>7374.7725</v>
      </c>
      <c r="S32" s="8">
        <f t="shared" si="157"/>
        <v>8317.0072400000008</v>
      </c>
      <c r="T32" s="8">
        <f t="shared" si="157"/>
        <v>1586.4728599999994</v>
      </c>
      <c r="U32" s="40">
        <f t="shared" ref="U32:U34" si="161">SUM(Q32:T32)</f>
        <v>21816.005359999999</v>
      </c>
      <c r="V32" s="8">
        <f t="shared" si="158"/>
        <v>7522.6654600000002</v>
      </c>
      <c r="W32" s="8">
        <f t="shared" si="158"/>
        <v>5522.9755500000001</v>
      </c>
      <c r="X32" s="8">
        <f t="shared" si="158"/>
        <v>2932.4690900000001</v>
      </c>
      <c r="Y32" s="8">
        <f t="shared" si="158"/>
        <v>3191.3905000000018</v>
      </c>
      <c r="Z32" s="40">
        <f t="shared" ref="Z32:Z34" si="162">SUM(V32:Y32)</f>
        <v>19169.500600000003</v>
      </c>
      <c r="AA32" s="8">
        <v>1828.2783700000002</v>
      </c>
      <c r="AB32" s="8">
        <v>1886.86608</v>
      </c>
      <c r="AC32" s="8">
        <v>1694.4044900000004</v>
      </c>
      <c r="AD32" s="8">
        <v>2764.2607699999999</v>
      </c>
      <c r="AE32" s="40">
        <f t="shared" ref="AE32:AE34" si="163">SUM(AA32:AD32)</f>
        <v>8173.8097100000005</v>
      </c>
      <c r="AF32" s="8">
        <v>8079</v>
      </c>
      <c r="AG32" s="8">
        <v>15945</v>
      </c>
      <c r="AH32" s="8">
        <v>22738</v>
      </c>
      <c r="AI32" s="8">
        <v>27950</v>
      </c>
      <c r="AJ32" s="40">
        <f t="shared" ref="AJ32:AJ34" si="164">SUM(AF32:AI32)</f>
        <v>74712</v>
      </c>
      <c r="AK32" s="8">
        <v>25964</v>
      </c>
      <c r="AL32" s="8">
        <v>24208</v>
      </c>
      <c r="AM32" s="8">
        <v>29754</v>
      </c>
      <c r="AN32" s="8">
        <v>31184</v>
      </c>
      <c r="AO32" s="40">
        <f t="shared" ref="AO32:AO34" si="165">SUM(AK32:AN32)</f>
        <v>111110</v>
      </c>
      <c r="AP32" s="8">
        <v>29975</v>
      </c>
      <c r="AQ32" s="8">
        <v>27105</v>
      </c>
      <c r="AR32" s="8">
        <v>31651</v>
      </c>
      <c r="AS32" s="8">
        <v>38658</v>
      </c>
      <c r="AT32" s="40">
        <f t="shared" ref="AT32:AT34" si="166">SUM(AP32:AS32)</f>
        <v>127389</v>
      </c>
      <c r="AU32" s="8">
        <v>48853.351810000007</v>
      </c>
      <c r="AV32" s="8">
        <v>41540.796200000099</v>
      </c>
      <c r="AW32" s="8">
        <v>45848.021210000006</v>
      </c>
      <c r="AX32" s="8">
        <v>47754.685440000059</v>
      </c>
      <c r="AY32" s="40">
        <f t="shared" ref="AY32:AY39" si="167">SUM(AU32:AX32)</f>
        <v>183996.85466000016</v>
      </c>
      <c r="AZ32" s="8">
        <v>47623.417879999979</v>
      </c>
      <c r="BA32" s="593"/>
      <c r="BB32" s="758"/>
      <c r="BC32" s="8"/>
    </row>
    <row r="33" spans="1:55" ht="14.85" customHeight="1">
      <c r="A33" s="717" t="s">
        <v>279</v>
      </c>
      <c r="B33" s="8">
        <f t="shared" si="154"/>
        <v>9361.4164399999972</v>
      </c>
      <c r="C33" s="8">
        <f t="shared" si="154"/>
        <v>9111.0661300000029</v>
      </c>
      <c r="D33" s="8">
        <f t="shared" si="154"/>
        <v>11235.22236</v>
      </c>
      <c r="E33" s="8">
        <f t="shared" si="154"/>
        <v>5881.2237400000022</v>
      </c>
      <c r="F33" s="40">
        <f t="shared" si="119"/>
        <v>35588.928670000001</v>
      </c>
      <c r="G33" s="8">
        <f t="shared" si="155"/>
        <v>13263.41056</v>
      </c>
      <c r="H33" s="8">
        <f t="shared" si="155"/>
        <v>14628.899679999999</v>
      </c>
      <c r="I33" s="8">
        <f t="shared" si="155"/>
        <v>16625.004559999998</v>
      </c>
      <c r="J33" s="8">
        <f t="shared" si="155"/>
        <v>14212.87918</v>
      </c>
      <c r="K33" s="40">
        <f t="shared" si="159"/>
        <v>58730.193979999996</v>
      </c>
      <c r="L33" s="8">
        <f t="shared" si="156"/>
        <v>16806.66678</v>
      </c>
      <c r="M33" s="8">
        <f t="shared" si="156"/>
        <v>19265.73403</v>
      </c>
      <c r="N33" s="8">
        <f t="shared" si="156"/>
        <v>17745.830249999999</v>
      </c>
      <c r="O33" s="8">
        <f t="shared" si="156"/>
        <v>21413.885629999997</v>
      </c>
      <c r="P33" s="40">
        <f t="shared" si="160"/>
        <v>75232.116689999995</v>
      </c>
      <c r="Q33" s="8">
        <f t="shared" si="157"/>
        <v>21932.11764</v>
      </c>
      <c r="R33" s="8">
        <f t="shared" si="157"/>
        <v>25230.258200000004</v>
      </c>
      <c r="S33" s="8">
        <f t="shared" si="157"/>
        <v>25964.108329999999</v>
      </c>
      <c r="T33" s="8">
        <f t="shared" si="157"/>
        <v>7336.0333799999953</v>
      </c>
      <c r="U33" s="40">
        <f t="shared" si="161"/>
        <v>80462.517550000004</v>
      </c>
      <c r="V33" s="8">
        <f t="shared" si="158"/>
        <v>21301.937030000001</v>
      </c>
      <c r="W33" s="8">
        <f t="shared" si="158"/>
        <v>16936.899909999996</v>
      </c>
      <c r="X33" s="8">
        <f t="shared" si="158"/>
        <v>32964.355299999996</v>
      </c>
      <c r="Y33" s="8">
        <f t="shared" si="158"/>
        <v>31465.817230000004</v>
      </c>
      <c r="Z33" s="40">
        <f t="shared" si="162"/>
        <v>102669.00946999999</v>
      </c>
      <c r="AA33" s="8">
        <v>25988.69987</v>
      </c>
      <c r="AB33" s="8">
        <v>30746.397010000001</v>
      </c>
      <c r="AC33" s="8">
        <v>31562.204949999996</v>
      </c>
      <c r="AD33" s="8">
        <v>35969.888919999998</v>
      </c>
      <c r="AE33" s="40">
        <f t="shared" si="163"/>
        <v>124267.19074999999</v>
      </c>
      <c r="AF33" s="8">
        <v>35166</v>
      </c>
      <c r="AG33" s="8">
        <v>34784</v>
      </c>
      <c r="AH33" s="8">
        <v>34266</v>
      </c>
      <c r="AI33" s="8">
        <v>26479</v>
      </c>
      <c r="AJ33" s="40">
        <f t="shared" si="164"/>
        <v>130695</v>
      </c>
      <c r="AK33" s="8">
        <v>27670</v>
      </c>
      <c r="AL33" s="8">
        <v>28633</v>
      </c>
      <c r="AM33" s="8">
        <v>28762</v>
      </c>
      <c r="AN33" s="8">
        <v>27611</v>
      </c>
      <c r="AO33" s="40">
        <f t="shared" si="165"/>
        <v>112676</v>
      </c>
      <c r="AP33" s="8">
        <v>28346</v>
      </c>
      <c r="AQ33" s="8">
        <v>27260</v>
      </c>
      <c r="AR33" s="8">
        <v>29152</v>
      </c>
      <c r="AS33" s="8">
        <v>31294</v>
      </c>
      <c r="AT33" s="40">
        <f t="shared" si="166"/>
        <v>116052</v>
      </c>
      <c r="AU33" s="8">
        <f>AU10+AU20</f>
        <v>29904.594410000002</v>
      </c>
      <c r="AV33" s="8">
        <f>AV10+AV20</f>
        <v>26321.178479999995</v>
      </c>
      <c r="AW33" s="8">
        <f>AW10+AW20</f>
        <v>30160.110710000015</v>
      </c>
      <c r="AX33" s="8">
        <f>AX10+AX20</f>
        <v>27749.042279999987</v>
      </c>
      <c r="AY33" s="40">
        <f t="shared" si="167"/>
        <v>114134.92588</v>
      </c>
      <c r="AZ33" s="8">
        <v>28672.336200000002</v>
      </c>
      <c r="BA33" s="593"/>
      <c r="BB33" s="758"/>
      <c r="BC33" s="8"/>
    </row>
    <row r="34" spans="1:55" ht="14.85" customHeight="1">
      <c r="A34" s="9" t="s">
        <v>1109</v>
      </c>
      <c r="B34" s="76">
        <f>SUM(B35:B39)</f>
        <v>58793</v>
      </c>
      <c r="C34" s="76">
        <f t="shared" ref="C34:E34" si="168">SUM(C35:C39)</f>
        <v>53627.248550000011</v>
      </c>
      <c r="D34" s="76">
        <f t="shared" si="168"/>
        <v>61286.999999999956</v>
      </c>
      <c r="E34" s="76">
        <f t="shared" si="168"/>
        <v>77231.477989999956</v>
      </c>
      <c r="F34" s="39">
        <f t="shared" si="119"/>
        <v>250938.72653999992</v>
      </c>
      <c r="G34" s="76">
        <f t="shared" ref="G34" si="169">SUM(G35:G39)</f>
        <v>100614.69276000001</v>
      </c>
      <c r="H34" s="76">
        <f t="shared" ref="H34" si="170">SUM(H35:H39)</f>
        <v>102601.15399000002</v>
      </c>
      <c r="I34" s="76">
        <f t="shared" ref="I34" si="171">SUM(I35:I39)</f>
        <v>106159.66198999999</v>
      </c>
      <c r="J34" s="76">
        <f t="shared" ref="J34:L34" si="172">SUM(J35:J39)</f>
        <v>87987.857380000001</v>
      </c>
      <c r="K34" s="39">
        <f t="shared" si="159"/>
        <v>397363.36612000002</v>
      </c>
      <c r="L34" s="76">
        <f t="shared" si="172"/>
        <v>94492.855209999994</v>
      </c>
      <c r="M34" s="76">
        <f t="shared" ref="M34" si="173">SUM(M35:M39)</f>
        <v>124454.92155</v>
      </c>
      <c r="N34" s="76">
        <f t="shared" ref="N34" si="174">SUM(N35:N39)</f>
        <v>122920.81857999998</v>
      </c>
      <c r="O34" s="76">
        <f t="shared" ref="O34:Q34" si="175">SUM(O35:O39)</f>
        <v>122644.89170000002</v>
      </c>
      <c r="P34" s="39">
        <f t="shared" si="160"/>
        <v>464513.48703999998</v>
      </c>
      <c r="Q34" s="76">
        <f t="shared" si="175"/>
        <v>134078.18941999998</v>
      </c>
      <c r="R34" s="76">
        <f t="shared" ref="R34" si="176">SUM(R35:R39)</f>
        <v>146550.84269000002</v>
      </c>
      <c r="S34" s="76">
        <f t="shared" ref="S34" si="177">SUM(S35:S39)</f>
        <v>155734.59392999994</v>
      </c>
      <c r="T34" s="76">
        <f t="shared" ref="T34" si="178">SUM(T35:T39)</f>
        <v>89642.155390000029</v>
      </c>
      <c r="U34" s="39">
        <f t="shared" si="161"/>
        <v>526005.78142999997</v>
      </c>
      <c r="V34" s="76">
        <f t="shared" ref="V34" si="179">SUM(V35:V39)</f>
        <v>142538.44527999999</v>
      </c>
      <c r="W34" s="76">
        <f t="shared" ref="W34" si="180">SUM(W35:W39)</f>
        <v>131152.80127</v>
      </c>
      <c r="X34" s="76">
        <f t="shared" ref="X34" si="181">SUM(X35:X39)</f>
        <v>289007.13811</v>
      </c>
      <c r="Y34" s="76">
        <f t="shared" ref="Y34" si="182">SUM(Y35:Y39)</f>
        <v>201610.21623999995</v>
      </c>
      <c r="Z34" s="39">
        <f t="shared" si="162"/>
        <v>764308.60089999996</v>
      </c>
      <c r="AA34" s="76">
        <f t="shared" ref="AA34" si="183">SUM(AA35:AA39)</f>
        <v>163639.20690000002</v>
      </c>
      <c r="AB34" s="76">
        <f t="shared" ref="AB34" si="184">SUM(AB35:AB39)</f>
        <v>158559.99314999997</v>
      </c>
      <c r="AC34" s="76">
        <f t="shared" ref="AC34" si="185">SUM(AC35:AC39)</f>
        <v>293064.78055000002</v>
      </c>
      <c r="AD34" s="76">
        <f t="shared" ref="AD34" si="186">SUM(AD35:AD39)</f>
        <v>291061.72925000003</v>
      </c>
      <c r="AE34" s="39">
        <f t="shared" si="163"/>
        <v>906325.70984999998</v>
      </c>
      <c r="AF34" s="76">
        <f t="shared" ref="AF34" si="187">SUM(AF35:AF39)</f>
        <v>237256</v>
      </c>
      <c r="AG34" s="76">
        <f t="shared" ref="AG34" si="188">SUM(AG35:AG39)</f>
        <v>284507</v>
      </c>
      <c r="AH34" s="76">
        <f t="shared" ref="AH34" si="189">SUM(AH35:AH39)</f>
        <v>373515</v>
      </c>
      <c r="AI34" s="76">
        <f t="shared" ref="AI34" si="190">SUM(AI35:AI39)</f>
        <v>268800</v>
      </c>
      <c r="AJ34" s="39">
        <f t="shared" si="164"/>
        <v>1164078</v>
      </c>
      <c r="AK34" s="76">
        <f t="shared" ref="AK34" si="191">SUM(AK35:AK39)</f>
        <v>320707</v>
      </c>
      <c r="AL34" s="76">
        <f t="shared" ref="AL34" si="192">SUM(AL35:AL39)</f>
        <v>325060</v>
      </c>
      <c r="AM34" s="76">
        <f t="shared" ref="AM34" si="193">SUM(AM35:AM39)</f>
        <v>331337</v>
      </c>
      <c r="AN34" s="76">
        <f t="shared" ref="AN34" si="194">SUM(AN35:AN39)</f>
        <v>348701</v>
      </c>
      <c r="AO34" s="39">
        <f t="shared" si="165"/>
        <v>1325805</v>
      </c>
      <c r="AP34" s="76">
        <f t="shared" ref="AP34" si="195">SUM(AP35:AP39)</f>
        <v>366313</v>
      </c>
      <c r="AQ34" s="76">
        <f t="shared" ref="AQ34" si="196">SUM(AQ35:AQ39)</f>
        <v>376550</v>
      </c>
      <c r="AR34" s="76">
        <f t="shared" ref="AR34" si="197">SUM(AR35:AR39)</f>
        <v>380566</v>
      </c>
      <c r="AS34" s="76">
        <f t="shared" ref="AS34:AW34" si="198">SUM(AS35:AS39)</f>
        <v>445637.90479</v>
      </c>
      <c r="AT34" s="39">
        <f t="shared" si="166"/>
        <v>1569066.9047900001</v>
      </c>
      <c r="AU34" s="76">
        <f t="shared" si="198"/>
        <v>365596.60214999999</v>
      </c>
      <c r="AV34" s="76">
        <f t="shared" si="198"/>
        <v>354634.61447999999</v>
      </c>
      <c r="AW34" s="76">
        <f t="shared" si="198"/>
        <v>384278.0151800001</v>
      </c>
      <c r="AX34" s="76">
        <f t="shared" ref="AX34:AZ34" si="199">SUM(AX35:AX39)</f>
        <v>361632.05078999995</v>
      </c>
      <c r="AY34" s="39">
        <f t="shared" si="167"/>
        <v>1466141.2826</v>
      </c>
      <c r="AZ34" s="76">
        <f t="shared" si="199"/>
        <v>364557.31329999992</v>
      </c>
      <c r="BA34" s="593"/>
      <c r="BB34" s="758"/>
      <c r="BC34" s="8"/>
    </row>
    <row r="35" spans="1:55" ht="14.85" customHeight="1">
      <c r="A35" s="717" t="s">
        <v>294</v>
      </c>
      <c r="B35" s="8">
        <f>B12+B22</f>
        <v>26125</v>
      </c>
      <c r="C35" s="8">
        <f>C12+C22</f>
        <v>22866.000000000007</v>
      </c>
      <c r="D35" s="8">
        <f>D12+D22</f>
        <v>22500.000000000007</v>
      </c>
      <c r="E35" s="8">
        <f>E12+E22</f>
        <v>19684.368059999986</v>
      </c>
      <c r="F35" s="40">
        <f t="shared" ref="F35:F39" si="200">SUM(B35:E35)</f>
        <v>91175.368060000008</v>
      </c>
      <c r="G35" s="8">
        <f>G12+G22</f>
        <v>29851.235389999998</v>
      </c>
      <c r="H35" s="8">
        <f>H12+H22</f>
        <v>26250.789220000002</v>
      </c>
      <c r="I35" s="8">
        <f>I12+I22</f>
        <v>26755.961689999996</v>
      </c>
      <c r="J35" s="8">
        <f>J12+J22</f>
        <v>26975.38513000001</v>
      </c>
      <c r="K35" s="40">
        <f t="shared" ref="K35:K39" si="201">SUM(G35:J35)</f>
        <v>109833.37143</v>
      </c>
      <c r="L35" s="8">
        <f>L12+L22</f>
        <v>27957.785030000003</v>
      </c>
      <c r="M35" s="8">
        <f>M12+M22</f>
        <v>29093.127759999999</v>
      </c>
      <c r="N35" s="8">
        <f>N12+N22</f>
        <v>27761.318029999995</v>
      </c>
      <c r="O35" s="8">
        <f>O12+O22</f>
        <v>25639.407750000017</v>
      </c>
      <c r="P35" s="40">
        <f t="shared" ref="P35:P39" si="202">SUM(L35:O35)</f>
        <v>110451.63857000001</v>
      </c>
      <c r="Q35" s="8">
        <f>Q12+Q22</f>
        <v>26772.866249999999</v>
      </c>
      <c r="R35" s="8">
        <f>R12+R22</f>
        <v>27887.497800000005</v>
      </c>
      <c r="S35" s="8">
        <f>S12+S22</f>
        <v>27291.314809999982</v>
      </c>
      <c r="T35" s="8">
        <f>T12+T22</f>
        <v>25164.458940000011</v>
      </c>
      <c r="U35" s="40">
        <f t="shared" ref="U35:U39" si="203">SUM(Q35:T35)</f>
        <v>107116.1378</v>
      </c>
      <c r="V35" s="8">
        <f>V12+V22</f>
        <v>29050.265769999998</v>
      </c>
      <c r="W35" s="8">
        <f>W12+W22</f>
        <v>29131.783630000005</v>
      </c>
      <c r="X35" s="8">
        <f>X12+X22</f>
        <v>29096.444869999988</v>
      </c>
      <c r="Y35" s="8">
        <f>Y12+Y22</f>
        <v>29172.094370000006</v>
      </c>
      <c r="Z35" s="40">
        <f t="shared" ref="Z35:Z39" si="204">SUM(V35:Y35)</f>
        <v>116450.58864</v>
      </c>
      <c r="AA35" s="8">
        <v>34602.20938</v>
      </c>
      <c r="AB35" s="8">
        <v>31252.917089999995</v>
      </c>
      <c r="AC35" s="8">
        <v>34782.745170000009</v>
      </c>
      <c r="AD35" s="8">
        <v>36711.199809999998</v>
      </c>
      <c r="AE35" s="40">
        <f t="shared" ref="AE35:AE39" si="205">SUM(AA35:AD35)</f>
        <v>137349.07144999999</v>
      </c>
      <c r="AF35" s="8">
        <v>40481</v>
      </c>
      <c r="AG35" s="8">
        <v>42332</v>
      </c>
      <c r="AH35" s="8">
        <v>46354</v>
      </c>
      <c r="AI35" s="8">
        <v>50388</v>
      </c>
      <c r="AJ35" s="40">
        <f t="shared" ref="AJ35:AJ39" si="206">SUM(AF35:AI35)</f>
        <v>179555</v>
      </c>
      <c r="AK35" s="8">
        <v>58442</v>
      </c>
      <c r="AL35" s="8">
        <v>69124</v>
      </c>
      <c r="AM35" s="8">
        <v>75634</v>
      </c>
      <c r="AN35" s="8">
        <v>82561</v>
      </c>
      <c r="AO35" s="40">
        <f t="shared" ref="AO35:AO39" si="207">SUM(AK35:AN35)</f>
        <v>285761</v>
      </c>
      <c r="AP35" s="8">
        <v>98524</v>
      </c>
      <c r="AQ35" s="8">
        <v>93078</v>
      </c>
      <c r="AR35" s="8">
        <v>102563</v>
      </c>
      <c r="AS35" s="8">
        <v>143210</v>
      </c>
      <c r="AT35" s="40">
        <f t="shared" ref="AT35:AT39" si="208">SUM(AP35:AS35)</f>
        <v>437375</v>
      </c>
      <c r="AU35" s="8">
        <v>128275.30396999999</v>
      </c>
      <c r="AV35" s="8">
        <v>122379.17430999999</v>
      </c>
      <c r="AW35" s="8">
        <v>128533.21882000002</v>
      </c>
      <c r="AX35" s="8">
        <v>152697.86468</v>
      </c>
      <c r="AY35" s="40">
        <f t="shared" si="167"/>
        <v>531885.56177999999</v>
      </c>
      <c r="AZ35" s="8">
        <v>144073.04954000001</v>
      </c>
      <c r="BA35" s="593"/>
      <c r="BB35" s="758"/>
      <c r="BC35" s="8"/>
    </row>
    <row r="36" spans="1:55" ht="14.85" customHeight="1">
      <c r="A36" s="717" t="s">
        <v>296</v>
      </c>
      <c r="B36" s="8">
        <f>B23</f>
        <v>0</v>
      </c>
      <c r="C36" s="8">
        <f>C23</f>
        <v>0</v>
      </c>
      <c r="D36" s="8">
        <f>D23</f>
        <v>0</v>
      </c>
      <c r="E36" s="8">
        <f>E23</f>
        <v>0</v>
      </c>
      <c r="F36" s="40">
        <f t="shared" si="200"/>
        <v>0</v>
      </c>
      <c r="G36" s="8">
        <f>G23</f>
        <v>0</v>
      </c>
      <c r="H36" s="8">
        <f>H23</f>
        <v>0</v>
      </c>
      <c r="I36" s="8">
        <f>I23</f>
        <v>0</v>
      </c>
      <c r="J36" s="8">
        <f>J23</f>
        <v>0</v>
      </c>
      <c r="K36" s="40">
        <f t="shared" si="201"/>
        <v>0</v>
      </c>
      <c r="L36" s="8">
        <f>L23</f>
        <v>0</v>
      </c>
      <c r="M36" s="8">
        <f>M23</f>
        <v>0</v>
      </c>
      <c r="N36" s="8">
        <f>N23</f>
        <v>0</v>
      </c>
      <c r="O36" s="8">
        <f>O23</f>
        <v>0</v>
      </c>
      <c r="P36" s="40">
        <f t="shared" si="202"/>
        <v>0</v>
      </c>
      <c r="Q36" s="8">
        <f>Q23</f>
        <v>0</v>
      </c>
      <c r="R36" s="8">
        <f>R23</f>
        <v>0</v>
      </c>
      <c r="S36" s="8">
        <f>S23</f>
        <v>0</v>
      </c>
      <c r="T36" s="8">
        <f>T23</f>
        <v>0</v>
      </c>
      <c r="U36" s="40">
        <f t="shared" si="203"/>
        <v>0</v>
      </c>
      <c r="V36" s="8">
        <f>V23</f>
        <v>0</v>
      </c>
      <c r="W36" s="8">
        <f>W23</f>
        <v>0</v>
      </c>
      <c r="X36" s="8">
        <f>X23</f>
        <v>0</v>
      </c>
      <c r="Y36" s="8">
        <f>Y23</f>
        <v>0</v>
      </c>
      <c r="Z36" s="40">
        <f t="shared" si="204"/>
        <v>0</v>
      </c>
      <c r="AA36" s="8">
        <v>12926.283630000002</v>
      </c>
      <c r="AB36" s="8">
        <v>12679.246280000001</v>
      </c>
      <c r="AC36" s="8">
        <v>30092.77358999999</v>
      </c>
      <c r="AD36" s="8">
        <v>46932.467669999991</v>
      </c>
      <c r="AE36" s="40">
        <f t="shared" si="205"/>
        <v>102630.77116999999</v>
      </c>
      <c r="AF36" s="8">
        <v>38960</v>
      </c>
      <c r="AG36" s="8">
        <v>43529</v>
      </c>
      <c r="AH36" s="8">
        <v>53921</v>
      </c>
      <c r="AI36" s="8">
        <v>54441</v>
      </c>
      <c r="AJ36" s="40">
        <f t="shared" si="206"/>
        <v>190851</v>
      </c>
      <c r="AK36" s="8">
        <v>47621</v>
      </c>
      <c r="AL36" s="8">
        <v>43880</v>
      </c>
      <c r="AM36" s="8">
        <v>48953</v>
      </c>
      <c r="AN36" s="8">
        <v>49590</v>
      </c>
      <c r="AO36" s="40">
        <f t="shared" si="207"/>
        <v>190044</v>
      </c>
      <c r="AP36" s="8">
        <v>48840</v>
      </c>
      <c r="AQ36" s="8">
        <v>53045</v>
      </c>
      <c r="AR36" s="8">
        <v>56920</v>
      </c>
      <c r="AS36" s="8">
        <v>61114</v>
      </c>
      <c r="AT36" s="40">
        <f t="shared" si="208"/>
        <v>219919</v>
      </c>
      <c r="AU36" s="8">
        <v>66690.465219999998</v>
      </c>
      <c r="AV36" s="8">
        <v>70467.376349999977</v>
      </c>
      <c r="AW36" s="8">
        <v>78033.197440000033</v>
      </c>
      <c r="AX36" s="8">
        <v>76038.612070000003</v>
      </c>
      <c r="AY36" s="40">
        <f t="shared" si="167"/>
        <v>291229.65107999998</v>
      </c>
      <c r="AZ36" s="8">
        <v>72322.574089999995</v>
      </c>
      <c r="BA36" s="593"/>
      <c r="BB36" s="758"/>
      <c r="BC36" s="8"/>
    </row>
    <row r="37" spans="1:55" ht="14.85" customHeight="1">
      <c r="A37" s="717" t="s">
        <v>292</v>
      </c>
      <c r="B37" s="8">
        <f>B24+B13</f>
        <v>28265.000000000004</v>
      </c>
      <c r="C37" s="8">
        <f>C24+C13</f>
        <v>27732.000000000025</v>
      </c>
      <c r="D37" s="8">
        <f>D24+D13</f>
        <v>35462.999999999956</v>
      </c>
      <c r="E37" s="8">
        <f>E24+E13</f>
        <v>53717.819041525501</v>
      </c>
      <c r="F37" s="40">
        <f t="shared" si="200"/>
        <v>145177.81904152548</v>
      </c>
      <c r="G37" s="8">
        <f>G24+G13</f>
        <v>67159.019610000003</v>
      </c>
      <c r="H37" s="8">
        <f>H24+H13</f>
        <v>72317.752950000009</v>
      </c>
      <c r="I37" s="8">
        <f>I24+I13</f>
        <v>73247.401939999996</v>
      </c>
      <c r="J37" s="8">
        <f>J24+J13</f>
        <v>52474.558749999997</v>
      </c>
      <c r="K37" s="40">
        <f t="shared" si="201"/>
        <v>265198.73325000005</v>
      </c>
      <c r="L37" s="8">
        <f>L24+L13</f>
        <v>61590.879689999994</v>
      </c>
      <c r="M37" s="8">
        <f>M24+M13</f>
        <v>86143.474319999994</v>
      </c>
      <c r="N37" s="8">
        <f>N24+N13</f>
        <v>87810.21037999999</v>
      </c>
      <c r="O37" s="8">
        <f>O24+O13</f>
        <v>86925.616560000009</v>
      </c>
      <c r="P37" s="40">
        <f t="shared" si="202"/>
        <v>322470.18094999995</v>
      </c>
      <c r="Q37" s="8">
        <f>Q24+Q13</f>
        <v>100659.71281</v>
      </c>
      <c r="R37" s="8">
        <f>R24+R13</f>
        <v>108968.95843000001</v>
      </c>
      <c r="S37" s="8">
        <f>S24+S13</f>
        <v>116132.95714999997</v>
      </c>
      <c r="T37" s="8">
        <f>T24+T13</f>
        <v>96409.608730000022</v>
      </c>
      <c r="U37" s="40">
        <f t="shared" si="203"/>
        <v>422171.23712000001</v>
      </c>
      <c r="V37" s="8">
        <f>V24+V13</f>
        <v>106793.66065999999</v>
      </c>
      <c r="W37" s="8">
        <f>W24+W13</f>
        <v>95081.823250000001</v>
      </c>
      <c r="X37" s="8">
        <f>X24+X13</f>
        <v>235299.88246000002</v>
      </c>
      <c r="Y37" s="8">
        <f>Y24+Y13</f>
        <v>149988.01143999994</v>
      </c>
      <c r="Z37" s="40">
        <f t="shared" si="204"/>
        <v>587163.37780999998</v>
      </c>
      <c r="AA37" s="8">
        <v>99976.580870000005</v>
      </c>
      <c r="AB37" s="8">
        <v>97809.060199999993</v>
      </c>
      <c r="AC37" s="8">
        <v>201611.31813000003</v>
      </c>
      <c r="AD37" s="8">
        <v>175452.63518000004</v>
      </c>
      <c r="AE37" s="40">
        <f t="shared" si="205"/>
        <v>574849.59438000014</v>
      </c>
      <c r="AF37" s="8">
        <v>121020</v>
      </c>
      <c r="AG37" s="8">
        <v>166232</v>
      </c>
      <c r="AH37" s="8">
        <v>224270</v>
      </c>
      <c r="AI37" s="8">
        <v>121903</v>
      </c>
      <c r="AJ37" s="40">
        <f t="shared" si="206"/>
        <v>633425</v>
      </c>
      <c r="AK37" s="8">
        <v>167497</v>
      </c>
      <c r="AL37" s="8">
        <v>155634</v>
      </c>
      <c r="AM37" s="8">
        <v>156460</v>
      </c>
      <c r="AN37" s="8">
        <v>162079</v>
      </c>
      <c r="AO37" s="40">
        <f t="shared" si="207"/>
        <v>641670</v>
      </c>
      <c r="AP37" s="8">
        <v>164441</v>
      </c>
      <c r="AQ37" s="8">
        <v>176731</v>
      </c>
      <c r="AR37" s="8">
        <v>164887</v>
      </c>
      <c r="AS37" s="8">
        <v>184045</v>
      </c>
      <c r="AT37" s="40">
        <f t="shared" si="208"/>
        <v>690104</v>
      </c>
      <c r="AU37" s="8">
        <f>AU24+AU13</f>
        <v>116460.33877</v>
      </c>
      <c r="AV37" s="8">
        <f>AV24+AV13</f>
        <v>101819.70065000003</v>
      </c>
      <c r="AW37" s="8">
        <f>AW24+AW13</f>
        <v>113576.18612</v>
      </c>
      <c r="AX37" s="8">
        <f>AX24+AX13</f>
        <v>70172.749259999997</v>
      </c>
      <c r="AY37" s="40">
        <f t="shared" si="167"/>
        <v>402028.97480000003</v>
      </c>
      <c r="AZ37" s="8">
        <v>91656.025359999985</v>
      </c>
      <c r="BA37" s="593"/>
      <c r="BB37" s="758"/>
      <c r="BC37" s="8"/>
    </row>
    <row r="38" spans="1:55" ht="14.85" customHeight="1">
      <c r="A38" s="717" t="s">
        <v>290</v>
      </c>
      <c r="B38" s="8">
        <f>B25</f>
        <v>0</v>
      </c>
      <c r="C38" s="8">
        <f>C25</f>
        <v>0</v>
      </c>
      <c r="D38" s="8">
        <f>D25</f>
        <v>0</v>
      </c>
      <c r="E38" s="8">
        <f>E25</f>
        <v>0</v>
      </c>
      <c r="F38" s="40">
        <f t="shared" si="200"/>
        <v>0</v>
      </c>
      <c r="G38" s="8">
        <f>G25</f>
        <v>0</v>
      </c>
      <c r="H38" s="8">
        <f>H25</f>
        <v>0</v>
      </c>
      <c r="I38" s="8">
        <f>I25</f>
        <v>0</v>
      </c>
      <c r="J38" s="8">
        <f>J25</f>
        <v>0</v>
      </c>
      <c r="K38" s="40">
        <f t="shared" si="201"/>
        <v>0</v>
      </c>
      <c r="L38" s="8">
        <f>L25</f>
        <v>0</v>
      </c>
      <c r="M38" s="8">
        <f>M25</f>
        <v>0</v>
      </c>
      <c r="N38" s="8">
        <f>N25</f>
        <v>0</v>
      </c>
      <c r="O38" s="8">
        <f>O25</f>
        <v>0</v>
      </c>
      <c r="P38" s="40">
        <f t="shared" si="202"/>
        <v>0</v>
      </c>
      <c r="Q38" s="8">
        <f>Q25</f>
        <v>0</v>
      </c>
      <c r="R38" s="8">
        <f>R25</f>
        <v>0</v>
      </c>
      <c r="S38" s="8">
        <f>S25</f>
        <v>0</v>
      </c>
      <c r="T38" s="8">
        <f>T25</f>
        <v>0</v>
      </c>
      <c r="U38" s="40">
        <f t="shared" si="203"/>
        <v>0</v>
      </c>
      <c r="V38" s="8">
        <f>V25</f>
        <v>0</v>
      </c>
      <c r="W38" s="8">
        <f>W25</f>
        <v>0</v>
      </c>
      <c r="X38" s="8">
        <f>X25</f>
        <v>0</v>
      </c>
      <c r="Y38" s="8">
        <f>Y25</f>
        <v>0</v>
      </c>
      <c r="Z38" s="40">
        <f t="shared" si="204"/>
        <v>0</v>
      </c>
      <c r="AA38" s="8">
        <v>9996.3251700000001</v>
      </c>
      <c r="AB38" s="8">
        <v>15800.894779999999</v>
      </c>
      <c r="AC38" s="8">
        <v>25326.22653</v>
      </c>
      <c r="AD38" s="8">
        <v>30358.872930000001</v>
      </c>
      <c r="AE38" s="40">
        <f t="shared" si="205"/>
        <v>81482.319409999996</v>
      </c>
      <c r="AF38" s="8">
        <v>27614</v>
      </c>
      <c r="AG38" s="8">
        <v>26089</v>
      </c>
      <c r="AH38" s="8">
        <v>38792</v>
      </c>
      <c r="AI38" s="8">
        <v>32576</v>
      </c>
      <c r="AJ38" s="40">
        <f t="shared" si="206"/>
        <v>125071</v>
      </c>
      <c r="AK38" s="8">
        <v>38093</v>
      </c>
      <c r="AL38" s="8">
        <v>44789</v>
      </c>
      <c r="AM38" s="8">
        <v>40333</v>
      </c>
      <c r="AN38" s="8">
        <v>45235</v>
      </c>
      <c r="AO38" s="40">
        <f t="shared" si="207"/>
        <v>168450</v>
      </c>
      <c r="AP38" s="8">
        <v>39941</v>
      </c>
      <c r="AQ38" s="8">
        <v>40512</v>
      </c>
      <c r="AR38" s="8">
        <v>43097</v>
      </c>
      <c r="AS38" s="8">
        <v>44430</v>
      </c>
      <c r="AT38" s="40">
        <f t="shared" si="208"/>
        <v>167980</v>
      </c>
      <c r="AU38" s="8">
        <f>AU25</f>
        <v>39124.469149999997</v>
      </c>
      <c r="AV38" s="8">
        <f>AV25</f>
        <v>45199.961029999991</v>
      </c>
      <c r="AW38" s="8">
        <f>AW25</f>
        <v>47257</v>
      </c>
      <c r="AX38" s="8">
        <f>AX25</f>
        <v>44977</v>
      </c>
      <c r="AY38" s="40">
        <f t="shared" si="167"/>
        <v>176558.43018</v>
      </c>
      <c r="AZ38" s="8">
        <v>40123.412959999994</v>
      </c>
      <c r="BA38" s="593"/>
      <c r="BB38" s="758"/>
      <c r="BC38" s="8"/>
    </row>
    <row r="39" spans="1:55" ht="14.85" customHeight="1">
      <c r="A39" s="717" t="s">
        <v>1111</v>
      </c>
      <c r="B39" s="8">
        <f>B26+B14</f>
        <v>4403</v>
      </c>
      <c r="C39" s="8">
        <f>C26+C14</f>
        <v>3029.2485499999848</v>
      </c>
      <c r="D39" s="8">
        <f>D26+D14</f>
        <v>3323.9999999999955</v>
      </c>
      <c r="E39" s="8">
        <f>E26+E14</f>
        <v>3829.2908884744661</v>
      </c>
      <c r="F39" s="40">
        <f t="shared" si="200"/>
        <v>14585.539438474447</v>
      </c>
      <c r="G39" s="8">
        <f>G26+G14</f>
        <v>3604.4377599999998</v>
      </c>
      <c r="H39" s="8">
        <f>H26+H14</f>
        <v>4032.6118200000001</v>
      </c>
      <c r="I39" s="8">
        <f>I26+I14</f>
        <v>6156.2983599999998</v>
      </c>
      <c r="J39" s="8">
        <f>J26+J14</f>
        <v>8537.9135000000024</v>
      </c>
      <c r="K39" s="40">
        <f t="shared" si="201"/>
        <v>22331.261440000002</v>
      </c>
      <c r="L39" s="8">
        <f>L26+L14</f>
        <v>4944.19049</v>
      </c>
      <c r="M39" s="8">
        <f>M26+M14</f>
        <v>9218.3194700000004</v>
      </c>
      <c r="N39" s="8">
        <f>N26+N14</f>
        <v>7349.2901699999984</v>
      </c>
      <c r="O39" s="8">
        <f>O26+O14</f>
        <v>10079.867390000001</v>
      </c>
      <c r="P39" s="40">
        <f t="shared" si="202"/>
        <v>31591.667519999995</v>
      </c>
      <c r="Q39" s="8">
        <f>Q26+Q14</f>
        <v>6645.6103600000006</v>
      </c>
      <c r="R39" s="8">
        <f>R26+R14</f>
        <v>9694.3864600000015</v>
      </c>
      <c r="S39" s="8">
        <f>S26+S14</f>
        <v>12310.321969999999</v>
      </c>
      <c r="T39" s="8">
        <f>T26+T14</f>
        <v>-31931.91228</v>
      </c>
      <c r="U39" s="40">
        <f t="shared" si="203"/>
        <v>-3281.5934899999993</v>
      </c>
      <c r="V39" s="8">
        <f>V26+V14</f>
        <v>6694.5188499999995</v>
      </c>
      <c r="W39" s="8">
        <f>W26+W14</f>
        <v>6939.1943900000006</v>
      </c>
      <c r="X39" s="8">
        <f>X26+X14</f>
        <v>24610.81078</v>
      </c>
      <c r="Y39" s="8">
        <f>Y26+Y14</f>
        <v>22450.110430000001</v>
      </c>
      <c r="Z39" s="40">
        <f t="shared" si="204"/>
        <v>60694.634449999998</v>
      </c>
      <c r="AA39" s="8">
        <v>6137.8078499999992</v>
      </c>
      <c r="AB39" s="8">
        <v>1017.8748000000007</v>
      </c>
      <c r="AC39" s="8">
        <v>1251.7171300000002</v>
      </c>
      <c r="AD39" s="8">
        <v>1606.5536599999996</v>
      </c>
      <c r="AE39" s="40">
        <f t="shared" si="205"/>
        <v>10013.953439999999</v>
      </c>
      <c r="AF39" s="8">
        <v>9181</v>
      </c>
      <c r="AG39" s="8">
        <v>6325</v>
      </c>
      <c r="AH39" s="8">
        <v>10178</v>
      </c>
      <c r="AI39" s="8">
        <v>9492</v>
      </c>
      <c r="AJ39" s="40">
        <f t="shared" si="206"/>
        <v>35176</v>
      </c>
      <c r="AK39" s="8">
        <v>9054</v>
      </c>
      <c r="AL39" s="8">
        <v>11633</v>
      </c>
      <c r="AM39" s="8">
        <v>9957</v>
      </c>
      <c r="AN39" s="8">
        <v>9236</v>
      </c>
      <c r="AO39" s="40">
        <f t="shared" si="207"/>
        <v>39880</v>
      </c>
      <c r="AP39" s="8">
        <v>14567</v>
      </c>
      <c r="AQ39" s="8">
        <v>13184</v>
      </c>
      <c r="AR39" s="8">
        <v>13099</v>
      </c>
      <c r="AS39" s="8">
        <v>12838.904790000001</v>
      </c>
      <c r="AT39" s="40">
        <f t="shared" si="208"/>
        <v>53688.904790000001</v>
      </c>
      <c r="AU39" s="8">
        <v>15046.025039999997</v>
      </c>
      <c r="AV39" s="8">
        <v>14768.402139999998</v>
      </c>
      <c r="AW39" s="8">
        <v>16878.412800000024</v>
      </c>
      <c r="AX39" s="8">
        <v>17745.82477999997</v>
      </c>
      <c r="AY39" s="40">
        <f t="shared" si="167"/>
        <v>64438.664759999985</v>
      </c>
      <c r="AZ39" s="8">
        <v>16382.251350000002</v>
      </c>
      <c r="BA39" s="593"/>
      <c r="BB39" s="758"/>
      <c r="BC39" s="8"/>
    </row>
    <row r="40" spans="1:55" s="2" customFormat="1" ht="14.85" customHeight="1" thickBot="1">
      <c r="A40" s="225" t="s">
        <v>1114</v>
      </c>
      <c r="B40" s="76">
        <f t="shared" ref="B40:E40" si="209">B30+B34</f>
        <v>75087.302190000002</v>
      </c>
      <c r="C40" s="76">
        <f t="shared" si="209"/>
        <v>69381.92760000001</v>
      </c>
      <c r="D40" s="76">
        <f t="shared" si="209"/>
        <v>80498.774829999951</v>
      </c>
      <c r="E40" s="76">
        <f t="shared" si="209"/>
        <v>89636.117749999961</v>
      </c>
      <c r="F40" s="716">
        <f t="shared" ref="F40" si="210">SUM(B40:E40)</f>
        <v>314604.12236999994</v>
      </c>
      <c r="G40" s="76">
        <f t="shared" ref="G40:J40" si="211">G30+G34</f>
        <v>123988.58903</v>
      </c>
      <c r="H40" s="76">
        <f t="shared" si="211"/>
        <v>126909.01842000002</v>
      </c>
      <c r="I40" s="76">
        <f t="shared" si="211"/>
        <v>132954.16105</v>
      </c>
      <c r="J40" s="76">
        <f t="shared" si="211"/>
        <v>109007.80658</v>
      </c>
      <c r="K40" s="716">
        <f t="shared" ref="K40" si="212">SUM(G40:J40)</f>
        <v>492859.57507999998</v>
      </c>
      <c r="L40" s="76">
        <f t="shared" ref="L40:O40" si="213">L30+L34</f>
        <v>118198.83920999999</v>
      </c>
      <c r="M40" s="76">
        <f t="shared" si="213"/>
        <v>153415.43643</v>
      </c>
      <c r="N40" s="76">
        <f t="shared" si="213"/>
        <v>152860.31464999999</v>
      </c>
      <c r="O40" s="76">
        <f t="shared" si="213"/>
        <v>154846.99670000002</v>
      </c>
      <c r="P40" s="716">
        <f t="shared" ref="P40" si="214">SUM(L40:O40)</f>
        <v>579321.58698999998</v>
      </c>
      <c r="Q40" s="76">
        <f t="shared" ref="Q40:T40" si="215">Q30+Q34</f>
        <v>163849.28473999997</v>
      </c>
      <c r="R40" s="76">
        <f t="shared" si="215"/>
        <v>184415.36861</v>
      </c>
      <c r="S40" s="76">
        <f t="shared" si="215"/>
        <v>196250.39385999995</v>
      </c>
      <c r="T40" s="76">
        <f t="shared" si="215"/>
        <v>87722.072420000026</v>
      </c>
      <c r="U40" s="716">
        <f t="shared" ref="U40" si="216">SUM(Q40:T40)</f>
        <v>632237.11962999997</v>
      </c>
      <c r="V40" s="76">
        <f t="shared" ref="V40:Y40" si="217">V30+V34</f>
        <v>173066.69043999998</v>
      </c>
      <c r="W40" s="76">
        <f t="shared" si="217"/>
        <v>157080.37399999998</v>
      </c>
      <c r="X40" s="76">
        <f t="shared" si="217"/>
        <v>326701.038</v>
      </c>
      <c r="Y40" s="76">
        <f t="shared" si="217"/>
        <v>237841.76972999994</v>
      </c>
      <c r="Z40" s="716">
        <f t="shared" ref="Z40" si="218">SUM(V40:Y40)</f>
        <v>894689.87216999999</v>
      </c>
      <c r="AA40" s="76">
        <f t="shared" ref="AA40:AD40" si="219">AA30+AA34</f>
        <v>193160.50335000001</v>
      </c>
      <c r="AB40" s="76">
        <f t="shared" si="219"/>
        <v>192604.20775999996</v>
      </c>
      <c r="AC40" s="76">
        <f t="shared" si="219"/>
        <v>329649.12633</v>
      </c>
      <c r="AD40" s="76">
        <f t="shared" si="219"/>
        <v>333018.74885000003</v>
      </c>
      <c r="AE40" s="716">
        <f t="shared" ref="AE40" si="220">SUM(AA40:AD40)</f>
        <v>1048432.58629</v>
      </c>
      <c r="AF40" s="76">
        <f t="shared" ref="AF40:AI40" si="221">AF30+AF34</f>
        <v>280291</v>
      </c>
      <c r="AG40" s="76">
        <f t="shared" si="221"/>
        <v>340626</v>
      </c>
      <c r="AH40" s="76">
        <f t="shared" si="221"/>
        <v>436880</v>
      </c>
      <c r="AI40" s="76">
        <f t="shared" si="221"/>
        <v>324447</v>
      </c>
      <c r="AJ40" s="716">
        <f t="shared" ref="AJ40" si="222">SUM(AF40:AI40)</f>
        <v>1382244</v>
      </c>
      <c r="AK40" s="76">
        <f t="shared" ref="AK40:AN40" si="223">AK30+AK34</f>
        <v>385672</v>
      </c>
      <c r="AL40" s="76">
        <f t="shared" si="223"/>
        <v>390808</v>
      </c>
      <c r="AM40" s="76">
        <f t="shared" si="223"/>
        <v>406659</v>
      </c>
      <c r="AN40" s="76">
        <f t="shared" si="223"/>
        <v>425621</v>
      </c>
      <c r="AO40" s="716">
        <f t="shared" ref="AO40" si="224">SUM(AK40:AN40)</f>
        <v>1608760</v>
      </c>
      <c r="AP40" s="76">
        <f t="shared" ref="AP40:AS40" si="225">AP30+AP34</f>
        <v>444428</v>
      </c>
      <c r="AQ40" s="76">
        <f t="shared" si="225"/>
        <v>442166</v>
      </c>
      <c r="AR40" s="76">
        <f t="shared" si="225"/>
        <v>452754</v>
      </c>
      <c r="AS40" s="76">
        <f t="shared" si="225"/>
        <v>530219.90479000006</v>
      </c>
      <c r="AT40" s="716">
        <f t="shared" ref="AT40" si="226">SUM(AP40:AS40)</f>
        <v>1869567.9047900001</v>
      </c>
      <c r="AU40" s="76">
        <f>AU30+AU34</f>
        <v>460451.26303000003</v>
      </c>
      <c r="AV40" s="76">
        <f t="shared" ref="AV40:AW40" si="227">AV30+AV34</f>
        <v>437956.55069000006</v>
      </c>
      <c r="AW40" s="76">
        <f t="shared" si="227"/>
        <v>480363.13167000009</v>
      </c>
      <c r="AX40" s="76">
        <f t="shared" ref="AX40:AZ40" si="228">AX30+AX34</f>
        <v>460074.27434</v>
      </c>
      <c r="AY40" s="716">
        <f t="shared" ref="AY40" si="229">SUM(AU40:AX40)</f>
        <v>1838845.2197300002</v>
      </c>
      <c r="AZ40" s="76">
        <f t="shared" si="228"/>
        <v>466576.43786999991</v>
      </c>
      <c r="BA40" s="753"/>
      <c r="BB40" s="758"/>
      <c r="BC40" s="102"/>
    </row>
    <row r="41" spans="1:55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187"/>
    </row>
    <row r="42" spans="1:55">
      <c r="AA42" s="171"/>
      <c r="AB42" s="171"/>
      <c r="AC42" s="171"/>
      <c r="AD42" s="171"/>
    </row>
    <row r="43" spans="1:55">
      <c r="AC43" s="20"/>
      <c r="AD43" s="20"/>
    </row>
  </sheetData>
  <sortState xmlns:xlrd2="http://schemas.microsoft.com/office/spreadsheetml/2017/richdata2" ref="A31:A39">
    <sortCondition ref="A31:A39"/>
  </sortState>
  <pageMargins left="0.511811024" right="0.511811024" top="0.78740157499999996" bottom="0.78740157499999996" header="0.31496062000000002" footer="0.31496062000000002"/>
  <pageSetup paperSize="9" orientation="portrait" r:id="rId1"/>
  <ignoredErrors>
    <ignoredError sqref="B37:Z37 AE37 AJ37 AO37 AT37:AU37" 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F34ED-2DED-4F6E-9779-D55E564F3120}">
  <sheetPr>
    <pageSetUpPr fitToPage="1"/>
  </sheetPr>
  <dimension ref="A1:AE260"/>
  <sheetViews>
    <sheetView showGridLines="0" showRowColHeaders="0" zoomScale="75" zoomScaleNormal="75" zoomScaleSheetLayoutView="80" workbookViewId="0">
      <pane xSplit="2" ySplit="3" topLeftCell="S4" activePane="bottomRight" state="frozen"/>
      <selection activeCell="M8" sqref="M8"/>
      <selection pane="topRight" activeCell="M8" sqref="M8"/>
      <selection pane="bottomLeft" activeCell="M8" sqref="M8"/>
      <selection pane="bottomRight" activeCell="C23" sqref="C23"/>
    </sheetView>
  </sheetViews>
  <sheetFormatPr defaultColWidth="12.5703125" defaultRowHeight="12.75" outlineLevelCol="2"/>
  <cols>
    <col min="1" max="1" width="3.5703125" style="192" customWidth="1"/>
    <col min="2" max="2" width="70.7109375" style="192" customWidth="1"/>
    <col min="3" max="3" width="24.42578125" style="192" hidden="1" customWidth="1" outlineLevel="1"/>
    <col min="4" max="4" width="20.5703125" style="192" hidden="1" customWidth="1" outlineLevel="1"/>
    <col min="5" max="5" width="13.28515625" style="192" hidden="1" customWidth="1" outlineLevel="1"/>
    <col min="6" max="6" width="19.5703125" style="192" hidden="1" customWidth="1" collapsed="1"/>
    <col min="7" max="9" width="20.5703125" style="192" hidden="1" customWidth="1" outlineLevel="2"/>
    <col min="10" max="10" width="20.42578125" style="192" customWidth="1" collapsed="1"/>
    <col min="11" max="13" width="20.5703125" style="192" hidden="1" customWidth="1" outlineLevel="1"/>
    <col min="14" max="14" width="15.42578125" style="193" customWidth="1" collapsed="1"/>
    <col min="15" max="17" width="20.5703125" style="192" hidden="1" customWidth="1" outlineLevel="2"/>
    <col min="18" max="18" width="20.5703125" style="192" customWidth="1" collapsed="1"/>
    <col min="19" max="21" width="20.5703125" style="192" customWidth="1" outlineLevel="1"/>
    <col min="22" max="23" width="20.5703125" style="193" customWidth="1"/>
    <col min="24" max="24" width="12.5703125" style="193"/>
    <col min="25" max="16384" width="12.5703125" style="192"/>
  </cols>
  <sheetData>
    <row r="1" spans="1:31" s="193" customFormat="1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31"/>
      <c r="W1" s="630"/>
    </row>
    <row r="2" spans="1:31" s="193" customFormat="1" ht="15" customHeight="1">
      <c r="A2" s="619"/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32"/>
      <c r="W2" s="630"/>
    </row>
    <row r="3" spans="1:31" s="193" customFormat="1" ht="50.1" customHeight="1">
      <c r="A3" s="676"/>
      <c r="B3" s="766" t="s">
        <v>667</v>
      </c>
      <c r="C3" s="676"/>
      <c r="D3" s="676"/>
      <c r="E3" s="676"/>
      <c r="F3" s="635"/>
      <c r="G3" s="635"/>
      <c r="H3" s="635"/>
      <c r="I3" s="635"/>
      <c r="J3" s="635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31"/>
      <c r="W3" s="630"/>
    </row>
    <row r="4" spans="1:31" s="210" customFormat="1" ht="10.35" customHeight="1">
      <c r="W4" s="720"/>
    </row>
    <row r="5" spans="1:31" ht="15">
      <c r="A5" s="677"/>
      <c r="B5" s="677" t="s">
        <v>668</v>
      </c>
      <c r="C5" s="678">
        <v>44256</v>
      </c>
      <c r="D5" s="678">
        <v>44348</v>
      </c>
      <c r="E5" s="678">
        <v>44440</v>
      </c>
      <c r="F5" s="679">
        <v>44531</v>
      </c>
      <c r="G5" s="679">
        <v>44621</v>
      </c>
      <c r="H5" s="679">
        <v>44713</v>
      </c>
      <c r="I5" s="679">
        <v>44805</v>
      </c>
      <c r="J5" s="679">
        <v>44896</v>
      </c>
      <c r="K5" s="679">
        <v>44986</v>
      </c>
      <c r="L5" s="679">
        <v>45078</v>
      </c>
      <c r="M5" s="679">
        <v>45170</v>
      </c>
      <c r="N5" s="679">
        <v>45261</v>
      </c>
      <c r="O5" s="679">
        <v>45352</v>
      </c>
      <c r="P5" s="679">
        <v>45444</v>
      </c>
      <c r="Q5" s="679">
        <v>45536</v>
      </c>
      <c r="R5" s="679">
        <v>45627</v>
      </c>
      <c r="S5" s="679">
        <v>45717</v>
      </c>
      <c r="T5" s="679">
        <v>45809</v>
      </c>
      <c r="U5" s="679">
        <v>45901</v>
      </c>
      <c r="V5" s="680">
        <v>45992</v>
      </c>
      <c r="W5" s="681">
        <v>46082</v>
      </c>
    </row>
    <row r="6" spans="1:31" ht="15">
      <c r="A6" s="204"/>
      <c r="B6" s="204" t="s">
        <v>643</v>
      </c>
      <c r="C6" s="473"/>
      <c r="D6" s="230"/>
      <c r="E6" s="230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</row>
    <row r="7" spans="1:31" ht="15">
      <c r="A7" s="203"/>
      <c r="B7" s="203" t="s">
        <v>669</v>
      </c>
      <c r="C7" s="205">
        <v>4615038.3122541225</v>
      </c>
      <c r="D7" s="205">
        <v>3917373.1655572131</v>
      </c>
      <c r="E7" s="205">
        <v>4753621.7999984855</v>
      </c>
      <c r="F7" s="205">
        <v>5551763.3546830993</v>
      </c>
      <c r="G7" s="205">
        <v>5508322.1484311996</v>
      </c>
      <c r="H7" s="205">
        <v>4429878.8870261405</v>
      </c>
      <c r="I7" s="205">
        <v>6020238.3733848203</v>
      </c>
      <c r="J7" s="205">
        <v>5764108.7812310513</v>
      </c>
      <c r="K7" s="205">
        <v>8383016.3501037136</v>
      </c>
      <c r="L7" s="205">
        <v>6683158.5262177587</v>
      </c>
      <c r="M7" s="205">
        <f t="shared" ref="M7:W7" si="0">M34+M61+M88+M113+M138+M163+M191</f>
        <v>8837594.5546525046</v>
      </c>
      <c r="N7" s="205">
        <f t="shared" si="0"/>
        <v>8264569.3487197496</v>
      </c>
      <c r="O7" s="205">
        <f t="shared" si="0"/>
        <v>9789475.5611406695</v>
      </c>
      <c r="P7" s="205">
        <f t="shared" si="0"/>
        <v>8549635.4467638023</v>
      </c>
      <c r="Q7" s="205">
        <f t="shared" si="0"/>
        <v>9582187.3622698858</v>
      </c>
      <c r="R7" s="205">
        <f t="shared" si="0"/>
        <v>9269345.4251058605</v>
      </c>
      <c r="S7" s="205">
        <f t="shared" si="0"/>
        <v>10610122.820099128</v>
      </c>
      <c r="T7" s="205">
        <f t="shared" si="0"/>
        <v>12048866.364293642</v>
      </c>
      <c r="U7" s="205">
        <f t="shared" si="0"/>
        <v>13081249.834430171</v>
      </c>
      <c r="V7" s="205">
        <f t="shared" si="0"/>
        <v>13666502.965856079</v>
      </c>
      <c r="W7" s="702">
        <f t="shared" si="0"/>
        <v>13128548.139696114</v>
      </c>
      <c r="X7" s="570"/>
      <c r="Y7" s="570"/>
      <c r="Z7" s="705"/>
      <c r="AA7" s="570"/>
      <c r="AB7" s="705"/>
      <c r="AC7" s="705"/>
      <c r="AD7" s="705"/>
      <c r="AE7" s="705"/>
    </row>
    <row r="8" spans="1:31" ht="15">
      <c r="A8" s="201"/>
      <c r="B8" s="201" t="s">
        <v>670</v>
      </c>
      <c r="C8" s="201">
        <v>0</v>
      </c>
      <c r="D8" s="201">
        <v>0</v>
      </c>
      <c r="E8" s="201">
        <v>0</v>
      </c>
      <c r="F8" s="201">
        <v>27025.807382922361</v>
      </c>
      <c r="G8" s="201">
        <v>56549.833885344968</v>
      </c>
      <c r="H8" s="201">
        <v>48760.837525158589</v>
      </c>
      <c r="I8" s="201">
        <v>32196.814920098193</v>
      </c>
      <c r="J8" s="201">
        <v>43463.029220000004</v>
      </c>
      <c r="K8" s="201">
        <v>45137.910049999999</v>
      </c>
      <c r="L8" s="201">
        <v>58276.548520000004</v>
      </c>
      <c r="M8" s="201">
        <f t="shared" ref="M8:S20" si="1">M35+M62+M89+M114+M139+M164+M192</f>
        <v>165181.87276999996</v>
      </c>
      <c r="N8" s="201">
        <f t="shared" si="1"/>
        <v>89198.716509999998</v>
      </c>
      <c r="O8" s="201">
        <f t="shared" si="1"/>
        <v>0</v>
      </c>
      <c r="P8" s="201">
        <f t="shared" si="1"/>
        <v>0</v>
      </c>
      <c r="Q8" s="201">
        <f t="shared" si="1"/>
        <v>0</v>
      </c>
      <c r="R8" s="201">
        <f t="shared" si="1"/>
        <v>0</v>
      </c>
      <c r="S8" s="201">
        <f t="shared" si="1"/>
        <v>0</v>
      </c>
      <c r="T8" s="201">
        <v>0</v>
      </c>
      <c r="U8" s="201">
        <v>0</v>
      </c>
      <c r="V8" s="201"/>
      <c r="W8" s="201"/>
      <c r="X8" s="570"/>
      <c r="Y8" s="570"/>
      <c r="Z8" s="705"/>
      <c r="AA8" s="705"/>
      <c r="AB8" s="705"/>
      <c r="AC8" s="705"/>
      <c r="AD8" s="705"/>
      <c r="AE8" s="705"/>
    </row>
    <row r="9" spans="1:31" ht="15">
      <c r="A9" s="201"/>
      <c r="B9" s="201" t="s">
        <v>671</v>
      </c>
      <c r="C9" s="201">
        <v>0</v>
      </c>
      <c r="D9" s="201">
        <v>0</v>
      </c>
      <c r="E9" s="201">
        <v>0</v>
      </c>
      <c r="F9" s="201">
        <v>20399.791604084901</v>
      </c>
      <c r="G9" s="201">
        <v>27104.189298693411</v>
      </c>
      <c r="H9" s="201">
        <v>73710.93587498444</v>
      </c>
      <c r="I9" s="201">
        <v>207262.51362014632</v>
      </c>
      <c r="J9" s="201">
        <v>325940.97203000012</v>
      </c>
      <c r="K9" s="201">
        <v>456861.73350000003</v>
      </c>
      <c r="L9" s="201">
        <v>578864.07041999989</v>
      </c>
      <c r="M9" s="201">
        <f t="shared" si="1"/>
        <v>856775.08111999999</v>
      </c>
      <c r="N9" s="201">
        <f t="shared" si="1"/>
        <v>1070518.0713203442</v>
      </c>
      <c r="O9" s="201">
        <f t="shared" si="1"/>
        <v>1005706.1075800001</v>
      </c>
      <c r="P9" s="201">
        <f t="shared" si="1"/>
        <v>1307382.8880699996</v>
      </c>
      <c r="Q9" s="201">
        <f t="shared" si="1"/>
        <v>1415941.2734200004</v>
      </c>
      <c r="R9" s="201">
        <f t="shared" si="1"/>
        <v>1582805.0576899999</v>
      </c>
      <c r="S9" s="201">
        <f t="shared" si="1"/>
        <v>1490279.9034699998</v>
      </c>
      <c r="T9" s="201">
        <f t="shared" ref="T9:W27" si="2">T36+T63+T90+T115+T140+T165+T193</f>
        <v>1834435.4380799998</v>
      </c>
      <c r="U9" s="201">
        <f t="shared" si="2"/>
        <v>2106248.9479185333</v>
      </c>
      <c r="V9" s="201">
        <f t="shared" si="2"/>
        <v>2189862.9040000006</v>
      </c>
      <c r="W9" s="201">
        <f t="shared" si="2"/>
        <v>1920673.8519399995</v>
      </c>
      <c r="X9" s="570"/>
      <c r="Y9" s="570"/>
      <c r="Z9" s="705"/>
      <c r="AA9" s="705"/>
      <c r="AB9" s="705"/>
      <c r="AC9" s="705"/>
      <c r="AD9" s="705"/>
      <c r="AE9" s="705"/>
    </row>
    <row r="10" spans="1:31" ht="15">
      <c r="A10" s="201"/>
      <c r="B10" s="201" t="s">
        <v>672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5356.4201471890783</v>
      </c>
      <c r="I10" s="201">
        <v>13876.20545044873</v>
      </c>
      <c r="J10" s="201">
        <v>20065.45652</v>
      </c>
      <c r="K10" s="201">
        <v>28175.770199999999</v>
      </c>
      <c r="L10" s="201">
        <v>53635.530789999997</v>
      </c>
      <c r="M10" s="201">
        <f t="shared" si="1"/>
        <v>91649.698419999986</v>
      </c>
      <c r="N10" s="201">
        <f t="shared" si="1"/>
        <v>32355.535660000001</v>
      </c>
      <c r="O10" s="201">
        <f t="shared" si="1"/>
        <v>51096.794089999996</v>
      </c>
      <c r="P10" s="201">
        <f t="shared" si="1"/>
        <v>74607.389920000001</v>
      </c>
      <c r="Q10" s="201">
        <f t="shared" si="1"/>
        <v>33767.766109999997</v>
      </c>
      <c r="R10" s="201">
        <f t="shared" si="1"/>
        <v>23929.936690000002</v>
      </c>
      <c r="S10" s="201">
        <f t="shared" si="1"/>
        <v>24603.215780000002</v>
      </c>
      <c r="T10" s="201">
        <f t="shared" si="2"/>
        <v>5044.0760399999999</v>
      </c>
      <c r="U10" s="201">
        <f t="shared" si="2"/>
        <v>0</v>
      </c>
      <c r="V10" s="201">
        <f t="shared" si="2"/>
        <v>0</v>
      </c>
      <c r="W10" s="201">
        <f t="shared" si="2"/>
        <v>0</v>
      </c>
      <c r="X10" s="570"/>
      <c r="Y10" s="570"/>
      <c r="Z10" s="705"/>
      <c r="AA10" s="705"/>
      <c r="AB10" s="705"/>
      <c r="AC10" s="705"/>
      <c r="AD10" s="705"/>
      <c r="AE10" s="705"/>
    </row>
    <row r="11" spans="1:31" ht="15">
      <c r="A11" s="201"/>
      <c r="B11" s="201" t="s">
        <v>673</v>
      </c>
      <c r="C11" s="201">
        <v>4615038.3122541225</v>
      </c>
      <c r="D11" s="201">
        <v>3917373.1655572131</v>
      </c>
      <c r="E11" s="201">
        <v>4753621.7999984855</v>
      </c>
      <c r="F11" s="201">
        <v>5504337.2282488495</v>
      </c>
      <c r="G11" s="201">
        <v>5424667.4989979295</v>
      </c>
      <c r="H11" s="201">
        <v>4302050.3745165896</v>
      </c>
      <c r="I11" s="201">
        <v>5766902.8393941205</v>
      </c>
      <c r="J11" s="201">
        <v>5374639.3234610511</v>
      </c>
      <c r="K11" s="201">
        <v>7852840.9363537133</v>
      </c>
      <c r="L11" s="201">
        <v>5992382.3764877589</v>
      </c>
      <c r="M11" s="201">
        <f t="shared" si="1"/>
        <v>7723987.9023425048</v>
      </c>
      <c r="N11" s="201">
        <f t="shared" si="1"/>
        <v>7072497.0252294056</v>
      </c>
      <c r="O11" s="201">
        <f t="shared" si="1"/>
        <v>8732672.6594706681</v>
      </c>
      <c r="P11" s="201">
        <f t="shared" si="1"/>
        <v>7167645.168773802</v>
      </c>
      <c r="Q11" s="201">
        <f t="shared" si="1"/>
        <v>8132478.3227398861</v>
      </c>
      <c r="R11" s="201">
        <f t="shared" si="1"/>
        <v>7662610.4307258604</v>
      </c>
      <c r="S11" s="201">
        <f t="shared" si="1"/>
        <v>9095239.7008491289</v>
      </c>
      <c r="T11" s="201">
        <f t="shared" si="2"/>
        <v>10209386.850173643</v>
      </c>
      <c r="U11" s="201">
        <f t="shared" si="2"/>
        <v>10975000.886511637</v>
      </c>
      <c r="V11" s="201">
        <f t="shared" si="2"/>
        <v>11476640.06185608</v>
      </c>
      <c r="W11" s="201">
        <f t="shared" si="2"/>
        <v>11207874.287756115</v>
      </c>
      <c r="X11" s="570"/>
      <c r="Y11" s="570"/>
      <c r="Z11" s="705"/>
      <c r="AA11" s="705"/>
      <c r="AB11" s="705"/>
      <c r="AC11" s="705"/>
      <c r="AD11" s="705"/>
      <c r="AE11" s="705"/>
    </row>
    <row r="12" spans="1:31" s="612" customFormat="1" ht="15">
      <c r="A12" s="611"/>
      <c r="B12" s="611" t="s">
        <v>674</v>
      </c>
      <c r="C12" s="611">
        <v>0</v>
      </c>
      <c r="D12" s="611">
        <v>0</v>
      </c>
      <c r="E12" s="611">
        <v>0</v>
      </c>
      <c r="F12" s="611">
        <v>0</v>
      </c>
      <c r="G12" s="611">
        <v>3157694.5206533507</v>
      </c>
      <c r="H12" s="611">
        <v>2261391.1993709151</v>
      </c>
      <c r="I12" s="611">
        <v>3110960.0418836218</v>
      </c>
      <c r="J12" s="611">
        <v>3134664.6021494903</v>
      </c>
      <c r="K12" s="611">
        <v>5415848.6846858934</v>
      </c>
      <c r="L12" s="611">
        <v>3948896.2646144065</v>
      </c>
      <c r="M12" s="611">
        <f t="shared" si="1"/>
        <v>5475880.3535899939</v>
      </c>
      <c r="N12" s="611">
        <f t="shared" si="1"/>
        <v>4961852.1367159728</v>
      </c>
      <c r="O12" s="611">
        <f t="shared" si="1"/>
        <v>6263400.9479823913</v>
      </c>
      <c r="P12" s="611">
        <f t="shared" si="1"/>
        <v>4542691.5882061729</v>
      </c>
      <c r="Q12" s="611">
        <f t="shared" si="1"/>
        <v>5273298.0000951942</v>
      </c>
      <c r="R12" s="611">
        <f t="shared" si="1"/>
        <v>4641117.3230514443</v>
      </c>
      <c r="S12" s="611">
        <f t="shared" si="1"/>
        <v>6070267.8649295857</v>
      </c>
      <c r="T12" s="611">
        <f t="shared" si="2"/>
        <v>6402168.5661276551</v>
      </c>
      <c r="U12" s="611">
        <f t="shared" si="2"/>
        <v>7520458.6928806063</v>
      </c>
      <c r="V12" s="611">
        <f t="shared" si="2"/>
        <v>6821069.273926245</v>
      </c>
      <c r="W12" s="611">
        <f t="shared" si="2"/>
        <v>6522403.4978040513</v>
      </c>
      <c r="X12" s="705"/>
      <c r="Y12" s="705"/>
      <c r="Z12" s="705"/>
      <c r="AA12" s="705"/>
      <c r="AB12" s="705"/>
      <c r="AC12" s="705"/>
      <c r="AD12" s="705"/>
      <c r="AE12" s="705"/>
    </row>
    <row r="13" spans="1:31" s="612" customFormat="1" ht="15">
      <c r="A13" s="611"/>
      <c r="B13" s="611" t="s">
        <v>675</v>
      </c>
      <c r="C13" s="611">
        <v>0</v>
      </c>
      <c r="D13" s="611">
        <v>0</v>
      </c>
      <c r="E13" s="611">
        <v>0</v>
      </c>
      <c r="F13" s="611">
        <v>0</v>
      </c>
      <c r="G13" s="611">
        <v>657617.62400876323</v>
      </c>
      <c r="H13" s="611">
        <v>721555.29063032987</v>
      </c>
      <c r="I13" s="611">
        <v>689302.24715686985</v>
      </c>
      <c r="J13" s="611">
        <v>713538.37046936352</v>
      </c>
      <c r="K13" s="611">
        <v>699177.84082296153</v>
      </c>
      <c r="L13" s="611">
        <v>686915.13021032768</v>
      </c>
      <c r="M13" s="611">
        <f t="shared" si="1"/>
        <v>1178560.9141774054</v>
      </c>
      <c r="N13" s="611">
        <f t="shared" si="1"/>
        <v>1261768.4250650734</v>
      </c>
      <c r="O13" s="611">
        <f t="shared" si="1"/>
        <v>1418676.4818101567</v>
      </c>
      <c r="P13" s="611">
        <f t="shared" si="1"/>
        <v>1638911.3556475418</v>
      </c>
      <c r="Q13" s="611">
        <f t="shared" si="1"/>
        <v>1474199.5793842734</v>
      </c>
      <c r="R13" s="611">
        <f t="shared" si="1"/>
        <v>1650123.6624456788</v>
      </c>
      <c r="S13" s="611">
        <f t="shared" si="1"/>
        <v>1768295.3630748885</v>
      </c>
      <c r="T13" s="611">
        <f t="shared" si="2"/>
        <v>2011228.4023221945</v>
      </c>
      <c r="U13" s="611">
        <f t="shared" si="2"/>
        <v>1788174.1081262175</v>
      </c>
      <c r="V13" s="611">
        <f t="shared" si="2"/>
        <v>2719494.8445600094</v>
      </c>
      <c r="W13" s="611">
        <f t="shared" si="2"/>
        <v>2811701.2461865926</v>
      </c>
      <c r="X13" s="705"/>
      <c r="Y13" s="705"/>
      <c r="Z13" s="705"/>
      <c r="AA13" s="705"/>
      <c r="AB13" s="705"/>
      <c r="AC13" s="705"/>
      <c r="AD13" s="705"/>
      <c r="AE13" s="705"/>
    </row>
    <row r="14" spans="1:31" s="612" customFormat="1" ht="15">
      <c r="A14" s="611"/>
      <c r="B14" s="611" t="s">
        <v>676</v>
      </c>
      <c r="C14" s="611">
        <v>404481.817827272</v>
      </c>
      <c r="D14" s="611">
        <v>385247.987803503</v>
      </c>
      <c r="E14" s="611">
        <v>611564.30726970511</v>
      </c>
      <c r="F14" s="611">
        <v>674689.56614782906</v>
      </c>
      <c r="G14" s="611">
        <v>1609296.3543358119</v>
      </c>
      <c r="H14" s="611">
        <v>1319224.88451534</v>
      </c>
      <c r="I14" s="611">
        <v>1966640.5503536309</v>
      </c>
      <c r="J14" s="611">
        <v>1526436.3508421979</v>
      </c>
      <c r="K14" s="611">
        <v>1737814.4108448583</v>
      </c>
      <c r="L14" s="611">
        <v>1356570.9816630248</v>
      </c>
      <c r="M14" s="611">
        <f t="shared" si="1"/>
        <v>918071.83873741259</v>
      </c>
      <c r="N14" s="611">
        <f t="shared" si="1"/>
        <v>790454.09834898147</v>
      </c>
      <c r="O14" s="611">
        <f t="shared" si="1"/>
        <v>934051.15433506039</v>
      </c>
      <c r="P14" s="611">
        <f t="shared" si="1"/>
        <v>969543.53536694217</v>
      </c>
      <c r="Q14" s="611">
        <f t="shared" si="1"/>
        <v>1337139.1061517559</v>
      </c>
      <c r="R14" s="611">
        <f t="shared" si="1"/>
        <v>1260829.679317004</v>
      </c>
      <c r="S14" s="611">
        <f t="shared" si="1"/>
        <v>1256687.6673957207</v>
      </c>
      <c r="T14" s="611">
        <f t="shared" si="2"/>
        <v>1795989.8817237918</v>
      </c>
      <c r="U14" s="611">
        <f t="shared" si="2"/>
        <v>1666368.0855048115</v>
      </c>
      <c r="V14" s="611">
        <f t="shared" si="2"/>
        <v>1936075.9433698235</v>
      </c>
      <c r="W14" s="611">
        <f t="shared" si="2"/>
        <v>1873769.5437654718</v>
      </c>
      <c r="X14" s="705"/>
      <c r="Y14" s="705"/>
      <c r="Z14" s="705"/>
      <c r="AA14" s="705"/>
      <c r="AB14" s="705"/>
      <c r="AC14" s="705"/>
      <c r="AD14" s="705"/>
      <c r="AE14" s="705"/>
    </row>
    <row r="15" spans="1:31" ht="15">
      <c r="A15" s="201"/>
      <c r="B15" s="201" t="s">
        <v>677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f t="shared" si="1"/>
        <v>0</v>
      </c>
      <c r="N15" s="201">
        <f t="shared" si="1"/>
        <v>0</v>
      </c>
      <c r="O15" s="201">
        <f t="shared" si="1"/>
        <v>0</v>
      </c>
      <c r="P15" s="201">
        <f t="shared" si="1"/>
        <v>0</v>
      </c>
      <c r="Q15" s="201">
        <f t="shared" si="1"/>
        <v>0</v>
      </c>
      <c r="R15" s="201">
        <f t="shared" si="1"/>
        <v>0</v>
      </c>
      <c r="S15" s="201">
        <f t="shared" si="1"/>
        <v>0</v>
      </c>
      <c r="T15" s="201">
        <f t="shared" si="2"/>
        <v>0</v>
      </c>
      <c r="U15" s="201">
        <f t="shared" si="2"/>
        <v>0</v>
      </c>
      <c r="V15" s="201">
        <f t="shared" si="2"/>
        <v>0</v>
      </c>
      <c r="W15" s="201">
        <f t="shared" si="2"/>
        <v>0</v>
      </c>
      <c r="X15" s="570"/>
      <c r="Y15" s="570"/>
      <c r="Z15" s="705"/>
      <c r="AA15" s="705"/>
      <c r="AB15" s="705"/>
      <c r="AC15" s="705"/>
      <c r="AD15" s="705"/>
      <c r="AE15" s="705"/>
    </row>
    <row r="16" spans="1:31" ht="15">
      <c r="A16" s="201"/>
      <c r="B16" s="201" t="s">
        <v>381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f t="shared" si="1"/>
        <v>0</v>
      </c>
      <c r="N16" s="201">
        <f t="shared" si="1"/>
        <v>0</v>
      </c>
      <c r="O16" s="201">
        <f t="shared" si="1"/>
        <v>0</v>
      </c>
      <c r="P16" s="201">
        <f t="shared" si="1"/>
        <v>0</v>
      </c>
      <c r="Q16" s="201">
        <f t="shared" si="1"/>
        <v>0</v>
      </c>
      <c r="R16" s="201">
        <f t="shared" si="1"/>
        <v>0</v>
      </c>
      <c r="S16" s="201">
        <f t="shared" si="1"/>
        <v>0</v>
      </c>
      <c r="T16" s="201">
        <f t="shared" si="2"/>
        <v>0</v>
      </c>
      <c r="U16" s="201">
        <f t="shared" si="2"/>
        <v>0</v>
      </c>
      <c r="V16" s="201">
        <f t="shared" si="2"/>
        <v>0</v>
      </c>
      <c r="W16" s="201">
        <f t="shared" si="2"/>
        <v>0</v>
      </c>
      <c r="X16" s="570"/>
      <c r="Y16" s="570"/>
      <c r="Z16" s="705"/>
      <c r="AA16" s="705"/>
      <c r="AB16" s="705"/>
      <c r="AC16" s="705"/>
      <c r="AD16" s="705"/>
      <c r="AE16" s="705"/>
    </row>
    <row r="17" spans="1:31" ht="15">
      <c r="A17" s="203"/>
      <c r="B17" s="203" t="s">
        <v>678</v>
      </c>
      <c r="C17" s="202">
        <v>13232105.114812478</v>
      </c>
      <c r="D17" s="202">
        <v>13248178.890741445</v>
      </c>
      <c r="E17" s="202">
        <v>13404089.837344076</v>
      </c>
      <c r="F17" s="202">
        <v>13128301.386985546</v>
      </c>
      <c r="G17" s="202">
        <v>12712685.870116768</v>
      </c>
      <c r="H17" s="202">
        <v>13999145.534077693</v>
      </c>
      <c r="I17" s="202">
        <v>14202935.70979622</v>
      </c>
      <c r="J17" s="202">
        <v>11889604.598330002</v>
      </c>
      <c r="K17" s="202">
        <v>10805919.781670002</v>
      </c>
      <c r="L17" s="202">
        <v>12641596.529210001</v>
      </c>
      <c r="M17" s="579">
        <f t="shared" si="1"/>
        <v>11295264.84234</v>
      </c>
      <c r="N17" s="579">
        <f t="shared" si="1"/>
        <v>12322978.249749999</v>
      </c>
      <c r="O17" s="579">
        <f t="shared" si="1"/>
        <v>11878666.643680001</v>
      </c>
      <c r="P17" s="579">
        <f t="shared" si="1"/>
        <v>12203256.204209998</v>
      </c>
      <c r="Q17" s="579">
        <f t="shared" si="1"/>
        <v>12011950.812580001</v>
      </c>
      <c r="R17" s="579">
        <f t="shared" si="1"/>
        <v>12885098.086859999</v>
      </c>
      <c r="S17" s="579">
        <f t="shared" si="1"/>
        <v>12170617.67935</v>
      </c>
      <c r="T17" s="579">
        <f t="shared" si="2"/>
        <v>11920619.337609999</v>
      </c>
      <c r="U17" s="579">
        <f t="shared" si="2"/>
        <v>11720417.81095</v>
      </c>
      <c r="V17" s="579">
        <f t="shared" si="2"/>
        <v>11269806.38222</v>
      </c>
      <c r="W17" s="579">
        <f t="shared" si="2"/>
        <v>11850816.657600001</v>
      </c>
      <c r="X17" s="570"/>
      <c r="Y17" s="570"/>
      <c r="Z17" s="705"/>
      <c r="AA17" s="705"/>
      <c r="AB17" s="705"/>
      <c r="AC17" s="705"/>
      <c r="AD17" s="705"/>
      <c r="AE17" s="705"/>
    </row>
    <row r="18" spans="1:31" ht="15">
      <c r="A18" s="201"/>
      <c r="B18" s="201" t="s">
        <v>670</v>
      </c>
      <c r="C18" s="201">
        <v>13232105.114812478</v>
      </c>
      <c r="D18" s="201">
        <v>13248178.890741445</v>
      </c>
      <c r="E18" s="201">
        <v>13404089.837344076</v>
      </c>
      <c r="F18" s="201">
        <v>13050297.930341085</v>
      </c>
      <c r="G18" s="201">
        <v>12632874.238661587</v>
      </c>
      <c r="H18" s="201">
        <v>13638536.066356774</v>
      </c>
      <c r="I18" s="201">
        <v>13780669.174460705</v>
      </c>
      <c r="J18" s="201">
        <v>10427973.180410001</v>
      </c>
      <c r="K18" s="201">
        <v>6951637.3589500003</v>
      </c>
      <c r="L18" s="201">
        <v>8480912.3368600011</v>
      </c>
      <c r="M18" s="201">
        <f t="shared" si="1"/>
        <v>8072082.4484199993</v>
      </c>
      <c r="N18" s="201">
        <f t="shared" si="1"/>
        <v>8526732.4761900008</v>
      </c>
      <c r="O18" s="201">
        <f t="shared" si="1"/>
        <v>8129049.9553399999</v>
      </c>
      <c r="P18" s="201">
        <f t="shared" si="1"/>
        <v>8349885.5453499993</v>
      </c>
      <c r="Q18" s="201">
        <f t="shared" si="1"/>
        <v>8941220.2697999999</v>
      </c>
      <c r="R18" s="201">
        <f t="shared" si="1"/>
        <v>9905045.5723799989</v>
      </c>
      <c r="S18" s="201">
        <f t="shared" si="1"/>
        <v>8711150.1883599982</v>
      </c>
      <c r="T18" s="201">
        <f t="shared" si="2"/>
        <v>8422319.7758599985</v>
      </c>
      <c r="U18" s="201">
        <f t="shared" si="2"/>
        <v>8695382.710620001</v>
      </c>
      <c r="V18" s="201">
        <f t="shared" si="2"/>
        <v>8508290.1297200006</v>
      </c>
      <c r="W18" s="201">
        <f t="shared" si="2"/>
        <v>9247718.5376900006</v>
      </c>
      <c r="X18" s="570"/>
      <c r="Y18" s="570"/>
      <c r="Z18" s="705"/>
      <c r="AA18" s="705"/>
      <c r="AB18" s="705"/>
      <c r="AC18" s="705"/>
      <c r="AD18" s="705"/>
      <c r="AE18" s="705"/>
    </row>
    <row r="19" spans="1:31" ht="15">
      <c r="A19" s="201"/>
      <c r="B19" s="201" t="s">
        <v>671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982496.28305999993</v>
      </c>
      <c r="K19" s="201">
        <v>3071722.1617399994</v>
      </c>
      <c r="L19" s="201">
        <v>3559040.1074900003</v>
      </c>
      <c r="M19" s="201">
        <f t="shared" si="1"/>
        <v>2462800.0219399999</v>
      </c>
      <c r="N19" s="201">
        <f t="shared" si="1"/>
        <v>2516836.7188399998</v>
      </c>
      <c r="O19" s="201">
        <f t="shared" si="1"/>
        <v>2447770.6995899999</v>
      </c>
      <c r="P19" s="201">
        <f t="shared" si="1"/>
        <v>2510399.2320199995</v>
      </c>
      <c r="Q19" s="201">
        <f t="shared" si="1"/>
        <v>1799256.3594800001</v>
      </c>
      <c r="R19" s="201">
        <f t="shared" si="1"/>
        <v>1746555.6242899999</v>
      </c>
      <c r="S19" s="201">
        <f t="shared" si="1"/>
        <v>2215309.0301600001</v>
      </c>
      <c r="T19" s="201">
        <f t="shared" si="2"/>
        <v>2289226.7338400004</v>
      </c>
      <c r="U19" s="201">
        <f t="shared" si="2"/>
        <v>1801589.9303599999</v>
      </c>
      <c r="V19" s="201">
        <f t="shared" si="2"/>
        <v>1515114.0324400002</v>
      </c>
      <c r="W19" s="201">
        <f t="shared" si="2"/>
        <v>1340947.8274299998</v>
      </c>
      <c r="X19" s="570"/>
      <c r="Y19" s="570"/>
      <c r="Z19" s="705"/>
      <c r="AA19" s="705"/>
      <c r="AB19" s="705"/>
      <c r="AC19" s="705"/>
      <c r="AD19" s="705"/>
      <c r="AE19" s="705"/>
    </row>
    <row r="20" spans="1:31" ht="15">
      <c r="A20" s="201"/>
      <c r="B20" s="201" t="s">
        <v>672</v>
      </c>
      <c r="C20" s="201">
        <v>0</v>
      </c>
      <c r="D20" s="201">
        <v>0</v>
      </c>
      <c r="E20" s="201">
        <v>0</v>
      </c>
      <c r="F20" s="201">
        <v>78003.456644458623</v>
      </c>
      <c r="G20" s="201">
        <v>79811.631455181865</v>
      </c>
      <c r="H20" s="201">
        <v>360609.46772091649</v>
      </c>
      <c r="I20" s="201">
        <v>422266.53533551272</v>
      </c>
      <c r="J20" s="201">
        <v>479135.13485999999</v>
      </c>
      <c r="K20" s="201">
        <v>782560.26098000002</v>
      </c>
      <c r="L20" s="201">
        <v>601644.08486000006</v>
      </c>
      <c r="M20" s="201">
        <f t="shared" si="1"/>
        <v>760382.37198000005</v>
      </c>
      <c r="N20" s="201">
        <f t="shared" si="1"/>
        <v>1279409.0547199999</v>
      </c>
      <c r="O20" s="201">
        <f t="shared" si="1"/>
        <v>1301845.9887499998</v>
      </c>
      <c r="P20" s="201">
        <f t="shared" si="1"/>
        <v>1342971.4268399999</v>
      </c>
      <c r="Q20" s="201">
        <f t="shared" si="1"/>
        <v>1271474.1833000001</v>
      </c>
      <c r="R20" s="201">
        <f t="shared" si="1"/>
        <v>1233496.8901899999</v>
      </c>
      <c r="S20" s="201">
        <f t="shared" si="1"/>
        <v>1244158.4608300002</v>
      </c>
      <c r="T20" s="201">
        <f t="shared" si="2"/>
        <v>1209072.82791</v>
      </c>
      <c r="U20" s="201">
        <f t="shared" si="2"/>
        <v>1223445.1699699999</v>
      </c>
      <c r="V20" s="201">
        <f t="shared" si="2"/>
        <v>1246402.22006</v>
      </c>
      <c r="W20" s="201">
        <f t="shared" si="2"/>
        <v>1262150.2924799998</v>
      </c>
      <c r="X20" s="570"/>
      <c r="Y20" s="570"/>
      <c r="Z20" s="705"/>
      <c r="AA20" s="705"/>
      <c r="AB20" s="705"/>
      <c r="AC20" s="705"/>
      <c r="AD20" s="705"/>
      <c r="AE20" s="705"/>
    </row>
    <row r="21" spans="1:31" ht="15">
      <c r="A21" s="201"/>
      <c r="B21" s="201" t="s">
        <v>677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f t="shared" ref="O21:S27" si="3">O48+O75+O102+O127+O152+O177+O205</f>
        <v>0</v>
      </c>
      <c r="P21" s="201">
        <f t="shared" si="3"/>
        <v>0</v>
      </c>
      <c r="Q21" s="201">
        <f t="shared" si="3"/>
        <v>0</v>
      </c>
      <c r="R21" s="201">
        <f t="shared" si="3"/>
        <v>0</v>
      </c>
      <c r="S21" s="201">
        <f t="shared" si="3"/>
        <v>0</v>
      </c>
      <c r="T21" s="201">
        <f t="shared" si="2"/>
        <v>0</v>
      </c>
      <c r="U21" s="201">
        <f t="shared" si="2"/>
        <v>0</v>
      </c>
      <c r="V21" s="201">
        <f t="shared" si="2"/>
        <v>0</v>
      </c>
      <c r="W21" s="201">
        <f t="shared" si="2"/>
        <v>0</v>
      </c>
      <c r="X21" s="570"/>
      <c r="Y21" s="570"/>
      <c r="Z21" s="705"/>
      <c r="AA21" s="705"/>
      <c r="AB21" s="705"/>
      <c r="AC21" s="705"/>
      <c r="AD21" s="705"/>
      <c r="AE21" s="705"/>
    </row>
    <row r="22" spans="1:31" ht="15">
      <c r="A22" s="201"/>
      <c r="B22" s="201" t="s">
        <v>381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f t="shared" si="3"/>
        <v>0</v>
      </c>
      <c r="P22" s="201">
        <f t="shared" si="3"/>
        <v>0</v>
      </c>
      <c r="Q22" s="201">
        <f t="shared" si="3"/>
        <v>0</v>
      </c>
      <c r="R22" s="201">
        <f t="shared" si="3"/>
        <v>0</v>
      </c>
      <c r="S22" s="201">
        <f t="shared" si="3"/>
        <v>0</v>
      </c>
      <c r="T22" s="201">
        <f t="shared" si="2"/>
        <v>0</v>
      </c>
      <c r="U22" s="201">
        <f t="shared" si="2"/>
        <v>0</v>
      </c>
      <c r="V22" s="201">
        <f t="shared" si="2"/>
        <v>0</v>
      </c>
      <c r="W22" s="201">
        <f t="shared" si="2"/>
        <v>0</v>
      </c>
      <c r="X22" s="570"/>
      <c r="Y22" s="570"/>
      <c r="Z22" s="705"/>
      <c r="AA22" s="705"/>
      <c r="AB22" s="705"/>
      <c r="AC22" s="705"/>
      <c r="AD22" s="705"/>
      <c r="AE22" s="705"/>
    </row>
    <row r="23" spans="1:31" ht="15">
      <c r="A23" s="203"/>
      <c r="B23" s="203" t="s">
        <v>679</v>
      </c>
      <c r="C23" s="203">
        <v>0</v>
      </c>
      <c r="D23" s="203">
        <v>31769.910684190851</v>
      </c>
      <c r="E23" s="203">
        <v>33039.936596339518</v>
      </c>
      <c r="F23" s="203">
        <v>34058.909662336395</v>
      </c>
      <c r="G23" s="203">
        <v>35201.960592208343</v>
      </c>
      <c r="H23" s="203">
        <v>54381.206394257919</v>
      </c>
      <c r="I23" s="203">
        <v>147540.24900892162</v>
      </c>
      <c r="J23" s="203">
        <v>232553.81863999992</v>
      </c>
      <c r="K23" s="203">
        <v>0</v>
      </c>
      <c r="L23" s="203">
        <v>0</v>
      </c>
      <c r="M23" s="203">
        <v>0</v>
      </c>
      <c r="N23" s="203">
        <v>0</v>
      </c>
      <c r="O23" s="578">
        <f t="shared" si="3"/>
        <v>0</v>
      </c>
      <c r="P23" s="578">
        <f t="shared" si="3"/>
        <v>0</v>
      </c>
      <c r="Q23" s="578">
        <f t="shared" si="3"/>
        <v>0</v>
      </c>
      <c r="R23" s="578">
        <f t="shared" si="3"/>
        <v>0</v>
      </c>
      <c r="S23" s="578">
        <f t="shared" si="3"/>
        <v>0</v>
      </c>
      <c r="T23" s="578">
        <f t="shared" si="2"/>
        <v>0</v>
      </c>
      <c r="U23" s="578">
        <f t="shared" si="2"/>
        <v>0</v>
      </c>
      <c r="V23" s="578">
        <f t="shared" si="2"/>
        <v>0</v>
      </c>
      <c r="W23" s="578">
        <f t="shared" si="2"/>
        <v>0</v>
      </c>
      <c r="X23" s="570"/>
      <c r="Y23" s="570"/>
      <c r="Z23" s="705"/>
      <c r="AA23" s="705"/>
      <c r="AB23" s="705"/>
      <c r="AC23" s="705"/>
      <c r="AD23" s="705"/>
      <c r="AE23" s="705"/>
    </row>
    <row r="24" spans="1:31" ht="15">
      <c r="A24" s="201"/>
      <c r="B24" s="201" t="s">
        <v>670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f t="shared" si="3"/>
        <v>0</v>
      </c>
      <c r="P24" s="201">
        <f t="shared" si="3"/>
        <v>0</v>
      </c>
      <c r="Q24" s="201">
        <f t="shared" si="3"/>
        <v>0</v>
      </c>
      <c r="R24" s="201">
        <f t="shared" si="3"/>
        <v>0</v>
      </c>
      <c r="S24" s="201">
        <f t="shared" si="3"/>
        <v>0</v>
      </c>
      <c r="T24" s="201">
        <f t="shared" si="2"/>
        <v>0</v>
      </c>
      <c r="U24" s="201">
        <f t="shared" si="2"/>
        <v>0</v>
      </c>
      <c r="V24" s="201">
        <f t="shared" si="2"/>
        <v>0</v>
      </c>
      <c r="W24" s="201">
        <f t="shared" si="2"/>
        <v>0</v>
      </c>
      <c r="X24" s="570"/>
      <c r="Y24" s="570"/>
      <c r="Z24" s="705"/>
      <c r="AA24" s="705"/>
      <c r="AB24" s="705"/>
      <c r="AC24" s="705"/>
      <c r="AD24" s="705"/>
      <c r="AE24" s="705"/>
    </row>
    <row r="25" spans="1:31" ht="15">
      <c r="A25" s="201"/>
      <c r="B25" s="201" t="s">
        <v>671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f t="shared" si="3"/>
        <v>0</v>
      </c>
      <c r="P25" s="201">
        <f t="shared" si="3"/>
        <v>0</v>
      </c>
      <c r="Q25" s="201">
        <f t="shared" si="3"/>
        <v>0</v>
      </c>
      <c r="R25" s="201">
        <f t="shared" si="3"/>
        <v>0</v>
      </c>
      <c r="S25" s="201">
        <f t="shared" si="3"/>
        <v>0</v>
      </c>
      <c r="T25" s="201">
        <f t="shared" si="2"/>
        <v>0</v>
      </c>
      <c r="U25" s="201">
        <f t="shared" si="2"/>
        <v>0</v>
      </c>
      <c r="V25" s="201">
        <f t="shared" si="2"/>
        <v>0</v>
      </c>
      <c r="W25" s="201">
        <f t="shared" si="2"/>
        <v>0</v>
      </c>
      <c r="X25" s="570"/>
      <c r="Y25" s="570"/>
      <c r="Z25" s="705"/>
      <c r="AA25" s="705"/>
      <c r="AB25" s="705"/>
      <c r="AC25" s="705"/>
      <c r="AD25" s="705"/>
      <c r="AE25" s="705"/>
    </row>
    <row r="26" spans="1:31" ht="15">
      <c r="A26" s="199"/>
      <c r="B26" s="199" t="s">
        <v>672</v>
      </c>
      <c r="C26" s="199">
        <v>0</v>
      </c>
      <c r="D26" s="199">
        <v>31769.910684190851</v>
      </c>
      <c r="E26" s="199">
        <v>33039.936596339518</v>
      </c>
      <c r="F26" s="199">
        <v>34058.909662336395</v>
      </c>
      <c r="G26" s="199">
        <v>35201.960592208343</v>
      </c>
      <c r="H26" s="199">
        <v>54381.206394257919</v>
      </c>
      <c r="I26" s="199">
        <v>147540.24900892162</v>
      </c>
      <c r="J26" s="199">
        <v>232553.81863999992</v>
      </c>
      <c r="K26" s="199">
        <v>0</v>
      </c>
      <c r="L26" s="199">
        <v>0</v>
      </c>
      <c r="M26" s="199">
        <v>0</v>
      </c>
      <c r="N26" s="199">
        <v>0</v>
      </c>
      <c r="O26" s="199">
        <f t="shared" si="3"/>
        <v>0</v>
      </c>
      <c r="P26" s="199">
        <f t="shared" si="3"/>
        <v>0</v>
      </c>
      <c r="Q26" s="199">
        <f t="shared" si="3"/>
        <v>0</v>
      </c>
      <c r="R26" s="199">
        <f t="shared" si="3"/>
        <v>0</v>
      </c>
      <c r="S26" s="199">
        <f t="shared" si="3"/>
        <v>0</v>
      </c>
      <c r="T26" s="199">
        <f t="shared" si="2"/>
        <v>0</v>
      </c>
      <c r="U26" s="199">
        <f t="shared" si="2"/>
        <v>0</v>
      </c>
      <c r="V26" s="199">
        <f t="shared" si="2"/>
        <v>0</v>
      </c>
      <c r="W26" s="199">
        <f t="shared" si="2"/>
        <v>0</v>
      </c>
      <c r="X26" s="570"/>
      <c r="Y26" s="570"/>
      <c r="Z26" s="705"/>
      <c r="AA26" s="705"/>
      <c r="AB26" s="705"/>
      <c r="AC26" s="705"/>
      <c r="AD26" s="705"/>
      <c r="AE26" s="705"/>
    </row>
    <row r="27" spans="1:31" ht="15">
      <c r="A27" s="197"/>
      <c r="B27" s="197" t="s">
        <v>680</v>
      </c>
      <c r="C27" s="197">
        <v>17847143.427066572</v>
      </c>
      <c r="D27" s="197">
        <v>17197321.966982804</v>
      </c>
      <c r="E27" s="197">
        <v>18190751.573938902</v>
      </c>
      <c r="F27" s="197">
        <v>18714123.651330929</v>
      </c>
      <c r="G27" s="197">
        <v>18256209.9791402</v>
      </c>
      <c r="H27" s="197">
        <v>18483405.627498101</v>
      </c>
      <c r="I27" s="197">
        <v>20370714.33219</v>
      </c>
      <c r="J27" s="197">
        <v>17886267.198201053</v>
      </c>
      <c r="K27" s="197">
        <v>19188936.131773714</v>
      </c>
      <c r="L27" s="197">
        <v>19324755.05542776</v>
      </c>
      <c r="M27" s="197">
        <f>M54+M81+M108+M133+M158+M183+M211</f>
        <v>20132859.396992505</v>
      </c>
      <c r="N27" s="197">
        <f>N54+N81+N108+N133+N158+N183+N211</f>
        <v>20587547.598469753</v>
      </c>
      <c r="O27" s="197">
        <f t="shared" si="3"/>
        <v>21668142.20482067</v>
      </c>
      <c r="P27" s="197">
        <f t="shared" si="3"/>
        <v>20752891.650973801</v>
      </c>
      <c r="Q27" s="197">
        <f t="shared" si="3"/>
        <v>21594138.174849886</v>
      </c>
      <c r="R27" s="197">
        <f t="shared" si="3"/>
        <v>22154443.51196586</v>
      </c>
      <c r="S27" s="197">
        <f t="shared" si="3"/>
        <v>22780740.499449126</v>
      </c>
      <c r="T27" s="197">
        <f t="shared" si="2"/>
        <v>23969485.701903641</v>
      </c>
      <c r="U27" s="197">
        <f t="shared" si="2"/>
        <v>24801667.645380169</v>
      </c>
      <c r="V27" s="197">
        <f t="shared" si="2"/>
        <v>24936309.348076079</v>
      </c>
      <c r="W27" s="197">
        <f t="shared" si="2"/>
        <v>24979364.797296114</v>
      </c>
      <c r="X27" s="570"/>
      <c r="Y27" s="570"/>
      <c r="Z27" s="705"/>
      <c r="AA27" s="705"/>
      <c r="AB27" s="705"/>
      <c r="AC27" s="705"/>
      <c r="AD27" s="705"/>
      <c r="AE27" s="705"/>
    </row>
    <row r="28" spans="1:31" s="416" customFormat="1">
      <c r="A28" s="415"/>
      <c r="B28" s="416" t="s">
        <v>681</v>
      </c>
      <c r="N28" s="474"/>
      <c r="T28" s="756"/>
      <c r="U28" s="757"/>
      <c r="V28" s="757"/>
      <c r="W28" s="757"/>
      <c r="X28" s="570"/>
      <c r="Y28" s="570"/>
    </row>
    <row r="29" spans="1:31">
      <c r="A29" s="256"/>
      <c r="B29" s="217"/>
      <c r="C29" s="217"/>
      <c r="D29" s="217"/>
      <c r="E29" s="217"/>
      <c r="F29" s="217"/>
      <c r="G29" s="217"/>
      <c r="H29" s="217"/>
      <c r="I29" s="217"/>
      <c r="K29" s="217"/>
      <c r="L29" s="217"/>
      <c r="M29" s="217"/>
      <c r="O29" s="217"/>
      <c r="P29" s="217"/>
      <c r="Q29" s="217"/>
      <c r="R29" s="217"/>
      <c r="S29" s="217"/>
      <c r="T29" s="217"/>
      <c r="U29" s="217"/>
      <c r="W29" s="192"/>
      <c r="X29" s="570"/>
      <c r="Y29" s="570"/>
    </row>
    <row r="30" spans="1:31">
      <c r="A30" s="256"/>
      <c r="B30" s="217"/>
      <c r="C30" s="217"/>
      <c r="D30" s="217"/>
      <c r="E30" s="217"/>
      <c r="F30" s="217"/>
      <c r="G30" s="217"/>
      <c r="H30" s="217"/>
      <c r="I30" s="217"/>
      <c r="K30" s="217"/>
      <c r="L30" s="217"/>
      <c r="M30" s="217"/>
      <c r="O30" s="217"/>
      <c r="P30" s="217"/>
      <c r="Q30" s="217"/>
      <c r="R30" s="217"/>
      <c r="S30" s="217"/>
      <c r="T30" s="217"/>
      <c r="U30" s="217"/>
      <c r="W30" s="192"/>
      <c r="X30" s="570"/>
      <c r="Y30" s="570"/>
    </row>
    <row r="31" spans="1:31" ht="23.25">
      <c r="A31" s="74"/>
      <c r="B31" s="74" t="s">
        <v>465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570"/>
      <c r="Y31" s="570"/>
    </row>
    <row r="32" spans="1:31">
      <c r="A32" s="209"/>
      <c r="B32" s="209"/>
      <c r="C32" s="209"/>
      <c r="D32" s="209"/>
      <c r="E32" s="209"/>
      <c r="H32" s="193"/>
      <c r="I32" s="193"/>
      <c r="J32" s="193"/>
      <c r="L32" s="193"/>
      <c r="M32" s="193"/>
      <c r="P32" s="193"/>
      <c r="Q32" s="193"/>
      <c r="R32" s="193"/>
      <c r="S32" s="193"/>
      <c r="T32" s="193"/>
      <c r="U32" s="193"/>
      <c r="W32" s="192"/>
      <c r="X32" s="570"/>
      <c r="Y32" s="570"/>
    </row>
    <row r="33" spans="1:25" ht="15">
      <c r="A33" s="677"/>
      <c r="B33" s="677" t="s">
        <v>682</v>
      </c>
      <c r="C33" s="678">
        <v>44256</v>
      </c>
      <c r="D33" s="678">
        <v>44348</v>
      </c>
      <c r="E33" s="678">
        <v>44440</v>
      </c>
      <c r="F33" s="679">
        <v>44531</v>
      </c>
      <c r="G33" s="679">
        <v>44621</v>
      </c>
      <c r="H33" s="679">
        <v>44713</v>
      </c>
      <c r="I33" s="679">
        <v>44805</v>
      </c>
      <c r="J33" s="679">
        <v>44896</v>
      </c>
      <c r="K33" s="679">
        <v>44986</v>
      </c>
      <c r="L33" s="679">
        <v>45078</v>
      </c>
      <c r="M33" s="679">
        <v>45170</v>
      </c>
      <c r="N33" s="679">
        <v>45261</v>
      </c>
      <c r="O33" s="679">
        <v>45352</v>
      </c>
      <c r="P33" s="679">
        <v>45444</v>
      </c>
      <c r="Q33" s="679">
        <v>45536</v>
      </c>
      <c r="R33" s="679">
        <v>45627</v>
      </c>
      <c r="S33" s="679">
        <v>45717</v>
      </c>
      <c r="T33" s="679">
        <v>45809</v>
      </c>
      <c r="U33" s="679">
        <v>45901</v>
      </c>
      <c r="V33" s="680">
        <v>45992</v>
      </c>
      <c r="W33" s="681">
        <v>46082</v>
      </c>
      <c r="X33" s="570"/>
      <c r="Y33" s="570"/>
    </row>
    <row r="34" spans="1:25" ht="15">
      <c r="A34" s="203"/>
      <c r="B34" s="203" t="s">
        <v>669</v>
      </c>
      <c r="C34" s="205">
        <v>1753628.1667823121</v>
      </c>
      <c r="D34" s="205">
        <v>1559843.1859140755</v>
      </c>
      <c r="E34" s="205">
        <v>1772258.1190227922</v>
      </c>
      <c r="F34" s="205">
        <v>2336314.2578705028</v>
      </c>
      <c r="G34" s="205">
        <v>2183983.9389395728</v>
      </c>
      <c r="H34" s="205">
        <v>977215.4308114273</v>
      </c>
      <c r="I34" s="205">
        <v>1002069.7780067292</v>
      </c>
      <c r="J34" s="205">
        <v>1032881.888981055</v>
      </c>
      <c r="K34" s="205">
        <v>881435.69919371116</v>
      </c>
      <c r="L34" s="205">
        <v>1011778.1406231152</v>
      </c>
      <c r="M34" s="205">
        <v>1569019.4781493796</v>
      </c>
      <c r="N34" s="205">
        <v>1397101.9479473124</v>
      </c>
      <c r="O34" s="205">
        <v>1278608.7122466085</v>
      </c>
      <c r="P34" s="205">
        <v>1172780.3721072651</v>
      </c>
      <c r="Q34" s="205">
        <v>1455650.2091600001</v>
      </c>
      <c r="R34" s="205">
        <v>1187913.70732</v>
      </c>
      <c r="S34" s="205">
        <v>1868445.0283500007</v>
      </c>
      <c r="T34" s="205">
        <f>SUM(T35:T38)</f>
        <v>2403776.8605300002</v>
      </c>
      <c r="U34" s="205">
        <f>SUM(U35:U38)</f>
        <v>3226186.9702500002</v>
      </c>
      <c r="V34" s="205">
        <f>SUM(V35:V38)</f>
        <v>3083837.548260001</v>
      </c>
      <c r="W34" s="702">
        <f>SUM(W35:W38)</f>
        <v>2754689.4363300004</v>
      </c>
      <c r="X34" s="570"/>
      <c r="Y34" s="763"/>
    </row>
    <row r="35" spans="1:25" ht="15">
      <c r="A35" s="201"/>
      <c r="B35" s="201" t="s">
        <v>670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390">
        <v>0</v>
      </c>
      <c r="L35" s="390">
        <v>0</v>
      </c>
      <c r="M35" s="390">
        <v>0</v>
      </c>
      <c r="N35" s="390">
        <v>0</v>
      </c>
      <c r="O35" s="390">
        <v>0</v>
      </c>
      <c r="P35" s="201">
        <v>0</v>
      </c>
      <c r="Q35" s="201">
        <v>0</v>
      </c>
      <c r="R35" s="201">
        <v>0</v>
      </c>
      <c r="S35" s="201">
        <v>0</v>
      </c>
      <c r="T35" s="201" t="s">
        <v>0</v>
      </c>
      <c r="U35" s="201" t="s">
        <v>0</v>
      </c>
      <c r="V35" s="201" t="s">
        <v>0</v>
      </c>
      <c r="W35" s="201" t="s">
        <v>0</v>
      </c>
      <c r="X35" s="570"/>
      <c r="Y35" s="763"/>
    </row>
    <row r="36" spans="1:25" ht="15">
      <c r="A36" s="201"/>
      <c r="B36" s="201" t="s">
        <v>671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570"/>
      <c r="Y36" s="763"/>
    </row>
    <row r="37" spans="1:25" ht="15">
      <c r="A37" s="201"/>
      <c r="B37" s="201" t="s">
        <v>672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570"/>
      <c r="Y37" s="763"/>
    </row>
    <row r="38" spans="1:25" ht="15">
      <c r="A38" s="201"/>
      <c r="B38" s="201" t="s">
        <v>673</v>
      </c>
      <c r="C38" s="201">
        <v>1717677.0347612365</v>
      </c>
      <c r="D38" s="201">
        <v>1514176.4319533091</v>
      </c>
      <c r="E38" s="201">
        <v>1751287.596413956</v>
      </c>
      <c r="F38" s="201">
        <v>2270126.646930459</v>
      </c>
      <c r="G38" s="201">
        <v>2183983.9389395728</v>
      </c>
      <c r="H38" s="201">
        <v>977215.4308114273</v>
      </c>
      <c r="I38" s="201">
        <v>1002069.7780067292</v>
      </c>
      <c r="J38" s="201">
        <v>1032881.888981055</v>
      </c>
      <c r="K38" s="201">
        <v>881435.69919371116</v>
      </c>
      <c r="L38" s="201">
        <v>1011778.1406231152</v>
      </c>
      <c r="M38" s="201">
        <v>1569019.4781493796</v>
      </c>
      <c r="N38" s="201">
        <v>1397101.9479473124</v>
      </c>
      <c r="O38" s="201">
        <v>1278608.7122466085</v>
      </c>
      <c r="P38" s="201">
        <v>1172780.3721072651</v>
      </c>
      <c r="Q38" s="201">
        <v>1455650.2091600001</v>
      </c>
      <c r="R38" s="201">
        <v>1187913.70732</v>
      </c>
      <c r="S38" s="201">
        <v>1868445.0283500007</v>
      </c>
      <c r="T38" s="201">
        <f>SUM(T39:T43)</f>
        <v>2403776.8605300002</v>
      </c>
      <c r="U38" s="201">
        <v>3226186.9702500002</v>
      </c>
      <c r="V38" s="201">
        <v>3083837.548260001</v>
      </c>
      <c r="W38" s="201">
        <v>2754689.4363300004</v>
      </c>
      <c r="X38" s="570"/>
      <c r="Y38" s="763"/>
    </row>
    <row r="39" spans="1:25" ht="15">
      <c r="A39" s="201"/>
      <c r="B39" s="201" t="s">
        <v>674</v>
      </c>
      <c r="C39" s="201">
        <v>0</v>
      </c>
      <c r="D39" s="201">
        <v>0</v>
      </c>
      <c r="E39" s="201">
        <v>0</v>
      </c>
      <c r="F39" s="201">
        <v>0</v>
      </c>
      <c r="G39" s="201">
        <v>1697594.2703949746</v>
      </c>
      <c r="H39" s="201">
        <v>486424.06689256558</v>
      </c>
      <c r="I39" s="201">
        <v>565881.13468418829</v>
      </c>
      <c r="J39" s="201">
        <v>556109.35650079697</v>
      </c>
      <c r="K39" s="201">
        <v>449371.40861853084</v>
      </c>
      <c r="L39" s="201">
        <v>457823.80483327137</v>
      </c>
      <c r="M39" s="201">
        <v>1105411.0273602065</v>
      </c>
      <c r="N39" s="201">
        <v>909451.93460731243</v>
      </c>
      <c r="O39" s="201">
        <v>592427.23424107104</v>
      </c>
      <c r="P39" s="201">
        <v>487855.78122042946</v>
      </c>
      <c r="Q39" s="201">
        <v>549210.26226213307</v>
      </c>
      <c r="R39" s="201">
        <v>413633.2143957924</v>
      </c>
      <c r="S39" s="201">
        <v>1109339.7865407388</v>
      </c>
      <c r="T39" s="201">
        <v>1414058.9934583853</v>
      </c>
      <c r="U39" s="201">
        <v>2326542.9997789743</v>
      </c>
      <c r="V39" s="201">
        <v>2176689.1436675768</v>
      </c>
      <c r="W39" s="201">
        <v>1927801.9419222889</v>
      </c>
      <c r="X39" s="570"/>
      <c r="Y39" s="763"/>
    </row>
    <row r="40" spans="1:25" ht="15">
      <c r="A40" s="201"/>
      <c r="B40" s="201" t="s">
        <v>675</v>
      </c>
      <c r="C40" s="201">
        <v>0</v>
      </c>
      <c r="D40" s="201">
        <v>0</v>
      </c>
      <c r="E40" s="201">
        <v>0</v>
      </c>
      <c r="F40" s="201">
        <v>0</v>
      </c>
      <c r="G40" s="201">
        <v>8744.3692405071706</v>
      </c>
      <c r="H40" s="201">
        <v>13557.697607210213</v>
      </c>
      <c r="I40" s="201">
        <v>5747.4585862909944</v>
      </c>
      <c r="J40" s="201">
        <v>6919.6648935367275</v>
      </c>
      <c r="K40" s="201">
        <v>9011.4486863632537</v>
      </c>
      <c r="L40" s="201">
        <v>0</v>
      </c>
      <c r="M40" s="201">
        <v>2927.4987152978474</v>
      </c>
      <c r="N40" s="201">
        <v>0</v>
      </c>
      <c r="O40" s="201">
        <v>13148.504182453549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570"/>
      <c r="Y40" s="763"/>
    </row>
    <row r="41" spans="1:25" ht="15">
      <c r="A41" s="201"/>
      <c r="B41" s="201" t="s">
        <v>676</v>
      </c>
      <c r="C41" s="201">
        <v>0</v>
      </c>
      <c r="D41" s="201">
        <v>0</v>
      </c>
      <c r="E41" s="201">
        <v>0</v>
      </c>
      <c r="F41" s="201">
        <v>0</v>
      </c>
      <c r="G41" s="201">
        <v>477645.29930409096</v>
      </c>
      <c r="H41" s="201">
        <v>477233.66631165153</v>
      </c>
      <c r="I41" s="201">
        <v>430441.18473624997</v>
      </c>
      <c r="J41" s="201">
        <v>469852.86758672132</v>
      </c>
      <c r="K41" s="201">
        <v>423052.84188881709</v>
      </c>
      <c r="L41" s="201">
        <v>553954.33578984393</v>
      </c>
      <c r="M41" s="201">
        <v>460680.95207387547</v>
      </c>
      <c r="N41" s="201">
        <v>487650.01334</v>
      </c>
      <c r="O41" s="201">
        <v>673032.97382308391</v>
      </c>
      <c r="P41" s="201">
        <v>684924.59088683559</v>
      </c>
      <c r="Q41" s="201">
        <v>906439.94689786702</v>
      </c>
      <c r="R41" s="201">
        <v>774280.49292420759</v>
      </c>
      <c r="S41" s="201">
        <v>759105.24180926208</v>
      </c>
      <c r="T41" s="201">
        <v>989717.86707161483</v>
      </c>
      <c r="U41" s="201">
        <v>899643.97047102568</v>
      </c>
      <c r="V41" s="201">
        <v>907148.40459242428</v>
      </c>
      <c r="W41" s="201">
        <v>826887.49440771155</v>
      </c>
      <c r="X41" s="570"/>
      <c r="Y41" s="763"/>
    </row>
    <row r="42" spans="1:25" ht="15">
      <c r="A42" s="201"/>
      <c r="B42" s="201" t="s">
        <v>677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570"/>
      <c r="Y42" s="763"/>
    </row>
    <row r="43" spans="1:25" ht="15">
      <c r="A43" s="201"/>
      <c r="B43" s="201" t="s">
        <v>381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570"/>
      <c r="Y43" s="763"/>
    </row>
    <row r="44" spans="1:25" ht="15">
      <c r="A44" s="203"/>
      <c r="B44" s="203" t="s">
        <v>678</v>
      </c>
      <c r="C44" s="205">
        <v>7768996.0080000004</v>
      </c>
      <c r="D44" s="205">
        <v>6688110.0453299992</v>
      </c>
      <c r="E44" s="205">
        <v>6316273.0546999993</v>
      </c>
      <c r="F44" s="205">
        <v>6136872.34748</v>
      </c>
      <c r="G44" s="205">
        <v>6108156.7369300006</v>
      </c>
      <c r="H44" s="205">
        <v>6912363.5063800002</v>
      </c>
      <c r="I44" s="205">
        <v>7312954.5836999994</v>
      </c>
      <c r="J44" s="205">
        <v>3998608.0804000003</v>
      </c>
      <c r="K44" s="205">
        <v>3889682.2006000006</v>
      </c>
      <c r="L44" s="205">
        <v>3961192.1517500007</v>
      </c>
      <c r="M44" s="205">
        <v>3241993.9173399997</v>
      </c>
      <c r="N44" s="205">
        <v>3705925.0813600002</v>
      </c>
      <c r="O44" s="205">
        <v>3666236.8099699998</v>
      </c>
      <c r="P44" s="205">
        <v>3272327.5548</v>
      </c>
      <c r="Q44" s="205">
        <v>3322948.3043200001</v>
      </c>
      <c r="R44" s="205">
        <v>3636582.5154400002</v>
      </c>
      <c r="S44" s="205">
        <v>3074779.4166999999</v>
      </c>
      <c r="T44" s="205">
        <f>SUM(T45:T47)</f>
        <v>2810720.1142000002</v>
      </c>
      <c r="U44" s="205">
        <f>SUM(U45:U47)</f>
        <v>2465347.0390999997</v>
      </c>
      <c r="V44" s="205">
        <f>SUM(V45:V47)</f>
        <v>2672372.4496899997</v>
      </c>
      <c r="W44" s="702">
        <f>SUM(W45:W47)</f>
        <v>2870753.1084800004</v>
      </c>
      <c r="X44" s="570"/>
      <c r="Y44" s="763"/>
    </row>
    <row r="45" spans="1:25" ht="15">
      <c r="A45" s="201"/>
      <c r="B45" s="201" t="s">
        <v>670</v>
      </c>
      <c r="C45" s="201">
        <v>7708623.1462300001</v>
      </c>
      <c r="D45" s="201">
        <v>6688110.0453299992</v>
      </c>
      <c r="E45" s="201">
        <v>6316273.0546999993</v>
      </c>
      <c r="F45" s="201">
        <v>6056594.6289799996</v>
      </c>
      <c r="G45" s="201">
        <v>6024686.9995300006</v>
      </c>
      <c r="H45" s="201">
        <v>6549936.2957800003</v>
      </c>
      <c r="I45" s="201">
        <v>6870613.3898999998</v>
      </c>
      <c r="J45" s="201">
        <v>3656345.4484000006</v>
      </c>
      <c r="K45" s="201">
        <v>3534798.4031000007</v>
      </c>
      <c r="L45" s="201">
        <v>3961192.1517500007</v>
      </c>
      <c r="M45" s="201">
        <v>3241993.9173399997</v>
      </c>
      <c r="N45" s="201">
        <v>3110873.0871100002</v>
      </c>
      <c r="O45" s="201">
        <v>3056049.7744700001</v>
      </c>
      <c r="P45" s="201">
        <v>2661597.6682500001</v>
      </c>
      <c r="Q45" s="201">
        <v>2857394.6948199999</v>
      </c>
      <c r="R45" s="201">
        <v>3200824.4954400002</v>
      </c>
      <c r="S45" s="201">
        <v>2234302.8891999996</v>
      </c>
      <c r="T45" s="201">
        <v>1945472.4767</v>
      </c>
      <c r="U45" s="201">
        <v>1759026.9860999996</v>
      </c>
      <c r="V45" s="201">
        <v>1815836.8247</v>
      </c>
      <c r="W45" s="201">
        <v>2134156.0687000002</v>
      </c>
      <c r="X45" s="570"/>
      <c r="Y45" s="763"/>
    </row>
    <row r="46" spans="1:25" ht="15">
      <c r="A46" s="201"/>
      <c r="B46" s="201" t="s">
        <v>671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149687.78474999999</v>
      </c>
      <c r="O46" s="201">
        <v>153652.65299999999</v>
      </c>
      <c r="P46" s="201">
        <v>157597.97654999999</v>
      </c>
      <c r="Q46" s="201">
        <v>0</v>
      </c>
      <c r="R46" s="201">
        <v>0</v>
      </c>
      <c r="S46" s="201">
        <v>407336.28750000003</v>
      </c>
      <c r="T46" s="201">
        <v>420868.20749999996</v>
      </c>
      <c r="U46" s="201">
        <v>261780.00300000003</v>
      </c>
      <c r="V46" s="201">
        <v>399590.80499000003</v>
      </c>
      <c r="W46" s="201">
        <v>273068.16977999994</v>
      </c>
      <c r="X46" s="570"/>
      <c r="Y46" s="763"/>
    </row>
    <row r="47" spans="1:25" ht="15">
      <c r="A47" s="201"/>
      <c r="B47" s="201" t="s">
        <v>672</v>
      </c>
      <c r="C47" s="201">
        <v>60372.861770000003</v>
      </c>
      <c r="D47" s="201">
        <v>0</v>
      </c>
      <c r="E47" s="201">
        <v>0</v>
      </c>
      <c r="F47" s="201">
        <v>80277.718500000003</v>
      </c>
      <c r="G47" s="201">
        <v>83469.737399999998</v>
      </c>
      <c r="H47" s="201">
        <v>362427.21060000005</v>
      </c>
      <c r="I47" s="201">
        <v>442341.19380000001</v>
      </c>
      <c r="J47" s="201">
        <v>342262.63199999998</v>
      </c>
      <c r="K47" s="201">
        <v>354883.79749999999</v>
      </c>
      <c r="L47" s="201">
        <v>0</v>
      </c>
      <c r="M47" s="201">
        <v>0</v>
      </c>
      <c r="N47" s="201">
        <v>445364.2095</v>
      </c>
      <c r="O47" s="201">
        <v>456534.38250000001</v>
      </c>
      <c r="P47" s="201">
        <v>453131.91000000003</v>
      </c>
      <c r="Q47" s="201">
        <v>465553.60950000002</v>
      </c>
      <c r="R47" s="201">
        <v>435758.01999999996</v>
      </c>
      <c r="S47" s="201">
        <v>433140.24</v>
      </c>
      <c r="T47" s="201">
        <v>444379.43</v>
      </c>
      <c r="U47" s="201">
        <v>444540.05</v>
      </c>
      <c r="V47" s="201">
        <v>456944.82</v>
      </c>
      <c r="W47" s="201">
        <v>463528.87</v>
      </c>
      <c r="X47" s="570"/>
      <c r="Y47" s="763"/>
    </row>
    <row r="48" spans="1:25" ht="15">
      <c r="A48" s="201"/>
      <c r="B48" s="201" t="s">
        <v>677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570"/>
      <c r="Y48" s="570"/>
    </row>
    <row r="49" spans="1:27" ht="15">
      <c r="A49" s="201"/>
      <c r="B49" s="201" t="s">
        <v>381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570"/>
      <c r="Y49" s="570"/>
    </row>
    <row r="50" spans="1:27" ht="15">
      <c r="A50" s="203"/>
      <c r="B50" s="203" t="s">
        <v>679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f>SUM(T51:T53)</f>
        <v>0</v>
      </c>
      <c r="U50" s="203">
        <f>SUM(U51:U53)</f>
        <v>0</v>
      </c>
      <c r="V50" s="578">
        <v>0</v>
      </c>
      <c r="W50" s="578">
        <v>0</v>
      </c>
      <c r="X50" s="570"/>
      <c r="Y50" s="570"/>
    </row>
    <row r="51" spans="1:27" ht="15">
      <c r="A51" s="201"/>
      <c r="B51" s="201" t="s">
        <v>670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570"/>
      <c r="Y51" s="570"/>
    </row>
    <row r="52" spans="1:27" ht="15">
      <c r="A52" s="201"/>
      <c r="B52" s="201" t="s">
        <v>671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570"/>
      <c r="Y52" s="570"/>
    </row>
    <row r="53" spans="1:27" ht="15">
      <c r="A53" s="199"/>
      <c r="B53" s="199" t="s">
        <v>672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570"/>
      <c r="Y53" s="570"/>
    </row>
    <row r="54" spans="1:27" ht="15">
      <c r="A54" s="197"/>
      <c r="B54" s="197" t="s">
        <v>680</v>
      </c>
      <c r="C54" s="197">
        <v>9522624.1747823134</v>
      </c>
      <c r="D54" s="197">
        <v>8247953.2312440742</v>
      </c>
      <c r="E54" s="197">
        <v>8088531.1737227915</v>
      </c>
      <c r="F54" s="197">
        <v>8473186.6053505018</v>
      </c>
      <c r="G54" s="197">
        <v>8292140.6758695729</v>
      </c>
      <c r="H54" s="197">
        <v>7889578.9371914277</v>
      </c>
      <c r="I54" s="197">
        <v>8315024.3617067281</v>
      </c>
      <c r="J54" s="197">
        <v>5031489.9693810549</v>
      </c>
      <c r="K54" s="197">
        <v>4771117.8997937115</v>
      </c>
      <c r="L54" s="197">
        <v>4972970.2923731161</v>
      </c>
      <c r="M54" s="197">
        <v>4811013.3954893798</v>
      </c>
      <c r="N54" s="197">
        <v>5103027.0293073123</v>
      </c>
      <c r="O54" s="197">
        <v>4944845.5222166087</v>
      </c>
      <c r="P54" s="197">
        <v>4445107.9269072656</v>
      </c>
      <c r="Q54" s="197">
        <v>4778598.5134800002</v>
      </c>
      <c r="R54" s="197">
        <v>4824496.2227600003</v>
      </c>
      <c r="S54" s="197">
        <v>4943224.4450500011</v>
      </c>
      <c r="T54" s="197">
        <f>T34+T44</f>
        <v>5214496.9747299999</v>
      </c>
      <c r="U54" s="197">
        <f>U34+U44</f>
        <v>5691534.0093499999</v>
      </c>
      <c r="V54" s="197">
        <f>V34+V44</f>
        <v>5756209.9979500007</v>
      </c>
      <c r="W54" s="197">
        <f>W34+W44</f>
        <v>5625442.5448100008</v>
      </c>
      <c r="X54" s="570"/>
      <c r="Y54" s="570"/>
    </row>
    <row r="55" spans="1:27" ht="5.25" customHeight="1">
      <c r="A55" s="677"/>
      <c r="B55" s="677"/>
      <c r="C55" s="677"/>
      <c r="D55" s="677"/>
      <c r="E55" s="677"/>
      <c r="F55" s="677"/>
      <c r="G55" s="677"/>
      <c r="H55" s="677"/>
      <c r="I55" s="677"/>
      <c r="J55" s="677"/>
      <c r="K55" s="677"/>
      <c r="L55" s="677"/>
      <c r="M55" s="677"/>
      <c r="N55" s="677"/>
      <c r="O55" s="677"/>
      <c r="P55" s="677"/>
      <c r="Q55" s="677"/>
      <c r="R55" s="677"/>
      <c r="S55" s="677"/>
      <c r="T55" s="677"/>
      <c r="U55" s="677"/>
      <c r="V55" s="677"/>
      <c r="W55" s="677"/>
      <c r="X55" s="570"/>
      <c r="Y55" s="570"/>
    </row>
    <row r="56" spans="1:27" s="416" customFormat="1">
      <c r="A56" s="415"/>
      <c r="B56" s="416" t="s">
        <v>683</v>
      </c>
      <c r="N56" s="474"/>
      <c r="V56" s="474"/>
      <c r="X56" s="570"/>
      <c r="Y56" s="570"/>
    </row>
    <row r="57" spans="1:27" s="193" customFormat="1">
      <c r="A57" s="208"/>
      <c r="B57" s="208"/>
      <c r="C57" s="208"/>
      <c r="D57" s="208"/>
      <c r="E57" s="208"/>
      <c r="W57" s="192"/>
      <c r="X57" s="570"/>
      <c r="Y57" s="570"/>
    </row>
    <row r="58" spans="1:27" s="103" customFormat="1" ht="23.25">
      <c r="A58" s="74"/>
      <c r="B58" s="74" t="s">
        <v>38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570"/>
      <c r="Y58" s="570"/>
      <c r="Z58" s="227"/>
      <c r="AA58" s="227"/>
    </row>
    <row r="59" spans="1:27" s="193" customFormat="1">
      <c r="A59" s="208"/>
      <c r="B59" s="270"/>
      <c r="C59" s="208"/>
      <c r="D59" s="208"/>
      <c r="E59" s="208"/>
      <c r="W59" s="192"/>
      <c r="X59" s="570"/>
      <c r="Y59" s="570"/>
    </row>
    <row r="60" spans="1:27" ht="15">
      <c r="A60" s="677"/>
      <c r="B60" s="677" t="s">
        <v>684</v>
      </c>
      <c r="C60" s="678">
        <v>44256</v>
      </c>
      <c r="D60" s="678">
        <v>44348</v>
      </c>
      <c r="E60" s="678">
        <v>44440</v>
      </c>
      <c r="F60" s="679">
        <v>44531</v>
      </c>
      <c r="G60" s="679">
        <v>44621</v>
      </c>
      <c r="H60" s="679">
        <v>44713</v>
      </c>
      <c r="I60" s="679">
        <v>44805</v>
      </c>
      <c r="J60" s="679">
        <v>44896</v>
      </c>
      <c r="K60" s="679">
        <v>44986</v>
      </c>
      <c r="L60" s="679">
        <v>45078</v>
      </c>
      <c r="M60" s="679">
        <v>45170</v>
      </c>
      <c r="N60" s="679">
        <v>45261</v>
      </c>
      <c r="O60" s="679">
        <v>45352</v>
      </c>
      <c r="P60" s="679">
        <v>45444</v>
      </c>
      <c r="Q60" s="679">
        <v>45536</v>
      </c>
      <c r="R60" s="679">
        <v>45627</v>
      </c>
      <c r="S60" s="679">
        <v>45717</v>
      </c>
      <c r="T60" s="679">
        <v>45809</v>
      </c>
      <c r="U60" s="679">
        <v>45901</v>
      </c>
      <c r="V60" s="680">
        <v>45992</v>
      </c>
      <c r="W60" s="681">
        <v>46082</v>
      </c>
      <c r="X60" s="570"/>
      <c r="Y60" s="570"/>
    </row>
    <row r="61" spans="1:27" ht="15">
      <c r="A61" s="203"/>
      <c r="B61" s="203" t="s">
        <v>669</v>
      </c>
      <c r="C61" s="205">
        <v>2399114.9976899121</v>
      </c>
      <c r="D61" s="205">
        <v>1589522.4235293535</v>
      </c>
      <c r="E61" s="205">
        <v>1809700.231939195</v>
      </c>
      <c r="F61" s="205">
        <v>1981764.1254171126</v>
      </c>
      <c r="G61" s="205">
        <v>1598476.5198152629</v>
      </c>
      <c r="H61" s="205">
        <f>SUM(H62:H65)</f>
        <v>1869482.392933012</v>
      </c>
      <c r="I61" s="205">
        <f>SUM(I62:I65)</f>
        <v>2468997.7252668333</v>
      </c>
      <c r="J61" s="205">
        <f t="shared" ref="J61:M61" si="4">SUM(J62:J65)</f>
        <v>2283279.7504999968</v>
      </c>
      <c r="K61" s="205">
        <f t="shared" si="4"/>
        <v>4416521.4895700021</v>
      </c>
      <c r="L61" s="205">
        <f t="shared" si="4"/>
        <v>2918964.0798800262</v>
      </c>
      <c r="M61" s="205">
        <f t="shared" si="4"/>
        <v>2690622.9519599788</v>
      </c>
      <c r="N61" s="205">
        <f>SUM(N62:N65)</f>
        <v>2922770.9315300044</v>
      </c>
      <c r="O61" s="205">
        <f>SUM(O62:O65)</f>
        <v>3934553.9649199983</v>
      </c>
      <c r="P61" s="205">
        <f t="shared" ref="P61" si="5">SUM(P62:P65)</f>
        <v>2799356.8733599894</v>
      </c>
      <c r="Q61" s="205">
        <f t="shared" ref="Q61" si="6">SUM(Q62:Q65)</f>
        <v>3184407.5152599923</v>
      </c>
      <c r="R61" s="205">
        <f t="shared" ref="R61" si="7">SUM(R62:R65)</f>
        <v>2503325.5409399718</v>
      </c>
      <c r="S61" s="205">
        <v>3079206.4496500026</v>
      </c>
      <c r="T61" s="205">
        <f>SUM(T62:T65)</f>
        <v>3484024.2785399966</v>
      </c>
      <c r="U61" s="205">
        <f>SUM(U62:U65)</f>
        <v>3218379.4886900093</v>
      </c>
      <c r="V61" s="205">
        <f>SUM(V62:V65)</f>
        <v>3151613.8851399869</v>
      </c>
      <c r="W61" s="702">
        <f>SUM(W62:W65)</f>
        <v>3395967.6832199786</v>
      </c>
      <c r="X61" s="570"/>
      <c r="Y61" s="763"/>
    </row>
    <row r="62" spans="1:27" ht="15">
      <c r="A62" s="201"/>
      <c r="B62" s="201" t="s">
        <v>670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/>
      <c r="U62" s="201">
        <v>0</v>
      </c>
      <c r="V62" s="201">
        <v>0</v>
      </c>
      <c r="W62" s="201">
        <v>0</v>
      </c>
      <c r="X62" s="570"/>
      <c r="Y62" s="763"/>
    </row>
    <row r="63" spans="1:27" ht="15">
      <c r="A63" s="201"/>
      <c r="B63" s="201" t="s">
        <v>671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/>
      <c r="U63" s="201">
        <v>0</v>
      </c>
      <c r="V63" s="201">
        <v>0</v>
      </c>
      <c r="W63" s="201">
        <v>0</v>
      </c>
      <c r="X63" s="570"/>
      <c r="Y63" s="763"/>
    </row>
    <row r="64" spans="1:27" ht="15">
      <c r="A64" s="201"/>
      <c r="B64" s="201" t="s">
        <v>672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/>
      <c r="U64" s="201">
        <v>0</v>
      </c>
      <c r="V64" s="201">
        <v>0</v>
      </c>
      <c r="W64" s="201">
        <v>0</v>
      </c>
      <c r="X64" s="570"/>
      <c r="Y64" s="763"/>
    </row>
    <row r="65" spans="1:25" ht="15">
      <c r="A65" s="201"/>
      <c r="B65" s="201" t="s">
        <v>673</v>
      </c>
      <c r="C65" s="201">
        <v>2399114.9976899121</v>
      </c>
      <c r="D65" s="201">
        <v>1589522.4235293535</v>
      </c>
      <c r="E65" s="201">
        <v>1809700.231939195</v>
      </c>
      <c r="F65" s="201">
        <v>1981764.1254171126</v>
      </c>
      <c r="G65" s="201">
        <v>1598476.5198152629</v>
      </c>
      <c r="H65" s="201">
        <v>1869482.392933012</v>
      </c>
      <c r="I65" s="201">
        <v>2468997.7252668333</v>
      </c>
      <c r="J65" s="201">
        <v>2283279.7504999968</v>
      </c>
      <c r="K65" s="201">
        <v>4416521.4895700021</v>
      </c>
      <c r="L65" s="201">
        <v>2918964.0798800262</v>
      </c>
      <c r="M65" s="201">
        <v>2690622.9519599788</v>
      </c>
      <c r="N65" s="201">
        <v>2922770.9315300044</v>
      </c>
      <c r="O65" s="201">
        <v>3934553.9649199983</v>
      </c>
      <c r="P65" s="201">
        <v>2799356.8733599894</v>
      </c>
      <c r="Q65" s="201">
        <v>3184407.5152599923</v>
      </c>
      <c r="R65" s="201">
        <v>2503325.5409399718</v>
      </c>
      <c r="S65" s="201">
        <v>3079206.4496500026</v>
      </c>
      <c r="T65" s="201">
        <f>SUM(T66:T68)</f>
        <v>3484024.2785399966</v>
      </c>
      <c r="U65" s="201">
        <v>3218379.4886900093</v>
      </c>
      <c r="V65" s="201">
        <v>3151613.8851399869</v>
      </c>
      <c r="W65" s="201">
        <v>3395967.6832199786</v>
      </c>
      <c r="X65" s="570"/>
      <c r="Y65" s="763"/>
    </row>
    <row r="66" spans="1:25" ht="15">
      <c r="A66" s="201"/>
      <c r="B66" s="201" t="s">
        <v>674</v>
      </c>
      <c r="C66" s="201">
        <v>0</v>
      </c>
      <c r="D66" s="201">
        <v>0</v>
      </c>
      <c r="E66" s="201">
        <v>0</v>
      </c>
      <c r="F66" s="201">
        <v>0</v>
      </c>
      <c r="G66" s="201">
        <v>850555.28049703804</v>
      </c>
      <c r="H66" s="201">
        <v>1053590.5403029632</v>
      </c>
      <c r="I66" s="201">
        <v>1666388.0402156152</v>
      </c>
      <c r="J66" s="201">
        <v>1497645.8970075203</v>
      </c>
      <c r="K66" s="201">
        <v>3636569.1508094622</v>
      </c>
      <c r="L66" s="201">
        <v>2034979.3031929797</v>
      </c>
      <c r="M66" s="201">
        <v>1802720.0420256928</v>
      </c>
      <c r="N66" s="201">
        <v>2041852.2717397155</v>
      </c>
      <c r="O66" s="201">
        <v>3125198.7966382145</v>
      </c>
      <c r="P66" s="201">
        <v>1824026.0222571983</v>
      </c>
      <c r="Q66" s="201">
        <v>2284918.5407771263</v>
      </c>
      <c r="R66" s="201">
        <v>1535550.7060921523</v>
      </c>
      <c r="S66" s="201">
        <v>2060213.4376256741</v>
      </c>
      <c r="T66" s="201">
        <v>1917182.3459840387</v>
      </c>
      <c r="U66" s="201">
        <v>1908570.7055439907</v>
      </c>
      <c r="V66" s="201">
        <v>1454783.6696798028</v>
      </c>
      <c r="W66" s="201">
        <v>1815683.0736988953</v>
      </c>
      <c r="X66" s="570"/>
      <c r="Y66" s="763"/>
    </row>
    <row r="67" spans="1:25" ht="15">
      <c r="A67" s="201"/>
      <c r="B67" s="201" t="s">
        <v>675</v>
      </c>
      <c r="C67" s="201">
        <v>0</v>
      </c>
      <c r="D67" s="201">
        <v>0</v>
      </c>
      <c r="E67" s="201">
        <v>0</v>
      </c>
      <c r="F67" s="201">
        <v>0</v>
      </c>
      <c r="G67" s="201">
        <v>634921.05113982339</v>
      </c>
      <c r="H67" s="201">
        <v>693995.04833931581</v>
      </c>
      <c r="I67" s="201">
        <v>693341.83852868364</v>
      </c>
      <c r="J67" s="201">
        <v>674405.60839641269</v>
      </c>
      <c r="K67" s="201">
        <v>658059.02923916036</v>
      </c>
      <c r="L67" s="201">
        <v>677511.43432909355</v>
      </c>
      <c r="M67" s="201">
        <v>756702.48878732277</v>
      </c>
      <c r="N67" s="201">
        <v>756738.27237792581</v>
      </c>
      <c r="O67" s="201">
        <v>682064.17517597787</v>
      </c>
      <c r="P67" s="201">
        <v>838076.7626399619</v>
      </c>
      <c r="Q67" s="201">
        <v>684088.37727646297</v>
      </c>
      <c r="R67" s="201">
        <v>735657.01161240949</v>
      </c>
      <c r="S67" s="201">
        <v>755062.50727593538</v>
      </c>
      <c r="T67" s="201">
        <v>952979.454270271</v>
      </c>
      <c r="U67" s="201">
        <v>752224.86152949883</v>
      </c>
      <c r="V67" s="201">
        <v>774396.37335800577</v>
      </c>
      <c r="W67" s="201">
        <v>734530.5570722844</v>
      </c>
      <c r="X67" s="570"/>
      <c r="Y67" s="763"/>
    </row>
    <row r="68" spans="1:25" ht="15">
      <c r="A68" s="201"/>
      <c r="B68" s="201" t="s">
        <v>676</v>
      </c>
      <c r="C68" s="201">
        <v>0</v>
      </c>
      <c r="D68" s="201">
        <v>0</v>
      </c>
      <c r="E68" s="201">
        <v>0</v>
      </c>
      <c r="F68" s="201">
        <v>0</v>
      </c>
      <c r="G68" s="201">
        <v>113000.18817840137</v>
      </c>
      <c r="H68" s="201">
        <v>121896.80429073301</v>
      </c>
      <c r="I68" s="201">
        <v>109267.84652253456</v>
      </c>
      <c r="J68" s="201">
        <v>111228.2450960639</v>
      </c>
      <c r="K68" s="201">
        <v>121893.30952137959</v>
      </c>
      <c r="L68" s="201">
        <v>206473.34235795282</v>
      </c>
      <c r="M68" s="201">
        <v>131200.42114696329</v>
      </c>
      <c r="N68" s="201">
        <v>124180.3874123631</v>
      </c>
      <c r="O68" s="201">
        <v>127290.99310580597</v>
      </c>
      <c r="P68" s="201">
        <v>137254.08846282901</v>
      </c>
      <c r="Q68" s="201">
        <v>215400.59720640321</v>
      </c>
      <c r="R68" s="201">
        <v>232117.82323540997</v>
      </c>
      <c r="S68" s="201">
        <v>263930.50474839314</v>
      </c>
      <c r="T68" s="201">
        <v>613862.47828568681</v>
      </c>
      <c r="U68" s="201">
        <v>557583.9216165198</v>
      </c>
      <c r="V68" s="201">
        <v>922433.84210217826</v>
      </c>
      <c r="W68" s="201">
        <v>845754.05244879879</v>
      </c>
      <c r="X68" s="570"/>
      <c r="Y68" s="763"/>
    </row>
    <row r="69" spans="1:25" ht="15">
      <c r="A69" s="201"/>
      <c r="B69" s="201" t="s">
        <v>677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570"/>
      <c r="Y69" s="763"/>
    </row>
    <row r="70" spans="1:25" ht="15">
      <c r="A70" s="201"/>
      <c r="B70" s="201" t="s">
        <v>381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570"/>
      <c r="Y70" s="763"/>
    </row>
    <row r="71" spans="1:25" ht="15">
      <c r="A71" s="203"/>
      <c r="B71" s="203" t="s">
        <v>678</v>
      </c>
      <c r="C71" s="579">
        <f t="shared" ref="C71" si="8">SUM(C72:C76)</f>
        <v>5311692.3091699993</v>
      </c>
      <c r="D71" s="579">
        <f t="shared" ref="D71" si="9">SUM(D72:D76)</f>
        <v>6744243.1305200011</v>
      </c>
      <c r="E71" s="579">
        <f t="shared" ref="E71" si="10">SUM(E72:E76)</f>
        <v>7152672.0445600003</v>
      </c>
      <c r="F71" s="579">
        <f t="shared" ref="F71" si="11">SUM(F72:F76)</f>
        <v>7048212.6557099996</v>
      </c>
      <c r="G71" s="579">
        <f t="shared" ref="G71" si="12">SUM(G72:G76)</f>
        <v>6830442.5297800023</v>
      </c>
      <c r="H71" s="579">
        <f t="shared" ref="H71" si="13">SUM(H72:H76)</f>
        <v>7281578.8629800007</v>
      </c>
      <c r="I71" s="579">
        <f t="shared" ref="I71" si="14">SUM(I72:I76)</f>
        <v>7148620.69869</v>
      </c>
      <c r="J71" s="579">
        <f t="shared" ref="J71" si="15">SUM(J72:J76)</f>
        <v>7706190.6771100014</v>
      </c>
      <c r="K71" s="579">
        <f t="shared" ref="K71" si="16">SUM(K72:K76)</f>
        <v>6660773.7844400005</v>
      </c>
      <c r="L71" s="579">
        <f t="shared" ref="L71" si="17">SUM(L72:L76)</f>
        <v>8362119.5040800003</v>
      </c>
      <c r="M71" s="579">
        <f t="shared" ref="M71" si="18">SUM(M72:M76)</f>
        <v>8053270.9250000007</v>
      </c>
      <c r="N71" s="579">
        <f t="shared" ref="N71" si="19">SUM(N72:N76)</f>
        <v>8617053.1683900002</v>
      </c>
      <c r="O71" s="579">
        <f t="shared" ref="O71" si="20">SUM(O72:O76)</f>
        <v>8212429.8337100009</v>
      </c>
      <c r="P71" s="579">
        <f t="shared" ref="P71:Q71" si="21">SUM(P72:P76)</f>
        <v>8930928.6494099982</v>
      </c>
      <c r="Q71" s="579">
        <f t="shared" si="21"/>
        <v>8689002.5082600005</v>
      </c>
      <c r="R71" s="579">
        <f>SUM(R72:R76)</f>
        <v>9248515.571419999</v>
      </c>
      <c r="S71" s="579">
        <v>9095838.2626499999</v>
      </c>
      <c r="T71" s="579">
        <f>SUM(T72:T76)</f>
        <v>9109899.2234099992</v>
      </c>
      <c r="U71" s="579">
        <f>SUM(U72:U76)</f>
        <v>9255070.7718499992</v>
      </c>
      <c r="V71" s="579">
        <f>SUM(V72:V76)</f>
        <v>8597433.9325300008</v>
      </c>
      <c r="W71" s="579">
        <f>SUM(W72:W76)</f>
        <v>8980063.5491199996</v>
      </c>
      <c r="X71" s="570"/>
      <c r="Y71" s="763"/>
    </row>
    <row r="72" spans="1:25" ht="15">
      <c r="A72" s="201"/>
      <c r="B72" s="201" t="s">
        <v>670</v>
      </c>
      <c r="C72" s="201">
        <v>5311692.3091699993</v>
      </c>
      <c r="D72" s="201">
        <v>6744243.1305200011</v>
      </c>
      <c r="E72" s="201">
        <v>7152672.0445600003</v>
      </c>
      <c r="F72" s="201">
        <v>7048212.6557099996</v>
      </c>
      <c r="G72" s="201">
        <v>6830442.5297800023</v>
      </c>
      <c r="H72" s="201">
        <v>7267546.4242800009</v>
      </c>
      <c r="I72" s="201">
        <v>7086822.1968200002</v>
      </c>
      <c r="J72" s="201">
        <v>6729405.3293800009</v>
      </c>
      <c r="K72" s="201">
        <v>3373232.8178900001</v>
      </c>
      <c r="L72" s="201">
        <v>4474743.21557</v>
      </c>
      <c r="M72" s="201">
        <v>4830088.5310800001</v>
      </c>
      <c r="N72" s="201">
        <v>5415859.3890800001</v>
      </c>
      <c r="O72" s="201">
        <v>5073000.1808700003</v>
      </c>
      <c r="P72" s="201">
        <v>5688287.8770999992</v>
      </c>
      <c r="Q72" s="201">
        <v>6083825.57498</v>
      </c>
      <c r="R72" s="201">
        <v>6704221.0769399991</v>
      </c>
      <c r="S72" s="201">
        <v>6476847.299159999</v>
      </c>
      <c r="T72" s="201">
        <v>6476847.299159999</v>
      </c>
      <c r="U72" s="201">
        <v>6936355.7245200006</v>
      </c>
      <c r="V72" s="201">
        <v>6692453.3050199999</v>
      </c>
      <c r="W72" s="201">
        <v>7113562.46899</v>
      </c>
      <c r="X72" s="570"/>
      <c r="Y72" s="763"/>
    </row>
    <row r="73" spans="1:25" ht="15">
      <c r="A73" s="201"/>
      <c r="B73" s="201" t="s">
        <v>671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839912.84486999991</v>
      </c>
      <c r="K73" s="201">
        <v>2859864.5030699996</v>
      </c>
      <c r="L73" s="201">
        <v>3285732.2036500005</v>
      </c>
      <c r="M73" s="201">
        <v>2462800.0219399999</v>
      </c>
      <c r="N73" s="201">
        <v>2367148.9340899996</v>
      </c>
      <c r="O73" s="201">
        <v>2294118.0465899999</v>
      </c>
      <c r="P73" s="201">
        <v>2352801.2554699997</v>
      </c>
      <c r="Q73" s="201">
        <v>1799256.3594800001</v>
      </c>
      <c r="R73" s="201">
        <v>1746555.6242899999</v>
      </c>
      <c r="S73" s="201">
        <v>1807972.74266</v>
      </c>
      <c r="T73" s="201">
        <v>1868358.5263400003</v>
      </c>
      <c r="U73" s="201">
        <v>1539809.9273599999</v>
      </c>
      <c r="V73" s="201">
        <v>1115523.2274500001</v>
      </c>
      <c r="W73" s="201">
        <v>1067879.65765</v>
      </c>
      <c r="X73" s="570"/>
      <c r="Y73" s="763"/>
    </row>
    <row r="74" spans="1:25" ht="15">
      <c r="A74" s="201"/>
      <c r="B74" s="201" t="s">
        <v>672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14032.438699999999</v>
      </c>
      <c r="I74" s="201">
        <v>61798.50187</v>
      </c>
      <c r="J74" s="201">
        <v>136872.50286000004</v>
      </c>
      <c r="K74" s="201">
        <v>427676.46348000003</v>
      </c>
      <c r="L74" s="201">
        <v>601644.08486000006</v>
      </c>
      <c r="M74" s="201">
        <v>760382.37198000005</v>
      </c>
      <c r="N74" s="201">
        <v>834044.84522000002</v>
      </c>
      <c r="O74" s="201">
        <v>845311.60624999984</v>
      </c>
      <c r="P74" s="201">
        <v>889839.51683999994</v>
      </c>
      <c r="Q74" s="201">
        <v>805920.57380000025</v>
      </c>
      <c r="R74" s="201">
        <v>797738.87018999993</v>
      </c>
      <c r="S74" s="201">
        <v>811018.22083000012</v>
      </c>
      <c r="T74" s="201">
        <v>764693.39791000006</v>
      </c>
      <c r="U74" s="201">
        <v>778905.11997</v>
      </c>
      <c r="V74" s="201">
        <v>789457.40006000001</v>
      </c>
      <c r="W74" s="201">
        <v>798621.42247999983</v>
      </c>
      <c r="X74" s="570"/>
      <c r="Y74" s="763"/>
    </row>
    <row r="75" spans="1:25" ht="15">
      <c r="A75" s="201"/>
      <c r="B75" s="201" t="s">
        <v>677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570"/>
      <c r="Y75" s="763"/>
    </row>
    <row r="76" spans="1:25" ht="15">
      <c r="A76" s="201"/>
      <c r="B76" s="201" t="s">
        <v>381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570"/>
      <c r="Y76" s="763"/>
    </row>
    <row r="77" spans="1:25" ht="15">
      <c r="A77" s="203"/>
      <c r="B77" s="203" t="s">
        <v>679</v>
      </c>
      <c r="C77" s="202">
        <f>SUM(C78:C80)</f>
        <v>31635.386500000001</v>
      </c>
      <c r="D77" s="202">
        <f t="shared" ref="D77:R77" si="22">SUM(D78:D80)</f>
        <v>31715.219000000001</v>
      </c>
      <c r="E77" s="202">
        <f t="shared" si="22"/>
        <v>33191.4735</v>
      </c>
      <c r="F77" s="202">
        <f t="shared" si="22"/>
        <v>33702.041499999999</v>
      </c>
      <c r="G77" s="202">
        <f t="shared" si="22"/>
        <v>35209.201499999996</v>
      </c>
      <c r="H77" s="202">
        <f t="shared" si="22"/>
        <v>53891.7232</v>
      </c>
      <c r="I77" s="202">
        <f t="shared" si="22"/>
        <v>82982.906759999998</v>
      </c>
      <c r="J77" s="202">
        <f t="shared" si="22"/>
        <v>232553.81863999992</v>
      </c>
      <c r="K77" s="202">
        <f t="shared" si="22"/>
        <v>0</v>
      </c>
      <c r="L77" s="202">
        <f t="shared" si="22"/>
        <v>0</v>
      </c>
      <c r="M77" s="202">
        <f t="shared" si="22"/>
        <v>0</v>
      </c>
      <c r="N77" s="202">
        <f t="shared" si="22"/>
        <v>0</v>
      </c>
      <c r="O77" s="202">
        <f t="shared" si="22"/>
        <v>0</v>
      </c>
      <c r="P77" s="202">
        <f t="shared" si="22"/>
        <v>0</v>
      </c>
      <c r="Q77" s="202">
        <f t="shared" si="22"/>
        <v>0</v>
      </c>
      <c r="R77" s="202">
        <f t="shared" si="22"/>
        <v>0</v>
      </c>
      <c r="S77" s="202">
        <v>0</v>
      </c>
      <c r="T77" s="202">
        <f>SUM(T78:T80)</f>
        <v>0</v>
      </c>
      <c r="U77" s="202">
        <f>SUM(U78:U80)</f>
        <v>0</v>
      </c>
      <c r="V77" s="202">
        <v>0</v>
      </c>
      <c r="W77" s="579">
        <v>0</v>
      </c>
      <c r="X77" s="570"/>
      <c r="Y77" s="763"/>
    </row>
    <row r="78" spans="1:25" ht="15">
      <c r="A78" s="201"/>
      <c r="B78" s="201" t="s">
        <v>670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570"/>
      <c r="Y78" s="763"/>
    </row>
    <row r="79" spans="1:25" ht="15">
      <c r="A79" s="201"/>
      <c r="B79" s="201" t="s">
        <v>671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570"/>
      <c r="Y79" s="763"/>
    </row>
    <row r="80" spans="1:25" ht="15">
      <c r="A80" s="199"/>
      <c r="B80" s="199" t="s">
        <v>672</v>
      </c>
      <c r="C80" s="199">
        <v>31635.386500000001</v>
      </c>
      <c r="D80" s="199">
        <v>31715.219000000001</v>
      </c>
      <c r="E80" s="199">
        <v>33191.4735</v>
      </c>
      <c r="F80" s="199">
        <v>33702.041499999999</v>
      </c>
      <c r="G80" s="199">
        <v>35209.201499999996</v>
      </c>
      <c r="H80" s="199">
        <v>53891.7232</v>
      </c>
      <c r="I80" s="199">
        <v>82982.906759999998</v>
      </c>
      <c r="J80" s="199">
        <v>232553.81863999992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570"/>
      <c r="Y80" s="763"/>
    </row>
    <row r="81" spans="1:27" ht="15">
      <c r="A81" s="197"/>
      <c r="B81" s="197" t="s">
        <v>680</v>
      </c>
      <c r="C81" s="197">
        <f t="shared" ref="C81:Q81" si="23">C77+C71+C61</f>
        <v>7742442.6933599114</v>
      </c>
      <c r="D81" s="197">
        <f t="shared" si="23"/>
        <v>8365480.7730493546</v>
      </c>
      <c r="E81" s="197">
        <f t="shared" si="23"/>
        <v>8995563.7499991953</v>
      </c>
      <c r="F81" s="197">
        <f t="shared" si="23"/>
        <v>9063678.8226271123</v>
      </c>
      <c r="G81" s="197">
        <f t="shared" si="23"/>
        <v>8464128.2510952652</v>
      </c>
      <c r="H81" s="197">
        <f t="shared" si="23"/>
        <v>9204952.9791130126</v>
      </c>
      <c r="I81" s="197">
        <f t="shared" si="23"/>
        <v>9700601.3307168335</v>
      </c>
      <c r="J81" s="197">
        <f t="shared" si="23"/>
        <v>10222024.246249998</v>
      </c>
      <c r="K81" s="197">
        <f t="shared" si="23"/>
        <v>11077295.274010003</v>
      </c>
      <c r="L81" s="197">
        <f t="shared" si="23"/>
        <v>11281083.583960027</v>
      </c>
      <c r="M81" s="197">
        <f t="shared" si="23"/>
        <v>10743893.87695998</v>
      </c>
      <c r="N81" s="197">
        <f t="shared" si="23"/>
        <v>11539824.099920005</v>
      </c>
      <c r="O81" s="197">
        <f t="shared" si="23"/>
        <v>12146983.798629999</v>
      </c>
      <c r="P81" s="197">
        <f t="shared" si="23"/>
        <v>11730285.522769988</v>
      </c>
      <c r="Q81" s="197">
        <f t="shared" si="23"/>
        <v>11873410.023519993</v>
      </c>
      <c r="R81" s="197">
        <f>R77+R71+R61</f>
        <v>11751841.112359971</v>
      </c>
      <c r="S81" s="197">
        <v>12175044.712300003</v>
      </c>
      <c r="T81" s="197">
        <f>T61+T71</f>
        <v>12593923.501949996</v>
      </c>
      <c r="U81" s="197">
        <f>U61+U71</f>
        <v>12473450.260540009</v>
      </c>
      <c r="V81" s="197">
        <f>V61+V71</f>
        <v>11749047.817669988</v>
      </c>
      <c r="W81" s="197">
        <f>W61+W71</f>
        <v>12376031.232339978</v>
      </c>
      <c r="X81" s="570"/>
      <c r="Y81" s="763"/>
    </row>
    <row r="82" spans="1:27" s="193" customFormat="1">
      <c r="A82" s="477"/>
      <c r="B82" s="477" t="s">
        <v>685</v>
      </c>
      <c r="C82" s="614"/>
      <c r="D82" s="614"/>
      <c r="E82" s="614"/>
      <c r="F82" s="614"/>
      <c r="G82" s="614"/>
      <c r="H82" s="614"/>
      <c r="I82" s="614"/>
      <c r="J82" s="614"/>
      <c r="K82" s="614"/>
      <c r="L82" s="614"/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703"/>
      <c r="X82" s="570"/>
      <c r="Y82" s="570"/>
    </row>
    <row r="83" spans="1:27" ht="33.75" customHeight="1">
      <c r="B83" s="615"/>
      <c r="C83" s="616"/>
      <c r="D83" s="616"/>
      <c r="E83" s="616"/>
      <c r="F83" s="616"/>
      <c r="G83" s="616"/>
      <c r="H83" s="616"/>
      <c r="I83" s="616"/>
      <c r="J83" s="616"/>
      <c r="K83" s="616"/>
      <c r="L83" s="616"/>
      <c r="M83" s="616"/>
      <c r="N83" s="616"/>
      <c r="O83" s="616"/>
      <c r="P83" s="616"/>
      <c r="Q83" s="616"/>
      <c r="R83" s="616"/>
      <c r="S83" s="616"/>
      <c r="T83" s="616"/>
      <c r="U83" s="616"/>
      <c r="V83" s="616"/>
      <c r="W83" s="616"/>
      <c r="X83" s="570"/>
      <c r="Y83" s="570"/>
    </row>
    <row r="84" spans="1:27">
      <c r="A84" s="208"/>
      <c r="B84" s="208"/>
      <c r="C84" s="208"/>
      <c r="D84" s="208"/>
      <c r="E84" s="208"/>
      <c r="H84" s="193"/>
      <c r="I84" s="193"/>
      <c r="L84" s="193"/>
      <c r="M84" s="193"/>
      <c r="P84" s="193"/>
      <c r="Q84" s="193"/>
      <c r="R84" s="193"/>
      <c r="S84" s="193"/>
      <c r="T84" s="193"/>
      <c r="U84" s="193"/>
      <c r="W84" s="192"/>
      <c r="X84" s="570"/>
      <c r="Y84" s="570"/>
    </row>
    <row r="85" spans="1:27" s="103" customFormat="1" ht="23.25">
      <c r="A85" s="74"/>
      <c r="B85" s="74" t="s">
        <v>94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570"/>
      <c r="Y85" s="570"/>
      <c r="Z85"/>
      <c r="AA85"/>
    </row>
    <row r="86" spans="1:27">
      <c r="A86" s="208"/>
      <c r="B86" s="208"/>
      <c r="C86" s="208"/>
      <c r="D86" s="208"/>
      <c r="E86" s="208"/>
      <c r="H86" s="193"/>
      <c r="I86" s="193"/>
      <c r="L86" s="193"/>
      <c r="M86" s="193"/>
      <c r="P86" s="193"/>
      <c r="Q86" s="193"/>
      <c r="R86" s="193"/>
      <c r="S86" s="193"/>
      <c r="T86" s="193"/>
      <c r="U86" s="193"/>
      <c r="W86" s="192"/>
      <c r="X86" s="570"/>
      <c r="Y86" s="570"/>
    </row>
    <row r="87" spans="1:27" ht="15">
      <c r="A87" s="677"/>
      <c r="B87" s="677" t="s">
        <v>528</v>
      </c>
      <c r="C87" s="678">
        <v>44256</v>
      </c>
      <c r="D87" s="678">
        <v>44348</v>
      </c>
      <c r="E87" s="678">
        <v>44440</v>
      </c>
      <c r="F87" s="679">
        <v>44531</v>
      </c>
      <c r="G87" s="679">
        <v>44621</v>
      </c>
      <c r="H87" s="679">
        <v>44713</v>
      </c>
      <c r="I87" s="679">
        <v>44805</v>
      </c>
      <c r="J87" s="679">
        <v>44896</v>
      </c>
      <c r="K87" s="679">
        <v>44986</v>
      </c>
      <c r="L87" s="679">
        <v>45078</v>
      </c>
      <c r="M87" s="679">
        <v>45170</v>
      </c>
      <c r="N87" s="679">
        <v>45261</v>
      </c>
      <c r="O87" s="679">
        <v>45352</v>
      </c>
      <c r="P87" s="679">
        <v>45444</v>
      </c>
      <c r="Q87" s="679">
        <v>45536</v>
      </c>
      <c r="R87" s="679">
        <v>45627</v>
      </c>
      <c r="S87" s="679">
        <v>45717</v>
      </c>
      <c r="T87" s="679">
        <v>45809</v>
      </c>
      <c r="U87" s="679">
        <v>45901</v>
      </c>
      <c r="V87" s="680">
        <v>45992</v>
      </c>
      <c r="W87" s="681">
        <v>46082</v>
      </c>
      <c r="X87" s="570"/>
      <c r="Y87" s="570"/>
    </row>
    <row r="88" spans="1:27" ht="15">
      <c r="A88" s="203"/>
      <c r="B88" s="203" t="s">
        <v>669</v>
      </c>
      <c r="C88" s="205">
        <f>SUM(C89:C92)</f>
        <v>183380.25603999998</v>
      </c>
      <c r="D88" s="205">
        <f t="shared" ref="D88:P88" si="24">SUM(D89:D92)</f>
        <v>233905.66879</v>
      </c>
      <c r="E88" s="205">
        <f t="shared" si="24"/>
        <v>309692.41345999995</v>
      </c>
      <c r="F88" s="205">
        <f t="shared" si="24"/>
        <v>387638.34243000002</v>
      </c>
      <c r="G88" s="205">
        <f t="shared" si="24"/>
        <v>481910</v>
      </c>
      <c r="H88" s="205">
        <f t="shared" si="24"/>
        <v>568646</v>
      </c>
      <c r="I88" s="205">
        <f t="shared" si="24"/>
        <v>698617</v>
      </c>
      <c r="J88" s="205">
        <f t="shared" si="24"/>
        <v>803903</v>
      </c>
      <c r="K88" s="205">
        <f t="shared" si="24"/>
        <v>913793.00000000012</v>
      </c>
      <c r="L88" s="205">
        <f t="shared" si="24"/>
        <v>898763</v>
      </c>
      <c r="M88" s="205">
        <f t="shared" si="24"/>
        <v>1090329</v>
      </c>
      <c r="N88" s="205">
        <f t="shared" si="24"/>
        <v>1104976.0000000002</v>
      </c>
      <c r="O88" s="205">
        <f t="shared" si="24"/>
        <v>991195</v>
      </c>
      <c r="P88" s="205">
        <f t="shared" si="24"/>
        <v>1230636.9999999998</v>
      </c>
      <c r="Q88" s="205">
        <f>SUM(Q89:Q92)</f>
        <v>1327353</v>
      </c>
      <c r="R88" s="205">
        <f>SUM(R89:R92)</f>
        <v>1476411</v>
      </c>
      <c r="S88" s="205">
        <v>1227264</v>
      </c>
      <c r="T88" s="205">
        <f>SUM(T89:T92)</f>
        <v>1515713.0000000002</v>
      </c>
      <c r="U88" s="205">
        <f>SUM(U89:U92)</f>
        <v>1710636</v>
      </c>
      <c r="V88" s="205">
        <f>SUM(V89:V92)</f>
        <v>1649781</v>
      </c>
      <c r="W88" s="702">
        <f>SUM(W89:W92)</f>
        <v>1440406.9999999998</v>
      </c>
      <c r="X88" s="570"/>
      <c r="Y88" s="763"/>
    </row>
    <row r="89" spans="1:27" ht="15">
      <c r="A89" s="201"/>
      <c r="B89" s="201" t="s">
        <v>670</v>
      </c>
      <c r="C89" s="201">
        <v>0</v>
      </c>
      <c r="D89" s="201">
        <v>0</v>
      </c>
      <c r="E89" s="201">
        <v>0</v>
      </c>
      <c r="F89" s="200">
        <v>27025.807382922361</v>
      </c>
      <c r="G89" s="200">
        <v>56549.833885344968</v>
      </c>
      <c r="H89" s="200">
        <v>48760.837525158589</v>
      </c>
      <c r="I89" s="200">
        <v>32030.029069999997</v>
      </c>
      <c r="J89" s="200">
        <v>43463.029220000004</v>
      </c>
      <c r="K89" s="200">
        <v>45137.910049999999</v>
      </c>
      <c r="L89" s="200">
        <v>58276.548520000004</v>
      </c>
      <c r="M89" s="200">
        <v>165181.87276999996</v>
      </c>
      <c r="N89" s="200">
        <v>89198.716509999998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570"/>
      <c r="Y89" s="763"/>
    </row>
    <row r="90" spans="1:27" ht="15">
      <c r="A90" s="201"/>
      <c r="B90" s="201" t="s">
        <v>671</v>
      </c>
      <c r="C90" s="201">
        <v>0</v>
      </c>
      <c r="D90" s="201">
        <v>0</v>
      </c>
      <c r="E90" s="201">
        <v>0</v>
      </c>
      <c r="F90" s="200">
        <v>20399.791604084901</v>
      </c>
      <c r="G90" s="200">
        <v>27104.189298693411</v>
      </c>
      <c r="H90" s="200">
        <v>73710.93587498444</v>
      </c>
      <c r="I90" s="200">
        <v>206188.85293000002</v>
      </c>
      <c r="J90" s="200">
        <v>325940.97203000012</v>
      </c>
      <c r="K90" s="200">
        <v>456861.73350000003</v>
      </c>
      <c r="L90" s="200">
        <v>578864.07041999989</v>
      </c>
      <c r="M90" s="200">
        <v>648414.09130999993</v>
      </c>
      <c r="N90" s="200">
        <v>805378.10193000024</v>
      </c>
      <c r="O90" s="200">
        <v>698718.86997</v>
      </c>
      <c r="P90" s="200">
        <v>841606.50799999968</v>
      </c>
      <c r="Q90" s="200">
        <v>959590.28574000031</v>
      </c>
      <c r="R90" s="200">
        <v>1114204.8540399999</v>
      </c>
      <c r="S90" s="200">
        <v>1002166.7477499999</v>
      </c>
      <c r="T90" s="200">
        <v>1278839.5776199999</v>
      </c>
      <c r="U90" s="200">
        <v>1479217.7245999996</v>
      </c>
      <c r="V90" s="200">
        <v>1540092.1045500005</v>
      </c>
      <c r="W90" s="200">
        <v>1248221.3801999995</v>
      </c>
      <c r="X90" s="570"/>
      <c r="Y90" s="763"/>
    </row>
    <row r="91" spans="1:27" ht="15">
      <c r="A91" s="201"/>
      <c r="B91" s="201" t="s">
        <v>672</v>
      </c>
      <c r="C91" s="201">
        <v>0</v>
      </c>
      <c r="D91" s="201">
        <v>0</v>
      </c>
      <c r="E91" s="201">
        <v>0</v>
      </c>
      <c r="F91" s="200">
        <v>0</v>
      </c>
      <c r="G91" s="200">
        <v>0</v>
      </c>
      <c r="H91" s="200">
        <v>5356.4201471890783</v>
      </c>
      <c r="I91" s="200">
        <v>13804.323970000003</v>
      </c>
      <c r="J91" s="200">
        <v>20065.45652</v>
      </c>
      <c r="K91" s="200">
        <v>28175.770199999999</v>
      </c>
      <c r="L91" s="200">
        <v>53635.530789999997</v>
      </c>
      <c r="M91" s="200">
        <v>91649.698419999986</v>
      </c>
      <c r="N91" s="200">
        <v>32355.535660000001</v>
      </c>
      <c r="O91" s="200">
        <v>51096.794089999996</v>
      </c>
      <c r="P91" s="200">
        <v>74607.389920000001</v>
      </c>
      <c r="Q91" s="200">
        <v>33767.766109999997</v>
      </c>
      <c r="R91" s="200">
        <v>23929.936690000002</v>
      </c>
      <c r="S91" s="200">
        <v>24603.215780000002</v>
      </c>
      <c r="T91" s="200">
        <v>5044.0760399999999</v>
      </c>
      <c r="U91" s="200">
        <v>0</v>
      </c>
      <c r="V91" s="200">
        <v>0</v>
      </c>
      <c r="W91" s="200">
        <v>0</v>
      </c>
      <c r="X91" s="570"/>
      <c r="Y91" s="763"/>
    </row>
    <row r="92" spans="1:27" ht="15">
      <c r="A92" s="201"/>
      <c r="B92" s="201" t="s">
        <v>673</v>
      </c>
      <c r="C92" s="201">
        <v>183380.25603999998</v>
      </c>
      <c r="D92" s="201">
        <v>233905.66879</v>
      </c>
      <c r="E92" s="201">
        <v>309692.41345999995</v>
      </c>
      <c r="F92" s="200">
        <v>340212.74344299274</v>
      </c>
      <c r="G92" s="200">
        <v>398255.97681596159</v>
      </c>
      <c r="H92" s="200">
        <v>440817.80645266792</v>
      </c>
      <c r="I92" s="200">
        <v>446593.79403000005</v>
      </c>
      <c r="J92" s="200">
        <v>414433.54222999985</v>
      </c>
      <c r="K92" s="200">
        <v>383617.58625000005</v>
      </c>
      <c r="L92" s="200">
        <v>207986.85027000017</v>
      </c>
      <c r="M92" s="200">
        <v>185083.33750000008</v>
      </c>
      <c r="N92" s="200">
        <v>178043.64589999992</v>
      </c>
      <c r="O92" s="200">
        <v>241379.33594000002</v>
      </c>
      <c r="P92" s="200">
        <v>314423.1020800001</v>
      </c>
      <c r="Q92" s="200">
        <v>333994.94814999972</v>
      </c>
      <c r="R92" s="200">
        <v>338276.20927000005</v>
      </c>
      <c r="S92" s="200">
        <v>200494.03647000022</v>
      </c>
      <c r="T92" s="200">
        <f>SUM(T93:T95)</f>
        <v>231829.3463400004</v>
      </c>
      <c r="U92" s="200">
        <v>231418.2754000003</v>
      </c>
      <c r="V92" s="200">
        <v>109688.89544999949</v>
      </c>
      <c r="W92" s="728">
        <v>192185.61980000031</v>
      </c>
      <c r="X92" s="570"/>
      <c r="Y92" s="763"/>
    </row>
    <row r="93" spans="1:27" ht="15">
      <c r="A93" s="201"/>
      <c r="B93" s="201" t="s">
        <v>674</v>
      </c>
      <c r="C93" s="201">
        <v>0</v>
      </c>
      <c r="D93" s="201">
        <v>0</v>
      </c>
      <c r="E93" s="201">
        <v>0</v>
      </c>
      <c r="F93" s="201">
        <v>0</v>
      </c>
      <c r="G93" s="200">
        <v>312514.67502639041</v>
      </c>
      <c r="H93" s="200">
        <v>292862.77684697631</v>
      </c>
      <c r="I93" s="200">
        <v>247254.96733439434</v>
      </c>
      <c r="J93" s="200">
        <v>228174.59490355972</v>
      </c>
      <c r="K93" s="200">
        <v>256070.8233623436</v>
      </c>
      <c r="L93" s="200">
        <v>169592.99203811187</v>
      </c>
      <c r="M93" s="200">
        <v>149780.19328526277</v>
      </c>
      <c r="N93" s="200">
        <v>85832.415492572167</v>
      </c>
      <c r="O93" s="200">
        <v>115146.47158716561</v>
      </c>
      <c r="P93" s="200">
        <v>164191.18491165072</v>
      </c>
      <c r="Q93" s="200">
        <v>133667.11147631146</v>
      </c>
      <c r="R93" s="200">
        <v>96132.307584094713</v>
      </c>
      <c r="S93" s="200">
        <v>29329.589095256015</v>
      </c>
      <c r="T93" s="200">
        <v>40887.912358754409</v>
      </c>
      <c r="U93" s="200">
        <v>36030.186176467898</v>
      </c>
      <c r="V93" s="200">
        <v>18247.614870421578</v>
      </c>
      <c r="W93" s="200">
        <v>13934.749661297574</v>
      </c>
      <c r="X93" s="570"/>
      <c r="Y93" s="763"/>
    </row>
    <row r="94" spans="1:27" ht="15">
      <c r="A94" s="201"/>
      <c r="B94" s="201" t="s">
        <v>675</v>
      </c>
      <c r="C94" s="201">
        <v>0</v>
      </c>
      <c r="D94" s="201">
        <v>0</v>
      </c>
      <c r="E94" s="201">
        <v>0</v>
      </c>
      <c r="F94" s="201">
        <v>0</v>
      </c>
      <c r="G94" s="200">
        <v>21422.206812712768</v>
      </c>
      <c r="H94" s="200">
        <v>49193.188352383615</v>
      </c>
      <c r="I94" s="200">
        <v>31995.911516859174</v>
      </c>
      <c r="J94" s="200">
        <v>32213.09717941417</v>
      </c>
      <c r="K94" s="200">
        <v>32089.881457410447</v>
      </c>
      <c r="L94" s="200">
        <v>9403.6958812341763</v>
      </c>
      <c r="M94" s="200">
        <v>12521.784029793829</v>
      </c>
      <c r="N94" s="200">
        <v>12397.613626461312</v>
      </c>
      <c r="O94" s="200">
        <v>11850.163735428292</v>
      </c>
      <c r="P94" s="200">
        <v>14077.207803563646</v>
      </c>
      <c r="Q94" s="200">
        <v>0</v>
      </c>
      <c r="R94" s="200">
        <v>0</v>
      </c>
      <c r="S94" s="200">
        <v>72.739252249678856</v>
      </c>
      <c r="T94" s="200">
        <v>0</v>
      </c>
      <c r="U94" s="200">
        <v>0</v>
      </c>
      <c r="V94" s="200">
        <v>0</v>
      </c>
      <c r="W94" s="200">
        <v>0</v>
      </c>
      <c r="X94" s="570"/>
      <c r="Y94" s="763"/>
    </row>
    <row r="95" spans="1:27" ht="15">
      <c r="A95" s="201"/>
      <c r="B95" s="201" t="s">
        <v>676</v>
      </c>
      <c r="C95" s="201">
        <v>0</v>
      </c>
      <c r="D95" s="201">
        <v>0</v>
      </c>
      <c r="E95" s="201">
        <v>0</v>
      </c>
      <c r="F95" s="201">
        <v>0</v>
      </c>
      <c r="G95" s="200">
        <v>64319.094976858381</v>
      </c>
      <c r="H95" s="200">
        <v>98761.841253307968</v>
      </c>
      <c r="I95" s="200">
        <v>167342.91517874654</v>
      </c>
      <c r="J95" s="200">
        <v>154045.85014702598</v>
      </c>
      <c r="K95" s="200">
        <v>95456.881430246009</v>
      </c>
      <c r="L95" s="200">
        <v>28990.162350654136</v>
      </c>
      <c r="M95" s="200">
        <v>22781.360184943471</v>
      </c>
      <c r="N95" s="200">
        <v>79813.616780966433</v>
      </c>
      <c r="O95" s="200">
        <v>114382.70061740614</v>
      </c>
      <c r="P95" s="200">
        <v>136154.70936478573</v>
      </c>
      <c r="Q95" s="200">
        <v>200327.83667368823</v>
      </c>
      <c r="R95" s="200">
        <v>242143.90168590535</v>
      </c>
      <c r="S95" s="200">
        <v>171091.70812249454</v>
      </c>
      <c r="T95" s="200">
        <v>190941.43398124599</v>
      </c>
      <c r="U95" s="200">
        <v>195388.08922353241</v>
      </c>
      <c r="V95" s="200">
        <v>91441.280579577913</v>
      </c>
      <c r="W95" s="200">
        <v>178250.87013870274</v>
      </c>
      <c r="X95" s="570"/>
      <c r="Y95" s="763"/>
    </row>
    <row r="96" spans="1:27" ht="15">
      <c r="A96" s="201"/>
      <c r="B96" s="201" t="s">
        <v>677</v>
      </c>
      <c r="C96" s="201">
        <v>0</v>
      </c>
      <c r="D96" s="201">
        <v>0</v>
      </c>
      <c r="E96" s="201">
        <v>0</v>
      </c>
      <c r="F96" s="201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570"/>
      <c r="Y96" s="570"/>
    </row>
    <row r="97" spans="1:27" ht="15">
      <c r="A97" s="201"/>
      <c r="B97" s="201" t="s">
        <v>381</v>
      </c>
      <c r="C97" s="201">
        <v>0</v>
      </c>
      <c r="D97" s="201">
        <v>0</v>
      </c>
      <c r="E97" s="201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570"/>
      <c r="Y97" s="570"/>
    </row>
    <row r="98" spans="1:27" ht="15">
      <c r="A98" s="203"/>
      <c r="B98" s="203" t="s">
        <v>678</v>
      </c>
      <c r="C98" s="203">
        <v>0</v>
      </c>
      <c r="D98" s="203">
        <v>0</v>
      </c>
      <c r="E98" s="203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702">
        <v>0</v>
      </c>
      <c r="X98" s="570"/>
      <c r="Y98" s="570"/>
    </row>
    <row r="99" spans="1:27" ht="15">
      <c r="A99" s="201"/>
      <c r="B99" s="201" t="s">
        <v>670</v>
      </c>
      <c r="C99" s="201">
        <v>0</v>
      </c>
      <c r="D99" s="201">
        <v>0</v>
      </c>
      <c r="E99" s="201">
        <v>0</v>
      </c>
      <c r="F99" s="200">
        <v>0</v>
      </c>
      <c r="G99" s="200">
        <v>0</v>
      </c>
      <c r="H99" s="200">
        <v>0</v>
      </c>
      <c r="I99" s="200">
        <v>0</v>
      </c>
      <c r="J99" s="200">
        <v>0</v>
      </c>
      <c r="K99" s="200">
        <v>0</v>
      </c>
      <c r="L99" s="200">
        <v>0</v>
      </c>
      <c r="M99" s="200">
        <v>0</v>
      </c>
      <c r="N99" s="200">
        <v>0</v>
      </c>
      <c r="O99" s="200">
        <v>0</v>
      </c>
      <c r="P99" s="200">
        <v>0</v>
      </c>
      <c r="Q99" s="200">
        <v>0</v>
      </c>
      <c r="R99" s="200">
        <v>0</v>
      </c>
      <c r="S99" s="200">
        <v>0</v>
      </c>
      <c r="T99" s="200">
        <v>0</v>
      </c>
      <c r="U99" s="200">
        <v>0</v>
      </c>
      <c r="V99" s="200">
        <v>0</v>
      </c>
      <c r="W99" s="200">
        <v>0</v>
      </c>
      <c r="X99" s="570"/>
      <c r="Y99" s="570"/>
    </row>
    <row r="100" spans="1:27" ht="15">
      <c r="A100" s="201"/>
      <c r="B100" s="201" t="s">
        <v>671</v>
      </c>
      <c r="C100" s="201">
        <v>0</v>
      </c>
      <c r="D100" s="201">
        <v>0</v>
      </c>
      <c r="E100" s="201">
        <v>0</v>
      </c>
      <c r="F100" s="200">
        <v>0</v>
      </c>
      <c r="G100" s="200">
        <v>0</v>
      </c>
      <c r="H100" s="200">
        <v>0</v>
      </c>
      <c r="I100" s="200">
        <v>0</v>
      </c>
      <c r="J100" s="200">
        <v>0</v>
      </c>
      <c r="K100" s="200">
        <v>0</v>
      </c>
      <c r="L100" s="200">
        <v>0</v>
      </c>
      <c r="M100" s="200">
        <v>0</v>
      </c>
      <c r="N100" s="200">
        <v>0</v>
      </c>
      <c r="O100" s="200">
        <v>0</v>
      </c>
      <c r="P100" s="200">
        <v>0</v>
      </c>
      <c r="Q100" s="200">
        <v>0</v>
      </c>
      <c r="R100" s="200">
        <v>0</v>
      </c>
      <c r="S100" s="200">
        <v>0</v>
      </c>
      <c r="T100" s="200">
        <v>0</v>
      </c>
      <c r="U100" s="200">
        <v>0</v>
      </c>
      <c r="V100" s="200">
        <v>0</v>
      </c>
      <c r="W100" s="200">
        <v>0</v>
      </c>
      <c r="X100" s="570"/>
      <c r="Y100" s="570"/>
    </row>
    <row r="101" spans="1:27" ht="15">
      <c r="A101" s="201"/>
      <c r="B101" s="201" t="s">
        <v>672</v>
      </c>
      <c r="C101" s="201">
        <v>0</v>
      </c>
      <c r="D101" s="201">
        <v>0</v>
      </c>
      <c r="E101" s="201">
        <v>0</v>
      </c>
      <c r="F101" s="200">
        <v>0</v>
      </c>
      <c r="G101" s="200">
        <v>0</v>
      </c>
      <c r="H101" s="200">
        <v>0</v>
      </c>
      <c r="I101" s="200">
        <v>0</v>
      </c>
      <c r="J101" s="200">
        <v>0</v>
      </c>
      <c r="K101" s="200">
        <v>0</v>
      </c>
      <c r="L101" s="200">
        <v>0</v>
      </c>
      <c r="M101" s="200">
        <v>0</v>
      </c>
      <c r="N101" s="200">
        <v>0</v>
      </c>
      <c r="O101" s="200">
        <v>0</v>
      </c>
      <c r="P101" s="200">
        <v>0</v>
      </c>
      <c r="Q101" s="200">
        <v>0</v>
      </c>
      <c r="R101" s="200">
        <v>0</v>
      </c>
      <c r="S101" s="200">
        <v>0</v>
      </c>
      <c r="T101" s="200">
        <v>0</v>
      </c>
      <c r="U101" s="200">
        <v>0</v>
      </c>
      <c r="V101" s="200">
        <v>0</v>
      </c>
      <c r="W101" s="200">
        <v>0</v>
      </c>
      <c r="X101" s="570"/>
      <c r="Y101" s="570"/>
    </row>
    <row r="102" spans="1:27" ht="15">
      <c r="A102" s="201"/>
      <c r="B102" s="201" t="s">
        <v>677</v>
      </c>
      <c r="C102" s="201">
        <v>0</v>
      </c>
      <c r="D102" s="201">
        <v>0</v>
      </c>
      <c r="E102" s="201">
        <v>0</v>
      </c>
      <c r="F102" s="200">
        <v>0</v>
      </c>
      <c r="G102" s="200">
        <v>0</v>
      </c>
      <c r="H102" s="200">
        <v>0</v>
      </c>
      <c r="I102" s="200">
        <v>0</v>
      </c>
      <c r="J102" s="200">
        <v>0</v>
      </c>
      <c r="K102" s="200">
        <v>0</v>
      </c>
      <c r="L102" s="200">
        <v>0</v>
      </c>
      <c r="M102" s="200">
        <v>0</v>
      </c>
      <c r="N102" s="200">
        <v>0</v>
      </c>
      <c r="O102" s="200">
        <v>0</v>
      </c>
      <c r="P102" s="200">
        <v>0</v>
      </c>
      <c r="Q102" s="200">
        <v>0</v>
      </c>
      <c r="R102" s="200">
        <v>0</v>
      </c>
      <c r="S102" s="200">
        <v>0</v>
      </c>
      <c r="T102" s="200">
        <v>0</v>
      </c>
      <c r="U102" s="200">
        <v>0</v>
      </c>
      <c r="V102" s="200">
        <v>0</v>
      </c>
      <c r="W102" s="200">
        <v>0</v>
      </c>
      <c r="X102" s="570"/>
      <c r="Y102" s="570"/>
    </row>
    <row r="103" spans="1:27" ht="15">
      <c r="A103" s="201"/>
      <c r="B103" s="201" t="s">
        <v>381</v>
      </c>
      <c r="C103" s="201">
        <v>0</v>
      </c>
      <c r="D103" s="201">
        <v>0</v>
      </c>
      <c r="E103" s="201">
        <v>0</v>
      </c>
      <c r="F103" s="200">
        <v>0</v>
      </c>
      <c r="G103" s="200">
        <v>0</v>
      </c>
      <c r="H103" s="200">
        <v>0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0</v>
      </c>
      <c r="O103" s="200">
        <v>0</v>
      </c>
      <c r="P103" s="200">
        <v>0</v>
      </c>
      <c r="Q103" s="200">
        <v>0</v>
      </c>
      <c r="R103" s="200">
        <v>0</v>
      </c>
      <c r="S103" s="200">
        <v>0</v>
      </c>
      <c r="T103" s="200">
        <v>0</v>
      </c>
      <c r="U103" s="200">
        <v>0</v>
      </c>
      <c r="V103" s="200">
        <v>0</v>
      </c>
      <c r="W103" s="200">
        <v>0</v>
      </c>
      <c r="X103" s="570"/>
      <c r="Y103" s="570"/>
    </row>
    <row r="104" spans="1:27" ht="15">
      <c r="A104" s="203"/>
      <c r="B104" s="203" t="s">
        <v>679</v>
      </c>
      <c r="C104" s="203">
        <v>0</v>
      </c>
      <c r="D104" s="203">
        <v>0</v>
      </c>
      <c r="E104" s="203">
        <v>0</v>
      </c>
      <c r="F104" s="205">
        <v>0</v>
      </c>
      <c r="G104" s="205">
        <v>0</v>
      </c>
      <c r="H104" s="205">
        <v>0</v>
      </c>
      <c r="I104" s="205">
        <v>0</v>
      </c>
      <c r="J104" s="205">
        <v>0</v>
      </c>
      <c r="K104" s="205">
        <v>0</v>
      </c>
      <c r="L104" s="205">
        <v>0</v>
      </c>
      <c r="M104" s="205">
        <v>0</v>
      </c>
      <c r="N104" s="205">
        <v>0</v>
      </c>
      <c r="O104" s="205">
        <v>0</v>
      </c>
      <c r="P104" s="205">
        <v>0</v>
      </c>
      <c r="Q104" s="205">
        <v>0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702">
        <v>0</v>
      </c>
      <c r="X104" s="570"/>
      <c r="Y104" s="570"/>
    </row>
    <row r="105" spans="1:27" ht="15">
      <c r="A105" s="201"/>
      <c r="B105" s="201" t="s">
        <v>670</v>
      </c>
      <c r="C105" s="201">
        <v>0</v>
      </c>
      <c r="D105" s="201">
        <v>0</v>
      </c>
      <c r="E105" s="201">
        <v>0</v>
      </c>
      <c r="F105" s="200">
        <v>0</v>
      </c>
      <c r="G105" s="200">
        <v>0</v>
      </c>
      <c r="H105" s="200">
        <v>0</v>
      </c>
      <c r="I105" s="200">
        <v>0</v>
      </c>
      <c r="J105" s="200">
        <v>0</v>
      </c>
      <c r="K105" s="200">
        <v>0</v>
      </c>
      <c r="L105" s="200">
        <v>0</v>
      </c>
      <c r="M105" s="200">
        <v>0</v>
      </c>
      <c r="N105" s="200">
        <v>0</v>
      </c>
      <c r="O105" s="200">
        <v>0</v>
      </c>
      <c r="P105" s="200">
        <v>0</v>
      </c>
      <c r="Q105" s="200">
        <v>0</v>
      </c>
      <c r="R105" s="200">
        <v>0</v>
      </c>
      <c r="S105" s="200">
        <v>0</v>
      </c>
      <c r="T105" s="200">
        <v>0</v>
      </c>
      <c r="U105" s="200">
        <v>0</v>
      </c>
      <c r="V105" s="200">
        <v>0</v>
      </c>
      <c r="W105" s="200">
        <v>0</v>
      </c>
      <c r="X105" s="570"/>
      <c r="Y105" s="570"/>
    </row>
    <row r="106" spans="1:27" ht="15">
      <c r="A106" s="201"/>
      <c r="B106" s="201" t="s">
        <v>671</v>
      </c>
      <c r="C106" s="201">
        <v>0</v>
      </c>
      <c r="D106" s="201">
        <v>0</v>
      </c>
      <c r="E106" s="201">
        <v>0</v>
      </c>
      <c r="F106" s="200">
        <v>0</v>
      </c>
      <c r="G106" s="200">
        <v>0</v>
      </c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200">
        <v>0</v>
      </c>
      <c r="Q106" s="200">
        <v>0</v>
      </c>
      <c r="R106" s="200">
        <v>0</v>
      </c>
      <c r="S106" s="200">
        <v>0</v>
      </c>
      <c r="T106" s="200">
        <v>0</v>
      </c>
      <c r="U106" s="200">
        <v>0</v>
      </c>
      <c r="V106" s="200">
        <v>0</v>
      </c>
      <c r="W106" s="200">
        <v>0</v>
      </c>
      <c r="X106" s="570"/>
      <c r="Y106" s="570"/>
    </row>
    <row r="107" spans="1:27" ht="15">
      <c r="A107" s="199"/>
      <c r="B107" s="199" t="s">
        <v>672</v>
      </c>
      <c r="C107" s="199">
        <v>0</v>
      </c>
      <c r="D107" s="199">
        <v>0</v>
      </c>
      <c r="E107" s="199">
        <v>0</v>
      </c>
      <c r="F107" s="199">
        <v>0</v>
      </c>
      <c r="G107" s="199">
        <v>0</v>
      </c>
      <c r="H107" s="199">
        <v>0</v>
      </c>
      <c r="I107" s="199">
        <v>0</v>
      </c>
      <c r="J107" s="199">
        <v>0</v>
      </c>
      <c r="K107" s="199">
        <v>0</v>
      </c>
      <c r="L107" s="199">
        <v>0</v>
      </c>
      <c r="M107" s="199">
        <v>0</v>
      </c>
      <c r="N107" s="199">
        <v>0</v>
      </c>
      <c r="O107" s="199">
        <v>0</v>
      </c>
      <c r="P107" s="199">
        <v>0</v>
      </c>
      <c r="Q107" s="199">
        <v>0</v>
      </c>
      <c r="R107" s="199">
        <v>0</v>
      </c>
      <c r="S107" s="199">
        <v>0</v>
      </c>
      <c r="T107" s="199">
        <v>0</v>
      </c>
      <c r="U107" s="199">
        <v>0</v>
      </c>
      <c r="V107" s="199">
        <v>0</v>
      </c>
      <c r="W107" s="199">
        <v>0</v>
      </c>
      <c r="X107" s="570"/>
      <c r="Y107" s="570"/>
    </row>
    <row r="108" spans="1:27" ht="15">
      <c r="A108" s="197"/>
      <c r="B108" s="197" t="s">
        <v>680</v>
      </c>
      <c r="C108" s="196">
        <f t="shared" ref="C108:Q108" si="25">C88+C98+C104</f>
        <v>183380.25603999998</v>
      </c>
      <c r="D108" s="196">
        <f t="shared" si="25"/>
        <v>233905.66879</v>
      </c>
      <c r="E108" s="196">
        <f t="shared" si="25"/>
        <v>309692.41345999995</v>
      </c>
      <c r="F108" s="196">
        <f t="shared" si="25"/>
        <v>387638.34243000002</v>
      </c>
      <c r="G108" s="196">
        <f t="shared" si="25"/>
        <v>481910</v>
      </c>
      <c r="H108" s="196">
        <f t="shared" si="25"/>
        <v>568646</v>
      </c>
      <c r="I108" s="196">
        <f t="shared" si="25"/>
        <v>698617</v>
      </c>
      <c r="J108" s="196">
        <f t="shared" si="25"/>
        <v>803903</v>
      </c>
      <c r="K108" s="196">
        <f t="shared" si="25"/>
        <v>913793.00000000012</v>
      </c>
      <c r="L108" s="196">
        <f t="shared" si="25"/>
        <v>898763</v>
      </c>
      <c r="M108" s="196">
        <f t="shared" si="25"/>
        <v>1090329</v>
      </c>
      <c r="N108" s="196">
        <f t="shared" si="25"/>
        <v>1104976.0000000002</v>
      </c>
      <c r="O108" s="196">
        <f t="shared" si="25"/>
        <v>991195</v>
      </c>
      <c r="P108" s="196">
        <f t="shared" si="25"/>
        <v>1230636.9999999998</v>
      </c>
      <c r="Q108" s="196">
        <f t="shared" si="25"/>
        <v>1327353</v>
      </c>
      <c r="R108" s="196">
        <f>R88+R98+R104</f>
        <v>1476411</v>
      </c>
      <c r="S108" s="196">
        <v>1227264</v>
      </c>
      <c r="T108" s="196">
        <f>T88+T98+T104</f>
        <v>1515713.0000000002</v>
      </c>
      <c r="U108" s="196">
        <f>U88+U98+U104</f>
        <v>1710636</v>
      </c>
      <c r="V108" s="196">
        <f>V88+V98+V104</f>
        <v>1649781</v>
      </c>
      <c r="W108" s="196">
        <v>1440406.9999999998</v>
      </c>
      <c r="X108" s="570"/>
      <c r="Y108" s="570"/>
    </row>
    <row r="109" spans="1:27" s="193" customFormat="1" ht="15">
      <c r="A109" s="207"/>
      <c r="B109" s="207"/>
      <c r="C109" s="200"/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570"/>
      <c r="Y109" s="570"/>
    </row>
    <row r="110" spans="1:27" s="103" customFormat="1" ht="23.25">
      <c r="A110" s="74"/>
      <c r="B110" s="74" t="s">
        <v>105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570"/>
      <c r="Y110" s="570"/>
      <c r="Z110"/>
      <c r="AA110"/>
    </row>
    <row r="111" spans="1:27" s="193" customFormat="1" ht="15">
      <c r="A111" s="207"/>
      <c r="B111" s="207"/>
      <c r="C111" s="207"/>
      <c r="D111" s="207"/>
      <c r="E111" s="207"/>
      <c r="F111" s="206"/>
      <c r="G111" s="206"/>
      <c r="H111" s="195"/>
      <c r="I111" s="195"/>
      <c r="K111" s="206"/>
      <c r="L111" s="195"/>
      <c r="M111" s="195"/>
      <c r="N111" s="195"/>
      <c r="O111" s="206"/>
      <c r="P111" s="195"/>
      <c r="Q111" s="195"/>
      <c r="R111" s="195"/>
      <c r="S111" s="195"/>
      <c r="T111" s="195"/>
      <c r="U111" s="195"/>
      <c r="V111" s="195"/>
      <c r="W111" s="704"/>
      <c r="X111" s="570"/>
      <c r="Y111" s="570"/>
    </row>
    <row r="112" spans="1:27" ht="15">
      <c r="A112" s="677"/>
      <c r="B112" s="677" t="s">
        <v>686</v>
      </c>
      <c r="C112" s="678">
        <v>44256</v>
      </c>
      <c r="D112" s="678">
        <v>44348</v>
      </c>
      <c r="E112" s="678">
        <v>44440</v>
      </c>
      <c r="F112" s="679">
        <v>44531</v>
      </c>
      <c r="G112" s="679">
        <v>44621</v>
      </c>
      <c r="H112" s="679">
        <v>44713</v>
      </c>
      <c r="I112" s="679">
        <v>44805</v>
      </c>
      <c r="J112" s="679">
        <v>44896</v>
      </c>
      <c r="K112" s="679">
        <v>44986</v>
      </c>
      <c r="L112" s="679">
        <v>45078</v>
      </c>
      <c r="M112" s="679">
        <v>45170</v>
      </c>
      <c r="N112" s="679">
        <v>45261</v>
      </c>
      <c r="O112" s="679">
        <v>45352</v>
      </c>
      <c r="P112" s="679">
        <v>45444</v>
      </c>
      <c r="Q112" s="679">
        <v>45536</v>
      </c>
      <c r="R112" s="679">
        <v>45627</v>
      </c>
      <c r="S112" s="679">
        <v>45717</v>
      </c>
      <c r="T112" s="679">
        <v>45809</v>
      </c>
      <c r="U112" s="679">
        <v>45901</v>
      </c>
      <c r="V112" s="680">
        <v>45992</v>
      </c>
      <c r="W112" s="681">
        <v>46082</v>
      </c>
      <c r="X112" s="570"/>
      <c r="Y112" s="570"/>
    </row>
    <row r="113" spans="1:25" ht="15">
      <c r="A113" s="203"/>
      <c r="B113" s="203" t="s">
        <v>669</v>
      </c>
      <c r="C113" s="202">
        <f>SUM(C114:C117)</f>
        <v>74949.463570000007</v>
      </c>
      <c r="D113" s="202">
        <f t="shared" ref="D113:R113" si="26">SUM(D114:D117)</f>
        <v>74197.357909999992</v>
      </c>
      <c r="E113" s="202">
        <f t="shared" si="26"/>
        <v>150127.46580999999</v>
      </c>
      <c r="F113" s="202">
        <f t="shared" si="26"/>
        <v>230283.56495</v>
      </c>
      <c r="G113" s="202">
        <f t="shared" si="26"/>
        <v>292729</v>
      </c>
      <c r="H113" s="202">
        <f t="shared" si="26"/>
        <v>432535</v>
      </c>
      <c r="I113" s="202">
        <f t="shared" si="26"/>
        <v>660799</v>
      </c>
      <c r="J113" s="202">
        <f t="shared" si="26"/>
        <v>760614</v>
      </c>
      <c r="K113" s="202">
        <f t="shared" si="26"/>
        <v>993775</v>
      </c>
      <c r="L113" s="202">
        <f t="shared" si="26"/>
        <v>1176744</v>
      </c>
      <c r="M113" s="202">
        <f t="shared" si="26"/>
        <v>1416813</v>
      </c>
      <c r="N113" s="202">
        <f t="shared" si="26"/>
        <v>1731489</v>
      </c>
      <c r="O113" s="202">
        <f t="shared" si="26"/>
        <v>2013351</v>
      </c>
      <c r="P113" s="202">
        <f t="shared" si="26"/>
        <v>2157282</v>
      </c>
      <c r="Q113" s="202">
        <f t="shared" si="26"/>
        <v>2311467</v>
      </c>
      <c r="R113" s="202">
        <f t="shared" si="26"/>
        <v>2506104</v>
      </c>
      <c r="S113" s="202">
        <v>2796215</v>
      </c>
      <c r="T113" s="202">
        <f>SUM(T114:T117)</f>
        <v>3063531</v>
      </c>
      <c r="U113" s="202">
        <f>SUM(U114:U117)</f>
        <v>3294557</v>
      </c>
      <c r="V113" s="202">
        <f>SUM(V114:V117)</f>
        <v>3584734</v>
      </c>
      <c r="W113" s="579">
        <f>SUM(W114:W117)</f>
        <v>3877263</v>
      </c>
      <c r="X113" s="570"/>
      <c r="Y113" s="570"/>
    </row>
    <row r="114" spans="1:25" ht="15">
      <c r="A114" s="201"/>
      <c r="B114" s="201" t="s">
        <v>670</v>
      </c>
      <c r="C114" s="201">
        <v>0</v>
      </c>
      <c r="D114" s="201">
        <v>0</v>
      </c>
      <c r="E114" s="201">
        <v>0</v>
      </c>
      <c r="F114" s="201">
        <v>0</v>
      </c>
      <c r="G114" s="201">
        <v>0</v>
      </c>
      <c r="H114" s="201">
        <v>0</v>
      </c>
      <c r="I114" s="201">
        <v>0</v>
      </c>
      <c r="J114" s="201">
        <v>0</v>
      </c>
      <c r="K114" s="201">
        <v>0</v>
      </c>
      <c r="L114" s="201">
        <v>0</v>
      </c>
      <c r="M114" s="201">
        <v>0</v>
      </c>
      <c r="N114" s="201">
        <v>0</v>
      </c>
      <c r="O114" s="201">
        <v>0</v>
      </c>
      <c r="P114" s="201">
        <v>0</v>
      </c>
      <c r="Q114" s="201">
        <v>0</v>
      </c>
      <c r="R114" s="201">
        <v>0</v>
      </c>
      <c r="S114" s="201">
        <v>0</v>
      </c>
      <c r="T114" s="201">
        <v>0</v>
      </c>
      <c r="U114" s="201">
        <v>0</v>
      </c>
      <c r="V114" s="201">
        <v>0</v>
      </c>
      <c r="W114" s="201">
        <v>0</v>
      </c>
      <c r="X114" s="570"/>
      <c r="Y114" s="570"/>
    </row>
    <row r="115" spans="1:25" ht="15">
      <c r="A115" s="201"/>
      <c r="B115" s="201" t="s">
        <v>671</v>
      </c>
      <c r="C115" s="201">
        <v>0</v>
      </c>
      <c r="D115" s="201">
        <v>0</v>
      </c>
      <c r="E115" s="201">
        <v>0</v>
      </c>
      <c r="F115" s="201">
        <v>0</v>
      </c>
      <c r="G115" s="201">
        <v>0</v>
      </c>
      <c r="H115" s="201">
        <v>0</v>
      </c>
      <c r="I115" s="201">
        <v>0</v>
      </c>
      <c r="J115" s="201">
        <v>0</v>
      </c>
      <c r="K115" s="201">
        <v>0</v>
      </c>
      <c r="L115" s="201">
        <v>0</v>
      </c>
      <c r="M115" s="201">
        <v>0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570"/>
      <c r="Y115" s="570"/>
    </row>
    <row r="116" spans="1:25" ht="15">
      <c r="A116" s="201"/>
      <c r="B116" s="201" t="s">
        <v>672</v>
      </c>
      <c r="C116" s="201">
        <v>0</v>
      </c>
      <c r="D116" s="201">
        <v>0</v>
      </c>
      <c r="E116" s="201">
        <v>0</v>
      </c>
      <c r="F116" s="201">
        <v>0</v>
      </c>
      <c r="G116" s="201">
        <v>0</v>
      </c>
      <c r="H116" s="201">
        <v>0</v>
      </c>
      <c r="I116" s="201">
        <v>0</v>
      </c>
      <c r="J116" s="201">
        <v>0</v>
      </c>
      <c r="K116" s="201">
        <v>0</v>
      </c>
      <c r="L116" s="201">
        <v>0</v>
      </c>
      <c r="M116" s="201">
        <v>0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570"/>
      <c r="Y116" s="570"/>
    </row>
    <row r="117" spans="1:25" ht="15">
      <c r="A117" s="201"/>
      <c r="B117" s="201" t="s">
        <v>673</v>
      </c>
      <c r="C117" s="201">
        <v>74949.463570000007</v>
      </c>
      <c r="D117" s="201">
        <v>74197.357909999992</v>
      </c>
      <c r="E117" s="201">
        <v>150127.46580999999</v>
      </c>
      <c r="F117" s="201">
        <v>230283.56495</v>
      </c>
      <c r="G117" s="201">
        <v>292729</v>
      </c>
      <c r="H117" s="201">
        <v>432535</v>
      </c>
      <c r="I117" s="201">
        <v>660799</v>
      </c>
      <c r="J117" s="201">
        <v>760614</v>
      </c>
      <c r="K117" s="201">
        <v>993775</v>
      </c>
      <c r="L117" s="201">
        <v>1176744</v>
      </c>
      <c r="M117" s="201">
        <v>1416813</v>
      </c>
      <c r="N117" s="201">
        <v>1731489</v>
      </c>
      <c r="O117" s="201">
        <v>2013351</v>
      </c>
      <c r="P117" s="201">
        <v>2157282</v>
      </c>
      <c r="Q117" s="201">
        <v>2311467</v>
      </c>
      <c r="R117" s="201">
        <v>2506104</v>
      </c>
      <c r="S117" s="201">
        <v>2796215</v>
      </c>
      <c r="T117" s="201">
        <f>SUM(T118:T120)</f>
        <v>3063531</v>
      </c>
      <c r="U117" s="201">
        <v>3294557</v>
      </c>
      <c r="V117" s="201">
        <v>3584734</v>
      </c>
      <c r="W117" s="201">
        <v>3877263</v>
      </c>
      <c r="X117" s="570"/>
      <c r="Y117" s="754"/>
    </row>
    <row r="118" spans="1:25" ht="15">
      <c r="A118" s="201"/>
      <c r="B118" s="201" t="s">
        <v>674</v>
      </c>
      <c r="C118" s="201">
        <v>0</v>
      </c>
      <c r="D118" s="201">
        <v>0</v>
      </c>
      <c r="E118" s="201">
        <v>0</v>
      </c>
      <c r="F118" s="201">
        <v>0</v>
      </c>
      <c r="G118" s="201">
        <v>292729</v>
      </c>
      <c r="H118" s="201">
        <v>432451.38233380002</v>
      </c>
      <c r="I118" s="201">
        <v>660340.18082233996</v>
      </c>
      <c r="J118" s="201">
        <v>753453.51595948229</v>
      </c>
      <c r="K118" s="201">
        <v>993775</v>
      </c>
      <c r="L118" s="201">
        <v>1176673.0541042399</v>
      </c>
      <c r="M118" s="201">
        <v>1010403.8573550091</v>
      </c>
      <c r="N118" s="201">
        <v>1238932.1995024446</v>
      </c>
      <c r="O118" s="201">
        <v>1301859.0379448745</v>
      </c>
      <c r="P118" s="201">
        <v>1370563.1190506483</v>
      </c>
      <c r="Q118" s="201">
        <v>1521355.7978921896</v>
      </c>
      <c r="R118" s="201">
        <v>1591829.5832549972</v>
      </c>
      <c r="S118" s="201">
        <v>1783071.0361626998</v>
      </c>
      <c r="T118" s="201">
        <v>2005282.0519480763</v>
      </c>
      <c r="U118" s="201">
        <v>2258607.7534032813</v>
      </c>
      <c r="V118" s="201">
        <v>1639635.5287979962</v>
      </c>
      <c r="W118" s="201">
        <v>1800092.3108856918</v>
      </c>
      <c r="X118" s="570"/>
      <c r="Y118" s="754"/>
    </row>
    <row r="119" spans="1:25" ht="15">
      <c r="A119" s="201"/>
      <c r="B119" s="201" t="s">
        <v>675</v>
      </c>
      <c r="C119" s="201">
        <v>0</v>
      </c>
      <c r="D119" s="201">
        <v>0</v>
      </c>
      <c r="E119" s="201">
        <v>0</v>
      </c>
      <c r="F119" s="201">
        <v>0</v>
      </c>
      <c r="G119" s="201">
        <v>0</v>
      </c>
      <c r="H119" s="201">
        <v>0</v>
      </c>
      <c r="I119" s="201">
        <v>0</v>
      </c>
      <c r="J119" s="201">
        <v>0</v>
      </c>
      <c r="K119" s="201">
        <v>0</v>
      </c>
      <c r="L119" s="201">
        <v>0</v>
      </c>
      <c r="M119" s="201">
        <v>406409.14264499088</v>
      </c>
      <c r="N119" s="201">
        <v>492556.80049755552</v>
      </c>
      <c r="O119" s="201">
        <v>711491.96205512539</v>
      </c>
      <c r="P119" s="201">
        <v>786718.8809493517</v>
      </c>
      <c r="Q119" s="201">
        <v>790111.20210781053</v>
      </c>
      <c r="R119" s="201">
        <v>914466.65083326923</v>
      </c>
      <c r="S119" s="201">
        <v>1013143.9638373002</v>
      </c>
      <c r="T119" s="201">
        <v>1058248.9480519237</v>
      </c>
      <c r="U119" s="201">
        <v>1035949.2465967187</v>
      </c>
      <c r="V119" s="201">
        <v>1945098.4712020038</v>
      </c>
      <c r="W119" s="201">
        <v>2077170.6891143082</v>
      </c>
      <c r="X119" s="570"/>
      <c r="Y119" s="754"/>
    </row>
    <row r="120" spans="1:25" ht="15">
      <c r="A120" s="201"/>
      <c r="B120" s="201" t="s">
        <v>676</v>
      </c>
      <c r="C120" s="201">
        <v>0</v>
      </c>
      <c r="D120" s="201">
        <v>0</v>
      </c>
      <c r="E120" s="201">
        <v>0</v>
      </c>
      <c r="F120" s="201">
        <v>0</v>
      </c>
      <c r="G120" s="201">
        <v>0</v>
      </c>
      <c r="H120" s="201">
        <v>83.617666199974622</v>
      </c>
      <c r="I120" s="201">
        <v>458.8191776600836</v>
      </c>
      <c r="J120" s="201">
        <v>7160.4840405176838</v>
      </c>
      <c r="K120" s="201">
        <v>0</v>
      </c>
      <c r="L120" s="201">
        <v>70.945895760086955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570"/>
      <c r="Y120" s="570"/>
    </row>
    <row r="121" spans="1:25" ht="15">
      <c r="A121" s="201"/>
      <c r="B121" s="201" t="s">
        <v>677</v>
      </c>
      <c r="C121" s="201">
        <v>0</v>
      </c>
      <c r="D121" s="201">
        <v>0</v>
      </c>
      <c r="E121" s="201">
        <v>0</v>
      </c>
      <c r="F121" s="201">
        <v>0</v>
      </c>
      <c r="G121" s="201">
        <v>0</v>
      </c>
      <c r="H121" s="201">
        <v>0</v>
      </c>
      <c r="I121" s="201">
        <v>0</v>
      </c>
      <c r="J121" s="201">
        <v>0</v>
      </c>
      <c r="K121" s="201">
        <v>0</v>
      </c>
      <c r="L121" s="201">
        <v>0</v>
      </c>
      <c r="M121" s="201">
        <v>0</v>
      </c>
      <c r="N121" s="201">
        <v>0</v>
      </c>
      <c r="O121" s="201">
        <v>0</v>
      </c>
      <c r="P121" s="201">
        <v>0</v>
      </c>
      <c r="Q121" s="201">
        <v>0</v>
      </c>
      <c r="R121" s="201">
        <v>0</v>
      </c>
      <c r="S121" s="201">
        <v>0</v>
      </c>
      <c r="T121" s="201">
        <v>0</v>
      </c>
      <c r="U121" s="201">
        <v>0</v>
      </c>
      <c r="V121" s="201">
        <v>0</v>
      </c>
      <c r="W121" s="201">
        <v>0</v>
      </c>
      <c r="X121" s="570"/>
      <c r="Y121" s="570"/>
    </row>
    <row r="122" spans="1:25" ht="15">
      <c r="A122" s="201"/>
      <c r="B122" s="201" t="s">
        <v>381</v>
      </c>
      <c r="C122" s="201">
        <v>0</v>
      </c>
      <c r="D122" s="201">
        <v>0</v>
      </c>
      <c r="E122" s="201">
        <v>0</v>
      </c>
      <c r="F122" s="201">
        <v>0</v>
      </c>
      <c r="G122" s="201">
        <v>0</v>
      </c>
      <c r="H122" s="201">
        <v>0</v>
      </c>
      <c r="I122" s="201">
        <v>0</v>
      </c>
      <c r="J122" s="201">
        <v>0</v>
      </c>
      <c r="K122" s="201">
        <v>0</v>
      </c>
      <c r="L122" s="201">
        <v>0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570"/>
      <c r="Y122" s="570"/>
    </row>
    <row r="123" spans="1:25" ht="15">
      <c r="A123" s="203"/>
      <c r="B123" s="203" t="s">
        <v>678</v>
      </c>
      <c r="C123" s="203">
        <v>0</v>
      </c>
      <c r="D123" s="203">
        <v>0</v>
      </c>
      <c r="E123" s="203">
        <v>0</v>
      </c>
      <c r="F123" s="203">
        <v>0</v>
      </c>
      <c r="G123" s="203">
        <v>0</v>
      </c>
      <c r="H123" s="203">
        <v>0</v>
      </c>
      <c r="I123" s="203">
        <v>0</v>
      </c>
      <c r="J123" s="203">
        <v>0</v>
      </c>
      <c r="K123" s="203">
        <v>0</v>
      </c>
      <c r="L123" s="203">
        <v>0</v>
      </c>
      <c r="M123" s="203">
        <v>0</v>
      </c>
      <c r="N123" s="203">
        <v>0</v>
      </c>
      <c r="O123" s="203">
        <v>0</v>
      </c>
      <c r="P123" s="203">
        <v>0</v>
      </c>
      <c r="Q123" s="203">
        <v>0</v>
      </c>
      <c r="R123" s="203">
        <v>0</v>
      </c>
      <c r="S123" s="203">
        <v>0</v>
      </c>
      <c r="T123" s="203">
        <v>0</v>
      </c>
      <c r="U123" s="203">
        <v>0</v>
      </c>
      <c r="V123" s="578">
        <v>0</v>
      </c>
      <c r="W123" s="578">
        <v>0</v>
      </c>
      <c r="X123" s="570"/>
      <c r="Y123" s="570"/>
    </row>
    <row r="124" spans="1:25" ht="15">
      <c r="A124" s="201"/>
      <c r="B124" s="201" t="s">
        <v>670</v>
      </c>
      <c r="C124" s="201">
        <v>0</v>
      </c>
      <c r="D124" s="201">
        <v>0</v>
      </c>
      <c r="E124" s="201">
        <v>0</v>
      </c>
      <c r="F124" s="201">
        <v>0</v>
      </c>
      <c r="G124" s="201">
        <v>0</v>
      </c>
      <c r="H124" s="201">
        <v>0</v>
      </c>
      <c r="I124" s="201">
        <v>0</v>
      </c>
      <c r="J124" s="201">
        <v>0</v>
      </c>
      <c r="K124" s="201">
        <v>0</v>
      </c>
      <c r="L124" s="201">
        <v>0</v>
      </c>
      <c r="M124" s="201">
        <v>0</v>
      </c>
      <c r="N124" s="201">
        <v>0</v>
      </c>
      <c r="O124" s="201">
        <v>0</v>
      </c>
      <c r="P124" s="201">
        <v>0</v>
      </c>
      <c r="Q124" s="201">
        <v>0</v>
      </c>
      <c r="R124" s="201">
        <v>0</v>
      </c>
      <c r="S124" s="201">
        <v>0</v>
      </c>
      <c r="T124" s="201">
        <v>0</v>
      </c>
      <c r="U124" s="201">
        <v>0</v>
      </c>
      <c r="V124" s="201">
        <v>0</v>
      </c>
      <c r="W124" s="201">
        <v>0</v>
      </c>
      <c r="X124" s="570"/>
      <c r="Y124" s="570"/>
    </row>
    <row r="125" spans="1:25" ht="15">
      <c r="A125" s="201"/>
      <c r="B125" s="201" t="s">
        <v>671</v>
      </c>
      <c r="C125" s="201">
        <v>0</v>
      </c>
      <c r="D125" s="201">
        <v>0</v>
      </c>
      <c r="E125" s="201">
        <v>0</v>
      </c>
      <c r="F125" s="201">
        <v>0</v>
      </c>
      <c r="G125" s="201">
        <v>0</v>
      </c>
      <c r="H125" s="201">
        <v>0</v>
      </c>
      <c r="I125" s="201">
        <v>0</v>
      </c>
      <c r="J125" s="201">
        <v>0</v>
      </c>
      <c r="K125" s="201">
        <v>0</v>
      </c>
      <c r="L125" s="201">
        <v>0</v>
      </c>
      <c r="M125" s="201">
        <v>0</v>
      </c>
      <c r="N125" s="201">
        <v>0</v>
      </c>
      <c r="O125" s="201">
        <v>0</v>
      </c>
      <c r="P125" s="201">
        <v>0</v>
      </c>
      <c r="Q125" s="201">
        <v>0</v>
      </c>
      <c r="R125" s="201">
        <v>0</v>
      </c>
      <c r="S125" s="201">
        <v>0</v>
      </c>
      <c r="T125" s="201">
        <v>0</v>
      </c>
      <c r="U125" s="201">
        <v>0</v>
      </c>
      <c r="V125" s="201">
        <v>0</v>
      </c>
      <c r="W125" s="201">
        <v>0</v>
      </c>
      <c r="X125" s="570"/>
      <c r="Y125" s="570"/>
    </row>
    <row r="126" spans="1:25" ht="15">
      <c r="A126" s="201"/>
      <c r="B126" s="201" t="s">
        <v>672</v>
      </c>
      <c r="C126" s="201">
        <v>0</v>
      </c>
      <c r="D126" s="201">
        <v>0</v>
      </c>
      <c r="E126" s="201">
        <v>0</v>
      </c>
      <c r="F126" s="201">
        <v>0</v>
      </c>
      <c r="G126" s="201">
        <v>0</v>
      </c>
      <c r="H126" s="201">
        <v>0</v>
      </c>
      <c r="I126" s="201">
        <v>0</v>
      </c>
      <c r="J126" s="201">
        <v>0</v>
      </c>
      <c r="K126" s="201">
        <v>0</v>
      </c>
      <c r="L126" s="201">
        <v>0</v>
      </c>
      <c r="M126" s="201">
        <v>0</v>
      </c>
      <c r="N126" s="201">
        <v>0</v>
      </c>
      <c r="O126" s="201">
        <v>0</v>
      </c>
      <c r="P126" s="201">
        <v>0</v>
      </c>
      <c r="Q126" s="201">
        <v>0</v>
      </c>
      <c r="R126" s="201">
        <v>0</v>
      </c>
      <c r="S126" s="201">
        <v>0</v>
      </c>
      <c r="T126" s="201">
        <v>0</v>
      </c>
      <c r="U126" s="201">
        <v>0</v>
      </c>
      <c r="V126" s="201">
        <v>0</v>
      </c>
      <c r="W126" s="201">
        <v>0</v>
      </c>
      <c r="X126" s="570"/>
      <c r="Y126" s="570"/>
    </row>
    <row r="127" spans="1:25" ht="15">
      <c r="A127" s="201"/>
      <c r="B127" s="201" t="s">
        <v>677</v>
      </c>
      <c r="C127" s="201">
        <v>0</v>
      </c>
      <c r="D127" s="201">
        <v>0</v>
      </c>
      <c r="E127" s="201">
        <v>0</v>
      </c>
      <c r="F127" s="201">
        <v>0</v>
      </c>
      <c r="G127" s="201">
        <v>0</v>
      </c>
      <c r="H127" s="201">
        <v>0</v>
      </c>
      <c r="I127" s="201">
        <v>0</v>
      </c>
      <c r="J127" s="201">
        <v>0</v>
      </c>
      <c r="K127" s="201">
        <v>0</v>
      </c>
      <c r="L127" s="201">
        <v>0</v>
      </c>
      <c r="M127" s="201">
        <v>0</v>
      </c>
      <c r="N127" s="201">
        <v>0</v>
      </c>
      <c r="O127" s="201">
        <v>0</v>
      </c>
      <c r="P127" s="201">
        <v>0</v>
      </c>
      <c r="Q127" s="201">
        <v>0</v>
      </c>
      <c r="R127" s="201">
        <v>0</v>
      </c>
      <c r="S127" s="201">
        <v>0</v>
      </c>
      <c r="T127" s="201">
        <v>0</v>
      </c>
      <c r="U127" s="201">
        <v>0</v>
      </c>
      <c r="V127" s="201">
        <v>0</v>
      </c>
      <c r="W127" s="201">
        <v>0</v>
      </c>
      <c r="X127" s="570"/>
      <c r="Y127" s="570"/>
    </row>
    <row r="128" spans="1:25" ht="15">
      <c r="A128" s="201"/>
      <c r="B128" s="201" t="s">
        <v>381</v>
      </c>
      <c r="C128" s="201">
        <v>0</v>
      </c>
      <c r="D128" s="201">
        <v>0</v>
      </c>
      <c r="E128" s="201">
        <v>0</v>
      </c>
      <c r="F128" s="201">
        <v>0</v>
      </c>
      <c r="G128" s="201">
        <v>0</v>
      </c>
      <c r="H128" s="201">
        <v>0</v>
      </c>
      <c r="I128" s="201">
        <v>0</v>
      </c>
      <c r="J128" s="201">
        <v>0</v>
      </c>
      <c r="K128" s="201">
        <v>0</v>
      </c>
      <c r="L128" s="201">
        <v>0</v>
      </c>
      <c r="M128" s="201">
        <v>0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570"/>
      <c r="Y128" s="570"/>
    </row>
    <row r="129" spans="1:27" ht="15">
      <c r="A129" s="203"/>
      <c r="B129" s="203" t="s">
        <v>679</v>
      </c>
      <c r="C129" s="203">
        <v>0</v>
      </c>
      <c r="D129" s="203">
        <v>0</v>
      </c>
      <c r="E129" s="203">
        <v>0</v>
      </c>
      <c r="F129" s="203">
        <v>0</v>
      </c>
      <c r="G129" s="203">
        <v>0</v>
      </c>
      <c r="H129" s="203">
        <v>0</v>
      </c>
      <c r="I129" s="203">
        <v>0</v>
      </c>
      <c r="J129" s="203">
        <v>0</v>
      </c>
      <c r="K129" s="203">
        <v>0</v>
      </c>
      <c r="L129" s="203">
        <v>0</v>
      </c>
      <c r="M129" s="203">
        <v>0</v>
      </c>
      <c r="N129" s="203">
        <v>0</v>
      </c>
      <c r="O129" s="203">
        <v>0</v>
      </c>
      <c r="P129" s="203">
        <v>0</v>
      </c>
      <c r="Q129" s="203">
        <v>0</v>
      </c>
      <c r="R129" s="203">
        <v>0</v>
      </c>
      <c r="S129" s="203">
        <v>0</v>
      </c>
      <c r="T129" s="203">
        <v>0</v>
      </c>
      <c r="U129" s="203">
        <v>0</v>
      </c>
      <c r="V129" s="578">
        <v>0</v>
      </c>
      <c r="W129" s="578">
        <v>0</v>
      </c>
      <c r="X129" s="570"/>
      <c r="Y129" s="570"/>
    </row>
    <row r="130" spans="1:27" ht="15">
      <c r="A130" s="201"/>
      <c r="B130" s="201" t="s">
        <v>670</v>
      </c>
      <c r="C130" s="201">
        <v>0</v>
      </c>
      <c r="D130" s="201">
        <v>0</v>
      </c>
      <c r="E130" s="201">
        <v>0</v>
      </c>
      <c r="F130" s="201">
        <v>0</v>
      </c>
      <c r="G130" s="201">
        <v>0</v>
      </c>
      <c r="H130" s="201">
        <v>0</v>
      </c>
      <c r="I130" s="201">
        <v>0</v>
      </c>
      <c r="J130" s="201">
        <v>0</v>
      </c>
      <c r="K130" s="201">
        <v>0</v>
      </c>
      <c r="L130" s="201">
        <v>0</v>
      </c>
      <c r="M130" s="201">
        <v>0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570"/>
      <c r="Y130" s="570"/>
    </row>
    <row r="131" spans="1:27" ht="15">
      <c r="A131" s="201"/>
      <c r="B131" s="201" t="s">
        <v>671</v>
      </c>
      <c r="C131" s="201">
        <v>0</v>
      </c>
      <c r="D131" s="201">
        <v>0</v>
      </c>
      <c r="E131" s="201">
        <v>0</v>
      </c>
      <c r="F131" s="201">
        <v>0</v>
      </c>
      <c r="G131" s="201">
        <v>0</v>
      </c>
      <c r="H131" s="201">
        <v>0</v>
      </c>
      <c r="I131" s="201">
        <v>0</v>
      </c>
      <c r="J131" s="201">
        <v>0</v>
      </c>
      <c r="K131" s="201">
        <v>0</v>
      </c>
      <c r="L131" s="201">
        <v>0</v>
      </c>
      <c r="M131" s="201">
        <v>0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570"/>
      <c r="Y131" s="570"/>
    </row>
    <row r="132" spans="1:27" ht="15">
      <c r="A132" s="201"/>
      <c r="B132" s="199" t="s">
        <v>672</v>
      </c>
      <c r="C132" s="199">
        <v>0</v>
      </c>
      <c r="D132" s="199">
        <v>0</v>
      </c>
      <c r="E132" s="199">
        <v>0</v>
      </c>
      <c r="F132" s="199">
        <v>0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570"/>
      <c r="Y132" s="570"/>
    </row>
    <row r="133" spans="1:27" ht="15">
      <c r="A133" s="197"/>
      <c r="B133" s="197" t="s">
        <v>680</v>
      </c>
      <c r="C133" s="197">
        <f t="shared" ref="C133:Q133" si="27">C129+C123+C113</f>
        <v>74949.463570000007</v>
      </c>
      <c r="D133" s="197">
        <f t="shared" si="27"/>
        <v>74197.357909999992</v>
      </c>
      <c r="E133" s="197">
        <f t="shared" si="27"/>
        <v>150127.46580999999</v>
      </c>
      <c r="F133" s="197">
        <f t="shared" si="27"/>
        <v>230283.56495</v>
      </c>
      <c r="G133" s="197">
        <f t="shared" si="27"/>
        <v>292729</v>
      </c>
      <c r="H133" s="197">
        <f t="shared" si="27"/>
        <v>432535</v>
      </c>
      <c r="I133" s="197">
        <f t="shared" si="27"/>
        <v>660799</v>
      </c>
      <c r="J133" s="197">
        <f t="shared" si="27"/>
        <v>760614</v>
      </c>
      <c r="K133" s="197">
        <f t="shared" si="27"/>
        <v>993775</v>
      </c>
      <c r="L133" s="197">
        <f t="shared" si="27"/>
        <v>1176744</v>
      </c>
      <c r="M133" s="197">
        <f t="shared" si="27"/>
        <v>1416813</v>
      </c>
      <c r="N133" s="197">
        <f t="shared" si="27"/>
        <v>1731489</v>
      </c>
      <c r="O133" s="197">
        <f t="shared" si="27"/>
        <v>2013351</v>
      </c>
      <c r="P133" s="197">
        <f t="shared" si="27"/>
        <v>2157282</v>
      </c>
      <c r="Q133" s="197">
        <f t="shared" si="27"/>
        <v>2311467</v>
      </c>
      <c r="R133" s="197">
        <f>R129+R123+R113</f>
        <v>2506104</v>
      </c>
      <c r="S133" s="197">
        <v>2796215</v>
      </c>
      <c r="T133" s="197">
        <f>T113+T123+T129</f>
        <v>3063531</v>
      </c>
      <c r="U133" s="197">
        <f>U113+U123+U129</f>
        <v>3294557</v>
      </c>
      <c r="V133" s="197">
        <f>V113+V123+V129</f>
        <v>3584734</v>
      </c>
      <c r="W133" s="197">
        <v>3877263</v>
      </c>
      <c r="X133" s="570"/>
      <c r="Y133" s="570"/>
    </row>
    <row r="134" spans="1:27">
      <c r="C134" s="600"/>
      <c r="D134" s="600"/>
      <c r="E134" s="600"/>
      <c r="F134" s="600"/>
      <c r="G134" s="600"/>
      <c r="H134" s="600"/>
      <c r="I134" s="600"/>
      <c r="J134" s="600"/>
      <c r="K134" s="600"/>
      <c r="L134" s="600"/>
      <c r="M134" s="600"/>
      <c r="N134" s="600"/>
      <c r="O134" s="600"/>
      <c r="P134" s="600"/>
      <c r="Q134" s="600"/>
      <c r="R134" s="600"/>
      <c r="S134" s="600"/>
      <c r="T134" s="600"/>
      <c r="U134" s="600"/>
      <c r="V134" s="600"/>
      <c r="W134" s="570"/>
      <c r="X134" s="570"/>
      <c r="Y134" s="570"/>
    </row>
    <row r="135" spans="1:27" s="103" customFormat="1" ht="23.25">
      <c r="A135" s="74"/>
      <c r="B135" s="74" t="s">
        <v>126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570"/>
      <c r="Y135" s="570"/>
      <c r="Z135" s="227"/>
      <c r="AA135" s="227"/>
    </row>
    <row r="136" spans="1:27">
      <c r="H136" s="193"/>
      <c r="I136" s="193"/>
      <c r="L136" s="193"/>
      <c r="M136" s="193"/>
      <c r="P136" s="193"/>
      <c r="Q136" s="193"/>
      <c r="R136" s="193"/>
      <c r="S136" s="193"/>
      <c r="T136" s="193"/>
      <c r="U136" s="193"/>
      <c r="W136" s="192"/>
      <c r="X136" s="570"/>
      <c r="Y136" s="570"/>
    </row>
    <row r="137" spans="1:27" ht="15">
      <c r="A137" s="677"/>
      <c r="B137" s="677" t="s">
        <v>687</v>
      </c>
      <c r="C137" s="678">
        <v>44256</v>
      </c>
      <c r="D137" s="678">
        <v>44348</v>
      </c>
      <c r="E137" s="678">
        <v>44440</v>
      </c>
      <c r="F137" s="679">
        <v>44531</v>
      </c>
      <c r="G137" s="679">
        <v>44621</v>
      </c>
      <c r="H137" s="679">
        <v>44713</v>
      </c>
      <c r="I137" s="679">
        <v>44805</v>
      </c>
      <c r="J137" s="679">
        <v>44896</v>
      </c>
      <c r="K137" s="679">
        <v>44986</v>
      </c>
      <c r="L137" s="679">
        <v>45078</v>
      </c>
      <c r="M137" s="679">
        <v>45170</v>
      </c>
      <c r="N137" s="679">
        <v>45261</v>
      </c>
      <c r="O137" s="679">
        <v>45352</v>
      </c>
      <c r="P137" s="679">
        <v>45444</v>
      </c>
      <c r="Q137" s="679">
        <v>45536</v>
      </c>
      <c r="R137" s="679">
        <v>45627</v>
      </c>
      <c r="S137" s="679">
        <v>45717</v>
      </c>
      <c r="T137" s="679">
        <v>45809</v>
      </c>
      <c r="U137" s="679">
        <v>45901</v>
      </c>
      <c r="V137" s="680">
        <v>45992</v>
      </c>
      <c r="W137" s="681">
        <v>46082</v>
      </c>
      <c r="X137" s="570"/>
      <c r="Y137" s="570"/>
    </row>
    <row r="138" spans="1:27" ht="15">
      <c r="A138" s="203"/>
      <c r="B138" s="203" t="s">
        <v>669</v>
      </c>
      <c r="C138" s="205">
        <f>SUM(C139:C142)</f>
        <v>126866.49096</v>
      </c>
      <c r="D138" s="205">
        <f t="shared" ref="D138:R138" si="28">SUM(D139:D142)</f>
        <v>127371.05137999999</v>
      </c>
      <c r="E138" s="205">
        <f t="shared" si="28"/>
        <v>85425.502189999999</v>
      </c>
      <c r="F138" s="205">
        <f t="shared" si="28"/>
        <v>80704.780500000008</v>
      </c>
      <c r="G138" s="205">
        <f t="shared" si="28"/>
        <v>67519.759859999991</v>
      </c>
      <c r="H138" s="205">
        <f t="shared" si="28"/>
        <v>42041.199249999998</v>
      </c>
      <c r="I138" s="205">
        <f t="shared" si="28"/>
        <v>31132.38061</v>
      </c>
      <c r="J138" s="205">
        <f t="shared" si="28"/>
        <v>73323.597370000003</v>
      </c>
      <c r="K138" s="205">
        <f t="shared" si="28"/>
        <v>49125.862040000015</v>
      </c>
      <c r="L138" s="205">
        <f t="shared" si="28"/>
        <v>75395.030459999994</v>
      </c>
      <c r="M138" s="205">
        <f t="shared" si="28"/>
        <v>135723</v>
      </c>
      <c r="N138" s="205">
        <f t="shared" si="28"/>
        <v>207557</v>
      </c>
      <c r="O138" s="205">
        <f t="shared" si="28"/>
        <v>233956</v>
      </c>
      <c r="P138" s="205">
        <f t="shared" si="28"/>
        <v>229631</v>
      </c>
      <c r="Q138" s="205">
        <f t="shared" si="28"/>
        <v>295199</v>
      </c>
      <c r="R138" s="205">
        <f t="shared" si="28"/>
        <v>278831</v>
      </c>
      <c r="S138" s="205">
        <v>301205</v>
      </c>
      <c r="T138" s="205">
        <f>SUM(T139:T142)</f>
        <v>324019</v>
      </c>
      <c r="U138" s="205">
        <f>SUM(U139:U142)</f>
        <v>361986</v>
      </c>
      <c r="V138" s="205">
        <f>SUM(V139:V142)</f>
        <v>333974</v>
      </c>
      <c r="W138" s="702">
        <f>SUM(W139:W142)</f>
        <v>358473</v>
      </c>
      <c r="X138" s="570"/>
      <c r="Y138" s="570"/>
    </row>
    <row r="139" spans="1:27" ht="15">
      <c r="A139" s="201"/>
      <c r="B139" s="201" t="s">
        <v>670</v>
      </c>
      <c r="C139" s="201">
        <v>0</v>
      </c>
      <c r="D139" s="201">
        <v>0</v>
      </c>
      <c r="E139" s="201">
        <v>0</v>
      </c>
      <c r="F139" s="201">
        <v>0</v>
      </c>
      <c r="G139" s="201">
        <v>0</v>
      </c>
      <c r="H139" s="201">
        <v>0</v>
      </c>
      <c r="I139" s="201">
        <v>0</v>
      </c>
      <c r="J139" s="201">
        <v>0</v>
      </c>
      <c r="K139" s="201">
        <v>0</v>
      </c>
      <c r="L139" s="201">
        <v>0</v>
      </c>
      <c r="M139" s="201">
        <v>0</v>
      </c>
      <c r="N139" s="201">
        <v>0</v>
      </c>
      <c r="O139" s="201">
        <v>0</v>
      </c>
      <c r="P139" s="201">
        <v>0</v>
      </c>
      <c r="Q139" s="201">
        <v>0</v>
      </c>
      <c r="R139" s="201">
        <v>0</v>
      </c>
      <c r="S139" s="201">
        <v>0</v>
      </c>
      <c r="T139" s="201"/>
      <c r="U139" s="201">
        <v>0</v>
      </c>
      <c r="V139" s="201">
        <v>0</v>
      </c>
      <c r="W139" s="201">
        <v>0</v>
      </c>
      <c r="X139" s="570"/>
      <c r="Y139" s="570"/>
    </row>
    <row r="140" spans="1:27" ht="15">
      <c r="A140" s="201"/>
      <c r="B140" s="201" t="s">
        <v>671</v>
      </c>
      <c r="C140" s="201">
        <v>0</v>
      </c>
      <c r="D140" s="201">
        <v>0</v>
      </c>
      <c r="E140" s="201">
        <v>0</v>
      </c>
      <c r="F140" s="201">
        <v>0</v>
      </c>
      <c r="G140" s="201">
        <v>0</v>
      </c>
      <c r="H140" s="201">
        <v>0</v>
      </c>
      <c r="I140" s="201">
        <v>0</v>
      </c>
      <c r="J140" s="201">
        <v>0</v>
      </c>
      <c r="K140" s="201">
        <v>0</v>
      </c>
      <c r="L140" s="201">
        <v>0</v>
      </c>
      <c r="M140" s="201">
        <v>0</v>
      </c>
      <c r="N140" s="201">
        <v>0</v>
      </c>
      <c r="O140" s="201">
        <v>0</v>
      </c>
      <c r="P140" s="201">
        <v>0</v>
      </c>
      <c r="Q140" s="201">
        <v>0</v>
      </c>
      <c r="R140" s="201">
        <v>0</v>
      </c>
      <c r="S140" s="201">
        <v>0</v>
      </c>
      <c r="T140" s="201"/>
      <c r="U140" s="201">
        <v>0</v>
      </c>
      <c r="V140" s="201">
        <v>0</v>
      </c>
      <c r="W140" s="201">
        <v>0</v>
      </c>
      <c r="X140" s="570"/>
      <c r="Y140" s="570"/>
    </row>
    <row r="141" spans="1:27" ht="15">
      <c r="A141" s="201"/>
      <c r="B141" s="201" t="s">
        <v>672</v>
      </c>
      <c r="C141" s="201">
        <v>0</v>
      </c>
      <c r="D141" s="201">
        <v>0</v>
      </c>
      <c r="E141" s="201">
        <v>0</v>
      </c>
      <c r="F141" s="201">
        <v>0</v>
      </c>
      <c r="G141" s="201">
        <v>0</v>
      </c>
      <c r="H141" s="201">
        <v>0</v>
      </c>
      <c r="I141" s="201">
        <v>0</v>
      </c>
      <c r="J141" s="201">
        <v>0</v>
      </c>
      <c r="K141" s="201">
        <v>0</v>
      </c>
      <c r="L141" s="201">
        <v>0</v>
      </c>
      <c r="M141" s="201">
        <v>0</v>
      </c>
      <c r="N141" s="201">
        <v>0</v>
      </c>
      <c r="O141" s="201">
        <v>0</v>
      </c>
      <c r="P141" s="201">
        <v>0</v>
      </c>
      <c r="Q141" s="201">
        <v>0</v>
      </c>
      <c r="R141" s="201">
        <v>0</v>
      </c>
      <c r="S141" s="201">
        <v>0</v>
      </c>
      <c r="T141" s="201"/>
      <c r="U141" s="201">
        <v>0</v>
      </c>
      <c r="V141" s="201">
        <v>0</v>
      </c>
      <c r="W141" s="201">
        <v>0</v>
      </c>
      <c r="X141" s="570"/>
      <c r="Y141" s="570"/>
    </row>
    <row r="142" spans="1:27" ht="15">
      <c r="A142" s="201"/>
      <c r="B142" s="201" t="s">
        <v>673</v>
      </c>
      <c r="C142" s="201">
        <v>126866.49096</v>
      </c>
      <c r="D142" s="201">
        <v>127371.05137999999</v>
      </c>
      <c r="E142" s="380">
        <v>85425.502189999999</v>
      </c>
      <c r="F142" s="380">
        <v>80704.780500000008</v>
      </c>
      <c r="G142" s="380">
        <v>67519.759859999991</v>
      </c>
      <c r="H142" s="380">
        <v>42041.199249999998</v>
      </c>
      <c r="I142" s="380">
        <v>31132.38061</v>
      </c>
      <c r="J142" s="380">
        <v>73323.597370000003</v>
      </c>
      <c r="K142" s="380">
        <v>49125.862040000015</v>
      </c>
      <c r="L142" s="380">
        <v>75395.030459999994</v>
      </c>
      <c r="M142" s="380">
        <v>135723</v>
      </c>
      <c r="N142" s="380">
        <v>207557</v>
      </c>
      <c r="O142" s="380">
        <v>233956</v>
      </c>
      <c r="P142" s="380">
        <v>229631</v>
      </c>
      <c r="Q142" s="380">
        <v>295199</v>
      </c>
      <c r="R142" s="380">
        <v>278831</v>
      </c>
      <c r="S142" s="380">
        <v>301205</v>
      </c>
      <c r="T142" s="380">
        <f>SUM(T143:T145)</f>
        <v>324019</v>
      </c>
      <c r="U142" s="380">
        <v>361986</v>
      </c>
      <c r="V142" s="580">
        <v>333974</v>
      </c>
      <c r="W142" s="580">
        <v>358473</v>
      </c>
      <c r="X142" s="570"/>
      <c r="Y142" s="570"/>
    </row>
    <row r="143" spans="1:27" ht="15">
      <c r="A143" s="201"/>
      <c r="B143" s="201" t="s">
        <v>674</v>
      </c>
      <c r="C143" s="201">
        <v>0</v>
      </c>
      <c r="D143" s="201">
        <v>0</v>
      </c>
      <c r="E143" s="201">
        <v>0</v>
      </c>
      <c r="F143" s="201">
        <v>0</v>
      </c>
      <c r="G143" s="380">
        <v>67519.759859999991</v>
      </c>
      <c r="H143" s="380">
        <v>42033.071845360988</v>
      </c>
      <c r="I143" s="380">
        <v>31110.764152847249</v>
      </c>
      <c r="J143" s="380">
        <v>72633.322869713098</v>
      </c>
      <c r="K143" s="380">
        <v>49125.862040000015</v>
      </c>
      <c r="L143" s="380">
        <v>75390.484893613553</v>
      </c>
      <c r="M143" s="380">
        <v>135723</v>
      </c>
      <c r="N143" s="380">
        <v>207557</v>
      </c>
      <c r="O143" s="380">
        <v>233956</v>
      </c>
      <c r="P143" s="380">
        <v>229631</v>
      </c>
      <c r="Q143" s="380">
        <v>295199</v>
      </c>
      <c r="R143" s="380">
        <v>278831</v>
      </c>
      <c r="S143" s="380">
        <v>301205</v>
      </c>
      <c r="T143" s="380">
        <v>324019</v>
      </c>
      <c r="U143" s="380">
        <v>361986</v>
      </c>
      <c r="V143" s="580">
        <v>333974</v>
      </c>
      <c r="W143" s="580">
        <v>358473</v>
      </c>
      <c r="X143" s="570"/>
      <c r="Y143" s="570"/>
    </row>
    <row r="144" spans="1:27" ht="15">
      <c r="A144" s="201"/>
      <c r="B144" s="201" t="s">
        <v>675</v>
      </c>
      <c r="C144" s="201">
        <v>0</v>
      </c>
      <c r="D144" s="201">
        <v>0</v>
      </c>
      <c r="E144" s="201">
        <v>0</v>
      </c>
      <c r="F144" s="201">
        <v>0</v>
      </c>
      <c r="G144" s="380">
        <v>0</v>
      </c>
      <c r="H144" s="380">
        <v>0</v>
      </c>
      <c r="I144" s="380">
        <v>0</v>
      </c>
      <c r="J144" s="380">
        <v>0</v>
      </c>
      <c r="K144" s="380">
        <v>0</v>
      </c>
      <c r="L144" s="380">
        <v>0</v>
      </c>
      <c r="M144" s="380">
        <v>0</v>
      </c>
      <c r="N144" s="380">
        <v>0</v>
      </c>
      <c r="O144" s="380">
        <v>0</v>
      </c>
      <c r="P144" s="380">
        <v>0</v>
      </c>
      <c r="Q144" s="380">
        <v>0</v>
      </c>
      <c r="R144" s="380">
        <v>0</v>
      </c>
      <c r="S144" s="380">
        <v>11.19455106660471</v>
      </c>
      <c r="T144" s="380">
        <v>0</v>
      </c>
      <c r="U144" s="380">
        <v>0</v>
      </c>
      <c r="V144" s="580">
        <v>0</v>
      </c>
      <c r="W144" s="580">
        <v>0</v>
      </c>
      <c r="X144" s="570"/>
      <c r="Y144" s="570"/>
    </row>
    <row r="145" spans="1:27" ht="15">
      <c r="A145" s="201"/>
      <c r="B145" s="201" t="s">
        <v>676</v>
      </c>
      <c r="C145" s="201">
        <v>0</v>
      </c>
      <c r="D145" s="201">
        <v>0</v>
      </c>
      <c r="E145" s="201">
        <v>0</v>
      </c>
      <c r="F145" s="201">
        <v>0</v>
      </c>
      <c r="G145" s="380">
        <v>0</v>
      </c>
      <c r="H145" s="380">
        <v>8.1274046390075316</v>
      </c>
      <c r="I145" s="380">
        <v>21.616457152751337</v>
      </c>
      <c r="J145" s="380">
        <v>690.27450028691214</v>
      </c>
      <c r="K145" s="380">
        <v>0</v>
      </c>
      <c r="L145" s="380">
        <v>4.5455663864389706</v>
      </c>
      <c r="M145" s="380">
        <v>0</v>
      </c>
      <c r="N145" s="380">
        <v>0</v>
      </c>
      <c r="O145" s="380">
        <v>0</v>
      </c>
      <c r="P145" s="380">
        <v>0</v>
      </c>
      <c r="Q145" s="380">
        <v>0</v>
      </c>
      <c r="R145" s="380">
        <v>0</v>
      </c>
      <c r="S145" s="380">
        <v>0</v>
      </c>
      <c r="T145" s="380">
        <v>0</v>
      </c>
      <c r="U145" s="380">
        <v>0</v>
      </c>
      <c r="V145" s="580">
        <v>0</v>
      </c>
      <c r="W145" s="580">
        <v>0</v>
      </c>
      <c r="X145" s="570"/>
      <c r="Y145" s="570"/>
    </row>
    <row r="146" spans="1:27" ht="15">
      <c r="A146" s="201"/>
      <c r="B146" s="201" t="s">
        <v>677</v>
      </c>
      <c r="C146" s="201">
        <v>0</v>
      </c>
      <c r="D146" s="201">
        <v>0</v>
      </c>
      <c r="E146" s="201">
        <v>0</v>
      </c>
      <c r="F146" s="201">
        <v>0</v>
      </c>
      <c r="G146" s="380">
        <v>0</v>
      </c>
      <c r="H146" s="380">
        <v>0</v>
      </c>
      <c r="I146" s="380">
        <v>0</v>
      </c>
      <c r="J146" s="380">
        <v>0</v>
      </c>
      <c r="K146" s="380">
        <v>0</v>
      </c>
      <c r="L146" s="380">
        <v>0</v>
      </c>
      <c r="M146" s="380">
        <v>0</v>
      </c>
      <c r="N146" s="380">
        <v>0</v>
      </c>
      <c r="O146" s="380">
        <v>0</v>
      </c>
      <c r="P146" s="380">
        <v>0</v>
      </c>
      <c r="Q146" s="380">
        <v>0</v>
      </c>
      <c r="R146" s="380">
        <v>0</v>
      </c>
      <c r="S146" s="380">
        <v>0</v>
      </c>
      <c r="T146" s="380">
        <v>0</v>
      </c>
      <c r="U146" s="380">
        <v>0</v>
      </c>
      <c r="V146" s="580">
        <v>0</v>
      </c>
      <c r="W146" s="580">
        <v>0</v>
      </c>
      <c r="X146" s="570"/>
      <c r="Y146" s="570"/>
    </row>
    <row r="147" spans="1:27" ht="15">
      <c r="A147" s="201"/>
      <c r="B147" s="201" t="s">
        <v>381</v>
      </c>
      <c r="C147" s="201">
        <v>0</v>
      </c>
      <c r="D147" s="201">
        <v>0</v>
      </c>
      <c r="E147" s="201">
        <v>0</v>
      </c>
      <c r="F147" s="201">
        <v>0</v>
      </c>
      <c r="G147" s="201">
        <v>0</v>
      </c>
      <c r="H147" s="201">
        <v>0</v>
      </c>
      <c r="I147" s="201">
        <v>0</v>
      </c>
      <c r="J147" s="201">
        <v>0</v>
      </c>
      <c r="K147" s="201">
        <v>0</v>
      </c>
      <c r="L147" s="201">
        <v>0</v>
      </c>
      <c r="M147" s="201">
        <v>0</v>
      </c>
      <c r="N147" s="201">
        <v>0</v>
      </c>
      <c r="O147" s="201">
        <v>0</v>
      </c>
      <c r="P147" s="201">
        <v>0</v>
      </c>
      <c r="Q147" s="201">
        <v>0</v>
      </c>
      <c r="R147" s="201">
        <v>0</v>
      </c>
      <c r="S147" s="201">
        <v>0</v>
      </c>
      <c r="T147" s="201">
        <v>0</v>
      </c>
      <c r="U147" s="201">
        <v>0</v>
      </c>
      <c r="V147" s="201">
        <v>0</v>
      </c>
      <c r="W147" s="580">
        <v>0</v>
      </c>
      <c r="X147" s="570"/>
      <c r="Y147" s="570"/>
    </row>
    <row r="148" spans="1:27" ht="15">
      <c r="A148" s="203"/>
      <c r="B148" s="203" t="s">
        <v>678</v>
      </c>
      <c r="C148" s="203">
        <v>0</v>
      </c>
      <c r="D148" s="203">
        <v>0</v>
      </c>
      <c r="E148" s="205">
        <v>42538.820850000004</v>
      </c>
      <c r="F148" s="205">
        <v>42440.636802756751</v>
      </c>
      <c r="G148" s="205">
        <v>42965.373750767336</v>
      </c>
      <c r="H148" s="205">
        <v>43809.681037775685</v>
      </c>
      <c r="I148" s="205">
        <v>40958.61939</v>
      </c>
      <c r="J148" s="205">
        <v>42222.402630000004</v>
      </c>
      <c r="K148" s="205">
        <v>43606.13796</v>
      </c>
      <c r="L148" s="205">
        <v>44976.969539999998</v>
      </c>
      <c r="M148" s="205">
        <v>0</v>
      </c>
      <c r="N148" s="205">
        <v>0</v>
      </c>
      <c r="O148" s="205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5">
        <v>0</v>
      </c>
      <c r="W148" s="702">
        <v>0</v>
      </c>
      <c r="X148" s="570"/>
      <c r="Y148" s="570"/>
    </row>
    <row r="149" spans="1:27" ht="15">
      <c r="A149" s="201"/>
      <c r="B149" s="201" t="s">
        <v>670</v>
      </c>
      <c r="C149" s="201">
        <v>0</v>
      </c>
      <c r="D149" s="201">
        <v>0</v>
      </c>
      <c r="E149" s="201">
        <v>42538.820850000004</v>
      </c>
      <c r="F149" s="201">
        <v>42453.164250000002</v>
      </c>
      <c r="G149" s="201">
        <v>43025.240140000002</v>
      </c>
      <c r="H149" s="201">
        <v>43934.800750000002</v>
      </c>
      <c r="I149" s="201">
        <v>40958.61939</v>
      </c>
      <c r="J149" s="201">
        <v>42222.402630000004</v>
      </c>
      <c r="K149" s="201">
        <v>43606.13796</v>
      </c>
      <c r="L149" s="201">
        <v>44976.969539999998</v>
      </c>
      <c r="M149" s="201">
        <v>0</v>
      </c>
      <c r="N149" s="201">
        <v>0</v>
      </c>
      <c r="O149" s="201">
        <v>0</v>
      </c>
      <c r="P149" s="201">
        <v>0</v>
      </c>
      <c r="Q149" s="201">
        <v>0</v>
      </c>
      <c r="R149" s="201">
        <v>0</v>
      </c>
      <c r="S149" s="201">
        <v>0</v>
      </c>
      <c r="T149" s="201">
        <v>0</v>
      </c>
      <c r="U149" s="201">
        <v>0</v>
      </c>
      <c r="V149" s="201">
        <v>0</v>
      </c>
      <c r="W149" s="201">
        <v>0</v>
      </c>
      <c r="X149" s="570"/>
      <c r="Y149" s="570"/>
    </row>
    <row r="150" spans="1:27" ht="15">
      <c r="A150" s="201"/>
      <c r="B150" s="201" t="s">
        <v>671</v>
      </c>
      <c r="C150" s="201">
        <v>0</v>
      </c>
      <c r="D150" s="201">
        <v>0</v>
      </c>
      <c r="E150" s="201">
        <v>0</v>
      </c>
      <c r="F150" s="201">
        <v>0</v>
      </c>
      <c r="G150" s="201">
        <v>0</v>
      </c>
      <c r="H150" s="201">
        <v>0</v>
      </c>
      <c r="I150" s="201">
        <v>0</v>
      </c>
      <c r="J150" s="201">
        <v>0</v>
      </c>
      <c r="K150" s="201">
        <v>0</v>
      </c>
      <c r="L150" s="201">
        <v>0</v>
      </c>
      <c r="M150" s="201">
        <v>0</v>
      </c>
      <c r="N150" s="201">
        <v>0</v>
      </c>
      <c r="O150" s="201">
        <v>0</v>
      </c>
      <c r="P150" s="201">
        <v>0</v>
      </c>
      <c r="Q150" s="201">
        <v>0</v>
      </c>
      <c r="R150" s="201">
        <v>0</v>
      </c>
      <c r="S150" s="201">
        <v>0</v>
      </c>
      <c r="T150" s="201">
        <v>0</v>
      </c>
      <c r="U150" s="201">
        <v>0</v>
      </c>
      <c r="V150" s="201">
        <v>0</v>
      </c>
      <c r="W150" s="201">
        <v>0</v>
      </c>
      <c r="X150" s="570"/>
      <c r="Y150" s="570"/>
    </row>
    <row r="151" spans="1:27" ht="15">
      <c r="A151" s="201"/>
      <c r="B151" s="201" t="s">
        <v>672</v>
      </c>
      <c r="C151" s="201">
        <v>0</v>
      </c>
      <c r="D151" s="201">
        <v>0</v>
      </c>
      <c r="E151" s="201">
        <v>0</v>
      </c>
      <c r="F151" s="201">
        <v>0</v>
      </c>
      <c r="G151" s="201">
        <v>0</v>
      </c>
      <c r="H151" s="201">
        <v>0</v>
      </c>
      <c r="I151" s="201">
        <v>0</v>
      </c>
      <c r="J151" s="201">
        <v>0</v>
      </c>
      <c r="K151" s="201">
        <v>0</v>
      </c>
      <c r="L151" s="201">
        <v>0</v>
      </c>
      <c r="M151" s="201">
        <v>0</v>
      </c>
      <c r="N151" s="201">
        <v>0</v>
      </c>
      <c r="O151" s="201">
        <v>0</v>
      </c>
      <c r="P151" s="201">
        <v>0</v>
      </c>
      <c r="Q151" s="201">
        <v>0</v>
      </c>
      <c r="R151" s="201">
        <v>0</v>
      </c>
      <c r="S151" s="201">
        <v>0</v>
      </c>
      <c r="T151" s="201">
        <v>0</v>
      </c>
      <c r="U151" s="201">
        <v>0</v>
      </c>
      <c r="V151" s="201">
        <v>0</v>
      </c>
      <c r="W151" s="201">
        <v>0</v>
      </c>
      <c r="X151" s="570"/>
      <c r="Y151" s="570"/>
    </row>
    <row r="152" spans="1:27" ht="15">
      <c r="A152" s="201"/>
      <c r="B152" s="201" t="s">
        <v>677</v>
      </c>
      <c r="C152" s="201">
        <v>0</v>
      </c>
      <c r="D152" s="201">
        <v>0</v>
      </c>
      <c r="E152" s="201">
        <v>0</v>
      </c>
      <c r="F152" s="201">
        <v>0</v>
      </c>
      <c r="G152" s="201">
        <v>0</v>
      </c>
      <c r="H152" s="201">
        <v>0</v>
      </c>
      <c r="I152" s="201">
        <v>0</v>
      </c>
      <c r="J152" s="201">
        <v>0</v>
      </c>
      <c r="K152" s="201">
        <v>0</v>
      </c>
      <c r="L152" s="201">
        <v>0</v>
      </c>
      <c r="M152" s="201">
        <v>0</v>
      </c>
      <c r="N152" s="201">
        <v>0</v>
      </c>
      <c r="O152" s="201">
        <v>0</v>
      </c>
      <c r="P152" s="201">
        <v>0</v>
      </c>
      <c r="Q152" s="201">
        <v>0</v>
      </c>
      <c r="R152" s="201">
        <v>0</v>
      </c>
      <c r="S152" s="201">
        <v>0</v>
      </c>
      <c r="T152" s="201">
        <v>0</v>
      </c>
      <c r="U152" s="201">
        <v>0</v>
      </c>
      <c r="V152" s="201">
        <v>0</v>
      </c>
      <c r="W152" s="201">
        <v>0</v>
      </c>
      <c r="X152" s="570"/>
      <c r="Y152" s="570"/>
    </row>
    <row r="153" spans="1:27" ht="15">
      <c r="A153" s="201"/>
      <c r="B153" s="201" t="s">
        <v>381</v>
      </c>
      <c r="C153" s="201">
        <v>0</v>
      </c>
      <c r="D153" s="201">
        <v>0</v>
      </c>
      <c r="E153" s="201">
        <v>0</v>
      </c>
      <c r="F153" s="201">
        <v>0</v>
      </c>
      <c r="G153" s="201">
        <v>0</v>
      </c>
      <c r="H153" s="201">
        <v>0</v>
      </c>
      <c r="I153" s="201">
        <v>0</v>
      </c>
      <c r="J153" s="201">
        <v>0</v>
      </c>
      <c r="K153" s="201">
        <v>0</v>
      </c>
      <c r="L153" s="201">
        <v>0</v>
      </c>
      <c r="M153" s="201">
        <v>0</v>
      </c>
      <c r="N153" s="201">
        <v>0</v>
      </c>
      <c r="O153" s="201">
        <v>0</v>
      </c>
      <c r="P153" s="201">
        <v>0</v>
      </c>
      <c r="Q153" s="201">
        <v>0</v>
      </c>
      <c r="R153" s="201">
        <v>0</v>
      </c>
      <c r="S153" s="201">
        <v>0</v>
      </c>
      <c r="T153" s="201">
        <v>0</v>
      </c>
      <c r="U153" s="201">
        <v>0</v>
      </c>
      <c r="V153" s="201">
        <v>0</v>
      </c>
      <c r="W153" s="201">
        <v>0</v>
      </c>
      <c r="X153" s="570"/>
      <c r="Y153" s="570"/>
    </row>
    <row r="154" spans="1:27" ht="15">
      <c r="A154" s="203"/>
      <c r="B154" s="203" t="s">
        <v>679</v>
      </c>
      <c r="C154" s="203">
        <v>0</v>
      </c>
      <c r="D154" s="203">
        <v>0</v>
      </c>
      <c r="E154" s="203">
        <v>0</v>
      </c>
      <c r="F154" s="203">
        <v>0</v>
      </c>
      <c r="G154" s="203">
        <v>0</v>
      </c>
      <c r="H154" s="203">
        <v>0</v>
      </c>
      <c r="I154" s="203">
        <v>0</v>
      </c>
      <c r="J154" s="203">
        <v>0</v>
      </c>
      <c r="K154" s="203">
        <v>0</v>
      </c>
      <c r="L154" s="203">
        <v>0</v>
      </c>
      <c r="M154" s="203">
        <v>0</v>
      </c>
      <c r="N154" s="203">
        <v>0</v>
      </c>
      <c r="O154" s="203">
        <v>0</v>
      </c>
      <c r="P154" s="203">
        <v>0</v>
      </c>
      <c r="Q154" s="203">
        <v>0</v>
      </c>
      <c r="R154" s="203">
        <v>0</v>
      </c>
      <c r="S154" s="203">
        <v>0</v>
      </c>
      <c r="T154" s="203">
        <v>0</v>
      </c>
      <c r="U154" s="203">
        <v>0</v>
      </c>
      <c r="V154" s="578">
        <v>0</v>
      </c>
      <c r="W154" s="578">
        <v>0</v>
      </c>
      <c r="X154" s="570"/>
      <c r="Y154" s="570"/>
    </row>
    <row r="155" spans="1:27" ht="15">
      <c r="A155" s="201"/>
      <c r="B155" s="201" t="s">
        <v>670</v>
      </c>
      <c r="C155" s="201">
        <v>0</v>
      </c>
      <c r="D155" s="201">
        <v>0</v>
      </c>
      <c r="E155" s="201">
        <v>0</v>
      </c>
      <c r="F155" s="201">
        <v>0</v>
      </c>
      <c r="G155" s="201">
        <v>0</v>
      </c>
      <c r="H155" s="201">
        <v>0</v>
      </c>
      <c r="I155" s="201">
        <v>0</v>
      </c>
      <c r="J155" s="201">
        <v>0</v>
      </c>
      <c r="K155" s="201">
        <v>0</v>
      </c>
      <c r="L155" s="201">
        <v>0</v>
      </c>
      <c r="M155" s="201">
        <v>0</v>
      </c>
      <c r="N155" s="201">
        <v>0</v>
      </c>
      <c r="O155" s="201">
        <v>0</v>
      </c>
      <c r="P155" s="201">
        <v>0</v>
      </c>
      <c r="Q155" s="201">
        <v>0</v>
      </c>
      <c r="R155" s="201">
        <v>0</v>
      </c>
      <c r="S155" s="201">
        <v>0</v>
      </c>
      <c r="T155" s="201">
        <v>0</v>
      </c>
      <c r="U155" s="201">
        <v>0</v>
      </c>
      <c r="V155" s="201">
        <v>0</v>
      </c>
      <c r="W155" s="580">
        <v>0</v>
      </c>
      <c r="X155" s="570"/>
      <c r="Y155" s="570"/>
    </row>
    <row r="156" spans="1:27" ht="15">
      <c r="A156" s="201"/>
      <c r="B156" s="201" t="s">
        <v>671</v>
      </c>
      <c r="C156" s="201">
        <v>0</v>
      </c>
      <c r="D156" s="201">
        <v>0</v>
      </c>
      <c r="E156" s="201">
        <v>0</v>
      </c>
      <c r="F156" s="201">
        <v>0</v>
      </c>
      <c r="G156" s="201">
        <v>0</v>
      </c>
      <c r="H156" s="201">
        <v>0</v>
      </c>
      <c r="I156" s="201">
        <v>0</v>
      </c>
      <c r="J156" s="201">
        <v>0</v>
      </c>
      <c r="K156" s="201">
        <v>0</v>
      </c>
      <c r="L156" s="201">
        <v>0</v>
      </c>
      <c r="M156" s="201">
        <v>0</v>
      </c>
      <c r="N156" s="201">
        <v>0</v>
      </c>
      <c r="O156" s="201">
        <v>0</v>
      </c>
      <c r="P156" s="201">
        <v>0</v>
      </c>
      <c r="Q156" s="201">
        <v>0</v>
      </c>
      <c r="R156" s="201">
        <v>0</v>
      </c>
      <c r="S156" s="201">
        <v>0</v>
      </c>
      <c r="T156" s="201">
        <v>0</v>
      </c>
      <c r="U156" s="201">
        <v>0</v>
      </c>
      <c r="V156" s="201">
        <v>0</v>
      </c>
      <c r="W156" s="580">
        <v>0</v>
      </c>
      <c r="X156" s="570"/>
      <c r="Y156" s="570"/>
    </row>
    <row r="157" spans="1:27" ht="15">
      <c r="A157" s="199"/>
      <c r="B157" s="199" t="s">
        <v>672</v>
      </c>
      <c r="C157" s="199">
        <v>0</v>
      </c>
      <c r="D157" s="199">
        <v>0</v>
      </c>
      <c r="E157" s="199">
        <v>0</v>
      </c>
      <c r="F157" s="199">
        <v>0</v>
      </c>
      <c r="G157" s="199">
        <v>0</v>
      </c>
      <c r="H157" s="199">
        <v>0</v>
      </c>
      <c r="I157" s="199">
        <v>0</v>
      </c>
      <c r="J157" s="199">
        <v>0</v>
      </c>
      <c r="K157" s="199">
        <v>0</v>
      </c>
      <c r="L157" s="199">
        <v>0</v>
      </c>
      <c r="M157" s="199">
        <v>0</v>
      </c>
      <c r="N157" s="199">
        <v>0</v>
      </c>
      <c r="O157" s="199">
        <v>0</v>
      </c>
      <c r="P157" s="199">
        <v>0</v>
      </c>
      <c r="Q157" s="199">
        <v>0</v>
      </c>
      <c r="R157" s="199">
        <v>0</v>
      </c>
      <c r="S157" s="199">
        <v>0</v>
      </c>
      <c r="T157" s="199">
        <v>0</v>
      </c>
      <c r="U157" s="199">
        <v>0</v>
      </c>
      <c r="V157" s="199">
        <v>0</v>
      </c>
      <c r="W157" s="199">
        <v>0</v>
      </c>
      <c r="X157" s="570"/>
      <c r="Y157" s="570"/>
    </row>
    <row r="158" spans="1:27" ht="15">
      <c r="A158" s="197"/>
      <c r="B158" s="197" t="s">
        <v>680</v>
      </c>
      <c r="C158" s="197">
        <f t="shared" ref="C158:Q158" si="29">C154+C148+C138</f>
        <v>126866.49096</v>
      </c>
      <c r="D158" s="197">
        <f t="shared" si="29"/>
        <v>127371.05137999999</v>
      </c>
      <c r="E158" s="197">
        <f t="shared" si="29"/>
        <v>127964.32304</v>
      </c>
      <c r="F158" s="197">
        <f t="shared" si="29"/>
        <v>123145.41730275676</v>
      </c>
      <c r="G158" s="197">
        <f t="shared" si="29"/>
        <v>110485.13361076733</v>
      </c>
      <c r="H158" s="197">
        <f t="shared" si="29"/>
        <v>85850.880287775683</v>
      </c>
      <c r="I158" s="197">
        <f t="shared" si="29"/>
        <v>72091</v>
      </c>
      <c r="J158" s="197">
        <f t="shared" si="29"/>
        <v>115546</v>
      </c>
      <c r="K158" s="197">
        <f t="shared" si="29"/>
        <v>92732.000000000015</v>
      </c>
      <c r="L158" s="197">
        <f t="shared" si="29"/>
        <v>120372</v>
      </c>
      <c r="M158" s="197">
        <f t="shared" si="29"/>
        <v>135723</v>
      </c>
      <c r="N158" s="197">
        <f t="shared" si="29"/>
        <v>207557</v>
      </c>
      <c r="O158" s="197">
        <f t="shared" si="29"/>
        <v>233956</v>
      </c>
      <c r="P158" s="197">
        <f t="shared" si="29"/>
        <v>229631</v>
      </c>
      <c r="Q158" s="197">
        <f t="shared" si="29"/>
        <v>295199</v>
      </c>
      <c r="R158" s="197">
        <f>R154+R148+R138</f>
        <v>278831</v>
      </c>
      <c r="S158" s="197">
        <v>301205</v>
      </c>
      <c r="T158" s="197">
        <f>T138+T148+T154</f>
        <v>324019</v>
      </c>
      <c r="U158" s="197">
        <f>U138+U148+U154</f>
        <v>361986</v>
      </c>
      <c r="V158" s="197">
        <f>V138+V148+V154</f>
        <v>333974</v>
      </c>
      <c r="W158" s="197">
        <f>W138+W148+W154</f>
        <v>358473</v>
      </c>
      <c r="X158" s="570"/>
      <c r="Y158" s="570"/>
    </row>
    <row r="159" spans="1:27">
      <c r="B159" s="600"/>
      <c r="C159" s="600"/>
      <c r="D159" s="600"/>
      <c r="E159" s="600"/>
      <c r="F159" s="600"/>
      <c r="G159" s="600"/>
      <c r="H159" s="600"/>
      <c r="I159" s="600"/>
      <c r="J159" s="600"/>
      <c r="K159" s="600"/>
      <c r="L159" s="600"/>
      <c r="M159" s="600"/>
      <c r="N159" s="600"/>
      <c r="O159" s="600"/>
      <c r="P159" s="600"/>
      <c r="Q159" s="600"/>
      <c r="R159" s="600"/>
      <c r="S159" s="600"/>
      <c r="T159" s="600"/>
      <c r="U159" s="600"/>
      <c r="V159" s="600"/>
      <c r="W159" s="570"/>
      <c r="X159" s="570"/>
      <c r="Y159" s="570"/>
    </row>
    <row r="160" spans="1:27" s="103" customFormat="1" ht="23.25">
      <c r="A160" s="74"/>
      <c r="B160" s="74" t="s">
        <v>133</v>
      </c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570"/>
      <c r="Y160" s="570"/>
      <c r="Z160"/>
      <c r="AA160"/>
    </row>
    <row r="161" spans="1:25">
      <c r="H161" s="193"/>
      <c r="I161" s="193"/>
      <c r="L161" s="193"/>
      <c r="M161" s="193"/>
      <c r="P161" s="193"/>
      <c r="Q161" s="193"/>
      <c r="R161" s="193"/>
      <c r="S161" s="193"/>
      <c r="T161" s="193"/>
      <c r="U161" s="193"/>
      <c r="W161" s="192"/>
      <c r="X161" s="570"/>
      <c r="Y161" s="570"/>
    </row>
    <row r="162" spans="1:25" ht="15">
      <c r="A162" s="677"/>
      <c r="B162" s="677" t="s">
        <v>688</v>
      </c>
      <c r="C162" s="678">
        <v>44256</v>
      </c>
      <c r="D162" s="678">
        <v>44348</v>
      </c>
      <c r="E162" s="678">
        <v>44440</v>
      </c>
      <c r="F162" s="679">
        <v>44531</v>
      </c>
      <c r="G162" s="679">
        <v>44621</v>
      </c>
      <c r="H162" s="679">
        <v>44713</v>
      </c>
      <c r="I162" s="679">
        <v>44805</v>
      </c>
      <c r="J162" s="679">
        <v>44896</v>
      </c>
      <c r="K162" s="679">
        <v>44986</v>
      </c>
      <c r="L162" s="679">
        <v>45078</v>
      </c>
      <c r="M162" s="679">
        <v>45170</v>
      </c>
      <c r="N162" s="679">
        <v>45261</v>
      </c>
      <c r="O162" s="679">
        <v>45352</v>
      </c>
      <c r="P162" s="679">
        <v>45444</v>
      </c>
      <c r="Q162" s="679">
        <v>45536</v>
      </c>
      <c r="R162" s="679">
        <v>45627</v>
      </c>
      <c r="S162" s="679">
        <v>45717</v>
      </c>
      <c r="T162" s="679">
        <v>45809</v>
      </c>
      <c r="U162" s="679">
        <v>45901</v>
      </c>
      <c r="V162" s="680">
        <v>45992</v>
      </c>
      <c r="W162" s="681">
        <v>46082</v>
      </c>
      <c r="X162" s="570"/>
      <c r="Y162" s="570"/>
    </row>
    <row r="163" spans="1:25" ht="15">
      <c r="A163" s="203"/>
      <c r="B163" s="203" t="s">
        <v>669</v>
      </c>
      <c r="C163" s="202">
        <f>SUM(C164:C167)</f>
        <v>46757.011720000002</v>
      </c>
      <c r="D163" s="202">
        <f t="shared" ref="D163:R163" si="30">SUM(D164:D167)</f>
        <v>4637.1256399999993</v>
      </c>
      <c r="E163" s="202">
        <f t="shared" si="30"/>
        <v>3016.9564299999997</v>
      </c>
      <c r="F163" s="202">
        <f t="shared" si="30"/>
        <v>1533.6166499999999</v>
      </c>
      <c r="G163" s="202">
        <f t="shared" si="30"/>
        <v>7796</v>
      </c>
      <c r="H163" s="202">
        <f t="shared" si="30"/>
        <v>19400</v>
      </c>
      <c r="I163" s="202">
        <f t="shared" si="30"/>
        <v>29200</v>
      </c>
      <c r="J163" s="202">
        <f t="shared" si="30"/>
        <v>35346</v>
      </c>
      <c r="K163" s="202">
        <f t="shared" si="30"/>
        <v>44579</v>
      </c>
      <c r="L163" s="202">
        <f t="shared" si="30"/>
        <v>48775</v>
      </c>
      <c r="M163" s="202">
        <f t="shared" si="30"/>
        <v>56313</v>
      </c>
      <c r="N163" s="202">
        <f t="shared" si="30"/>
        <v>49856</v>
      </c>
      <c r="O163" s="202">
        <f t="shared" si="30"/>
        <v>73778</v>
      </c>
      <c r="P163" s="202">
        <f t="shared" si="30"/>
        <v>75270</v>
      </c>
      <c r="Q163" s="202">
        <f t="shared" si="30"/>
        <v>95093</v>
      </c>
      <c r="R163" s="202">
        <f t="shared" si="30"/>
        <v>107490</v>
      </c>
      <c r="S163" s="202">
        <v>133406.16099</v>
      </c>
      <c r="T163" s="202">
        <f>SUM(T164:T167)</f>
        <v>144967.16172999999</v>
      </c>
      <c r="U163" s="202">
        <f>SUM(U164:U167)</f>
        <v>165950.78866999998</v>
      </c>
      <c r="V163" s="202">
        <f>SUM(V164:V167)</f>
        <v>166773.08022</v>
      </c>
      <c r="W163" s="579">
        <f>SUM(W164:W167)</f>
        <v>192995.61058000001</v>
      </c>
      <c r="X163" s="570"/>
      <c r="Y163" s="570"/>
    </row>
    <row r="164" spans="1:25" ht="15">
      <c r="A164" s="201"/>
      <c r="B164" s="201" t="s">
        <v>670</v>
      </c>
      <c r="C164" s="201">
        <v>0</v>
      </c>
      <c r="D164" s="201">
        <v>0</v>
      </c>
      <c r="E164" s="201">
        <v>0</v>
      </c>
      <c r="F164" s="200">
        <v>0</v>
      </c>
      <c r="G164" s="200">
        <v>0</v>
      </c>
      <c r="H164" s="200">
        <v>0</v>
      </c>
      <c r="I164" s="200">
        <v>0</v>
      </c>
      <c r="J164" s="200">
        <v>0</v>
      </c>
      <c r="K164" s="200">
        <v>0</v>
      </c>
      <c r="L164" s="200">
        <v>0</v>
      </c>
      <c r="M164" s="200">
        <v>0</v>
      </c>
      <c r="N164" s="200">
        <v>0</v>
      </c>
      <c r="O164" s="200">
        <v>0</v>
      </c>
      <c r="P164" s="200">
        <v>0</v>
      </c>
      <c r="Q164" s="200">
        <v>0</v>
      </c>
      <c r="R164" s="200">
        <v>0</v>
      </c>
      <c r="S164" s="200">
        <v>0</v>
      </c>
      <c r="T164" s="200">
        <v>0</v>
      </c>
      <c r="U164" s="200">
        <v>0</v>
      </c>
      <c r="V164" s="200">
        <v>0</v>
      </c>
      <c r="W164" s="200">
        <v>0</v>
      </c>
      <c r="X164" s="570"/>
      <c r="Y164" s="570"/>
    </row>
    <row r="165" spans="1:25" ht="15">
      <c r="A165" s="201"/>
      <c r="B165" s="201" t="s">
        <v>671</v>
      </c>
      <c r="C165" s="201">
        <v>0</v>
      </c>
      <c r="D165" s="201">
        <v>0</v>
      </c>
      <c r="E165" s="201">
        <v>0</v>
      </c>
      <c r="F165" s="200">
        <v>0</v>
      </c>
      <c r="G165" s="200">
        <v>0</v>
      </c>
      <c r="H165" s="200">
        <v>0</v>
      </c>
      <c r="I165" s="200">
        <v>0</v>
      </c>
      <c r="J165" s="200">
        <v>0</v>
      </c>
      <c r="K165" s="200">
        <v>0</v>
      </c>
      <c r="L165" s="200">
        <v>0</v>
      </c>
      <c r="M165" s="200">
        <v>0</v>
      </c>
      <c r="N165" s="200">
        <v>0</v>
      </c>
      <c r="O165" s="200">
        <v>0</v>
      </c>
      <c r="P165" s="200">
        <v>0</v>
      </c>
      <c r="Q165" s="200">
        <v>0</v>
      </c>
      <c r="R165" s="200">
        <v>0</v>
      </c>
      <c r="S165" s="200">
        <v>0</v>
      </c>
      <c r="T165" s="200">
        <v>0</v>
      </c>
      <c r="U165" s="200">
        <v>0</v>
      </c>
      <c r="V165" s="200">
        <v>0</v>
      </c>
      <c r="W165" s="200">
        <v>0</v>
      </c>
      <c r="X165" s="570"/>
      <c r="Y165" s="570"/>
    </row>
    <row r="166" spans="1:25" ht="15">
      <c r="A166" s="201"/>
      <c r="B166" s="201" t="s">
        <v>672</v>
      </c>
      <c r="C166" s="201">
        <v>0</v>
      </c>
      <c r="D166" s="201">
        <v>0</v>
      </c>
      <c r="E166" s="201">
        <v>0</v>
      </c>
      <c r="F166" s="200">
        <v>0</v>
      </c>
      <c r="G166" s="200">
        <v>0</v>
      </c>
      <c r="H166" s="200">
        <v>0</v>
      </c>
      <c r="I166" s="200">
        <v>0</v>
      </c>
      <c r="J166" s="200">
        <v>0</v>
      </c>
      <c r="K166" s="200">
        <v>0</v>
      </c>
      <c r="L166" s="200">
        <v>0</v>
      </c>
      <c r="M166" s="200">
        <v>0</v>
      </c>
      <c r="N166" s="200">
        <v>0</v>
      </c>
      <c r="O166" s="200">
        <v>0</v>
      </c>
      <c r="P166" s="200">
        <v>0</v>
      </c>
      <c r="Q166" s="200">
        <v>0</v>
      </c>
      <c r="R166" s="200">
        <v>0</v>
      </c>
      <c r="S166" s="200">
        <v>0</v>
      </c>
      <c r="T166" s="200">
        <v>0</v>
      </c>
      <c r="U166" s="200">
        <v>0</v>
      </c>
      <c r="V166" s="200">
        <v>0</v>
      </c>
      <c r="W166" s="200">
        <v>0</v>
      </c>
      <c r="X166" s="570"/>
      <c r="Y166" s="570"/>
    </row>
    <row r="167" spans="1:25" ht="15">
      <c r="A167" s="201"/>
      <c r="B167" s="201" t="s">
        <v>673</v>
      </c>
      <c r="C167" s="201">
        <v>46757.011720000002</v>
      </c>
      <c r="D167" s="201">
        <v>4637.1256399999993</v>
      </c>
      <c r="E167" s="201">
        <v>3016.9564299999997</v>
      </c>
      <c r="F167" s="200">
        <v>1533.6166499999999</v>
      </c>
      <c r="G167" s="200">
        <v>7796</v>
      </c>
      <c r="H167" s="200">
        <v>19400</v>
      </c>
      <c r="I167" s="200">
        <v>29200</v>
      </c>
      <c r="J167" s="200">
        <v>35346</v>
      </c>
      <c r="K167" s="200">
        <v>44579</v>
      </c>
      <c r="L167" s="200">
        <v>48775</v>
      </c>
      <c r="M167" s="200">
        <v>56313</v>
      </c>
      <c r="N167" s="200">
        <v>49856</v>
      </c>
      <c r="O167" s="200">
        <v>73778</v>
      </c>
      <c r="P167" s="200">
        <v>75270</v>
      </c>
      <c r="Q167" s="200">
        <v>95093</v>
      </c>
      <c r="R167" s="200">
        <v>107490</v>
      </c>
      <c r="S167" s="200">
        <v>133406.16099</v>
      </c>
      <c r="T167" s="200">
        <f>SUM(T168:T170)</f>
        <v>144967.16172999999</v>
      </c>
      <c r="U167" s="200">
        <v>165950.78866999998</v>
      </c>
      <c r="V167" s="200">
        <v>166773.08022</v>
      </c>
      <c r="W167" s="200">
        <v>192995.61058000001</v>
      </c>
      <c r="X167" s="570"/>
      <c r="Y167" s="570"/>
    </row>
    <row r="168" spans="1:25" ht="15">
      <c r="A168" s="201"/>
      <c r="B168" s="201" t="s">
        <v>674</v>
      </c>
      <c r="C168" s="201">
        <v>0</v>
      </c>
      <c r="D168" s="201">
        <v>0</v>
      </c>
      <c r="E168" s="201">
        <v>0</v>
      </c>
      <c r="F168" s="200">
        <v>0</v>
      </c>
      <c r="G168" s="200">
        <v>7005.1782836957345</v>
      </c>
      <c r="H168" s="200">
        <v>17708.974961395623</v>
      </c>
      <c r="I168" s="200">
        <v>26063.717857834814</v>
      </c>
      <c r="J168" s="200">
        <v>26647.91490841813</v>
      </c>
      <c r="K168" s="200">
        <v>30936.439855557132</v>
      </c>
      <c r="L168" s="200">
        <v>34432.079985803561</v>
      </c>
      <c r="M168" s="200">
        <v>41496.086023822587</v>
      </c>
      <c r="N168" s="200">
        <v>38131.766553928472</v>
      </c>
      <c r="O168" s="200">
        <v>56193.098781064844</v>
      </c>
      <c r="P168" s="200">
        <v>65921.319536246301</v>
      </c>
      <c r="Q168" s="200">
        <v>83903.132437433829</v>
      </c>
      <c r="R168" s="200">
        <v>97896.118854408254</v>
      </c>
      <c r="S168" s="200">
        <v>122878.99011609254</v>
      </c>
      <c r="T168" s="200">
        <v>144262.05934475583</v>
      </c>
      <c r="U168" s="200">
        <v>152946.68447626653</v>
      </c>
      <c r="V168" s="200">
        <v>152566.5898088456</v>
      </c>
      <c r="W168" s="200">
        <v>178175.69521974141</v>
      </c>
      <c r="X168" s="570"/>
      <c r="Y168" s="570"/>
    </row>
    <row r="169" spans="1:25" ht="15">
      <c r="A169" s="201"/>
      <c r="B169" s="201" t="s">
        <v>675</v>
      </c>
      <c r="C169" s="201">
        <v>0</v>
      </c>
      <c r="D169" s="201">
        <v>0</v>
      </c>
      <c r="E169" s="201">
        <v>0</v>
      </c>
      <c r="F169" s="200">
        <v>0</v>
      </c>
      <c r="G169" s="200">
        <v>0</v>
      </c>
      <c r="H169" s="200">
        <v>0</v>
      </c>
      <c r="I169" s="200">
        <v>0</v>
      </c>
      <c r="J169" s="200">
        <v>0</v>
      </c>
      <c r="K169" s="200">
        <v>17.481440027478591</v>
      </c>
      <c r="L169" s="200">
        <v>0</v>
      </c>
      <c r="M169" s="200">
        <v>0</v>
      </c>
      <c r="N169" s="200">
        <v>75.738563130884529</v>
      </c>
      <c r="O169" s="200">
        <v>121.67666117163454</v>
      </c>
      <c r="P169" s="200">
        <v>38.504254664621207</v>
      </c>
      <c r="Q169" s="200">
        <v>0</v>
      </c>
      <c r="R169" s="200">
        <v>0</v>
      </c>
      <c r="S169" s="200">
        <v>4.9581583366884487</v>
      </c>
      <c r="T169" s="200">
        <v>0</v>
      </c>
      <c r="U169" s="200">
        <v>0</v>
      </c>
      <c r="V169" s="200">
        <v>0</v>
      </c>
      <c r="W169" s="200">
        <v>0</v>
      </c>
      <c r="X169" s="570"/>
      <c r="Y169" s="570"/>
    </row>
    <row r="170" spans="1:25" ht="15">
      <c r="A170" s="201"/>
      <c r="B170" s="201" t="s">
        <v>676</v>
      </c>
      <c r="C170" s="201">
        <v>0</v>
      </c>
      <c r="D170" s="201">
        <v>0</v>
      </c>
      <c r="E170" s="201">
        <v>0</v>
      </c>
      <c r="F170" s="200">
        <v>0</v>
      </c>
      <c r="G170" s="200">
        <v>790.82171630426535</v>
      </c>
      <c r="H170" s="200">
        <v>1691.0250386043756</v>
      </c>
      <c r="I170" s="200">
        <v>3136.2821421651847</v>
      </c>
      <c r="J170" s="200">
        <v>8698.0850915818701</v>
      </c>
      <c r="K170" s="200">
        <v>13625.078704415389</v>
      </c>
      <c r="L170" s="200">
        <v>14342.920014196441</v>
      </c>
      <c r="M170" s="200">
        <v>14816.913976177409</v>
      </c>
      <c r="N170" s="200">
        <v>11648.494882940648</v>
      </c>
      <c r="O170" s="200">
        <v>17463.224557763526</v>
      </c>
      <c r="P170" s="200">
        <v>9310.1762090890716</v>
      </c>
      <c r="Q170" s="200">
        <v>11189.867562566173</v>
      </c>
      <c r="R170" s="200">
        <v>9593.8811455917385</v>
      </c>
      <c r="S170" s="200">
        <v>10522.21271557078</v>
      </c>
      <c r="T170" s="200">
        <v>705.1023852441441</v>
      </c>
      <c r="U170" s="200">
        <v>13004.104193733463</v>
      </c>
      <c r="V170" s="200">
        <v>14206.490411154406</v>
      </c>
      <c r="W170" s="200">
        <v>14819.915360258605</v>
      </c>
      <c r="X170" s="570"/>
      <c r="Y170" s="570"/>
    </row>
    <row r="171" spans="1:25" ht="15">
      <c r="A171" s="201"/>
      <c r="B171" s="201" t="s">
        <v>677</v>
      </c>
      <c r="C171" s="201">
        <v>0</v>
      </c>
      <c r="D171" s="201">
        <v>0</v>
      </c>
      <c r="E171" s="201">
        <v>0</v>
      </c>
      <c r="F171" s="200">
        <v>0</v>
      </c>
      <c r="G171" s="200">
        <v>0</v>
      </c>
      <c r="H171" s="200">
        <v>0</v>
      </c>
      <c r="I171" s="200">
        <v>0</v>
      </c>
      <c r="J171" s="200">
        <v>0</v>
      </c>
      <c r="K171" s="200">
        <v>0</v>
      </c>
      <c r="L171" s="200">
        <v>0</v>
      </c>
      <c r="M171" s="200">
        <v>0</v>
      </c>
      <c r="N171" s="200">
        <v>0</v>
      </c>
      <c r="O171" s="200">
        <v>0</v>
      </c>
      <c r="P171" s="200">
        <v>0</v>
      </c>
      <c r="Q171" s="200">
        <v>0</v>
      </c>
      <c r="R171" s="200">
        <v>0</v>
      </c>
      <c r="S171" s="200">
        <v>0</v>
      </c>
      <c r="T171" s="200">
        <v>0</v>
      </c>
      <c r="U171" s="200">
        <v>0</v>
      </c>
      <c r="V171" s="200">
        <v>0</v>
      </c>
      <c r="W171" s="200">
        <v>0</v>
      </c>
      <c r="X171" s="570"/>
      <c r="Y171" s="570"/>
    </row>
    <row r="172" spans="1:25" ht="15">
      <c r="A172" s="201"/>
      <c r="B172" s="201" t="s">
        <v>381</v>
      </c>
      <c r="C172" s="201">
        <v>0</v>
      </c>
      <c r="D172" s="201">
        <v>0</v>
      </c>
      <c r="E172" s="201">
        <v>0</v>
      </c>
      <c r="F172" s="200">
        <v>0</v>
      </c>
      <c r="G172" s="200">
        <v>0</v>
      </c>
      <c r="H172" s="200">
        <v>0</v>
      </c>
      <c r="I172" s="200">
        <v>0</v>
      </c>
      <c r="J172" s="200">
        <v>0</v>
      </c>
      <c r="K172" s="200">
        <v>0</v>
      </c>
      <c r="L172" s="200">
        <v>0</v>
      </c>
      <c r="M172" s="200">
        <v>0</v>
      </c>
      <c r="N172" s="200">
        <v>0</v>
      </c>
      <c r="O172" s="200">
        <v>0</v>
      </c>
      <c r="P172" s="200">
        <v>0</v>
      </c>
      <c r="Q172" s="200">
        <v>0</v>
      </c>
      <c r="R172" s="200">
        <v>0</v>
      </c>
      <c r="S172" s="200">
        <v>0</v>
      </c>
      <c r="T172" s="200">
        <v>0</v>
      </c>
      <c r="U172" s="200">
        <v>0</v>
      </c>
      <c r="V172" s="200">
        <v>0</v>
      </c>
      <c r="W172" s="200">
        <v>0</v>
      </c>
      <c r="X172" s="570"/>
      <c r="Y172" s="570"/>
    </row>
    <row r="173" spans="1:25" ht="15">
      <c r="A173" s="203"/>
      <c r="B173" s="203" t="s">
        <v>678</v>
      </c>
      <c r="C173" s="203">
        <v>0</v>
      </c>
      <c r="D173" s="203">
        <v>0</v>
      </c>
      <c r="E173" s="203">
        <v>0</v>
      </c>
      <c r="F173" s="202">
        <v>0</v>
      </c>
      <c r="G173" s="202">
        <v>0</v>
      </c>
      <c r="H173" s="202">
        <v>0</v>
      </c>
      <c r="I173" s="202">
        <v>0</v>
      </c>
      <c r="J173" s="202">
        <v>0</v>
      </c>
      <c r="K173" s="202">
        <v>0</v>
      </c>
      <c r="L173" s="202">
        <v>0</v>
      </c>
      <c r="M173" s="202">
        <v>0</v>
      </c>
      <c r="N173" s="202">
        <v>0</v>
      </c>
      <c r="O173" s="202">
        <v>0</v>
      </c>
      <c r="P173" s="202">
        <v>0</v>
      </c>
      <c r="Q173" s="202">
        <v>0</v>
      </c>
      <c r="R173" s="202">
        <v>0</v>
      </c>
      <c r="S173" s="202">
        <v>0</v>
      </c>
      <c r="T173" s="202">
        <f>SUM(T174:T178)</f>
        <v>0</v>
      </c>
      <c r="U173" s="202">
        <v>0</v>
      </c>
      <c r="V173" s="202">
        <v>0</v>
      </c>
      <c r="W173" s="579">
        <v>0</v>
      </c>
      <c r="X173" s="570"/>
      <c r="Y173" s="570"/>
    </row>
    <row r="174" spans="1:25" ht="15">
      <c r="A174" s="201"/>
      <c r="B174" s="201" t="s">
        <v>670</v>
      </c>
      <c r="C174" s="201">
        <v>0</v>
      </c>
      <c r="D174" s="201">
        <v>0</v>
      </c>
      <c r="E174" s="201">
        <v>0</v>
      </c>
      <c r="F174" s="200">
        <v>0</v>
      </c>
      <c r="G174" s="200">
        <v>0</v>
      </c>
      <c r="H174" s="200">
        <v>0</v>
      </c>
      <c r="I174" s="200">
        <v>0</v>
      </c>
      <c r="J174" s="200">
        <v>0</v>
      </c>
      <c r="K174" s="200">
        <v>0</v>
      </c>
      <c r="L174" s="200">
        <v>0</v>
      </c>
      <c r="M174" s="200">
        <v>0</v>
      </c>
      <c r="N174" s="200">
        <v>0</v>
      </c>
      <c r="O174" s="200">
        <v>0</v>
      </c>
      <c r="P174" s="200">
        <v>0</v>
      </c>
      <c r="Q174" s="200">
        <v>0</v>
      </c>
      <c r="R174" s="200">
        <v>0</v>
      </c>
      <c r="S174" s="200">
        <v>0</v>
      </c>
      <c r="T174" s="200">
        <v>0</v>
      </c>
      <c r="U174" s="200">
        <v>0</v>
      </c>
      <c r="V174" s="200">
        <v>0</v>
      </c>
      <c r="W174" s="200">
        <v>0</v>
      </c>
      <c r="X174" s="570"/>
      <c r="Y174" s="570"/>
    </row>
    <row r="175" spans="1:25" ht="15">
      <c r="A175" s="201"/>
      <c r="B175" s="201" t="s">
        <v>671</v>
      </c>
      <c r="C175" s="201">
        <v>0</v>
      </c>
      <c r="D175" s="201">
        <v>0</v>
      </c>
      <c r="E175" s="201">
        <v>0</v>
      </c>
      <c r="F175" s="200">
        <v>0</v>
      </c>
      <c r="G175" s="200">
        <v>0</v>
      </c>
      <c r="H175" s="200">
        <v>0</v>
      </c>
      <c r="I175" s="200">
        <v>0</v>
      </c>
      <c r="J175" s="200">
        <v>0</v>
      </c>
      <c r="K175" s="200">
        <v>0</v>
      </c>
      <c r="L175" s="200">
        <v>0</v>
      </c>
      <c r="M175" s="200">
        <v>0</v>
      </c>
      <c r="N175" s="200">
        <v>0</v>
      </c>
      <c r="O175" s="200">
        <v>0</v>
      </c>
      <c r="P175" s="200">
        <v>0</v>
      </c>
      <c r="Q175" s="200">
        <v>0</v>
      </c>
      <c r="R175" s="200">
        <v>0</v>
      </c>
      <c r="S175" s="200">
        <v>0</v>
      </c>
      <c r="T175" s="200">
        <v>0</v>
      </c>
      <c r="U175" s="200">
        <v>0</v>
      </c>
      <c r="V175" s="200">
        <v>0</v>
      </c>
      <c r="W175" s="200">
        <v>0</v>
      </c>
      <c r="X175" s="570"/>
      <c r="Y175" s="570"/>
    </row>
    <row r="176" spans="1:25" ht="15">
      <c r="A176" s="201"/>
      <c r="B176" s="201" t="s">
        <v>672</v>
      </c>
      <c r="C176" s="201">
        <v>0</v>
      </c>
      <c r="D176" s="201">
        <v>0</v>
      </c>
      <c r="E176" s="201">
        <v>0</v>
      </c>
      <c r="F176" s="200">
        <v>0</v>
      </c>
      <c r="G176" s="200">
        <v>0</v>
      </c>
      <c r="H176" s="200">
        <v>0</v>
      </c>
      <c r="I176" s="200">
        <v>0</v>
      </c>
      <c r="J176" s="200">
        <v>0</v>
      </c>
      <c r="K176" s="200">
        <v>0</v>
      </c>
      <c r="L176" s="200">
        <v>0</v>
      </c>
      <c r="M176" s="200">
        <v>0</v>
      </c>
      <c r="N176" s="200">
        <v>0</v>
      </c>
      <c r="O176" s="200">
        <v>0</v>
      </c>
      <c r="P176" s="200">
        <v>0</v>
      </c>
      <c r="Q176" s="200">
        <v>0</v>
      </c>
      <c r="R176" s="200">
        <v>0</v>
      </c>
      <c r="S176" s="200">
        <v>0</v>
      </c>
      <c r="T176" s="200">
        <v>0</v>
      </c>
      <c r="U176" s="200">
        <v>0</v>
      </c>
      <c r="V176" s="200">
        <v>0</v>
      </c>
      <c r="W176" s="200">
        <v>0</v>
      </c>
      <c r="X176" s="570"/>
      <c r="Y176" s="570"/>
    </row>
    <row r="177" spans="1:27" ht="15">
      <c r="A177" s="201"/>
      <c r="B177" s="201" t="s">
        <v>677</v>
      </c>
      <c r="C177" s="201">
        <v>0</v>
      </c>
      <c r="D177" s="201">
        <v>0</v>
      </c>
      <c r="E177" s="201">
        <v>0</v>
      </c>
      <c r="F177" s="200">
        <v>0</v>
      </c>
      <c r="G177" s="200">
        <v>0</v>
      </c>
      <c r="H177" s="200">
        <v>0</v>
      </c>
      <c r="I177" s="200">
        <v>0</v>
      </c>
      <c r="J177" s="200">
        <v>0</v>
      </c>
      <c r="K177" s="200">
        <v>0</v>
      </c>
      <c r="L177" s="200">
        <v>0</v>
      </c>
      <c r="M177" s="200">
        <v>0</v>
      </c>
      <c r="N177" s="200">
        <v>0</v>
      </c>
      <c r="O177" s="200">
        <v>0</v>
      </c>
      <c r="P177" s="200">
        <v>0</v>
      </c>
      <c r="Q177" s="200">
        <v>0</v>
      </c>
      <c r="R177" s="200">
        <v>0</v>
      </c>
      <c r="S177" s="200">
        <v>0</v>
      </c>
      <c r="T177" s="200">
        <v>0</v>
      </c>
      <c r="U177" s="200">
        <v>0</v>
      </c>
      <c r="V177" s="200">
        <v>0</v>
      </c>
      <c r="W177" s="200">
        <v>0</v>
      </c>
      <c r="X177" s="570"/>
      <c r="Y177" s="570"/>
    </row>
    <row r="178" spans="1:27" ht="15">
      <c r="A178" s="201"/>
      <c r="B178" s="201" t="s">
        <v>381</v>
      </c>
      <c r="C178" s="201">
        <v>0</v>
      </c>
      <c r="D178" s="201">
        <v>0</v>
      </c>
      <c r="E178" s="201">
        <v>0</v>
      </c>
      <c r="F178" s="200">
        <v>0</v>
      </c>
      <c r="G178" s="200">
        <v>0</v>
      </c>
      <c r="H178" s="200">
        <v>0</v>
      </c>
      <c r="I178" s="200">
        <v>0</v>
      </c>
      <c r="J178" s="200">
        <v>0</v>
      </c>
      <c r="K178" s="200">
        <v>0</v>
      </c>
      <c r="L178" s="200">
        <v>0</v>
      </c>
      <c r="M178" s="200">
        <v>0</v>
      </c>
      <c r="N178" s="200">
        <v>0</v>
      </c>
      <c r="O178" s="200">
        <v>0</v>
      </c>
      <c r="P178" s="200">
        <v>0</v>
      </c>
      <c r="Q178" s="200">
        <v>0</v>
      </c>
      <c r="R178" s="200">
        <v>0</v>
      </c>
      <c r="S178" s="200">
        <v>0</v>
      </c>
      <c r="T178" s="200">
        <v>0</v>
      </c>
      <c r="U178" s="200">
        <v>0</v>
      </c>
      <c r="V178" s="200">
        <v>0</v>
      </c>
      <c r="W178" s="200">
        <v>0</v>
      </c>
      <c r="X178" s="570"/>
      <c r="Y178" s="570"/>
    </row>
    <row r="179" spans="1:27" ht="15">
      <c r="A179" s="203"/>
      <c r="B179" s="203" t="s">
        <v>679</v>
      </c>
      <c r="C179" s="203">
        <v>0</v>
      </c>
      <c r="D179" s="203">
        <v>0</v>
      </c>
      <c r="E179" s="203">
        <v>0</v>
      </c>
      <c r="F179" s="202">
        <v>0</v>
      </c>
      <c r="G179" s="202">
        <v>0</v>
      </c>
      <c r="H179" s="202">
        <v>0</v>
      </c>
      <c r="I179" s="202">
        <v>0</v>
      </c>
      <c r="J179" s="202">
        <v>0</v>
      </c>
      <c r="K179" s="202">
        <v>0</v>
      </c>
      <c r="L179" s="202">
        <v>0</v>
      </c>
      <c r="M179" s="202">
        <v>0</v>
      </c>
      <c r="N179" s="202">
        <v>0</v>
      </c>
      <c r="O179" s="202">
        <v>0</v>
      </c>
      <c r="P179" s="202">
        <v>0</v>
      </c>
      <c r="Q179" s="202">
        <v>0</v>
      </c>
      <c r="R179" s="202">
        <v>0</v>
      </c>
      <c r="S179" s="202">
        <v>0</v>
      </c>
      <c r="T179" s="202">
        <f>SUM(T180:T182)</f>
        <v>0</v>
      </c>
      <c r="U179" s="202">
        <v>0</v>
      </c>
      <c r="V179" s="202">
        <v>0</v>
      </c>
      <c r="W179" s="579">
        <v>0</v>
      </c>
      <c r="X179" s="570"/>
      <c r="Y179" s="570"/>
    </row>
    <row r="180" spans="1:27" ht="15">
      <c r="A180" s="201"/>
      <c r="B180" s="201" t="s">
        <v>670</v>
      </c>
      <c r="C180" s="201">
        <v>0</v>
      </c>
      <c r="D180" s="201">
        <v>0</v>
      </c>
      <c r="E180" s="201">
        <v>0</v>
      </c>
      <c r="F180" s="200">
        <v>0</v>
      </c>
      <c r="G180" s="200">
        <v>0</v>
      </c>
      <c r="H180" s="200">
        <v>0</v>
      </c>
      <c r="I180" s="200">
        <v>0</v>
      </c>
      <c r="J180" s="200">
        <v>0</v>
      </c>
      <c r="K180" s="200">
        <v>0</v>
      </c>
      <c r="L180" s="200">
        <v>0</v>
      </c>
      <c r="M180" s="200">
        <v>0</v>
      </c>
      <c r="N180" s="200">
        <v>0</v>
      </c>
      <c r="O180" s="200">
        <v>0</v>
      </c>
      <c r="P180" s="200">
        <v>0</v>
      </c>
      <c r="Q180" s="200">
        <v>0</v>
      </c>
      <c r="R180" s="200">
        <v>0</v>
      </c>
      <c r="S180" s="200">
        <v>0</v>
      </c>
      <c r="T180" s="200">
        <v>0</v>
      </c>
      <c r="U180" s="200">
        <v>0</v>
      </c>
      <c r="V180" s="200">
        <v>0</v>
      </c>
      <c r="W180" s="200">
        <v>0</v>
      </c>
      <c r="X180" s="570"/>
      <c r="Y180" s="570"/>
    </row>
    <row r="181" spans="1:27" ht="15">
      <c r="A181" s="201"/>
      <c r="B181" s="201" t="s">
        <v>671</v>
      </c>
      <c r="C181" s="201">
        <v>0</v>
      </c>
      <c r="D181" s="201">
        <v>0</v>
      </c>
      <c r="E181" s="201">
        <v>0</v>
      </c>
      <c r="F181" s="200">
        <v>0</v>
      </c>
      <c r="G181" s="200">
        <v>0</v>
      </c>
      <c r="H181" s="200">
        <v>0</v>
      </c>
      <c r="I181" s="200">
        <v>0</v>
      </c>
      <c r="J181" s="200">
        <v>0</v>
      </c>
      <c r="K181" s="200">
        <v>0</v>
      </c>
      <c r="L181" s="200">
        <v>0</v>
      </c>
      <c r="M181" s="200">
        <v>0</v>
      </c>
      <c r="N181" s="200">
        <v>0</v>
      </c>
      <c r="O181" s="200">
        <v>0</v>
      </c>
      <c r="P181" s="200">
        <v>0</v>
      </c>
      <c r="Q181" s="200">
        <v>0</v>
      </c>
      <c r="R181" s="200">
        <v>0</v>
      </c>
      <c r="S181" s="200">
        <v>0</v>
      </c>
      <c r="T181" s="200">
        <v>0</v>
      </c>
      <c r="U181" s="200">
        <v>0</v>
      </c>
      <c r="V181" s="200">
        <v>0</v>
      </c>
      <c r="W181" s="200">
        <v>0</v>
      </c>
      <c r="X181" s="570"/>
      <c r="Y181" s="570"/>
    </row>
    <row r="182" spans="1:27" ht="15">
      <c r="A182" s="201"/>
      <c r="B182" s="199" t="s">
        <v>672</v>
      </c>
      <c r="C182" s="199">
        <v>0</v>
      </c>
      <c r="D182" s="199">
        <v>0</v>
      </c>
      <c r="E182" s="199">
        <v>0</v>
      </c>
      <c r="F182" s="198">
        <v>0</v>
      </c>
      <c r="G182" s="198">
        <v>0</v>
      </c>
      <c r="H182" s="198">
        <v>0</v>
      </c>
      <c r="I182" s="198">
        <v>0</v>
      </c>
      <c r="J182" s="198">
        <v>0</v>
      </c>
      <c r="K182" s="198">
        <v>0</v>
      </c>
      <c r="L182" s="198">
        <v>0</v>
      </c>
      <c r="M182" s="198">
        <v>0</v>
      </c>
      <c r="N182" s="198">
        <v>0</v>
      </c>
      <c r="O182" s="198">
        <v>0</v>
      </c>
      <c r="P182" s="198">
        <v>0</v>
      </c>
      <c r="Q182" s="198">
        <v>0</v>
      </c>
      <c r="R182" s="198">
        <v>0</v>
      </c>
      <c r="S182" s="198">
        <v>0</v>
      </c>
      <c r="T182" s="198">
        <v>0</v>
      </c>
      <c r="U182" s="198">
        <v>0</v>
      </c>
      <c r="V182" s="198">
        <v>0</v>
      </c>
      <c r="W182" s="198">
        <v>0</v>
      </c>
      <c r="X182" s="570"/>
      <c r="Y182" s="570"/>
    </row>
    <row r="183" spans="1:27" ht="15">
      <c r="A183" s="197"/>
      <c r="B183" s="197" t="s">
        <v>680</v>
      </c>
      <c r="C183" s="196">
        <f t="shared" ref="C183:Q183" si="31">C179+C173+C163</f>
        <v>46757.011720000002</v>
      </c>
      <c r="D183" s="196">
        <f t="shared" si="31"/>
        <v>4637.1256399999993</v>
      </c>
      <c r="E183" s="196">
        <f t="shared" si="31"/>
        <v>3016.9564299999997</v>
      </c>
      <c r="F183" s="196">
        <f t="shared" si="31"/>
        <v>1533.6166499999999</v>
      </c>
      <c r="G183" s="196">
        <f t="shared" si="31"/>
        <v>7796</v>
      </c>
      <c r="H183" s="196">
        <f t="shared" si="31"/>
        <v>19400</v>
      </c>
      <c r="I183" s="196">
        <f t="shared" si="31"/>
        <v>29200</v>
      </c>
      <c r="J183" s="196">
        <f t="shared" si="31"/>
        <v>35346</v>
      </c>
      <c r="K183" s="196">
        <f t="shared" si="31"/>
        <v>44579</v>
      </c>
      <c r="L183" s="196">
        <f t="shared" si="31"/>
        <v>48775</v>
      </c>
      <c r="M183" s="196">
        <f t="shared" si="31"/>
        <v>56313</v>
      </c>
      <c r="N183" s="196">
        <f t="shared" si="31"/>
        <v>49856</v>
      </c>
      <c r="O183" s="196">
        <f t="shared" si="31"/>
        <v>73778</v>
      </c>
      <c r="P183" s="196">
        <f t="shared" si="31"/>
        <v>75270</v>
      </c>
      <c r="Q183" s="196">
        <f t="shared" si="31"/>
        <v>95093</v>
      </c>
      <c r="R183" s="196">
        <f>R179+R173+R163</f>
        <v>107490</v>
      </c>
      <c r="S183" s="196">
        <v>133406.16099</v>
      </c>
      <c r="T183" s="196">
        <f>T163</f>
        <v>144967.16172999999</v>
      </c>
      <c r="U183" s="196">
        <f>U163</f>
        <v>165950.78866999998</v>
      </c>
      <c r="V183" s="196">
        <f>V163</f>
        <v>166773.08022</v>
      </c>
      <c r="W183" s="196">
        <v>192995.61058000001</v>
      </c>
      <c r="X183" s="570"/>
      <c r="Y183" s="570"/>
    </row>
    <row r="184" spans="1:27" ht="5.25" customHeight="1">
      <c r="A184" s="677"/>
      <c r="B184" s="677"/>
      <c r="C184" s="677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/>
      <c r="O184" s="677"/>
      <c r="P184" s="677"/>
      <c r="Q184" s="677"/>
      <c r="R184" s="677"/>
      <c r="S184" s="677"/>
      <c r="T184" s="677"/>
      <c r="U184" s="677"/>
      <c r="V184" s="677"/>
      <c r="W184" s="677"/>
      <c r="X184" s="570"/>
      <c r="Y184" s="570"/>
    </row>
    <row r="185" spans="1:27">
      <c r="B185" s="194"/>
      <c r="C185" s="601"/>
      <c r="D185" s="601"/>
      <c r="E185" s="601"/>
      <c r="F185" s="601"/>
      <c r="G185" s="601"/>
      <c r="H185" s="601"/>
      <c r="I185" s="601"/>
      <c r="J185" s="601"/>
      <c r="K185" s="601"/>
      <c r="L185" s="601"/>
      <c r="M185" s="601"/>
      <c r="N185" s="601"/>
      <c r="O185" s="601"/>
      <c r="P185" s="601"/>
      <c r="Q185" s="601"/>
      <c r="R185" s="601"/>
      <c r="S185" s="601"/>
      <c r="T185" s="601"/>
      <c r="U185" s="601"/>
      <c r="V185" s="601"/>
      <c r="W185" s="601"/>
      <c r="X185" s="570"/>
      <c r="Y185" s="570"/>
    </row>
    <row r="186" spans="1:27">
      <c r="B186" s="194"/>
      <c r="C186" s="194"/>
      <c r="D186" s="194"/>
      <c r="E186" s="194"/>
      <c r="H186" s="193"/>
      <c r="I186" s="193"/>
      <c r="L186" s="193"/>
      <c r="M186" s="193"/>
      <c r="P186" s="193"/>
      <c r="Q186" s="193"/>
      <c r="R186" s="193"/>
      <c r="S186" s="193"/>
      <c r="T186" s="193"/>
      <c r="U186" s="193"/>
      <c r="W186" s="192"/>
      <c r="X186" s="570"/>
      <c r="Y186" s="570"/>
    </row>
    <row r="187" spans="1:27">
      <c r="B187" s="194"/>
      <c r="C187" s="194"/>
      <c r="D187" s="194"/>
      <c r="E187" s="194"/>
      <c r="H187" s="193"/>
      <c r="I187" s="193"/>
      <c r="L187" s="193"/>
      <c r="M187" s="193"/>
      <c r="P187" s="193"/>
      <c r="Q187" s="193"/>
      <c r="R187" s="193"/>
      <c r="S187" s="193"/>
      <c r="T187" s="193"/>
      <c r="U187" s="193"/>
      <c r="W187" s="192"/>
      <c r="X187" s="570"/>
      <c r="Y187" s="570"/>
    </row>
    <row r="188" spans="1:27" s="103" customFormat="1" ht="23.25">
      <c r="A188" s="74"/>
      <c r="B188" s="74" t="s">
        <v>689</v>
      </c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570"/>
      <c r="Y188" s="570"/>
      <c r="Z188"/>
      <c r="AA188"/>
    </row>
    <row r="189" spans="1:27">
      <c r="H189" s="193"/>
      <c r="I189" s="193"/>
      <c r="L189" s="193"/>
      <c r="M189" s="193"/>
      <c r="P189" s="193"/>
      <c r="Q189" s="193"/>
      <c r="R189" s="193"/>
      <c r="S189" s="193"/>
      <c r="T189" s="193"/>
      <c r="U189" s="193"/>
      <c r="W189" s="192"/>
      <c r="X189" s="570"/>
      <c r="Y189" s="570"/>
    </row>
    <row r="190" spans="1:27" ht="15">
      <c r="A190" s="677"/>
      <c r="B190" s="677" t="s">
        <v>689</v>
      </c>
      <c r="C190" s="678">
        <v>44256</v>
      </c>
      <c r="D190" s="678">
        <v>44348</v>
      </c>
      <c r="E190" s="678">
        <v>44440</v>
      </c>
      <c r="F190" s="679">
        <v>44531</v>
      </c>
      <c r="G190" s="679">
        <v>44621</v>
      </c>
      <c r="H190" s="679">
        <v>44713</v>
      </c>
      <c r="I190" s="679">
        <v>44805</v>
      </c>
      <c r="J190" s="679">
        <v>44896</v>
      </c>
      <c r="K190" s="679">
        <v>44986</v>
      </c>
      <c r="L190" s="679">
        <v>45078</v>
      </c>
      <c r="M190" s="679">
        <v>45170</v>
      </c>
      <c r="N190" s="679">
        <v>45261</v>
      </c>
      <c r="O190" s="679">
        <v>45352</v>
      </c>
      <c r="P190" s="679">
        <v>45444</v>
      </c>
      <c r="Q190" s="679">
        <v>45536</v>
      </c>
      <c r="R190" s="679">
        <v>45627</v>
      </c>
      <c r="S190" s="679">
        <v>45717</v>
      </c>
      <c r="T190" s="679">
        <v>45809</v>
      </c>
      <c r="U190" s="679">
        <v>45901</v>
      </c>
      <c r="V190" s="680">
        <v>45992</v>
      </c>
      <c r="W190" s="681">
        <v>46082</v>
      </c>
      <c r="X190" s="570"/>
      <c r="Y190" s="570"/>
    </row>
    <row r="191" spans="1:27" ht="15">
      <c r="A191" s="203"/>
      <c r="B191" s="203" t="s">
        <v>669</v>
      </c>
      <c r="C191" s="202">
        <f t="shared" ref="C191:Q191" si="32">SUM(C192:C195)</f>
        <v>404481.817827272</v>
      </c>
      <c r="D191" s="202">
        <f t="shared" si="32"/>
        <v>385247.987803503</v>
      </c>
      <c r="E191" s="202">
        <f t="shared" si="32"/>
        <v>611564.30726970511</v>
      </c>
      <c r="F191" s="202">
        <f t="shared" si="32"/>
        <v>674689.56614782906</v>
      </c>
      <c r="G191" s="202">
        <f t="shared" si="32"/>
        <v>970149.38150999998</v>
      </c>
      <c r="H191" s="202">
        <f t="shared" si="32"/>
        <v>630140.36225000001</v>
      </c>
      <c r="I191" s="202">
        <f t="shared" si="32"/>
        <v>1271740.28627</v>
      </c>
      <c r="J191" s="202">
        <f t="shared" si="32"/>
        <v>917343.98256999999</v>
      </c>
      <c r="K191" s="202">
        <f t="shared" si="32"/>
        <v>1295643.9579700003</v>
      </c>
      <c r="L191" s="202">
        <f t="shared" si="32"/>
        <v>826047.17909461726</v>
      </c>
      <c r="M191" s="202">
        <f t="shared" si="32"/>
        <v>1878774.124543146</v>
      </c>
      <c r="N191" s="202">
        <f t="shared" si="32"/>
        <v>850818.46924243355</v>
      </c>
      <c r="O191" s="202">
        <f t="shared" si="32"/>
        <v>1264032.883974062</v>
      </c>
      <c r="P191" s="202">
        <f t="shared" si="32"/>
        <v>884678.20129654789</v>
      </c>
      <c r="Q191" s="202">
        <f t="shared" si="32"/>
        <v>913017.63784989412</v>
      </c>
      <c r="R191" s="202">
        <f>SUM(R192:R195)</f>
        <v>1209270.1768458891</v>
      </c>
      <c r="S191" s="202">
        <v>1204381.1811091243</v>
      </c>
      <c r="T191" s="202">
        <f>SUM(T192:T195)</f>
        <v>1112835.0634936451</v>
      </c>
      <c r="U191" s="202">
        <f>SUM(U192:U195)</f>
        <v>1103553.5868201605</v>
      </c>
      <c r="V191" s="202">
        <f>SUM(V192:V195)</f>
        <v>1695789.4522360901</v>
      </c>
      <c r="W191" s="579">
        <f>SUM(W192:W195)</f>
        <v>1108752.4095661361</v>
      </c>
      <c r="X191" s="570"/>
      <c r="Y191" s="570"/>
    </row>
    <row r="192" spans="1:27" ht="15">
      <c r="A192" s="201"/>
      <c r="B192" s="201" t="s">
        <v>670</v>
      </c>
      <c r="C192" s="201">
        <v>0</v>
      </c>
      <c r="D192" s="201">
        <v>0</v>
      </c>
      <c r="E192" s="201">
        <v>0</v>
      </c>
      <c r="F192" s="200">
        <v>0</v>
      </c>
      <c r="G192" s="200">
        <v>0</v>
      </c>
      <c r="H192" s="200">
        <v>0</v>
      </c>
      <c r="I192" s="200">
        <v>0</v>
      </c>
      <c r="J192" s="200">
        <v>0</v>
      </c>
      <c r="K192" s="200">
        <v>0</v>
      </c>
      <c r="L192" s="200">
        <v>0</v>
      </c>
      <c r="M192" s="200">
        <v>0</v>
      </c>
      <c r="N192" s="200">
        <v>0</v>
      </c>
      <c r="O192" s="200">
        <v>0</v>
      </c>
      <c r="P192" s="200">
        <v>0</v>
      </c>
      <c r="Q192" s="200">
        <v>0</v>
      </c>
      <c r="R192" s="200">
        <v>0</v>
      </c>
      <c r="S192" s="200">
        <v>0</v>
      </c>
      <c r="T192" s="200">
        <v>0</v>
      </c>
      <c r="U192" s="200">
        <v>0</v>
      </c>
      <c r="V192" s="200">
        <v>0</v>
      </c>
      <c r="W192" s="200">
        <v>0</v>
      </c>
      <c r="X192" s="570"/>
      <c r="Y192" s="570"/>
    </row>
    <row r="193" spans="1:25" ht="15">
      <c r="A193" s="201"/>
      <c r="B193" s="201" t="s">
        <v>671</v>
      </c>
      <c r="C193" s="201">
        <v>0</v>
      </c>
      <c r="D193" s="201">
        <v>0</v>
      </c>
      <c r="E193" s="201">
        <v>0</v>
      </c>
      <c r="F193" s="200">
        <v>0</v>
      </c>
      <c r="G193" s="200">
        <v>0</v>
      </c>
      <c r="H193" s="200">
        <v>0</v>
      </c>
      <c r="I193" s="200">
        <v>0</v>
      </c>
      <c r="J193" s="200">
        <v>142583.43818999999</v>
      </c>
      <c r="K193" s="200">
        <v>211857.65867</v>
      </c>
      <c r="L193" s="200">
        <v>273307.90383999998</v>
      </c>
      <c r="M193" s="200">
        <v>208360.98981</v>
      </c>
      <c r="N193" s="200">
        <v>265139.96939034405</v>
      </c>
      <c r="O193" s="200">
        <v>306987.23761000001</v>
      </c>
      <c r="P193" s="200">
        <v>465776.38007000001</v>
      </c>
      <c r="Q193" s="200">
        <v>456350.98768000002</v>
      </c>
      <c r="R193" s="200">
        <v>468600.20364999998</v>
      </c>
      <c r="S193" s="200">
        <v>488113.15572000004</v>
      </c>
      <c r="T193" s="200">
        <v>555595.86046</v>
      </c>
      <c r="U193" s="200">
        <v>627031.22331853397</v>
      </c>
      <c r="V193" s="200">
        <v>649770.79945000005</v>
      </c>
      <c r="W193" s="200">
        <v>672452.47173999995</v>
      </c>
      <c r="X193" s="570"/>
      <c r="Y193" s="570"/>
    </row>
    <row r="194" spans="1:25" ht="15">
      <c r="A194" s="201"/>
      <c r="B194" s="201" t="s">
        <v>672</v>
      </c>
      <c r="C194" s="201">
        <v>0</v>
      </c>
      <c r="D194" s="201">
        <v>0</v>
      </c>
      <c r="E194" s="201">
        <v>0</v>
      </c>
      <c r="F194" s="200">
        <v>0</v>
      </c>
      <c r="G194" s="200">
        <v>0</v>
      </c>
      <c r="H194" s="200">
        <v>0</v>
      </c>
      <c r="I194" s="200">
        <v>0</v>
      </c>
      <c r="J194" s="200">
        <v>0</v>
      </c>
      <c r="K194" s="200">
        <v>0</v>
      </c>
      <c r="L194" s="200">
        <v>0</v>
      </c>
      <c r="M194" s="200">
        <v>0</v>
      </c>
      <c r="N194" s="200">
        <v>0</v>
      </c>
      <c r="O194" s="200">
        <v>0</v>
      </c>
      <c r="P194" s="200">
        <v>0</v>
      </c>
      <c r="Q194" s="200">
        <v>0</v>
      </c>
      <c r="R194" s="200">
        <v>0</v>
      </c>
      <c r="S194" s="200">
        <v>0</v>
      </c>
      <c r="T194" s="200">
        <v>0</v>
      </c>
      <c r="U194" s="200">
        <v>0</v>
      </c>
      <c r="V194" s="200">
        <v>0</v>
      </c>
      <c r="W194" s="200">
        <v>0</v>
      </c>
      <c r="X194" s="570"/>
      <c r="Y194" s="570"/>
    </row>
    <row r="195" spans="1:25" ht="15">
      <c r="A195" s="201"/>
      <c r="B195" s="201" t="s">
        <v>673</v>
      </c>
      <c r="C195" s="201">
        <v>404481.817827272</v>
      </c>
      <c r="D195" s="201">
        <v>385247.987803503</v>
      </c>
      <c r="E195" s="201">
        <v>611564.30726970511</v>
      </c>
      <c r="F195" s="200">
        <v>674689.56614782906</v>
      </c>
      <c r="G195" s="200">
        <v>970149.38150999998</v>
      </c>
      <c r="H195" s="200">
        <v>630140.36225000001</v>
      </c>
      <c r="I195" s="200">
        <v>1271740.28627</v>
      </c>
      <c r="J195" s="200">
        <v>774760.54437999998</v>
      </c>
      <c r="K195" s="200">
        <v>1083786.2993000003</v>
      </c>
      <c r="L195" s="200">
        <v>552739.27525461733</v>
      </c>
      <c r="M195" s="200">
        <v>1670413.1347331461</v>
      </c>
      <c r="N195" s="200">
        <v>585678.49985208944</v>
      </c>
      <c r="O195" s="200">
        <v>957045.64636406198</v>
      </c>
      <c r="P195" s="200">
        <v>418901.82122654788</v>
      </c>
      <c r="Q195" s="200">
        <v>456666.6501698941</v>
      </c>
      <c r="R195" s="200">
        <v>740669.97319588903</v>
      </c>
      <c r="S195" s="200">
        <v>716268.02538912441</v>
      </c>
      <c r="T195" s="200">
        <f>SUM(T196:T198)</f>
        <v>557239.20303364506</v>
      </c>
      <c r="U195" s="200">
        <v>476522.36350162642</v>
      </c>
      <c r="V195" s="200">
        <v>1046018.65278609</v>
      </c>
      <c r="W195" s="200">
        <v>436299.93782613601</v>
      </c>
      <c r="X195" s="570"/>
      <c r="Y195" s="570"/>
    </row>
    <row r="196" spans="1:25" ht="15">
      <c r="A196" s="201"/>
      <c r="B196" s="201" t="s">
        <v>674</v>
      </c>
      <c r="C196" s="201">
        <v>0</v>
      </c>
      <c r="D196" s="201">
        <v>0</v>
      </c>
      <c r="E196" s="201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1230346.14754</v>
      </c>
      <c r="N196" s="200">
        <v>440094.54882000003</v>
      </c>
      <c r="O196" s="200">
        <v>838620.30879000004</v>
      </c>
      <c r="P196" s="200">
        <v>400503.16123000003</v>
      </c>
      <c r="Q196" s="200">
        <v>405044.15525000001</v>
      </c>
      <c r="R196" s="200">
        <v>627244.39286999998</v>
      </c>
      <c r="S196" s="200">
        <v>664230.02538912441</v>
      </c>
      <c r="T196" s="200">
        <v>556476.20303364506</v>
      </c>
      <c r="U196" s="200">
        <v>475774.36350162642</v>
      </c>
      <c r="V196" s="200">
        <v>1045172.7271016014</v>
      </c>
      <c r="W196" s="200">
        <v>428242.72641613602</v>
      </c>
      <c r="X196" s="570"/>
      <c r="Y196" s="570"/>
    </row>
    <row r="197" spans="1:25" ht="15">
      <c r="A197" s="201"/>
      <c r="B197" s="201" t="s">
        <v>675</v>
      </c>
      <c r="C197" s="201">
        <v>0</v>
      </c>
      <c r="D197" s="201">
        <v>0</v>
      </c>
      <c r="E197" s="201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570"/>
      <c r="Y197" s="570"/>
    </row>
    <row r="198" spans="1:25" ht="15">
      <c r="A198" s="201"/>
      <c r="B198" s="201" t="s">
        <v>676</v>
      </c>
      <c r="C198" s="201">
        <v>404481.817827272</v>
      </c>
      <c r="D198" s="201">
        <v>385247.987803503</v>
      </c>
      <c r="E198" s="201">
        <v>611564.30726970511</v>
      </c>
      <c r="F198" s="200">
        <v>674689.56614782906</v>
      </c>
      <c r="G198" s="200">
        <v>970149.38150999998</v>
      </c>
      <c r="H198" s="200">
        <v>630140.36225000001</v>
      </c>
      <c r="I198" s="200">
        <v>1271740.28627</v>
      </c>
      <c r="J198" s="200">
        <v>774760.54437999998</v>
      </c>
      <c r="K198" s="200">
        <v>1083786.2993000003</v>
      </c>
      <c r="L198" s="200">
        <v>552739.27525461733</v>
      </c>
      <c r="M198" s="200">
        <v>288592.19135545299</v>
      </c>
      <c r="N198" s="200">
        <v>87161.58593271127</v>
      </c>
      <c r="O198" s="200">
        <v>1881.2622310008271</v>
      </c>
      <c r="P198" s="200">
        <v>1899.9704434028042</v>
      </c>
      <c r="Q198" s="200">
        <v>3780.8578112314585</v>
      </c>
      <c r="R198" s="200">
        <v>2693.5803258890519</v>
      </c>
      <c r="S198" s="200">
        <v>52038</v>
      </c>
      <c r="T198" s="200">
        <v>763</v>
      </c>
      <c r="U198" s="200">
        <v>748</v>
      </c>
      <c r="V198" s="200">
        <v>845.92568448861675</v>
      </c>
      <c r="W198" s="200">
        <v>8057.2114099999999</v>
      </c>
      <c r="X198" s="570"/>
      <c r="Y198" s="570"/>
    </row>
    <row r="199" spans="1:25" ht="15">
      <c r="A199" s="201"/>
      <c r="B199" s="201" t="s">
        <v>677</v>
      </c>
      <c r="C199" s="201">
        <v>0</v>
      </c>
      <c r="D199" s="201">
        <v>0</v>
      </c>
      <c r="E199" s="201">
        <v>0</v>
      </c>
      <c r="F199" s="200">
        <v>0</v>
      </c>
      <c r="G199" s="200">
        <v>0</v>
      </c>
      <c r="H199" s="200">
        <v>0</v>
      </c>
      <c r="I199" s="200">
        <v>0</v>
      </c>
      <c r="J199" s="200">
        <v>0</v>
      </c>
      <c r="K199" s="200">
        <v>0</v>
      </c>
      <c r="L199" s="200">
        <v>0</v>
      </c>
      <c r="M199" s="200">
        <v>0</v>
      </c>
      <c r="N199" s="200">
        <v>0</v>
      </c>
      <c r="O199" s="200">
        <v>0</v>
      </c>
      <c r="P199" s="200">
        <v>0</v>
      </c>
      <c r="Q199" s="200">
        <v>0</v>
      </c>
      <c r="R199" s="200">
        <v>0</v>
      </c>
      <c r="S199" s="200">
        <v>0</v>
      </c>
      <c r="T199" s="200">
        <v>0</v>
      </c>
      <c r="U199" s="200">
        <v>0</v>
      </c>
      <c r="V199" s="200">
        <v>0</v>
      </c>
      <c r="W199" s="200">
        <v>0</v>
      </c>
      <c r="X199" s="570"/>
      <c r="Y199" s="570"/>
    </row>
    <row r="200" spans="1:25" ht="15">
      <c r="A200" s="201"/>
      <c r="B200" s="201" t="s">
        <v>381</v>
      </c>
      <c r="C200" s="201">
        <v>0</v>
      </c>
      <c r="D200" s="201">
        <v>0</v>
      </c>
      <c r="E200" s="201">
        <v>0</v>
      </c>
      <c r="F200" s="200">
        <v>0</v>
      </c>
      <c r="G200" s="200">
        <v>0</v>
      </c>
      <c r="H200" s="200">
        <v>0</v>
      </c>
      <c r="I200" s="200">
        <v>0</v>
      </c>
      <c r="J200" s="200">
        <v>0</v>
      </c>
      <c r="K200" s="200">
        <v>0</v>
      </c>
      <c r="L200" s="200">
        <v>0</v>
      </c>
      <c r="M200" s="200">
        <v>0</v>
      </c>
      <c r="N200" s="200">
        <v>0</v>
      </c>
      <c r="O200" s="200">
        <v>0</v>
      </c>
      <c r="P200" s="200">
        <v>0</v>
      </c>
      <c r="Q200" s="200">
        <v>0</v>
      </c>
      <c r="R200" s="200">
        <v>0</v>
      </c>
      <c r="S200" s="200">
        <v>0</v>
      </c>
      <c r="T200" s="200">
        <v>0</v>
      </c>
      <c r="U200" s="200">
        <v>0</v>
      </c>
      <c r="V200" s="200">
        <v>0</v>
      </c>
      <c r="W200" s="200">
        <v>0</v>
      </c>
      <c r="X200" s="570"/>
      <c r="Y200" s="570"/>
    </row>
    <row r="201" spans="1:25" ht="15">
      <c r="A201" s="203"/>
      <c r="B201" s="203" t="s">
        <v>678</v>
      </c>
      <c r="C201" s="203">
        <v>0</v>
      </c>
      <c r="D201" s="203">
        <v>0</v>
      </c>
      <c r="E201" s="203">
        <v>0</v>
      </c>
      <c r="F201" s="202">
        <v>0</v>
      </c>
      <c r="G201" s="202">
        <v>0</v>
      </c>
      <c r="H201" s="202">
        <v>0</v>
      </c>
      <c r="I201" s="202">
        <v>0</v>
      </c>
      <c r="J201" s="202">
        <v>0</v>
      </c>
      <c r="K201" s="202">
        <v>0</v>
      </c>
      <c r="L201" s="202">
        <v>0</v>
      </c>
      <c r="M201" s="202">
        <v>0</v>
      </c>
      <c r="N201" s="202">
        <v>0</v>
      </c>
      <c r="O201" s="202">
        <v>0</v>
      </c>
      <c r="P201" s="202">
        <v>0</v>
      </c>
      <c r="Q201" s="202">
        <v>0</v>
      </c>
      <c r="R201" s="202">
        <v>0</v>
      </c>
      <c r="S201" s="202">
        <v>0</v>
      </c>
      <c r="T201" s="202">
        <f>SUM(T202:T206)</f>
        <v>0</v>
      </c>
      <c r="U201" s="202">
        <v>0</v>
      </c>
      <c r="V201" s="205">
        <v>0</v>
      </c>
      <c r="W201" s="702">
        <v>0</v>
      </c>
      <c r="X201" s="570"/>
      <c r="Y201" s="570"/>
    </row>
    <row r="202" spans="1:25" ht="15">
      <c r="A202" s="201"/>
      <c r="B202" s="201" t="s">
        <v>670</v>
      </c>
      <c r="C202" s="201">
        <v>0</v>
      </c>
      <c r="D202" s="201">
        <v>0</v>
      </c>
      <c r="E202" s="201">
        <v>0</v>
      </c>
      <c r="F202" s="200">
        <v>0</v>
      </c>
      <c r="G202" s="200">
        <v>0</v>
      </c>
      <c r="H202" s="200">
        <v>0</v>
      </c>
      <c r="I202" s="200">
        <v>0</v>
      </c>
      <c r="J202" s="200">
        <v>0</v>
      </c>
      <c r="K202" s="200">
        <v>0</v>
      </c>
      <c r="L202" s="200">
        <v>0</v>
      </c>
      <c r="M202" s="200">
        <v>0</v>
      </c>
      <c r="N202" s="200">
        <v>0</v>
      </c>
      <c r="O202" s="200">
        <v>0</v>
      </c>
      <c r="P202" s="200">
        <v>0</v>
      </c>
      <c r="Q202" s="200">
        <v>0</v>
      </c>
      <c r="R202" s="200">
        <v>0</v>
      </c>
      <c r="S202" s="200">
        <v>0</v>
      </c>
      <c r="T202" s="200">
        <v>0</v>
      </c>
      <c r="U202" s="200">
        <v>0</v>
      </c>
      <c r="V202" s="200">
        <v>0</v>
      </c>
      <c r="W202" s="200">
        <v>0</v>
      </c>
      <c r="X202" s="570"/>
      <c r="Y202" s="570"/>
    </row>
    <row r="203" spans="1:25" ht="15">
      <c r="A203" s="201"/>
      <c r="B203" s="201" t="s">
        <v>671</v>
      </c>
      <c r="C203" s="201">
        <v>0</v>
      </c>
      <c r="D203" s="201">
        <v>0</v>
      </c>
      <c r="E203" s="201">
        <v>0</v>
      </c>
      <c r="F203" s="200">
        <v>0</v>
      </c>
      <c r="G203" s="200">
        <v>0</v>
      </c>
      <c r="H203" s="200">
        <v>0</v>
      </c>
      <c r="I203" s="200">
        <v>0</v>
      </c>
      <c r="J203" s="200">
        <v>0</v>
      </c>
      <c r="K203" s="200">
        <v>0</v>
      </c>
      <c r="L203" s="200">
        <v>0</v>
      </c>
      <c r="M203" s="200">
        <v>0</v>
      </c>
      <c r="N203" s="200">
        <v>0</v>
      </c>
      <c r="O203" s="200">
        <v>0</v>
      </c>
      <c r="P203" s="200">
        <v>0</v>
      </c>
      <c r="Q203" s="200">
        <v>0</v>
      </c>
      <c r="R203" s="200">
        <v>0</v>
      </c>
      <c r="S203" s="200">
        <v>0</v>
      </c>
      <c r="T203" s="200">
        <v>0</v>
      </c>
      <c r="U203" s="200">
        <v>0</v>
      </c>
      <c r="V203" s="200">
        <v>0</v>
      </c>
      <c r="W203" s="200">
        <v>0</v>
      </c>
      <c r="X203" s="570"/>
      <c r="Y203" s="570"/>
    </row>
    <row r="204" spans="1:25" ht="15">
      <c r="A204" s="201"/>
      <c r="B204" s="201" t="s">
        <v>672</v>
      </c>
      <c r="C204" s="201">
        <v>0</v>
      </c>
      <c r="D204" s="201">
        <v>0</v>
      </c>
      <c r="E204" s="201">
        <v>0</v>
      </c>
      <c r="F204" s="200">
        <v>0</v>
      </c>
      <c r="G204" s="200">
        <v>0</v>
      </c>
      <c r="H204" s="200">
        <v>0</v>
      </c>
      <c r="I204" s="200">
        <v>0</v>
      </c>
      <c r="J204" s="200">
        <v>0</v>
      </c>
      <c r="K204" s="200">
        <v>0</v>
      </c>
      <c r="L204" s="200">
        <v>0</v>
      </c>
      <c r="M204" s="200">
        <v>0</v>
      </c>
      <c r="N204" s="200">
        <v>0</v>
      </c>
      <c r="O204" s="200">
        <v>0</v>
      </c>
      <c r="P204" s="200">
        <v>0</v>
      </c>
      <c r="Q204" s="200">
        <v>0</v>
      </c>
      <c r="R204" s="200">
        <v>0</v>
      </c>
      <c r="S204" s="200">
        <v>0</v>
      </c>
      <c r="T204" s="200">
        <v>0</v>
      </c>
      <c r="U204" s="200">
        <v>0</v>
      </c>
      <c r="V204" s="200">
        <v>0</v>
      </c>
      <c r="W204" s="200">
        <v>0</v>
      </c>
      <c r="X204" s="570"/>
      <c r="Y204" s="570"/>
    </row>
    <row r="205" spans="1:25" ht="15">
      <c r="A205" s="201"/>
      <c r="B205" s="201" t="s">
        <v>677</v>
      </c>
      <c r="C205" s="201">
        <v>0</v>
      </c>
      <c r="D205" s="201">
        <v>0</v>
      </c>
      <c r="E205" s="201">
        <v>0</v>
      </c>
      <c r="F205" s="200">
        <v>0</v>
      </c>
      <c r="G205" s="200">
        <v>0</v>
      </c>
      <c r="H205" s="200">
        <v>0</v>
      </c>
      <c r="I205" s="200">
        <v>0</v>
      </c>
      <c r="J205" s="200">
        <v>0</v>
      </c>
      <c r="K205" s="200">
        <v>0</v>
      </c>
      <c r="L205" s="200">
        <v>0</v>
      </c>
      <c r="M205" s="200">
        <v>0</v>
      </c>
      <c r="N205" s="200">
        <v>0</v>
      </c>
      <c r="O205" s="200">
        <v>0</v>
      </c>
      <c r="P205" s="200">
        <v>0</v>
      </c>
      <c r="Q205" s="200">
        <v>0</v>
      </c>
      <c r="R205" s="200">
        <v>0</v>
      </c>
      <c r="S205" s="200">
        <v>0</v>
      </c>
      <c r="T205" s="200">
        <v>0</v>
      </c>
      <c r="U205" s="200">
        <v>0</v>
      </c>
      <c r="V205" s="200">
        <v>0</v>
      </c>
      <c r="W205" s="200">
        <v>0</v>
      </c>
      <c r="X205" s="570"/>
      <c r="Y205" s="570"/>
    </row>
    <row r="206" spans="1:25" ht="15">
      <c r="A206" s="201"/>
      <c r="B206" s="201" t="s">
        <v>381</v>
      </c>
      <c r="C206" s="201">
        <v>0</v>
      </c>
      <c r="D206" s="201">
        <v>0</v>
      </c>
      <c r="E206" s="201">
        <v>0</v>
      </c>
      <c r="F206" s="200">
        <v>0</v>
      </c>
      <c r="G206" s="200">
        <v>0</v>
      </c>
      <c r="H206" s="200">
        <v>0</v>
      </c>
      <c r="I206" s="200">
        <v>0</v>
      </c>
      <c r="J206" s="200">
        <v>0</v>
      </c>
      <c r="K206" s="200">
        <v>0</v>
      </c>
      <c r="L206" s="200">
        <v>0</v>
      </c>
      <c r="M206" s="200">
        <v>0</v>
      </c>
      <c r="N206" s="200">
        <v>0</v>
      </c>
      <c r="O206" s="200">
        <v>0</v>
      </c>
      <c r="P206" s="200">
        <v>0</v>
      </c>
      <c r="Q206" s="200">
        <v>0</v>
      </c>
      <c r="R206" s="200">
        <v>0</v>
      </c>
      <c r="S206" s="200">
        <v>0</v>
      </c>
      <c r="T206" s="200">
        <v>0</v>
      </c>
      <c r="U206" s="200">
        <v>0</v>
      </c>
      <c r="V206" s="200">
        <v>0</v>
      </c>
      <c r="W206" s="200">
        <v>0</v>
      </c>
      <c r="X206" s="570"/>
      <c r="Y206" s="570"/>
    </row>
    <row r="207" spans="1:25" ht="15">
      <c r="A207" s="203"/>
      <c r="B207" s="203" t="s">
        <v>679</v>
      </c>
      <c r="C207" s="203">
        <v>0</v>
      </c>
      <c r="D207" s="203">
        <v>0</v>
      </c>
      <c r="E207" s="203">
        <v>0</v>
      </c>
      <c r="F207" s="202">
        <v>0</v>
      </c>
      <c r="G207" s="202">
        <v>0</v>
      </c>
      <c r="H207" s="202">
        <v>0</v>
      </c>
      <c r="I207" s="202">
        <v>0</v>
      </c>
      <c r="J207" s="202">
        <v>0</v>
      </c>
      <c r="K207" s="202">
        <v>0</v>
      </c>
      <c r="L207" s="202">
        <v>0</v>
      </c>
      <c r="M207" s="202">
        <v>0</v>
      </c>
      <c r="N207" s="202">
        <v>0</v>
      </c>
      <c r="O207" s="202">
        <v>0</v>
      </c>
      <c r="P207" s="202">
        <v>0</v>
      </c>
      <c r="Q207" s="202">
        <v>0</v>
      </c>
      <c r="R207" s="202">
        <v>0</v>
      </c>
      <c r="S207" s="202">
        <v>0</v>
      </c>
      <c r="T207" s="202">
        <f>SUM(T208:T210)</f>
        <v>0</v>
      </c>
      <c r="U207" s="202">
        <v>0</v>
      </c>
      <c r="V207" s="202">
        <v>0</v>
      </c>
      <c r="W207" s="579">
        <v>0</v>
      </c>
      <c r="X207" s="570"/>
      <c r="Y207" s="570"/>
    </row>
    <row r="208" spans="1:25" ht="15">
      <c r="A208" s="201"/>
      <c r="B208" s="201" t="s">
        <v>670</v>
      </c>
      <c r="C208" s="201">
        <v>0</v>
      </c>
      <c r="D208" s="201">
        <v>0</v>
      </c>
      <c r="E208" s="201">
        <v>0</v>
      </c>
      <c r="F208" s="200">
        <v>0</v>
      </c>
      <c r="G208" s="200">
        <v>0</v>
      </c>
      <c r="H208" s="200">
        <v>0</v>
      </c>
      <c r="I208" s="200">
        <v>0</v>
      </c>
      <c r="J208" s="200">
        <v>0</v>
      </c>
      <c r="K208" s="200">
        <v>0</v>
      </c>
      <c r="L208" s="200">
        <v>0</v>
      </c>
      <c r="M208" s="200">
        <v>0</v>
      </c>
      <c r="N208" s="200">
        <v>0</v>
      </c>
      <c r="O208" s="200">
        <v>0</v>
      </c>
      <c r="P208" s="200">
        <v>0</v>
      </c>
      <c r="Q208" s="200">
        <v>0</v>
      </c>
      <c r="R208" s="200">
        <v>0</v>
      </c>
      <c r="S208" s="200">
        <v>0</v>
      </c>
      <c r="T208" s="200"/>
      <c r="U208" s="200">
        <v>0</v>
      </c>
      <c r="V208" s="200">
        <v>0</v>
      </c>
      <c r="W208" s="200">
        <v>0</v>
      </c>
      <c r="X208" s="570"/>
      <c r="Y208" s="570"/>
    </row>
    <row r="209" spans="1:27" ht="15">
      <c r="A209" s="201"/>
      <c r="B209" s="201" t="s">
        <v>671</v>
      </c>
      <c r="C209" s="201">
        <v>0</v>
      </c>
      <c r="D209" s="201">
        <v>0</v>
      </c>
      <c r="E209" s="201">
        <v>0</v>
      </c>
      <c r="F209" s="200">
        <v>0</v>
      </c>
      <c r="G209" s="200">
        <v>0</v>
      </c>
      <c r="H209" s="200">
        <v>0</v>
      </c>
      <c r="I209" s="200">
        <v>0</v>
      </c>
      <c r="J209" s="200">
        <v>0</v>
      </c>
      <c r="K209" s="200">
        <v>0</v>
      </c>
      <c r="L209" s="200">
        <v>0</v>
      </c>
      <c r="M209" s="200">
        <v>0</v>
      </c>
      <c r="N209" s="200">
        <v>0</v>
      </c>
      <c r="O209" s="200">
        <v>0</v>
      </c>
      <c r="P209" s="200">
        <v>0</v>
      </c>
      <c r="Q209" s="200">
        <v>0</v>
      </c>
      <c r="R209" s="200">
        <v>0</v>
      </c>
      <c r="S209" s="200">
        <v>0</v>
      </c>
      <c r="T209" s="200">
        <v>0</v>
      </c>
      <c r="U209" s="200">
        <v>0</v>
      </c>
      <c r="V209" s="200">
        <v>0</v>
      </c>
      <c r="W209" s="200">
        <v>0</v>
      </c>
      <c r="X209" s="570"/>
      <c r="Y209" s="570"/>
    </row>
    <row r="210" spans="1:27" ht="15">
      <c r="A210" s="201"/>
      <c r="B210" s="199" t="s">
        <v>672</v>
      </c>
      <c r="C210" s="199">
        <v>0</v>
      </c>
      <c r="D210" s="199">
        <v>0</v>
      </c>
      <c r="E210" s="199">
        <v>0</v>
      </c>
      <c r="F210" s="198">
        <v>0</v>
      </c>
      <c r="G210" s="198">
        <v>0</v>
      </c>
      <c r="H210" s="198">
        <v>0</v>
      </c>
      <c r="I210" s="198">
        <v>0</v>
      </c>
      <c r="J210" s="198">
        <v>0</v>
      </c>
      <c r="K210" s="198">
        <v>0</v>
      </c>
      <c r="L210" s="198">
        <v>0</v>
      </c>
      <c r="M210" s="198">
        <v>0</v>
      </c>
      <c r="N210" s="198">
        <v>0</v>
      </c>
      <c r="O210" s="198">
        <v>0</v>
      </c>
      <c r="P210" s="198">
        <v>0</v>
      </c>
      <c r="Q210" s="198">
        <v>0</v>
      </c>
      <c r="R210" s="198">
        <v>0</v>
      </c>
      <c r="S210" s="198">
        <v>0</v>
      </c>
      <c r="T210" s="198"/>
      <c r="U210" s="198">
        <v>0</v>
      </c>
      <c r="V210" s="198">
        <v>0</v>
      </c>
      <c r="W210" s="198">
        <v>0</v>
      </c>
      <c r="X210" s="570"/>
      <c r="Y210" s="570"/>
    </row>
    <row r="211" spans="1:27" ht="15">
      <c r="A211" s="197"/>
      <c r="B211" s="197" t="s">
        <v>680</v>
      </c>
      <c r="C211" s="197">
        <f>C207+C201+C191</f>
        <v>404481.817827272</v>
      </c>
      <c r="D211" s="197">
        <f t="shared" ref="D211:R211" si="33">D207+D201+D191</f>
        <v>385247.987803503</v>
      </c>
      <c r="E211" s="197">
        <f t="shared" si="33"/>
        <v>611564.30726970511</v>
      </c>
      <c r="F211" s="197">
        <f t="shared" si="33"/>
        <v>674689.56614782906</v>
      </c>
      <c r="G211" s="197">
        <f t="shared" si="33"/>
        <v>970149.38150999998</v>
      </c>
      <c r="H211" s="197">
        <f t="shared" si="33"/>
        <v>630140.36225000001</v>
      </c>
      <c r="I211" s="197">
        <f t="shared" si="33"/>
        <v>1271740.28627</v>
      </c>
      <c r="J211" s="197">
        <f t="shared" si="33"/>
        <v>917343.98256999999</v>
      </c>
      <c r="K211" s="197">
        <f t="shared" si="33"/>
        <v>1295643.9579700003</v>
      </c>
      <c r="L211" s="197">
        <f t="shared" si="33"/>
        <v>826047.17909461726</v>
      </c>
      <c r="M211" s="197">
        <f t="shared" si="33"/>
        <v>1878774.124543146</v>
      </c>
      <c r="N211" s="197">
        <f t="shared" si="33"/>
        <v>850818.46924243355</v>
      </c>
      <c r="O211" s="197">
        <f t="shared" si="33"/>
        <v>1264032.883974062</v>
      </c>
      <c r="P211" s="197">
        <f t="shared" si="33"/>
        <v>884678.20129654789</v>
      </c>
      <c r="Q211" s="197">
        <f t="shared" si="33"/>
        <v>913017.63784989412</v>
      </c>
      <c r="R211" s="197">
        <f t="shared" si="33"/>
        <v>1209270.1768458891</v>
      </c>
      <c r="S211" s="197">
        <v>1204381.1811091243</v>
      </c>
      <c r="T211" s="197">
        <f>T191+T201+T207</f>
        <v>1112835.0634936451</v>
      </c>
      <c r="U211" s="197">
        <f>U191+U201+U207</f>
        <v>1103553.5868201605</v>
      </c>
      <c r="V211" s="197">
        <f>V191+V201+V207</f>
        <v>1695789.4522360901</v>
      </c>
      <c r="W211" s="197">
        <v>1108752.4095661361</v>
      </c>
      <c r="X211" s="570"/>
      <c r="Y211" s="570"/>
    </row>
    <row r="212" spans="1:27" ht="5.25" customHeight="1">
      <c r="A212" s="677"/>
      <c r="B212" s="677"/>
      <c r="C212" s="677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/>
      <c r="O212" s="677"/>
      <c r="P212" s="677"/>
      <c r="Q212" s="677"/>
      <c r="R212" s="677"/>
      <c r="S212" s="677"/>
      <c r="T212" s="677"/>
      <c r="U212" s="677"/>
      <c r="V212" s="677"/>
      <c r="W212" s="677"/>
      <c r="X212" s="570"/>
      <c r="Y212" s="570"/>
    </row>
    <row r="213" spans="1:27">
      <c r="B213" s="194"/>
      <c r="C213" s="706"/>
      <c r="D213" s="706"/>
      <c r="E213" s="706"/>
      <c r="F213" s="706"/>
      <c r="G213" s="706"/>
      <c r="H213" s="706"/>
      <c r="I213" s="706"/>
      <c r="J213" s="706"/>
      <c r="K213" s="706"/>
      <c r="L213" s="706"/>
      <c r="M213" s="706"/>
      <c r="N213" s="706"/>
      <c r="O213" s="706"/>
      <c r="P213" s="706"/>
      <c r="Q213" s="706"/>
      <c r="R213" s="706"/>
      <c r="S213" s="706"/>
      <c r="T213" s="706"/>
      <c r="U213" s="706"/>
      <c r="V213" s="706"/>
      <c r="W213" s="706"/>
      <c r="X213" s="570"/>
      <c r="Y213" s="570"/>
    </row>
    <row r="214" spans="1:27">
      <c r="B214" s="194"/>
      <c r="C214" s="194"/>
      <c r="D214" s="194"/>
      <c r="E214" s="194"/>
      <c r="H214" s="193"/>
      <c r="I214" s="193"/>
      <c r="L214" s="193"/>
      <c r="M214" s="193"/>
      <c r="P214" s="193"/>
      <c r="Q214" s="193"/>
      <c r="R214" s="193"/>
      <c r="S214" s="193"/>
      <c r="T214" s="193"/>
      <c r="U214" s="193"/>
      <c r="W214" s="192"/>
      <c r="X214" s="570"/>
      <c r="Y214" s="570"/>
    </row>
    <row r="215" spans="1:27" s="103" customFormat="1" ht="23.25">
      <c r="A215" s="74"/>
      <c r="B215" s="74" t="s">
        <v>690</v>
      </c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570"/>
      <c r="Y215" s="570"/>
      <c r="Z215" s="227"/>
      <c r="AA215" s="227"/>
    </row>
    <row r="216" spans="1:27">
      <c r="N216" s="192"/>
      <c r="V216" s="192"/>
      <c r="W216" s="192"/>
      <c r="X216" s="570"/>
      <c r="Y216" s="570"/>
    </row>
    <row r="217" spans="1:27" ht="15">
      <c r="A217" s="677"/>
      <c r="B217" s="677" t="s">
        <v>279</v>
      </c>
      <c r="C217" s="678">
        <v>44256</v>
      </c>
      <c r="D217" s="678">
        <v>44348</v>
      </c>
      <c r="E217" s="678">
        <v>44440</v>
      </c>
      <c r="F217" s="679">
        <v>44531</v>
      </c>
      <c r="G217" s="679">
        <v>44621</v>
      </c>
      <c r="H217" s="679">
        <v>44713</v>
      </c>
      <c r="I217" s="679">
        <v>44805</v>
      </c>
      <c r="J217" s="679">
        <v>44896</v>
      </c>
      <c r="K217" s="679">
        <v>44986</v>
      </c>
      <c r="L217" s="679">
        <v>45078</v>
      </c>
      <c r="M217" s="679">
        <v>45170</v>
      </c>
      <c r="N217" s="679">
        <v>45261</v>
      </c>
      <c r="O217" s="679">
        <v>45352</v>
      </c>
      <c r="P217" s="679">
        <v>45444</v>
      </c>
      <c r="Q217" s="679">
        <v>45536</v>
      </c>
      <c r="R217" s="679">
        <v>45627</v>
      </c>
      <c r="S217" s="679">
        <v>45717</v>
      </c>
      <c r="T217" s="679">
        <v>45809</v>
      </c>
      <c r="U217" s="679">
        <v>45901</v>
      </c>
      <c r="V217" s="680">
        <v>45992</v>
      </c>
      <c r="W217" s="681">
        <v>46082</v>
      </c>
      <c r="X217" s="570"/>
      <c r="Y217" s="570"/>
    </row>
    <row r="218" spans="1:27" ht="15">
      <c r="A218" s="278"/>
      <c r="B218" s="278"/>
      <c r="C218" s="278"/>
      <c r="D218" s="278"/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570"/>
      <c r="Y218" s="570"/>
    </row>
    <row r="219" spans="1:27" ht="15">
      <c r="A219" s="279"/>
      <c r="B219" s="279" t="s">
        <v>691</v>
      </c>
      <c r="C219" s="282">
        <v>0.94699999999999995</v>
      </c>
      <c r="D219" s="282">
        <v>0.94</v>
      </c>
      <c r="E219" s="282">
        <v>0.92900000000000005</v>
      </c>
      <c r="F219" s="282">
        <v>0.91700000000000004</v>
      </c>
      <c r="G219" s="282">
        <v>0.91400000000000003</v>
      </c>
      <c r="H219" s="282">
        <v>0.91</v>
      </c>
      <c r="I219" s="282">
        <v>0.92</v>
      </c>
      <c r="J219" s="282">
        <v>0.91400000000000003</v>
      </c>
      <c r="K219" s="282">
        <v>0.91800000000000004</v>
      </c>
      <c r="L219" s="282">
        <v>0.91800000000000004</v>
      </c>
      <c r="M219" s="282">
        <v>0.91900000000000004</v>
      </c>
      <c r="N219" s="282">
        <v>0.91825000000000001</v>
      </c>
      <c r="O219" s="282">
        <v>0.91100000000000003</v>
      </c>
      <c r="P219" s="282">
        <v>0.90700000000000003</v>
      </c>
      <c r="Q219" s="282">
        <v>0.90100000000000002</v>
      </c>
      <c r="R219" s="282">
        <v>0.89300000000000002</v>
      </c>
      <c r="S219" s="282">
        <v>0.89100000000000001</v>
      </c>
      <c r="T219" s="282">
        <v>0.88700000000000001</v>
      </c>
      <c r="U219" s="282">
        <v>0.879</v>
      </c>
      <c r="V219" s="282">
        <v>0.878</v>
      </c>
      <c r="W219" s="282">
        <v>0.872</v>
      </c>
      <c r="X219" s="570"/>
      <c r="Y219" s="570"/>
    </row>
    <row r="220" spans="1:27" ht="15">
      <c r="A220" s="279"/>
      <c r="B220" s="279" t="s">
        <v>692</v>
      </c>
      <c r="C220" s="282">
        <v>2.9000000000000001E-2</v>
      </c>
      <c r="D220" s="282">
        <v>0.03</v>
      </c>
      <c r="E220" s="282">
        <v>4.1000000000000002E-2</v>
      </c>
      <c r="F220" s="282">
        <v>5.6000000000000001E-2</v>
      </c>
      <c r="G220" s="282">
        <v>6.0999999999999999E-2</v>
      </c>
      <c r="H220" s="282">
        <v>7.0000000000000007E-2</v>
      </c>
      <c r="I220" s="282">
        <v>0.06</v>
      </c>
      <c r="J220" s="282">
        <v>6.6000000000000003E-2</v>
      </c>
      <c r="K220" s="282">
        <v>6.3E-2</v>
      </c>
      <c r="L220" s="282">
        <v>6.2E-2</v>
      </c>
      <c r="M220" s="282">
        <v>6.0999999999999999E-2</v>
      </c>
      <c r="N220" s="282">
        <v>6.0249999999999998E-2</v>
      </c>
      <c r="O220" s="282">
        <v>6.8000000000000005E-2</v>
      </c>
      <c r="P220" s="282">
        <v>7.0000000000000007E-2</v>
      </c>
      <c r="Q220" s="282">
        <v>7.0999999999999994E-2</v>
      </c>
      <c r="R220" s="282">
        <v>7.1999999999999995E-2</v>
      </c>
      <c r="S220" s="282">
        <v>7.3999999999999996E-2</v>
      </c>
      <c r="T220" s="282">
        <v>7.5999999999999998E-2</v>
      </c>
      <c r="U220" s="282">
        <v>7.9000000000000001E-2</v>
      </c>
      <c r="V220" s="282">
        <v>7.1999999999999995E-2</v>
      </c>
      <c r="W220" s="282">
        <v>7.9000000000000001E-2</v>
      </c>
      <c r="X220" s="570"/>
      <c r="Y220" s="570"/>
    </row>
    <row r="221" spans="1:27" ht="15">
      <c r="A221" s="279"/>
      <c r="B221" s="279" t="s">
        <v>693</v>
      </c>
      <c r="C221" s="282">
        <v>1E-3</v>
      </c>
      <c r="D221" s="282">
        <v>1E-3</v>
      </c>
      <c r="E221" s="282">
        <v>2E-3</v>
      </c>
      <c r="F221" s="282">
        <v>5.0000000000000001E-3</v>
      </c>
      <c r="G221" s="282">
        <v>6.0000000000000001E-3</v>
      </c>
      <c r="H221" s="282">
        <v>7.0000000000000001E-3</v>
      </c>
      <c r="I221" s="282">
        <v>0.01</v>
      </c>
      <c r="J221" s="282">
        <v>0.01</v>
      </c>
      <c r="K221" s="282">
        <v>0.01</v>
      </c>
      <c r="L221" s="282">
        <v>1.0999999999999999E-2</v>
      </c>
      <c r="M221" s="282">
        <v>1.2E-2</v>
      </c>
      <c r="N221" s="282">
        <v>1.1025E-2</v>
      </c>
      <c r="O221" s="282">
        <v>1.2999999999999999E-2</v>
      </c>
      <c r="P221" s="282">
        <v>1.4999999999999999E-2</v>
      </c>
      <c r="Q221" s="282">
        <v>1.4999999999999999E-2</v>
      </c>
      <c r="R221" s="282">
        <v>1.4999999999999999E-2</v>
      </c>
      <c r="S221" s="282">
        <v>1.6E-2</v>
      </c>
      <c r="T221" s="282">
        <v>1.6E-2</v>
      </c>
      <c r="U221" s="282">
        <v>1.7000000000000001E-2</v>
      </c>
      <c r="V221" s="282">
        <v>1.9E-2</v>
      </c>
      <c r="W221" s="282">
        <v>2.1000000000000001E-2</v>
      </c>
      <c r="X221" s="570"/>
      <c r="Y221" s="570"/>
    </row>
    <row r="222" spans="1:27" ht="15">
      <c r="A222" s="279"/>
      <c r="B222" s="279" t="s">
        <v>694</v>
      </c>
      <c r="C222" s="282">
        <v>2.3E-2</v>
      </c>
      <c r="D222" s="282">
        <v>2.8000000000000001E-2</v>
      </c>
      <c r="E222" s="282">
        <v>2.8000000000000001E-2</v>
      </c>
      <c r="F222" s="282">
        <v>2.1999999999999999E-2</v>
      </c>
      <c r="G222" s="282">
        <v>1.7999999999999999E-2</v>
      </c>
      <c r="H222" s="282">
        <v>1.2999999999999999E-2</v>
      </c>
      <c r="I222" s="282">
        <v>0.01</v>
      </c>
      <c r="J222" s="282">
        <v>0.01</v>
      </c>
      <c r="K222" s="282">
        <v>8.9999999999999993E-3</v>
      </c>
      <c r="L222" s="282">
        <v>8.9999999999999993E-3</v>
      </c>
      <c r="M222" s="282">
        <v>8.0000000000000002E-3</v>
      </c>
      <c r="N222" s="282">
        <v>1.025E-2</v>
      </c>
      <c r="O222" s="282">
        <v>8.0000000000000002E-3</v>
      </c>
      <c r="P222" s="282">
        <v>8.0000000000000002E-3</v>
      </c>
      <c r="Q222" s="282">
        <v>1.2999999999999999E-2</v>
      </c>
      <c r="R222" s="282">
        <v>0.02</v>
      </c>
      <c r="S222" s="282">
        <v>0.02</v>
      </c>
      <c r="T222" s="282">
        <v>2.1000000000000001E-2</v>
      </c>
      <c r="U222" s="282">
        <v>2.4E-2</v>
      </c>
      <c r="V222" s="282">
        <v>0.03</v>
      </c>
      <c r="W222" s="282">
        <v>2.8000000000000001E-2</v>
      </c>
      <c r="X222" s="570"/>
      <c r="Y222" s="570"/>
    </row>
    <row r="223" spans="1:27" ht="15">
      <c r="A223" s="280"/>
      <c r="B223" s="280" t="s">
        <v>680</v>
      </c>
      <c r="C223" s="281">
        <v>1</v>
      </c>
      <c r="D223" s="281">
        <v>1</v>
      </c>
      <c r="E223" s="281">
        <v>1</v>
      </c>
      <c r="F223" s="281">
        <v>1</v>
      </c>
      <c r="G223" s="281">
        <v>1</v>
      </c>
      <c r="H223" s="281">
        <v>1</v>
      </c>
      <c r="I223" s="281">
        <v>1</v>
      </c>
      <c r="J223" s="281">
        <v>1</v>
      </c>
      <c r="K223" s="281">
        <v>1</v>
      </c>
      <c r="L223" s="281">
        <v>1</v>
      </c>
      <c r="M223" s="281">
        <v>1</v>
      </c>
      <c r="N223" s="281">
        <v>0.999</v>
      </c>
      <c r="O223" s="281">
        <f>SUM(O219:O222)</f>
        <v>1</v>
      </c>
      <c r="P223" s="281">
        <v>1</v>
      </c>
      <c r="Q223" s="281">
        <v>1</v>
      </c>
      <c r="R223" s="281">
        <v>1</v>
      </c>
      <c r="S223" s="281">
        <v>1</v>
      </c>
      <c r="T223" s="281">
        <f>SUM(T219:T222)</f>
        <v>1</v>
      </c>
      <c r="U223" s="281">
        <f>SUM(U219:U222)</f>
        <v>0.999</v>
      </c>
      <c r="V223" s="281">
        <f>SUM(V219:V222)</f>
        <v>0.999</v>
      </c>
      <c r="W223" s="281">
        <f>SUM(W219:W222)</f>
        <v>1</v>
      </c>
      <c r="X223" s="570"/>
      <c r="Y223" s="570"/>
    </row>
    <row r="224" spans="1:27" ht="5.25" customHeight="1">
      <c r="A224" s="677"/>
      <c r="B224" s="677"/>
      <c r="C224" s="677"/>
      <c r="D224" s="677"/>
      <c r="E224" s="677"/>
      <c r="F224" s="677"/>
      <c r="G224" s="677"/>
      <c r="H224" s="677"/>
      <c r="I224" s="677"/>
      <c r="J224" s="677"/>
      <c r="K224" s="677"/>
      <c r="L224" s="677"/>
      <c r="M224" s="677"/>
      <c r="N224" s="677"/>
      <c r="O224" s="677"/>
      <c r="P224" s="677"/>
      <c r="Q224" s="677"/>
      <c r="R224" s="677"/>
      <c r="S224" s="677"/>
      <c r="T224" s="677"/>
      <c r="U224" s="677"/>
      <c r="V224" s="677"/>
      <c r="W224" s="677"/>
      <c r="X224" s="570"/>
      <c r="Y224" s="570"/>
    </row>
    <row r="225" spans="1:27">
      <c r="B225" s="194"/>
      <c r="C225" s="194"/>
      <c r="D225" s="194"/>
      <c r="E225" s="194"/>
      <c r="H225" s="193"/>
      <c r="I225" s="193"/>
      <c r="L225" s="193"/>
      <c r="M225" s="193"/>
      <c r="P225" s="193"/>
      <c r="Q225" s="193"/>
      <c r="R225" s="193"/>
      <c r="S225" s="193"/>
      <c r="T225" s="193"/>
      <c r="U225" s="193"/>
      <c r="W225" s="192"/>
      <c r="X225" s="570"/>
      <c r="Y225" s="570"/>
    </row>
    <row r="226" spans="1:27" s="103" customFormat="1" ht="23.25">
      <c r="A226" s="74"/>
      <c r="B226" s="74" t="s">
        <v>695</v>
      </c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570"/>
      <c r="Y226" s="570"/>
      <c r="Z226" s="227"/>
      <c r="AA226" s="227"/>
    </row>
    <row r="227" spans="1:27">
      <c r="N227" s="192"/>
      <c r="V227" s="192"/>
      <c r="W227" s="192"/>
      <c r="X227" s="570"/>
      <c r="Y227" s="570"/>
    </row>
    <row r="228" spans="1:27" ht="15">
      <c r="A228" s="677"/>
      <c r="B228" s="677"/>
      <c r="C228" s="678">
        <v>44256</v>
      </c>
      <c r="D228" s="678">
        <v>44348</v>
      </c>
      <c r="E228" s="678">
        <v>44440</v>
      </c>
      <c r="F228" s="679">
        <v>44531</v>
      </c>
      <c r="G228" s="679">
        <v>44621</v>
      </c>
      <c r="H228" s="679">
        <v>44713</v>
      </c>
      <c r="I228" s="679">
        <v>44805</v>
      </c>
      <c r="J228" s="679">
        <v>44896</v>
      </c>
      <c r="K228" s="679">
        <v>44986</v>
      </c>
      <c r="L228" s="679">
        <v>45078</v>
      </c>
      <c r="M228" s="679">
        <v>45170</v>
      </c>
      <c r="N228" s="679">
        <v>45261</v>
      </c>
      <c r="O228" s="679">
        <v>45352</v>
      </c>
      <c r="P228" s="679">
        <v>45444</v>
      </c>
      <c r="Q228" s="679">
        <v>45536</v>
      </c>
      <c r="R228" s="679">
        <v>45627</v>
      </c>
      <c r="S228" s="679">
        <v>45717</v>
      </c>
      <c r="T228" s="679">
        <v>45809</v>
      </c>
      <c r="U228" s="679">
        <v>45901</v>
      </c>
      <c r="V228" s="680">
        <v>45992</v>
      </c>
      <c r="W228" s="681">
        <v>46082</v>
      </c>
      <c r="X228" s="570"/>
      <c r="Y228" s="570"/>
    </row>
    <row r="229" spans="1:27" ht="15">
      <c r="A229" s="278"/>
      <c r="B229" s="278"/>
      <c r="C229" s="391"/>
      <c r="D229" s="391"/>
      <c r="E229" s="391"/>
      <c r="F229" s="391"/>
      <c r="G229" s="278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570"/>
      <c r="Y229" s="570"/>
    </row>
    <row r="230" spans="1:27" ht="15">
      <c r="A230" s="279"/>
      <c r="B230" s="279" t="s">
        <v>696</v>
      </c>
      <c r="C230" s="392" t="s">
        <v>0</v>
      </c>
      <c r="D230" s="392" t="s">
        <v>0</v>
      </c>
      <c r="E230" s="392" t="s">
        <v>0</v>
      </c>
      <c r="F230" s="392" t="s">
        <v>0</v>
      </c>
      <c r="G230" s="282">
        <v>1.9907161934228812E-2</v>
      </c>
      <c r="H230" s="282">
        <v>2.264247621799953E-2</v>
      </c>
      <c r="I230" s="282">
        <v>2.7554052997750045E-2</v>
      </c>
      <c r="J230" s="282">
        <v>2.4083639193728246E-2</v>
      </c>
      <c r="K230" s="282">
        <v>2.919729890663314E-2</v>
      </c>
      <c r="L230" s="282">
        <v>2.7381116373317305E-2</v>
      </c>
      <c r="M230" s="282">
        <v>2.6619336537464955E-2</v>
      </c>
      <c r="N230" s="282">
        <v>2.946312455431932E-2</v>
      </c>
      <c r="O230" s="282">
        <v>2.5231193920137063E-2</v>
      </c>
      <c r="P230" s="282">
        <v>2.3486336206921088E-2</v>
      </c>
      <c r="Q230" s="282">
        <v>2.6596140513943212E-2</v>
      </c>
      <c r="R230" s="282">
        <v>1.7693821229826767E-2</v>
      </c>
      <c r="S230" s="282">
        <v>3.1225354868025468E-2</v>
      </c>
      <c r="T230" s="282">
        <v>3.1287917501084284E-2</v>
      </c>
      <c r="U230" s="282">
        <v>3.2441627158025454E-2</v>
      </c>
      <c r="V230" s="282">
        <v>3.1827214280289784E-2</v>
      </c>
      <c r="W230" s="282">
        <v>3.087153342739235E-2</v>
      </c>
      <c r="X230" s="570"/>
      <c r="Y230" s="570"/>
    </row>
    <row r="231" spans="1:27" ht="15">
      <c r="A231" s="279"/>
      <c r="B231" s="279" t="s">
        <v>697</v>
      </c>
      <c r="C231" s="392" t="s">
        <v>0</v>
      </c>
      <c r="D231" s="392" t="s">
        <v>0</v>
      </c>
      <c r="E231" s="392" t="s">
        <v>0</v>
      </c>
      <c r="F231" s="392" t="s">
        <v>0</v>
      </c>
      <c r="G231" s="282">
        <v>2.433733548857453E-2</v>
      </c>
      <c r="H231" s="282">
        <v>2.9119232539046802E-2</v>
      </c>
      <c r="I231" s="282">
        <v>3.3120849426775401E-2</v>
      </c>
      <c r="J231" s="282">
        <v>3.1981320393291268E-2</v>
      </c>
      <c r="K231" s="282">
        <v>3.2505443066287665E-2</v>
      </c>
      <c r="L231" s="282">
        <v>3.1457463776580319E-2</v>
      </c>
      <c r="M231" s="282">
        <v>3.2161880832175971E-2</v>
      </c>
      <c r="N231" s="282">
        <v>2.8344164029538765E-2</v>
      </c>
      <c r="O231" s="282">
        <v>2.621058934639775E-2</v>
      </c>
      <c r="P231" s="282">
        <v>2.5292161195580753E-2</v>
      </c>
      <c r="Q231" s="282">
        <v>2.632547523844031E-2</v>
      </c>
      <c r="R231" s="282">
        <v>2.6758356383727477E-2</v>
      </c>
      <c r="S231" s="282">
        <v>2.9918990800861023E-2</v>
      </c>
      <c r="T231" s="282">
        <v>3.3279392591549106E-2</v>
      </c>
      <c r="U231" s="282">
        <v>3.6474733129911563E-2</v>
      </c>
      <c r="V231" s="282">
        <v>3.5903629100152212E-2</v>
      </c>
      <c r="W231" s="282">
        <v>3.4111739690665166E-2</v>
      </c>
      <c r="X231" s="570"/>
      <c r="Y231" s="570"/>
    </row>
    <row r="232" spans="1:27" ht="15">
      <c r="A232" s="279"/>
      <c r="B232" s="279" t="s">
        <v>698</v>
      </c>
      <c r="C232" s="392" t="s">
        <v>0</v>
      </c>
      <c r="D232" s="392" t="s">
        <v>0</v>
      </c>
      <c r="E232" s="392" t="s">
        <v>0</v>
      </c>
      <c r="F232" s="392" t="s">
        <v>0</v>
      </c>
      <c r="G232" s="282">
        <v>0.81796801229840799</v>
      </c>
      <c r="H232" s="282">
        <v>0.77757805559049653</v>
      </c>
      <c r="I232" s="282">
        <v>0.83192470829189924</v>
      </c>
      <c r="J232" s="282">
        <v>0.75305331041867418</v>
      </c>
      <c r="K232" s="282">
        <v>0.89822799360376981</v>
      </c>
      <c r="L232" s="282">
        <v>0.87041716292787075</v>
      </c>
      <c r="M232" s="282">
        <v>0.82766728340196938</v>
      </c>
      <c r="N232" s="282">
        <v>1.0394776336890528</v>
      </c>
      <c r="O232" s="282">
        <v>0.96263359769148837</v>
      </c>
      <c r="P232" s="282">
        <v>0.92860139650797446</v>
      </c>
      <c r="Q232" s="282">
        <v>1.0102814962712496</v>
      </c>
      <c r="R232" s="282">
        <v>0.66124469590317914</v>
      </c>
      <c r="S232" s="282">
        <v>1.0436633734025162</v>
      </c>
      <c r="T232" s="282">
        <v>0.94015891110432903</v>
      </c>
      <c r="U232" s="282">
        <f>U230/U231</f>
        <v>0.88942740286758371</v>
      </c>
      <c r="V232" s="282">
        <v>0.88646231809905962</v>
      </c>
      <c r="W232" s="282">
        <v>0.90501199022225443</v>
      </c>
      <c r="X232" s="570"/>
      <c r="Y232" s="570"/>
    </row>
    <row r="233" spans="1:27" ht="15">
      <c r="A233" s="279"/>
      <c r="B233" s="279" t="s">
        <v>699</v>
      </c>
      <c r="C233" s="392" t="s">
        <v>0</v>
      </c>
      <c r="D233" s="392" t="s">
        <v>0</v>
      </c>
      <c r="E233" s="392" t="s">
        <v>0</v>
      </c>
      <c r="F233" s="392" t="s">
        <v>0</v>
      </c>
      <c r="G233" s="282">
        <v>8.2038131806993597E-2</v>
      </c>
      <c r="H233" s="282">
        <v>9.3692691625700375E-2</v>
      </c>
      <c r="I233" s="282">
        <v>0.11485582243024428</v>
      </c>
      <c r="J233" s="282">
        <v>9.9870899392096479E-2</v>
      </c>
      <c r="K233" s="282">
        <v>0.12200437665103503</v>
      </c>
      <c r="L233" s="282">
        <v>0.11410549407310167</v>
      </c>
      <c r="M233" s="282">
        <v>0.11080483139901331</v>
      </c>
      <c r="N233" s="282">
        <v>0.12316401091462192</v>
      </c>
      <c r="O233" s="282">
        <v>0.1048091098756796</v>
      </c>
      <c r="P233" s="282">
        <v>9.7307118032286644E-2</v>
      </c>
      <c r="Q233" s="282">
        <v>0.1107044421667942</v>
      </c>
      <c r="R233" s="282">
        <v>7.2675968502375454E-2</v>
      </c>
      <c r="S233" s="282">
        <v>0.13087428859140915</v>
      </c>
      <c r="T233" s="282">
        <v>0.13114874620259909</v>
      </c>
      <c r="U233" s="282">
        <v>0.13621894529068812</v>
      </c>
      <c r="V233" s="282">
        <v>0.13351667289834479</v>
      </c>
      <c r="W233" s="282">
        <v>0.12932304012819351</v>
      </c>
      <c r="X233" s="570"/>
      <c r="Y233" s="570"/>
    </row>
    <row r="234" spans="1:27" ht="15">
      <c r="A234" s="279"/>
      <c r="B234" s="279" t="s">
        <v>700</v>
      </c>
      <c r="C234" s="392" t="s">
        <v>0</v>
      </c>
      <c r="D234" s="392" t="s">
        <v>0</v>
      </c>
      <c r="E234" s="392" t="s">
        <v>0</v>
      </c>
      <c r="F234" s="392" t="s">
        <v>0</v>
      </c>
      <c r="G234" s="282">
        <v>0.10096118876214888</v>
      </c>
      <c r="H234" s="282">
        <v>0.12166399161181873</v>
      </c>
      <c r="I234" s="282">
        <v>0.13921187814691538</v>
      </c>
      <c r="J234" s="282">
        <v>0.13419399942647958</v>
      </c>
      <c r="K234" s="282">
        <v>0.13649989315283628</v>
      </c>
      <c r="L234" s="282">
        <v>0.13189278422745421</v>
      </c>
      <c r="M234" s="282">
        <v>0.13498798402778589</v>
      </c>
      <c r="N234" s="282">
        <v>0.11828873722055055</v>
      </c>
      <c r="O234" s="282">
        <v>0.1090368254856966</v>
      </c>
      <c r="P234" s="282">
        <v>0.1050719314138211</v>
      </c>
      <c r="Q234" s="282">
        <v>0.10953354256891568</v>
      </c>
      <c r="R234" s="282">
        <v>0.11140663298695608</v>
      </c>
      <c r="S234" s="282">
        <v>0.12515476801409564</v>
      </c>
      <c r="T234" s="282">
        <v>0.13991133489129925</v>
      </c>
      <c r="U234" s="282">
        <v>0.15407724427968694</v>
      </c>
      <c r="V234" s="282">
        <v>0.15153573084726402</v>
      </c>
      <c r="W234" s="282">
        <v>0.14358874861382009</v>
      </c>
      <c r="X234" s="570"/>
      <c r="Y234" s="570"/>
    </row>
    <row r="235" spans="1:27" ht="15">
      <c r="A235" s="279"/>
      <c r="B235" s="279" t="s">
        <v>701</v>
      </c>
      <c r="C235" s="392" t="s">
        <v>0</v>
      </c>
      <c r="D235" s="392" t="s">
        <v>0</v>
      </c>
      <c r="E235" s="392" t="s">
        <v>0</v>
      </c>
      <c r="F235" s="392" t="s">
        <v>0</v>
      </c>
      <c r="G235" s="282">
        <v>0.81257097715305748</v>
      </c>
      <c r="H235" s="282">
        <v>0.77009384933412661</v>
      </c>
      <c r="I235" s="282">
        <v>0.8250432646920598</v>
      </c>
      <c r="J235" s="282">
        <v>0.74422775846108091</v>
      </c>
      <c r="K235" s="282">
        <v>0.89380565678853019</v>
      </c>
      <c r="L235" s="282">
        <v>0.86513826166807073</v>
      </c>
      <c r="M235" s="282">
        <v>0.82084959040654526</v>
      </c>
      <c r="N235" s="282">
        <v>1.041215028654684</v>
      </c>
      <c r="O235" s="282">
        <v>0.96122671775168667</v>
      </c>
      <c r="P235" s="282">
        <v>0.92610002236512545</v>
      </c>
      <c r="Q235" s="282">
        <v>1.0106898724392286</v>
      </c>
      <c r="R235" s="282">
        <v>0.65234866680590409</v>
      </c>
      <c r="S235" s="282">
        <v>1.0456995819501607</v>
      </c>
      <c r="T235" s="282">
        <v>0.93737041608881755</v>
      </c>
      <c r="U235" s="282">
        <f>U233/U234</f>
        <v>0.88409515582598464</v>
      </c>
      <c r="V235" s="282">
        <v>0.88109036827043119</v>
      </c>
      <c r="W235" s="282">
        <v>0.90064884175574222</v>
      </c>
      <c r="X235" s="570"/>
      <c r="Y235" s="570"/>
    </row>
    <row r="236" spans="1:27" s="234" customFormat="1" ht="15">
      <c r="A236" s="390"/>
      <c r="B236" s="390" t="s">
        <v>702</v>
      </c>
      <c r="C236" s="393" t="s">
        <v>0</v>
      </c>
      <c r="D236" s="393" t="s">
        <v>0</v>
      </c>
      <c r="E236" s="393" t="s">
        <v>0</v>
      </c>
      <c r="F236" s="393" t="s">
        <v>0</v>
      </c>
      <c r="G236" s="282">
        <v>7.3378052643692024</v>
      </c>
      <c r="H236" s="282">
        <v>7.8353260516436993</v>
      </c>
      <c r="I236" s="282">
        <v>8.0931268116682755</v>
      </c>
      <c r="J236" s="282">
        <v>8.7935670860209397E-2</v>
      </c>
      <c r="K236" s="282">
        <v>9.9039788552288413E-2</v>
      </c>
      <c r="L236" s="282">
        <v>0.101323510193068</v>
      </c>
      <c r="M236" s="282">
        <v>0.109099614333314</v>
      </c>
      <c r="N236" s="282">
        <v>0.105357520262021</v>
      </c>
      <c r="O236" s="282">
        <v>0.106973928107868</v>
      </c>
      <c r="P236" s="282">
        <v>0.107410918811653</v>
      </c>
      <c r="Q236" s="282">
        <v>0.11060439755343872</v>
      </c>
      <c r="R236" s="282">
        <v>0.113890290213923</v>
      </c>
      <c r="S236" s="282">
        <v>0.124482073407191</v>
      </c>
      <c r="T236" s="282">
        <v>0.124681481565574</v>
      </c>
      <c r="U236" s="282">
        <v>0.12563450430967599</v>
      </c>
      <c r="V236" s="282">
        <v>0.126176468257922</v>
      </c>
      <c r="W236" s="282">
        <v>0.12726000000000001</v>
      </c>
      <c r="X236" s="570"/>
      <c r="Y236" s="570"/>
    </row>
    <row r="237" spans="1:27" ht="15">
      <c r="A237" s="279"/>
      <c r="B237" s="279" t="s">
        <v>703</v>
      </c>
      <c r="C237" s="392" t="s">
        <v>0</v>
      </c>
      <c r="D237" s="392" t="s">
        <v>0</v>
      </c>
      <c r="E237" s="392" t="s">
        <v>0</v>
      </c>
      <c r="F237" s="392" t="s">
        <v>0</v>
      </c>
      <c r="G237" s="282">
        <v>0.65816372308160287</v>
      </c>
      <c r="H237" s="282">
        <v>0.60796837436392981</v>
      </c>
      <c r="I237" s="282">
        <v>0.59290352722894535</v>
      </c>
      <c r="J237" s="282">
        <v>0.64421787320930801</v>
      </c>
      <c r="K237" s="282">
        <v>0.72556678444726186</v>
      </c>
      <c r="L237" s="282">
        <v>0.74229677797119431</v>
      </c>
      <c r="M237" s="282">
        <v>0.84086844102440761</v>
      </c>
      <c r="N237" s="282">
        <v>0.88724186012905548</v>
      </c>
      <c r="O237" s="282">
        <v>0.97249025552607271</v>
      </c>
      <c r="P237" s="282">
        <v>1.0327972962658942</v>
      </c>
      <c r="Q237" s="282">
        <v>1.0538479152364015</v>
      </c>
      <c r="R237" s="282">
        <v>0.96779713500664799</v>
      </c>
      <c r="S237" s="282">
        <v>0.91733913492127039</v>
      </c>
      <c r="T237" s="282">
        <v>0.84601869443356903</v>
      </c>
      <c r="U237" s="282">
        <v>0.84318459268238921</v>
      </c>
      <c r="V237" s="282">
        <v>0.84682193461692934</v>
      </c>
      <c r="W237" s="282">
        <v>0.85990233518393888</v>
      </c>
      <c r="X237" s="570"/>
      <c r="Y237" s="570"/>
    </row>
    <row r="238" spans="1:27" ht="15">
      <c r="A238" s="280"/>
      <c r="B238" s="280"/>
      <c r="C238" s="394"/>
      <c r="D238" s="394"/>
      <c r="E238" s="394"/>
      <c r="F238" s="394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570"/>
      <c r="Y238" s="570"/>
    </row>
    <row r="239" spans="1:27" ht="5.25" customHeight="1">
      <c r="A239" s="677"/>
      <c r="B239" s="677"/>
      <c r="C239" s="677"/>
      <c r="D239" s="677"/>
      <c r="E239" s="677"/>
      <c r="F239" s="677"/>
      <c r="G239" s="677"/>
      <c r="H239" s="677"/>
      <c r="I239" s="677"/>
      <c r="J239" s="677"/>
      <c r="K239" s="677"/>
      <c r="L239" s="677"/>
      <c r="M239" s="677"/>
      <c r="N239" s="677"/>
      <c r="O239" s="677"/>
      <c r="P239" s="677"/>
      <c r="Q239" s="677"/>
      <c r="R239" s="677"/>
      <c r="S239" s="677"/>
      <c r="T239" s="677"/>
      <c r="U239" s="677"/>
      <c r="V239" s="677"/>
      <c r="W239" s="677"/>
      <c r="X239" s="570"/>
      <c r="Y239" s="570"/>
    </row>
    <row r="240" spans="1:27">
      <c r="W240" s="192"/>
    </row>
    <row r="241" spans="2:23" ht="30">
      <c r="B241" s="350" t="s">
        <v>704</v>
      </c>
      <c r="F241" s="193"/>
      <c r="G241" s="494"/>
      <c r="H241" s="494"/>
      <c r="I241" s="494"/>
      <c r="J241" s="494"/>
      <c r="K241" s="494"/>
      <c r="L241" s="494"/>
      <c r="M241" s="494"/>
      <c r="N241" s="494"/>
      <c r="O241" s="494"/>
      <c r="P241" s="494"/>
      <c r="Q241" s="494"/>
      <c r="R241" s="494"/>
      <c r="S241" s="494"/>
      <c r="T241" s="494"/>
      <c r="U241" s="494"/>
      <c r="V241" s="494"/>
      <c r="W241" s="754"/>
    </row>
    <row r="242" spans="2:23" ht="30.6" customHeight="1">
      <c r="B242" s="193"/>
      <c r="F242" s="193"/>
      <c r="G242" s="494"/>
      <c r="H242" s="494"/>
      <c r="I242" s="494"/>
      <c r="J242" s="494"/>
      <c r="K242" s="494"/>
      <c r="L242" s="494"/>
      <c r="M242" s="494"/>
      <c r="N242" s="494"/>
      <c r="O242" s="494"/>
      <c r="P242" s="494"/>
      <c r="Q242" s="494"/>
      <c r="R242" s="494"/>
      <c r="S242" s="494"/>
      <c r="T242" s="494"/>
      <c r="U242" s="494"/>
      <c r="V242" s="494"/>
      <c r="W242" s="754"/>
    </row>
    <row r="243" spans="2:23" s="193" customFormat="1">
      <c r="G243" s="494"/>
      <c r="H243" s="494"/>
      <c r="I243" s="494"/>
      <c r="J243" s="494"/>
      <c r="K243" s="494"/>
      <c r="L243" s="494"/>
      <c r="M243" s="494"/>
      <c r="N243" s="494"/>
      <c r="O243" s="494"/>
      <c r="P243" s="494"/>
      <c r="Q243" s="494"/>
      <c r="R243" s="494"/>
      <c r="S243" s="494"/>
      <c r="T243" s="494"/>
      <c r="U243" s="494"/>
      <c r="V243" s="494"/>
      <c r="W243" s="754"/>
    </row>
    <row r="244" spans="2:23">
      <c r="F244" s="193"/>
      <c r="G244" s="494"/>
      <c r="H244" s="494"/>
      <c r="I244" s="494"/>
      <c r="J244" s="494"/>
      <c r="K244" s="494"/>
      <c r="L244" s="494"/>
      <c r="M244" s="494"/>
      <c r="N244" s="494"/>
      <c r="O244" s="494"/>
      <c r="P244" s="494"/>
      <c r="Q244" s="494"/>
      <c r="R244" s="494"/>
      <c r="S244" s="494"/>
      <c r="T244" s="494"/>
      <c r="U244" s="494"/>
      <c r="V244" s="494"/>
      <c r="W244" s="754"/>
    </row>
    <row r="245" spans="2:23">
      <c r="F245" s="193"/>
      <c r="G245" s="494"/>
      <c r="H245" s="494"/>
      <c r="I245" s="494"/>
      <c r="J245" s="494"/>
      <c r="K245" s="494"/>
      <c r="L245" s="494"/>
      <c r="M245" s="494"/>
      <c r="N245" s="494"/>
      <c r="O245" s="494"/>
      <c r="P245" s="494"/>
      <c r="Q245" s="494"/>
      <c r="R245" s="494"/>
      <c r="S245" s="494"/>
      <c r="T245" s="494"/>
      <c r="U245" s="494"/>
      <c r="V245" s="494"/>
      <c r="W245" s="754"/>
    </row>
    <row r="246" spans="2:23">
      <c r="F246" s="193"/>
      <c r="G246" s="494"/>
      <c r="H246" s="494"/>
      <c r="I246" s="494"/>
      <c r="J246" s="494"/>
      <c r="K246" s="494"/>
      <c r="L246" s="494"/>
      <c r="M246" s="494"/>
      <c r="N246" s="494"/>
      <c r="O246" s="494"/>
      <c r="P246" s="494"/>
      <c r="Q246" s="494"/>
      <c r="R246" s="494"/>
      <c r="S246" s="494"/>
      <c r="T246" s="494"/>
      <c r="U246" s="494"/>
      <c r="V246" s="494"/>
      <c r="W246" s="754"/>
    </row>
    <row r="247" spans="2:23">
      <c r="E247" s="193"/>
      <c r="F247" s="193"/>
      <c r="G247" s="193"/>
      <c r="H247" s="193"/>
      <c r="I247" s="193"/>
      <c r="J247" s="193"/>
      <c r="K247" s="193"/>
      <c r="L247" s="193"/>
      <c r="M247" s="193"/>
      <c r="O247" s="193"/>
      <c r="P247" s="193"/>
      <c r="Q247" s="193"/>
      <c r="R247" s="193"/>
      <c r="S247" s="193"/>
      <c r="T247" s="193"/>
      <c r="U247" s="193"/>
      <c r="W247" s="192"/>
    </row>
    <row r="248" spans="2:23">
      <c r="F248" s="193"/>
      <c r="G248" s="506"/>
      <c r="H248" s="506"/>
      <c r="I248" s="506"/>
      <c r="J248" s="506"/>
      <c r="K248" s="506"/>
      <c r="L248" s="506"/>
      <c r="M248" s="506"/>
      <c r="N248" s="506"/>
      <c r="O248" s="506"/>
      <c r="P248" s="506"/>
      <c r="Q248" s="506"/>
      <c r="R248" s="506"/>
      <c r="S248" s="506"/>
      <c r="T248" s="506"/>
      <c r="U248" s="506"/>
      <c r="V248" s="506"/>
      <c r="W248" s="755"/>
    </row>
    <row r="249" spans="2:23">
      <c r="F249" s="193"/>
      <c r="G249" s="506"/>
      <c r="H249" s="506"/>
      <c r="I249" s="506"/>
      <c r="J249" s="506"/>
      <c r="K249" s="506"/>
      <c r="L249" s="506"/>
      <c r="M249" s="506"/>
      <c r="N249" s="506"/>
      <c r="O249" s="506"/>
      <c r="P249" s="506"/>
      <c r="Q249" s="506"/>
      <c r="R249" s="506"/>
      <c r="S249" s="506"/>
      <c r="T249" s="506"/>
      <c r="U249" s="506"/>
      <c r="V249" s="506"/>
      <c r="W249" s="755"/>
    </row>
    <row r="250" spans="2:23">
      <c r="F250" s="193"/>
      <c r="G250" s="506"/>
      <c r="H250" s="506"/>
      <c r="I250" s="506"/>
      <c r="J250" s="506"/>
      <c r="K250" s="506"/>
      <c r="L250" s="506"/>
      <c r="M250" s="506"/>
      <c r="N250" s="506"/>
      <c r="O250" s="506"/>
      <c r="P250" s="506"/>
      <c r="Q250" s="506"/>
      <c r="R250" s="506"/>
      <c r="S250" s="506"/>
      <c r="T250" s="506"/>
      <c r="U250" s="506"/>
      <c r="V250" s="506"/>
      <c r="W250" s="755"/>
    </row>
    <row r="251" spans="2:23">
      <c r="F251" s="193"/>
      <c r="G251" s="506"/>
      <c r="H251" s="506"/>
      <c r="I251" s="506"/>
      <c r="J251" s="506"/>
      <c r="K251" s="506"/>
      <c r="L251" s="506"/>
      <c r="M251" s="506"/>
      <c r="N251" s="506"/>
      <c r="O251" s="506"/>
      <c r="P251" s="506"/>
      <c r="Q251" s="506"/>
      <c r="R251" s="506"/>
      <c r="S251" s="506"/>
      <c r="T251" s="506"/>
      <c r="U251" s="506"/>
      <c r="V251" s="506"/>
      <c r="W251" s="755"/>
    </row>
    <row r="252" spans="2:23">
      <c r="F252" s="193"/>
      <c r="G252" s="506"/>
      <c r="H252" s="506"/>
      <c r="I252" s="506"/>
      <c r="J252" s="506"/>
      <c r="K252" s="506"/>
      <c r="L252" s="506"/>
      <c r="M252" s="506"/>
      <c r="N252" s="506"/>
      <c r="O252" s="506"/>
      <c r="P252" s="506"/>
      <c r="Q252" s="506"/>
      <c r="R252" s="506"/>
      <c r="S252" s="506"/>
      <c r="T252" s="506"/>
      <c r="U252" s="506"/>
      <c r="V252" s="506"/>
      <c r="W252" s="755"/>
    </row>
    <row r="253" spans="2:23">
      <c r="F253" s="193"/>
      <c r="G253" s="506"/>
      <c r="H253" s="506"/>
      <c r="I253" s="506"/>
      <c r="J253" s="506"/>
      <c r="K253" s="506"/>
      <c r="L253" s="506"/>
      <c r="M253" s="506"/>
      <c r="N253" s="506"/>
      <c r="O253" s="506"/>
      <c r="P253" s="506"/>
      <c r="Q253" s="506"/>
      <c r="R253" s="506"/>
      <c r="S253" s="506"/>
      <c r="T253" s="506"/>
      <c r="U253" s="506"/>
      <c r="V253" s="506"/>
      <c r="W253" s="755"/>
    </row>
    <row r="254" spans="2:23">
      <c r="F254" s="193"/>
      <c r="G254" s="506"/>
      <c r="H254" s="506"/>
      <c r="I254" s="506"/>
      <c r="J254" s="506"/>
      <c r="K254" s="506"/>
      <c r="L254" s="506"/>
      <c r="M254" s="506"/>
      <c r="N254" s="506"/>
      <c r="O254" s="506"/>
      <c r="P254" s="506"/>
      <c r="Q254" s="506"/>
      <c r="R254" s="506"/>
      <c r="S254" s="506"/>
      <c r="T254" s="506"/>
      <c r="U254" s="506"/>
      <c r="V254" s="506"/>
      <c r="W254" s="755"/>
    </row>
    <row r="255" spans="2:23">
      <c r="F255" s="193"/>
      <c r="G255" s="506"/>
      <c r="H255" s="506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6"/>
      <c r="U255" s="506"/>
      <c r="V255" s="506"/>
      <c r="W255" s="755"/>
    </row>
    <row r="256" spans="2:23">
      <c r="F256" s="193"/>
      <c r="G256" s="506"/>
      <c r="H256" s="506"/>
      <c r="I256" s="506"/>
      <c r="J256" s="506"/>
      <c r="K256" s="506"/>
      <c r="L256" s="506"/>
      <c r="M256" s="506"/>
      <c r="N256" s="506"/>
      <c r="O256" s="506"/>
      <c r="P256" s="506"/>
      <c r="Q256" s="506"/>
      <c r="R256" s="506"/>
      <c r="S256" s="506"/>
      <c r="T256" s="506"/>
      <c r="U256" s="506"/>
      <c r="V256" s="506"/>
      <c r="W256" s="755"/>
    </row>
    <row r="257" spans="6:23">
      <c r="F257" s="193"/>
      <c r="G257" s="506"/>
      <c r="H257" s="506"/>
      <c r="I257" s="506"/>
      <c r="J257" s="506"/>
      <c r="K257" s="506"/>
      <c r="L257" s="506"/>
      <c r="M257" s="506"/>
      <c r="N257" s="506"/>
      <c r="O257" s="506"/>
      <c r="P257" s="506"/>
      <c r="Q257" s="506"/>
      <c r="R257" s="506"/>
      <c r="S257" s="506"/>
      <c r="T257" s="506"/>
      <c r="U257" s="506"/>
      <c r="V257" s="506"/>
      <c r="W257" s="755"/>
    </row>
    <row r="258" spans="6:23">
      <c r="F258" s="193"/>
      <c r="G258" s="193"/>
      <c r="H258" s="193"/>
      <c r="I258" s="193"/>
      <c r="J258" s="193"/>
      <c r="K258" s="193"/>
      <c r="L258" s="193"/>
      <c r="M258" s="193"/>
      <c r="O258" s="193"/>
      <c r="P258" s="193"/>
      <c r="Q258" s="193"/>
      <c r="R258" s="193"/>
      <c r="S258" s="193"/>
      <c r="T258" s="193"/>
      <c r="U258" s="193"/>
      <c r="W258" s="192"/>
    </row>
    <row r="259" spans="6:23">
      <c r="F259" s="193"/>
      <c r="G259" s="193"/>
      <c r="H259" s="193"/>
      <c r="I259" s="193"/>
      <c r="J259" s="193"/>
      <c r="K259" s="193"/>
      <c r="L259" s="193"/>
      <c r="M259" s="193"/>
      <c r="O259" s="193"/>
      <c r="P259" s="193"/>
      <c r="Q259" s="193"/>
      <c r="R259" s="193"/>
      <c r="S259" s="193"/>
      <c r="T259" s="193"/>
      <c r="U259" s="193"/>
      <c r="W259" s="192"/>
    </row>
    <row r="260" spans="6:23">
      <c r="F260" s="193"/>
      <c r="G260" s="193"/>
      <c r="H260" s="193"/>
      <c r="I260" s="193"/>
      <c r="J260" s="193"/>
      <c r="K260" s="193"/>
      <c r="L260" s="193"/>
      <c r="M260" s="193"/>
      <c r="O260" s="193"/>
      <c r="P260" s="193"/>
      <c r="Q260" s="193"/>
      <c r="R260" s="193"/>
      <c r="S260" s="193"/>
      <c r="T260" s="193"/>
      <c r="U260" s="193"/>
      <c r="W260" s="192"/>
    </row>
  </sheetData>
  <pageMargins left="0.511811024" right="0.511811024" top="0.78740157499999996" bottom="0.78740157499999996" header="0.31496062000000002" footer="0.31496062000000002"/>
  <pageSetup paperSize="9" scale="19" orientation="portrait" r:id="rId1"/>
  <headerFooter>
    <oddHeader>&amp;R&amp;"Calibri"&amp;11&amp;K000000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66FC-1FBD-40E8-8E8A-318A4B85BABE}">
  <dimension ref="A1:W52"/>
  <sheetViews>
    <sheetView showGridLines="0" showRowColHeaders="0" zoomScale="75" zoomScaleNormal="75" workbookViewId="0">
      <pane xSplit="2" topLeftCell="R1" activePane="topRight" state="frozen"/>
      <selection activeCell="M8" sqref="M8"/>
      <selection pane="topRight"/>
    </sheetView>
  </sheetViews>
  <sheetFormatPr defaultColWidth="10.42578125" defaultRowHeight="15" outlineLevelCol="1"/>
  <cols>
    <col min="1" max="1" width="2.7109375" style="187" customWidth="1"/>
    <col min="2" max="2" width="70.7109375" customWidth="1"/>
    <col min="3" max="3" width="14" hidden="1" customWidth="1" outlineLevel="1"/>
    <col min="4" max="4" width="11.5703125" hidden="1" customWidth="1" outlineLevel="1"/>
    <col min="5" max="6" width="12.5703125" hidden="1" customWidth="1" outlineLevel="1"/>
    <col min="7" max="7" width="12.5703125" bestFit="1" customWidth="1" collapsed="1"/>
    <col min="8" max="11" width="14" hidden="1" customWidth="1" outlineLevel="1"/>
    <col min="12" max="12" width="15.42578125" customWidth="1" collapsed="1"/>
    <col min="13" max="16" width="14" hidden="1" customWidth="1" outlineLevel="1"/>
    <col min="17" max="17" width="15.42578125" customWidth="1" collapsed="1"/>
    <col min="18" max="21" width="14" customWidth="1" outlineLevel="1"/>
    <col min="22" max="23" width="15.42578125" customWidth="1"/>
  </cols>
  <sheetData>
    <row r="1" spans="1:23" ht="15" customHeight="1">
      <c r="A1" s="668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31"/>
      <c r="W1" s="630"/>
    </row>
    <row r="2" spans="1:23" ht="15" customHeight="1">
      <c r="A2" s="668"/>
      <c r="B2" s="622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32"/>
      <c r="W2" s="630"/>
    </row>
    <row r="3" spans="1:23" ht="50.1" customHeight="1">
      <c r="A3" s="669"/>
      <c r="B3" s="766" t="s">
        <v>585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31"/>
      <c r="W3" s="630"/>
    </row>
    <row r="4" spans="1:23" s="108" customFormat="1" ht="10.35" customHeight="1">
      <c r="A4" s="354"/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R4" s="109"/>
      <c r="S4" s="109"/>
      <c r="T4" s="109"/>
      <c r="U4" s="109"/>
    </row>
    <row r="5" spans="1:23" s="103" customFormat="1" ht="23.25">
      <c r="A5" s="355"/>
      <c r="B5" s="74" t="s">
        <v>38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</row>
    <row r="6" spans="1:23" ht="15.75" thickBot="1"/>
    <row r="7" spans="1:23" s="2" customFormat="1" ht="24.4" customHeight="1">
      <c r="A7" s="670"/>
      <c r="B7" s="625" t="s">
        <v>520</v>
      </c>
      <c r="C7" s="626" t="s">
        <v>248</v>
      </c>
      <c r="D7" s="626" t="s">
        <v>249</v>
      </c>
      <c r="E7" s="626" t="s">
        <v>250</v>
      </c>
      <c r="F7" s="626" t="s">
        <v>215</v>
      </c>
      <c r="G7" s="652">
        <v>2022</v>
      </c>
      <c r="H7" s="626" t="s">
        <v>252</v>
      </c>
      <c r="I7" s="626" t="s">
        <v>253</v>
      </c>
      <c r="J7" s="626" t="s">
        <v>254</v>
      </c>
      <c r="K7" s="626" t="s">
        <v>219</v>
      </c>
      <c r="L7" s="652">
        <v>2023</v>
      </c>
      <c r="M7" s="626" t="s">
        <v>223</v>
      </c>
      <c r="N7" s="626" t="s">
        <v>256</v>
      </c>
      <c r="O7" s="626" t="s">
        <v>357</v>
      </c>
      <c r="P7" s="626" t="s">
        <v>358</v>
      </c>
      <c r="Q7" s="652">
        <v>2024</v>
      </c>
      <c r="R7" s="626" t="s">
        <v>359</v>
      </c>
      <c r="S7" s="626" t="s">
        <v>1115</v>
      </c>
      <c r="T7" s="626" t="s">
        <v>1116</v>
      </c>
      <c r="U7" s="626" t="s">
        <v>1117</v>
      </c>
      <c r="V7" s="653" t="s">
        <v>1118</v>
      </c>
      <c r="W7" s="645" t="s">
        <v>1124</v>
      </c>
    </row>
    <row r="8" spans="1:23" s="2" customFormat="1">
      <c r="A8" s="356"/>
      <c r="B8" s="9" t="s">
        <v>412</v>
      </c>
      <c r="C8" s="117">
        <v>820662</v>
      </c>
      <c r="D8" s="117">
        <v>819880</v>
      </c>
      <c r="E8" s="117">
        <v>819019</v>
      </c>
      <c r="F8" s="117">
        <v>913756</v>
      </c>
      <c r="G8" s="118">
        <f t="shared" ref="G8:G24" si="0">SUM(C8:F8)</f>
        <v>3373317</v>
      </c>
      <c r="H8" s="117">
        <v>754271</v>
      </c>
      <c r="I8" s="117">
        <v>855116</v>
      </c>
      <c r="J8" s="117">
        <v>672601</v>
      </c>
      <c r="K8" s="117">
        <v>1064059</v>
      </c>
      <c r="L8" s="118">
        <f t="shared" ref="L8:L24" si="1">SUM(H8:K8)</f>
        <v>3346047</v>
      </c>
      <c r="M8" s="117">
        <v>911933.15672075492</v>
      </c>
      <c r="N8" s="117">
        <v>509945.15066209505</v>
      </c>
      <c r="O8" s="117">
        <v>1048728.3069064701</v>
      </c>
      <c r="P8" s="117">
        <v>1005702.26254116</v>
      </c>
      <c r="Q8" s="118">
        <f>SUM(M8:P8)</f>
        <v>3476308.8768304801</v>
      </c>
      <c r="R8" s="117">
        <v>1007454.9158057601</v>
      </c>
      <c r="S8" s="117">
        <v>922540.86732830992</v>
      </c>
      <c r="T8" s="117">
        <v>983077</v>
      </c>
      <c r="U8" s="117">
        <v>1169315.10308418</v>
      </c>
      <c r="V8" s="118">
        <f>SUM(R8:U8)</f>
        <v>4082387.8862182503</v>
      </c>
      <c r="W8" s="160">
        <v>975008.17619217094</v>
      </c>
    </row>
    <row r="9" spans="1:23">
      <c r="A9" s="357"/>
      <c r="B9" s="11" t="s">
        <v>586</v>
      </c>
      <c r="C9" s="120">
        <v>273599</v>
      </c>
      <c r="D9" s="120">
        <v>-120875</v>
      </c>
      <c r="E9" s="120">
        <v>972596</v>
      </c>
      <c r="F9" s="120">
        <v>-1034948</v>
      </c>
      <c r="G9" s="142">
        <f t="shared" si="0"/>
        <v>90372</v>
      </c>
      <c r="H9" s="120">
        <v>129785</v>
      </c>
      <c r="I9" s="120">
        <v>168013</v>
      </c>
      <c r="J9" s="120">
        <v>83688</v>
      </c>
      <c r="K9" s="120">
        <v>140223</v>
      </c>
      <c r="L9" s="142">
        <f t="shared" si="1"/>
        <v>521709</v>
      </c>
      <c r="M9" s="120">
        <v>131824</v>
      </c>
      <c r="N9" s="121">
        <v>120559</v>
      </c>
      <c r="O9" s="121">
        <v>121731.33063353703</v>
      </c>
      <c r="P9" s="121">
        <v>125846.93338883697</v>
      </c>
      <c r="Q9" s="142">
        <f t="shared" ref="Q9:Q24" si="2">SUM(M9:P9)</f>
        <v>499961.264022374</v>
      </c>
      <c r="R9" s="121">
        <v>122859.99333424399</v>
      </c>
      <c r="S9" s="121">
        <v>153055</v>
      </c>
      <c r="T9" s="121">
        <v>171249.69588053203</v>
      </c>
      <c r="U9" s="121">
        <v>161757.99835583492</v>
      </c>
      <c r="V9" s="154">
        <f t="shared" ref="V9:V24" si="3">SUM(R9:U9)</f>
        <v>608922.68757061101</v>
      </c>
      <c r="W9" s="121">
        <v>163001.25362782698</v>
      </c>
    </row>
    <row r="10" spans="1:23">
      <c r="A10" s="357"/>
      <c r="B10" s="11" t="s">
        <v>587</v>
      </c>
      <c r="C10" s="153">
        <v>-98278</v>
      </c>
      <c r="D10" s="153">
        <v>-95658</v>
      </c>
      <c r="E10" s="153">
        <v>-62613</v>
      </c>
      <c r="F10" s="153">
        <v>-187734</v>
      </c>
      <c r="G10" s="144">
        <f t="shared" si="0"/>
        <v>-444283</v>
      </c>
      <c r="H10" s="153">
        <v>-102039</v>
      </c>
      <c r="I10" s="153">
        <v>-123864</v>
      </c>
      <c r="J10" s="153">
        <v>-120958</v>
      </c>
      <c r="K10" s="153">
        <v>-21062</v>
      </c>
      <c r="L10" s="144">
        <f t="shared" si="1"/>
        <v>-367923</v>
      </c>
      <c r="M10" s="153">
        <v>-129691.07194003799</v>
      </c>
      <c r="N10" s="121">
        <v>-136485.96983492299</v>
      </c>
      <c r="O10" s="121">
        <v>-53607.572224773001</v>
      </c>
      <c r="P10" s="121">
        <v>-185063.250681295</v>
      </c>
      <c r="Q10" s="144">
        <f t="shared" si="2"/>
        <v>-504847.86468102899</v>
      </c>
      <c r="R10" s="121">
        <v>-144656.61453999998</v>
      </c>
      <c r="S10" s="121">
        <v>-129596</v>
      </c>
      <c r="T10" s="121">
        <v>-134689.02893999906</v>
      </c>
      <c r="U10" s="121">
        <v>-183304.26018000091</v>
      </c>
      <c r="V10" s="144">
        <f t="shared" si="3"/>
        <v>-592245.90365999995</v>
      </c>
      <c r="W10" s="123">
        <v>-129409.95479</v>
      </c>
    </row>
    <row r="11" spans="1:23">
      <c r="A11" s="356"/>
      <c r="B11" s="9" t="s">
        <v>418</v>
      </c>
      <c r="C11" s="117">
        <f>SUM(C8:C10)</f>
        <v>995983</v>
      </c>
      <c r="D11" s="117">
        <f>SUM(D8:D10)</f>
        <v>603347</v>
      </c>
      <c r="E11" s="117">
        <f>SUM(E8:E10)</f>
        <v>1729002</v>
      </c>
      <c r="F11" s="117">
        <f>SUM(F8:F10)</f>
        <v>-308926</v>
      </c>
      <c r="G11" s="118">
        <f t="shared" si="0"/>
        <v>3019406</v>
      </c>
      <c r="H11" s="117">
        <f>SUM(H8:H10)</f>
        <v>782017</v>
      </c>
      <c r="I11" s="117">
        <f>SUM(I8:I10)</f>
        <v>899265</v>
      </c>
      <c r="J11" s="117">
        <f>SUM(J8:J10)</f>
        <v>635331</v>
      </c>
      <c r="K11" s="117">
        <f>SUM(K8:K10)</f>
        <v>1183220</v>
      </c>
      <c r="L11" s="118">
        <f t="shared" si="1"/>
        <v>3499833</v>
      </c>
      <c r="M11" s="117">
        <f>SUM(M8:M10)</f>
        <v>914066.08478071692</v>
      </c>
      <c r="N11" s="117">
        <f t="shared" ref="N11:P11" si="4">SUM(N8:N10)</f>
        <v>494018.18082717207</v>
      </c>
      <c r="O11" s="117">
        <f t="shared" si="4"/>
        <v>1116852.065315234</v>
      </c>
      <c r="P11" s="117">
        <f t="shared" si="4"/>
        <v>946485.94524870184</v>
      </c>
      <c r="Q11" s="118">
        <f t="shared" si="2"/>
        <v>3471422.2761718249</v>
      </c>
      <c r="R11" s="117">
        <f>SUM(R8:R10)</f>
        <v>985658.2946000041</v>
      </c>
      <c r="S11" s="117">
        <f>SUM(S8:S10)</f>
        <v>945999.86732830992</v>
      </c>
      <c r="T11" s="117">
        <f>SUM(T8:T10)</f>
        <v>1019637.666940533</v>
      </c>
      <c r="U11" s="117">
        <f>SUM(U8:U10)</f>
        <v>1147768.8412600141</v>
      </c>
      <c r="V11" s="118">
        <f t="shared" si="3"/>
        <v>4099064.670128861</v>
      </c>
      <c r="W11" s="160">
        <f>SUM(W8:W10)</f>
        <v>1008599.4750299979</v>
      </c>
    </row>
    <row r="12" spans="1:23">
      <c r="A12" s="357"/>
      <c r="B12" s="11" t="s">
        <v>588</v>
      </c>
      <c r="C12" s="153">
        <v>-87459</v>
      </c>
      <c r="D12" s="153">
        <v>-45248</v>
      </c>
      <c r="E12" s="153">
        <v>-95046</v>
      </c>
      <c r="F12" s="153">
        <v>10416</v>
      </c>
      <c r="G12" s="142">
        <f t="shared" si="0"/>
        <v>-217337</v>
      </c>
      <c r="H12" s="153">
        <v>0</v>
      </c>
      <c r="I12" s="153">
        <v>51153</v>
      </c>
      <c r="J12" s="153">
        <v>34442</v>
      </c>
      <c r="K12" s="153">
        <v>-85595</v>
      </c>
      <c r="L12" s="142">
        <f t="shared" si="1"/>
        <v>0</v>
      </c>
      <c r="M12" s="153">
        <v>0</v>
      </c>
      <c r="N12" s="153">
        <v>0</v>
      </c>
      <c r="O12" s="153">
        <v>0</v>
      </c>
      <c r="P12" s="153">
        <v>0</v>
      </c>
      <c r="Q12" s="142">
        <f t="shared" si="2"/>
        <v>0</v>
      </c>
      <c r="R12" s="153">
        <v>0</v>
      </c>
      <c r="S12" s="153">
        <v>0</v>
      </c>
      <c r="T12" s="153">
        <v>0</v>
      </c>
      <c r="U12" s="153">
        <v>0</v>
      </c>
      <c r="V12" s="154">
        <f t="shared" si="3"/>
        <v>0</v>
      </c>
      <c r="W12" s="121">
        <v>0</v>
      </c>
    </row>
    <row r="13" spans="1:23" s="2" customFormat="1">
      <c r="A13" s="356"/>
      <c r="B13" s="9" t="s">
        <v>420</v>
      </c>
      <c r="C13" s="117">
        <f>C11+C12</f>
        <v>908524</v>
      </c>
      <c r="D13" s="117">
        <f>D11+D12</f>
        <v>558099</v>
      </c>
      <c r="E13" s="117">
        <f>E11+E12</f>
        <v>1633956</v>
      </c>
      <c r="F13" s="117">
        <f>F11+F12</f>
        <v>-298510</v>
      </c>
      <c r="G13" s="118">
        <f t="shared" si="0"/>
        <v>2802069</v>
      </c>
      <c r="H13" s="117">
        <f>H11+H12</f>
        <v>782017</v>
      </c>
      <c r="I13" s="117">
        <f>I11+I12</f>
        <v>950418</v>
      </c>
      <c r="J13" s="117">
        <f>J11+J12</f>
        <v>669773</v>
      </c>
      <c r="K13" s="117">
        <f>K11+K12</f>
        <v>1097625</v>
      </c>
      <c r="L13" s="118">
        <f t="shared" si="1"/>
        <v>3499833</v>
      </c>
      <c r="M13" s="117">
        <f>M11+M12</f>
        <v>914066.08478071692</v>
      </c>
      <c r="N13" s="117">
        <f t="shared" ref="N13:P13" si="5">N11+N12</f>
        <v>494018.18082717207</v>
      </c>
      <c r="O13" s="117">
        <f t="shared" si="5"/>
        <v>1116852.065315234</v>
      </c>
      <c r="P13" s="117">
        <f t="shared" si="5"/>
        <v>946485.94524870184</v>
      </c>
      <c r="Q13" s="118">
        <f t="shared" si="2"/>
        <v>3471422.2761718249</v>
      </c>
      <c r="R13" s="117">
        <f>R11+R12</f>
        <v>985658.2946000041</v>
      </c>
      <c r="S13" s="117">
        <f>S11+S12</f>
        <v>945999.86732830992</v>
      </c>
      <c r="T13" s="117">
        <f>T11+T12</f>
        <v>1019637.666940533</v>
      </c>
      <c r="U13" s="117">
        <f>U11+U12</f>
        <v>1147768.8412600141</v>
      </c>
      <c r="V13" s="118">
        <f t="shared" si="3"/>
        <v>4099064.670128861</v>
      </c>
      <c r="W13" s="160">
        <f>W11+W12</f>
        <v>1008599.4750299979</v>
      </c>
    </row>
    <row r="14" spans="1:23">
      <c r="A14" s="357"/>
      <c r="B14" s="11" t="s">
        <v>589</v>
      </c>
      <c r="C14" s="153">
        <v>-372461</v>
      </c>
      <c r="D14" s="153">
        <v>-228827</v>
      </c>
      <c r="E14" s="153">
        <v>-670153</v>
      </c>
      <c r="F14" s="153">
        <v>122237</v>
      </c>
      <c r="G14" s="142">
        <f t="shared" si="0"/>
        <v>-1149204</v>
      </c>
      <c r="H14" s="153">
        <v>-313440</v>
      </c>
      <c r="I14" s="153">
        <v>-521794</v>
      </c>
      <c r="J14" s="153">
        <v>-150447</v>
      </c>
      <c r="K14" s="153">
        <v>-416326</v>
      </c>
      <c r="L14" s="142">
        <f t="shared" si="1"/>
        <v>-1402007</v>
      </c>
      <c r="M14" s="153">
        <v>-366190.38257198501</v>
      </c>
      <c r="N14" s="153">
        <v>-198534.79096403299</v>
      </c>
      <c r="O14" s="153">
        <v>-440977.03584409202</v>
      </c>
      <c r="P14" s="153">
        <v>-356672.00473548006</v>
      </c>
      <c r="Q14" s="142">
        <f t="shared" si="2"/>
        <v>-1362374.2141155901</v>
      </c>
      <c r="R14" s="153">
        <v>-393991.49255999998</v>
      </c>
      <c r="S14" s="153">
        <v>-376217.54797999997</v>
      </c>
      <c r="T14" s="153">
        <v>-403216.11577999988</v>
      </c>
      <c r="U14" s="153">
        <v>-429754.16884000017</v>
      </c>
      <c r="V14" s="154">
        <f t="shared" si="3"/>
        <v>-1603179.32516</v>
      </c>
      <c r="W14" s="121">
        <v>-401407</v>
      </c>
    </row>
    <row r="15" spans="1:23" s="2" customFormat="1">
      <c r="A15" s="357"/>
      <c r="B15" s="11" t="s">
        <v>463</v>
      </c>
      <c r="C15" s="153">
        <v>0</v>
      </c>
      <c r="D15" s="153">
        <v>0</v>
      </c>
      <c r="E15" s="153">
        <v>0</v>
      </c>
      <c r="F15" s="153">
        <v>0</v>
      </c>
      <c r="G15" s="142">
        <f t="shared" si="0"/>
        <v>0</v>
      </c>
      <c r="H15" s="153">
        <v>0</v>
      </c>
      <c r="I15" s="153">
        <v>0</v>
      </c>
      <c r="J15" s="153">
        <v>0</v>
      </c>
      <c r="K15" s="153">
        <v>0</v>
      </c>
      <c r="L15" s="142">
        <f t="shared" si="1"/>
        <v>0</v>
      </c>
      <c r="M15" s="153">
        <v>0</v>
      </c>
      <c r="N15" s="153">
        <v>0</v>
      </c>
      <c r="O15" s="153">
        <v>0</v>
      </c>
      <c r="P15" s="153">
        <v>0</v>
      </c>
      <c r="Q15" s="142">
        <f t="shared" si="2"/>
        <v>0</v>
      </c>
      <c r="R15" s="153">
        <v>0</v>
      </c>
      <c r="S15" s="153">
        <v>0</v>
      </c>
      <c r="T15" s="153">
        <v>0</v>
      </c>
      <c r="U15" s="153">
        <v>0</v>
      </c>
      <c r="V15" s="154">
        <f t="shared" si="3"/>
        <v>0</v>
      </c>
      <c r="W15" s="121">
        <v>0</v>
      </c>
    </row>
    <row r="16" spans="1:23">
      <c r="A16" s="356"/>
      <c r="B16" s="9" t="s">
        <v>590</v>
      </c>
      <c r="C16" s="117">
        <f>C13+C14+C15</f>
        <v>536063</v>
      </c>
      <c r="D16" s="117">
        <f>D13+D14+D15</f>
        <v>329272</v>
      </c>
      <c r="E16" s="117">
        <f>E13+E14+E15</f>
        <v>963803</v>
      </c>
      <c r="F16" s="117">
        <f>F13+F14+F15</f>
        <v>-176273</v>
      </c>
      <c r="G16" s="118">
        <f t="shared" si="0"/>
        <v>1652865</v>
      </c>
      <c r="H16" s="117">
        <f>H13+H14+H15</f>
        <v>468577</v>
      </c>
      <c r="I16" s="117">
        <f>I13+I14+I15</f>
        <v>428624</v>
      </c>
      <c r="J16" s="117">
        <f>J13+J14+J15</f>
        <v>519326</v>
      </c>
      <c r="K16" s="117">
        <f>K13+K14+K15</f>
        <v>681299</v>
      </c>
      <c r="L16" s="118">
        <f t="shared" si="1"/>
        <v>2097826</v>
      </c>
      <c r="M16" s="117">
        <f>M13+M14+M15</f>
        <v>547875.70220873191</v>
      </c>
      <c r="N16" s="117">
        <f t="shared" ref="N16:P16" si="6">N13+N14+N15</f>
        <v>295483.38986313908</v>
      </c>
      <c r="O16" s="117">
        <f t="shared" si="6"/>
        <v>675875.02947114198</v>
      </c>
      <c r="P16" s="117">
        <f t="shared" si="6"/>
        <v>589813.94051322178</v>
      </c>
      <c r="Q16" s="118">
        <f t="shared" si="2"/>
        <v>2109048.062056235</v>
      </c>
      <c r="R16" s="117">
        <v>591666.80204000103</v>
      </c>
      <c r="S16" s="117">
        <v>569782.0793099989</v>
      </c>
      <c r="T16" s="117">
        <v>616422.24290000019</v>
      </c>
      <c r="U16" s="117">
        <v>718014.6724200102</v>
      </c>
      <c r="V16" s="118">
        <f t="shared" si="3"/>
        <v>2495885.7966700103</v>
      </c>
      <c r="W16" s="160">
        <v>607191.72165999794</v>
      </c>
    </row>
    <row r="17" spans="1:23">
      <c r="A17" s="356"/>
      <c r="B17" s="9" t="s">
        <v>591</v>
      </c>
      <c r="C17" s="117">
        <v>0</v>
      </c>
      <c r="D17" s="117">
        <v>0</v>
      </c>
      <c r="E17" s="117">
        <v>0</v>
      </c>
      <c r="F17" s="117">
        <v>0</v>
      </c>
      <c r="G17" s="118">
        <f t="shared" si="0"/>
        <v>0</v>
      </c>
      <c r="H17" s="117">
        <v>0</v>
      </c>
      <c r="I17" s="117">
        <v>0</v>
      </c>
      <c r="J17" s="117">
        <v>0</v>
      </c>
      <c r="K17" s="117">
        <v>0</v>
      </c>
      <c r="L17" s="118">
        <f t="shared" si="1"/>
        <v>0</v>
      </c>
      <c r="M17" s="117">
        <v>0</v>
      </c>
      <c r="N17" s="160">
        <v>0</v>
      </c>
      <c r="O17" s="160">
        <v>0</v>
      </c>
      <c r="P17" s="117"/>
      <c r="Q17" s="118">
        <f t="shared" si="2"/>
        <v>0</v>
      </c>
      <c r="R17" s="117">
        <v>0</v>
      </c>
      <c r="S17" s="117">
        <v>0</v>
      </c>
      <c r="T17" s="117">
        <v>0</v>
      </c>
      <c r="U17" s="117">
        <v>0</v>
      </c>
      <c r="V17" s="118">
        <f t="shared" si="3"/>
        <v>0</v>
      </c>
      <c r="W17" s="160">
        <v>0</v>
      </c>
    </row>
    <row r="18" spans="1:23" s="20" customFormat="1">
      <c r="A18" s="790"/>
      <c r="B18" s="100" t="s">
        <v>592</v>
      </c>
      <c r="C18" s="788">
        <f>C16+C17</f>
        <v>536063</v>
      </c>
      <c r="D18" s="788">
        <f>D16+D17</f>
        <v>329272</v>
      </c>
      <c r="E18" s="788">
        <f>E16+E17</f>
        <v>963803</v>
      </c>
      <c r="F18" s="788">
        <f>F16+F17</f>
        <v>-176273</v>
      </c>
      <c r="G18" s="791">
        <f t="shared" si="0"/>
        <v>1652865</v>
      </c>
      <c r="H18" s="788">
        <f>H16+H17</f>
        <v>468577</v>
      </c>
      <c r="I18" s="788">
        <f>I16+I17</f>
        <v>428624</v>
      </c>
      <c r="J18" s="788">
        <f>J16+J17</f>
        <v>519326</v>
      </c>
      <c r="K18" s="788">
        <f>K16+K17</f>
        <v>681299</v>
      </c>
      <c r="L18" s="791">
        <f t="shared" si="1"/>
        <v>2097826</v>
      </c>
      <c r="M18" s="788">
        <f>M16+M17</f>
        <v>547875.70220873191</v>
      </c>
      <c r="N18" s="788">
        <f t="shared" ref="N18:P18" si="7">N16+N17</f>
        <v>295483.38986313908</v>
      </c>
      <c r="O18" s="788">
        <f t="shared" si="7"/>
        <v>675875.02947114198</v>
      </c>
      <c r="P18" s="788">
        <f t="shared" si="7"/>
        <v>589813.94051322178</v>
      </c>
      <c r="Q18" s="791">
        <f t="shared" si="2"/>
        <v>2109048.062056235</v>
      </c>
      <c r="R18" s="788">
        <v>591666.80204000103</v>
      </c>
      <c r="S18" s="788">
        <v>569782.0793099989</v>
      </c>
      <c r="T18" s="788">
        <v>616422.24290000019</v>
      </c>
      <c r="U18" s="788">
        <v>718014.6724200102</v>
      </c>
      <c r="V18" s="791">
        <f t="shared" si="3"/>
        <v>2495885.7966700103</v>
      </c>
      <c r="W18" s="788">
        <v>607191.72165999794</v>
      </c>
    </row>
    <row r="19" spans="1:23" s="20" customFormat="1">
      <c r="A19" s="790"/>
      <c r="B19" s="100" t="s">
        <v>593</v>
      </c>
      <c r="C19" s="788">
        <v>0</v>
      </c>
      <c r="D19" s="788">
        <v>0</v>
      </c>
      <c r="E19" s="788">
        <v>0</v>
      </c>
      <c r="F19" s="788">
        <v>0</v>
      </c>
      <c r="G19" s="791">
        <f t="shared" si="0"/>
        <v>0</v>
      </c>
      <c r="H19" s="788">
        <v>10080.604520224681</v>
      </c>
      <c r="I19" s="788">
        <v>-35920</v>
      </c>
      <c r="J19" s="788">
        <v>-24414.953590224399</v>
      </c>
      <c r="K19" s="788">
        <v>-12848.640229991919</v>
      </c>
      <c r="L19" s="791">
        <f t="shared" si="1"/>
        <v>-63102.989299991641</v>
      </c>
      <c r="M19" s="788">
        <v>3035</v>
      </c>
      <c r="N19" s="788">
        <v>2939.6947272782299</v>
      </c>
      <c r="O19" s="788"/>
      <c r="P19" s="788"/>
      <c r="Q19" s="791">
        <f t="shared" si="2"/>
        <v>5974.6947272782299</v>
      </c>
      <c r="R19" s="788">
        <v>0</v>
      </c>
      <c r="S19" s="788">
        <v>0</v>
      </c>
      <c r="T19" s="788">
        <v>0</v>
      </c>
      <c r="U19" s="788">
        <v>0</v>
      </c>
      <c r="V19" s="791">
        <f t="shared" si="3"/>
        <v>0</v>
      </c>
      <c r="W19" s="788">
        <v>0</v>
      </c>
    </row>
    <row r="20" spans="1:23" s="20" customFormat="1">
      <c r="A20" s="790"/>
      <c r="B20" s="100" t="s">
        <v>594</v>
      </c>
      <c r="C20" s="788">
        <f>C18+C19</f>
        <v>536063</v>
      </c>
      <c r="D20" s="788">
        <f>D18+D19</f>
        <v>329272</v>
      </c>
      <c r="E20" s="788">
        <f>E18+E19</f>
        <v>963803</v>
      </c>
      <c r="F20" s="788">
        <f>F18+F19</f>
        <v>-176273</v>
      </c>
      <c r="G20" s="791">
        <f t="shared" si="0"/>
        <v>1652865</v>
      </c>
      <c r="H20" s="788">
        <f>H18+H19</f>
        <v>478657.60452022468</v>
      </c>
      <c r="I20" s="788">
        <f>I18+I19</f>
        <v>392704</v>
      </c>
      <c r="J20" s="788">
        <f>J18+J19</f>
        <v>494911.04640977562</v>
      </c>
      <c r="K20" s="788">
        <f>K18+K19</f>
        <v>668450.35977000813</v>
      </c>
      <c r="L20" s="791">
        <f t="shared" si="1"/>
        <v>2034723.0107000086</v>
      </c>
      <c r="M20" s="788">
        <f>M18+M19</f>
        <v>550910.70220873191</v>
      </c>
      <c r="N20" s="788">
        <f t="shared" ref="N20:P20" si="8">N18+N19</f>
        <v>298423.08459041733</v>
      </c>
      <c r="O20" s="788">
        <f t="shared" si="8"/>
        <v>675875.02947114198</v>
      </c>
      <c r="P20" s="788">
        <f t="shared" si="8"/>
        <v>589813.94051322178</v>
      </c>
      <c r="Q20" s="791">
        <f t="shared" si="2"/>
        <v>2115022.7567835134</v>
      </c>
      <c r="R20" s="788">
        <v>591666.80204000103</v>
      </c>
      <c r="S20" s="788">
        <v>569782.0793099989</v>
      </c>
      <c r="T20" s="788">
        <v>616422.24290000019</v>
      </c>
      <c r="U20" s="788">
        <v>718014.6724200102</v>
      </c>
      <c r="V20" s="791">
        <f t="shared" si="3"/>
        <v>2495885.7966700103</v>
      </c>
      <c r="W20" s="788">
        <v>607191.72165999794</v>
      </c>
    </row>
    <row r="21" spans="1:23">
      <c r="A21" s="500"/>
      <c r="B21" s="11" t="s">
        <v>595</v>
      </c>
      <c r="C21" s="157">
        <f>C20</f>
        <v>536063</v>
      </c>
      <c r="D21" s="157">
        <f>D20</f>
        <v>329272</v>
      </c>
      <c r="E21" s="157">
        <f>E20</f>
        <v>963803</v>
      </c>
      <c r="F21" s="157">
        <f>F20</f>
        <v>-176273</v>
      </c>
      <c r="G21" s="142">
        <f t="shared" si="0"/>
        <v>1652865</v>
      </c>
      <c r="H21" s="157">
        <f>H20</f>
        <v>478657.60452022468</v>
      </c>
      <c r="I21" s="157">
        <f>I20</f>
        <v>392704</v>
      </c>
      <c r="J21" s="157">
        <f>J20</f>
        <v>494911.04640977562</v>
      </c>
      <c r="K21" s="157">
        <f>K20</f>
        <v>668450.35977000813</v>
      </c>
      <c r="L21" s="142">
        <f t="shared" si="1"/>
        <v>2034723.0107000086</v>
      </c>
      <c r="M21" s="157">
        <f>M20</f>
        <v>550910.70220873191</v>
      </c>
      <c r="N21" s="121">
        <v>298423.22908832232</v>
      </c>
      <c r="O21" s="121">
        <v>675875.02947114105</v>
      </c>
      <c r="P21" s="157">
        <v>589813.94051321992</v>
      </c>
      <c r="Q21" s="142">
        <f t="shared" si="2"/>
        <v>2115022.9012814155</v>
      </c>
      <c r="R21" s="157">
        <v>591666.80204000103</v>
      </c>
      <c r="S21" s="157">
        <v>569782.0793099989</v>
      </c>
      <c r="T21" s="157">
        <v>616422.24290000019</v>
      </c>
      <c r="U21" s="157">
        <v>718014.6724200102</v>
      </c>
      <c r="V21" s="154">
        <f t="shared" si="3"/>
        <v>2495885.7966700103</v>
      </c>
      <c r="W21" s="121">
        <v>607191.72165999794</v>
      </c>
    </row>
    <row r="22" spans="1:23" s="2" customFormat="1">
      <c r="A22" s="499"/>
      <c r="B22" s="11" t="s">
        <v>459</v>
      </c>
      <c r="C22" s="120">
        <v>0</v>
      </c>
      <c r="D22" s="120">
        <v>0</v>
      </c>
      <c r="E22" s="120">
        <v>0</v>
      </c>
      <c r="F22" s="120">
        <v>0</v>
      </c>
      <c r="G22" s="142">
        <f t="shared" si="0"/>
        <v>0</v>
      </c>
      <c r="H22" s="120">
        <v>0</v>
      </c>
      <c r="I22" s="120">
        <v>0</v>
      </c>
      <c r="J22" s="120">
        <v>0</v>
      </c>
      <c r="K22" s="120">
        <v>0</v>
      </c>
      <c r="L22" s="142">
        <f t="shared" si="1"/>
        <v>0</v>
      </c>
      <c r="M22" s="120">
        <v>0</v>
      </c>
      <c r="N22" s="121">
        <v>0</v>
      </c>
      <c r="O22" s="121">
        <v>0</v>
      </c>
      <c r="P22" s="121">
        <v>0</v>
      </c>
      <c r="Q22" s="142">
        <f t="shared" si="2"/>
        <v>0</v>
      </c>
      <c r="R22" s="121">
        <v>0</v>
      </c>
      <c r="S22" s="121">
        <v>0</v>
      </c>
      <c r="T22" s="121">
        <v>0</v>
      </c>
      <c r="U22" s="121">
        <v>0</v>
      </c>
      <c r="V22" s="154">
        <f t="shared" si="3"/>
        <v>0</v>
      </c>
      <c r="W22" s="121">
        <v>0</v>
      </c>
    </row>
    <row r="23" spans="1:23">
      <c r="A23" s="499"/>
      <c r="B23" s="11" t="s">
        <v>596</v>
      </c>
      <c r="C23" s="120">
        <f>C21+C22</f>
        <v>536063</v>
      </c>
      <c r="D23" s="120">
        <f>D21+D22</f>
        <v>329272</v>
      </c>
      <c r="E23" s="120">
        <f>E21+E22</f>
        <v>963803</v>
      </c>
      <c r="F23" s="120">
        <f>F21+F22</f>
        <v>-176273</v>
      </c>
      <c r="G23" s="142">
        <f t="shared" si="0"/>
        <v>1652865</v>
      </c>
      <c r="H23" s="120">
        <f>H21+H22</f>
        <v>478657.60452022468</v>
      </c>
      <c r="I23" s="120">
        <f>I21+I22</f>
        <v>392704</v>
      </c>
      <c r="J23" s="120">
        <f>J21+J22</f>
        <v>494911.04640977562</v>
      </c>
      <c r="K23" s="120">
        <f>K21+K22</f>
        <v>668450.35977000813</v>
      </c>
      <c r="L23" s="142">
        <f t="shared" si="1"/>
        <v>2034723.0107000086</v>
      </c>
      <c r="M23" s="120">
        <f>M21+M22</f>
        <v>550910.70220873191</v>
      </c>
      <c r="N23" s="120">
        <v>298423.22908832232</v>
      </c>
      <c r="O23" s="121">
        <v>675875.02947114105</v>
      </c>
      <c r="P23" s="121">
        <v>589813.94051321992</v>
      </c>
      <c r="Q23" s="142">
        <f t="shared" si="2"/>
        <v>2115022.9012814155</v>
      </c>
      <c r="R23" s="121">
        <v>591666.80204000103</v>
      </c>
      <c r="S23" s="121">
        <v>569782.0793099989</v>
      </c>
      <c r="T23" s="121">
        <v>616422.24290000019</v>
      </c>
      <c r="U23" s="121">
        <v>718014.6724200102</v>
      </c>
      <c r="V23" s="154">
        <f t="shared" si="3"/>
        <v>2495885.7966700103</v>
      </c>
      <c r="W23" s="121">
        <v>607191.72165999794</v>
      </c>
    </row>
    <row r="24" spans="1:23">
      <c r="A24" s="499"/>
      <c r="B24" s="11" t="s">
        <v>597</v>
      </c>
      <c r="C24" s="120">
        <v>0</v>
      </c>
      <c r="D24" s="120">
        <v>0</v>
      </c>
      <c r="E24" s="120">
        <v>0</v>
      </c>
      <c r="F24" s="120">
        <v>0</v>
      </c>
      <c r="G24" s="142">
        <f t="shared" si="0"/>
        <v>0</v>
      </c>
      <c r="H24" s="120">
        <v>0</v>
      </c>
      <c r="I24" s="120">
        <v>0</v>
      </c>
      <c r="J24" s="120">
        <v>0</v>
      </c>
      <c r="K24" s="120">
        <v>0</v>
      </c>
      <c r="L24" s="142">
        <f t="shared" si="1"/>
        <v>0</v>
      </c>
      <c r="M24" s="120">
        <v>0</v>
      </c>
      <c r="N24" s="121">
        <v>0</v>
      </c>
      <c r="O24" s="121">
        <v>0</v>
      </c>
      <c r="P24" s="121">
        <v>0</v>
      </c>
      <c r="Q24" s="142">
        <f t="shared" si="2"/>
        <v>0</v>
      </c>
      <c r="R24" s="121">
        <v>0</v>
      </c>
      <c r="S24" s="121">
        <v>0</v>
      </c>
      <c r="T24" s="121">
        <v>0</v>
      </c>
      <c r="U24" s="121">
        <v>0</v>
      </c>
      <c r="V24" s="154">
        <f t="shared" si="3"/>
        <v>0</v>
      </c>
      <c r="W24" s="121">
        <v>0</v>
      </c>
    </row>
    <row r="25" spans="1:23">
      <c r="A25" s="535"/>
      <c r="B25" s="535" t="s">
        <v>451</v>
      </c>
      <c r="C25" s="537">
        <v>0.6</v>
      </c>
      <c r="D25" s="537">
        <v>0.6</v>
      </c>
      <c r="E25" s="537">
        <v>0.6</v>
      </c>
      <c r="F25" s="537">
        <v>0.6</v>
      </c>
      <c r="G25" s="536">
        <v>0.6</v>
      </c>
      <c r="H25" s="537">
        <v>0.6</v>
      </c>
      <c r="I25" s="537">
        <v>0.6</v>
      </c>
      <c r="J25" s="537">
        <v>0.6</v>
      </c>
      <c r="K25" s="537">
        <v>0.6</v>
      </c>
      <c r="L25" s="536">
        <v>0.6</v>
      </c>
      <c r="M25" s="537">
        <v>0.6</v>
      </c>
      <c r="N25" s="537">
        <v>0.6</v>
      </c>
      <c r="O25" s="537">
        <v>0.6</v>
      </c>
      <c r="P25" s="537">
        <v>0.6</v>
      </c>
      <c r="Q25" s="536">
        <v>0.6</v>
      </c>
      <c r="R25" s="537">
        <v>0.6</v>
      </c>
      <c r="S25" s="537">
        <v>0.6</v>
      </c>
      <c r="T25" s="537">
        <v>0.6</v>
      </c>
      <c r="U25" s="537">
        <v>0.6</v>
      </c>
      <c r="V25" s="536">
        <v>0.6</v>
      </c>
      <c r="W25" s="537">
        <v>0.6</v>
      </c>
    </row>
    <row r="26" spans="1:23">
      <c r="H26" s="420"/>
      <c r="I26" s="420"/>
      <c r="J26" s="420"/>
      <c r="K26" s="420"/>
      <c r="L26" s="420"/>
      <c r="M26" s="420"/>
      <c r="Q26" s="420"/>
    </row>
    <row r="28" spans="1:23" ht="23.25">
      <c r="A28" s="355"/>
      <c r="B28" s="74" t="s">
        <v>94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</row>
    <row r="29" spans="1:23" s="103" customFormat="1" ht="15.75" thickBot="1">
      <c r="A29" s="187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3" s="2" customFormat="1" ht="24.4" customHeight="1">
      <c r="A30" s="670"/>
      <c r="B30" s="625" t="s">
        <v>598</v>
      </c>
      <c r="C30" s="626" t="s">
        <v>248</v>
      </c>
      <c r="D30" s="626" t="s">
        <v>249</v>
      </c>
      <c r="E30" s="626" t="s">
        <v>250</v>
      </c>
      <c r="F30" s="626" t="s">
        <v>215</v>
      </c>
      <c r="G30" s="652">
        <v>2022</v>
      </c>
      <c r="H30" s="626" t="s">
        <v>252</v>
      </c>
      <c r="I30" s="626" t="s">
        <v>253</v>
      </c>
      <c r="J30" s="626" t="s">
        <v>254</v>
      </c>
      <c r="K30" s="626" t="s">
        <v>219</v>
      </c>
      <c r="L30" s="652">
        <v>2023</v>
      </c>
      <c r="M30" s="626" t="s">
        <v>223</v>
      </c>
      <c r="N30" s="626" t="s">
        <v>256</v>
      </c>
      <c r="O30" s="626" t="s">
        <v>357</v>
      </c>
      <c r="P30" s="626" t="s">
        <v>358</v>
      </c>
      <c r="Q30" s="652">
        <v>2024</v>
      </c>
      <c r="R30" s="626" t="s">
        <v>359</v>
      </c>
      <c r="S30" s="626" t="s">
        <v>1115</v>
      </c>
      <c r="T30" s="626" t="s">
        <v>1116</v>
      </c>
      <c r="U30" s="626" t="s">
        <v>1117</v>
      </c>
      <c r="V30" s="653" t="s">
        <v>1118</v>
      </c>
      <c r="W30" s="645" t="s">
        <v>1124</v>
      </c>
    </row>
    <row r="31" spans="1:23" s="2" customFormat="1">
      <c r="A31" s="9"/>
      <c r="B31" s="9" t="s">
        <v>412</v>
      </c>
      <c r="C31" s="117">
        <v>86013</v>
      </c>
      <c r="D31" s="117">
        <v>117771</v>
      </c>
      <c r="E31" s="117">
        <v>115083</v>
      </c>
      <c r="F31" s="117">
        <v>91441</v>
      </c>
      <c r="G31" s="118">
        <f t="shared" ref="G31:G45" si="9">SUM(C31:F31)</f>
        <v>410308</v>
      </c>
      <c r="H31" s="117">
        <v>192859</v>
      </c>
      <c r="I31" s="117">
        <v>169592</v>
      </c>
      <c r="J31" s="117">
        <v>202643</v>
      </c>
      <c r="K31" s="117">
        <v>281812</v>
      </c>
      <c r="L31" s="118">
        <f t="shared" ref="L31:L45" si="10">SUM(H31:K31)</f>
        <v>846906</v>
      </c>
      <c r="M31" s="117">
        <v>319218.93682</v>
      </c>
      <c r="N31" s="117">
        <v>292499.00418999995</v>
      </c>
      <c r="O31" s="117">
        <v>208672.46076000005</v>
      </c>
      <c r="P31" s="117">
        <v>247252.41019000008</v>
      </c>
      <c r="Q31" s="118">
        <f>SUM(M31:P31)</f>
        <v>1067642.8119600001</v>
      </c>
      <c r="R31" s="117">
        <v>367687.57272000005</v>
      </c>
      <c r="S31" s="117">
        <v>299398.11915999989</v>
      </c>
      <c r="T31" s="117">
        <v>366966.13994000014</v>
      </c>
      <c r="U31" s="117">
        <v>274697.16817999992</v>
      </c>
      <c r="V31" s="118">
        <f t="shared" ref="V31:V45" si="11">SUM(R31:U31)</f>
        <v>1308749</v>
      </c>
      <c r="W31" s="117">
        <v>451100.51496</v>
      </c>
    </row>
    <row r="32" spans="1:23" s="2" customFormat="1">
      <c r="A32" s="11"/>
      <c r="B32" s="11" t="s">
        <v>586</v>
      </c>
      <c r="C32" s="120">
        <v>-11097</v>
      </c>
      <c r="D32" s="120">
        <v>-37153</v>
      </c>
      <c r="E32" s="120">
        <v>31935</v>
      </c>
      <c r="F32" s="120">
        <v>-87090</v>
      </c>
      <c r="G32" s="142">
        <f t="shared" si="9"/>
        <v>-103405</v>
      </c>
      <c r="H32" s="120">
        <v>48417</v>
      </c>
      <c r="I32" s="120">
        <v>204577</v>
      </c>
      <c r="J32" s="120">
        <v>7464</v>
      </c>
      <c r="K32" s="120">
        <v>11019</v>
      </c>
      <c r="L32" s="154">
        <f t="shared" si="10"/>
        <v>271477</v>
      </c>
      <c r="M32" s="153">
        <v>-177866.09014546499</v>
      </c>
      <c r="N32" s="121">
        <v>-274971.10538453498</v>
      </c>
      <c r="O32" s="121">
        <v>111156</v>
      </c>
      <c r="P32" s="121">
        <v>399391.43235999998</v>
      </c>
      <c r="Q32" s="154">
        <f t="shared" ref="Q32:Q45" si="12">SUM(M32:P32)</f>
        <v>57710.236830000009</v>
      </c>
      <c r="R32" s="121">
        <v>28637.068489999998</v>
      </c>
      <c r="S32" s="121">
        <v>25513.356480000002</v>
      </c>
      <c r="T32" s="121">
        <v>31070.888120000011</v>
      </c>
      <c r="U32" s="121">
        <v>28372.686909999989</v>
      </c>
      <c r="V32" s="154">
        <f t="shared" si="11"/>
        <v>113594</v>
      </c>
      <c r="W32" s="121">
        <v>32845.38222</v>
      </c>
    </row>
    <row r="33" spans="1:23">
      <c r="A33" s="11"/>
      <c r="B33" s="11" t="s">
        <v>587</v>
      </c>
      <c r="C33" s="153">
        <v>-20671</v>
      </c>
      <c r="D33" s="153">
        <v>-19761</v>
      </c>
      <c r="E33" s="153">
        <v>-19870</v>
      </c>
      <c r="F33" s="153">
        <v>-20449</v>
      </c>
      <c r="G33" s="144">
        <f t="shared" si="9"/>
        <v>-80751</v>
      </c>
      <c r="H33" s="153">
        <v>-21334</v>
      </c>
      <c r="I33" s="153">
        <v>-7749</v>
      </c>
      <c r="J33" s="153">
        <v>-20730</v>
      </c>
      <c r="K33" s="153">
        <v>-38425</v>
      </c>
      <c r="L33" s="144">
        <f t="shared" si="10"/>
        <v>-88238</v>
      </c>
      <c r="M33" s="153">
        <v>-21717.245159999999</v>
      </c>
      <c r="N33" s="121">
        <v>-22789</v>
      </c>
      <c r="O33" s="121">
        <v>-28050.366820000003</v>
      </c>
      <c r="P33" s="121">
        <v>-26514.361440000095</v>
      </c>
      <c r="Q33" s="144">
        <f t="shared" si="12"/>
        <v>-99070.973420000097</v>
      </c>
      <c r="R33" s="121">
        <v>-27198.028429999998</v>
      </c>
      <c r="S33" s="121">
        <v>-16733</v>
      </c>
      <c r="T33" s="121">
        <v>-20568.732619999995</v>
      </c>
      <c r="U33" s="121">
        <v>-47278.700360000003</v>
      </c>
      <c r="V33" s="144">
        <f t="shared" si="11"/>
        <v>-111778.46140999999</v>
      </c>
      <c r="W33" s="121">
        <v>-11382.2268699999</v>
      </c>
    </row>
    <row r="34" spans="1:23" s="2" customFormat="1">
      <c r="A34" s="9"/>
      <c r="B34" s="9" t="s">
        <v>418</v>
      </c>
      <c r="C34" s="76">
        <f>C31+C32+C33</f>
        <v>54245</v>
      </c>
      <c r="D34" s="76">
        <f>D31+D32+D33</f>
        <v>60857</v>
      </c>
      <c r="E34" s="76">
        <f>E31+E32+E33</f>
        <v>127148</v>
      </c>
      <c r="F34" s="76">
        <f>F31+F32+F33</f>
        <v>-16098</v>
      </c>
      <c r="G34" s="118">
        <f t="shared" si="9"/>
        <v>226152</v>
      </c>
      <c r="H34" s="76">
        <f>H31+H32+H33</f>
        <v>219942</v>
      </c>
      <c r="I34" s="76">
        <f>I31+I32+I33</f>
        <v>366420</v>
      </c>
      <c r="J34" s="76">
        <f>J31+J32+J33</f>
        <v>189377</v>
      </c>
      <c r="K34" s="76">
        <f>K31+K32+K33</f>
        <v>254406</v>
      </c>
      <c r="L34" s="118">
        <f t="shared" si="10"/>
        <v>1030145</v>
      </c>
      <c r="M34" s="76">
        <f>M31+M32+M33</f>
        <v>119635.60151453502</v>
      </c>
      <c r="N34" s="76">
        <f t="shared" ref="N34:P34" si="13">N31+N32+N33</f>
        <v>-5261.1011945350328</v>
      </c>
      <c r="O34" s="76">
        <f t="shared" si="13"/>
        <v>291778.09394000005</v>
      </c>
      <c r="P34" s="76">
        <f t="shared" si="13"/>
        <v>620129.48110999994</v>
      </c>
      <c r="Q34" s="118">
        <f t="shared" si="12"/>
        <v>1026282.07537</v>
      </c>
      <c r="R34" s="76">
        <f>R31+R32+R33</f>
        <v>369126.61278000002</v>
      </c>
      <c r="S34" s="76">
        <f>S31+S32+S33</f>
        <v>308178.4756399999</v>
      </c>
      <c r="T34" s="76">
        <f>T31+T32+T33</f>
        <v>377468.29544000013</v>
      </c>
      <c r="U34" s="76">
        <v>255791.15472999989</v>
      </c>
      <c r="V34" s="118">
        <f t="shared" si="11"/>
        <v>1310564.5385899998</v>
      </c>
      <c r="W34" s="76">
        <v>472563.67031000007</v>
      </c>
    </row>
    <row r="35" spans="1:23">
      <c r="A35" s="11"/>
      <c r="B35" s="11" t="s">
        <v>599</v>
      </c>
      <c r="C35" s="153">
        <v>0</v>
      </c>
      <c r="D35" s="153">
        <v>0</v>
      </c>
      <c r="E35" s="153">
        <v>0</v>
      </c>
      <c r="F35" s="153">
        <v>0</v>
      </c>
      <c r="G35" s="142">
        <f t="shared" si="9"/>
        <v>0</v>
      </c>
      <c r="H35" s="153">
        <v>0</v>
      </c>
      <c r="I35" s="153">
        <v>0</v>
      </c>
      <c r="J35" s="153">
        <v>0</v>
      </c>
      <c r="K35" s="153">
        <v>0</v>
      </c>
      <c r="L35" s="154">
        <f t="shared" si="10"/>
        <v>0</v>
      </c>
      <c r="M35" s="153">
        <v>0</v>
      </c>
      <c r="N35" s="153">
        <v>0</v>
      </c>
      <c r="O35" s="121">
        <v>0</v>
      </c>
      <c r="P35" s="153">
        <v>0</v>
      </c>
      <c r="Q35" s="154">
        <f t="shared" si="12"/>
        <v>0</v>
      </c>
      <c r="R35" s="153">
        <v>0</v>
      </c>
      <c r="S35" s="153">
        <v>0</v>
      </c>
      <c r="T35" s="153">
        <v>0</v>
      </c>
      <c r="U35" s="153">
        <v>0</v>
      </c>
      <c r="V35" s="154">
        <f t="shared" si="11"/>
        <v>0</v>
      </c>
      <c r="W35" s="153">
        <v>0</v>
      </c>
    </row>
    <row r="36" spans="1:23">
      <c r="A36" s="9"/>
      <c r="B36" s="9" t="s">
        <v>420</v>
      </c>
      <c r="C36" s="117">
        <f>C34+C35</f>
        <v>54245</v>
      </c>
      <c r="D36" s="117">
        <f>D34+D35</f>
        <v>60857</v>
      </c>
      <c r="E36" s="117">
        <f>E34+E35</f>
        <v>127148</v>
      </c>
      <c r="F36" s="117">
        <f>F34+F35</f>
        <v>-16098</v>
      </c>
      <c r="G36" s="118">
        <f t="shared" si="9"/>
        <v>226152</v>
      </c>
      <c r="H36" s="117">
        <f>H34+H35</f>
        <v>219942</v>
      </c>
      <c r="I36" s="117">
        <f>I34+I35</f>
        <v>366420</v>
      </c>
      <c r="J36" s="117">
        <f>J34+J35</f>
        <v>189377</v>
      </c>
      <c r="K36" s="117">
        <f>K34+K35</f>
        <v>254406</v>
      </c>
      <c r="L36" s="118">
        <f t="shared" si="10"/>
        <v>1030145</v>
      </c>
      <c r="M36" s="117">
        <f>M34+M35</f>
        <v>119635.60151453502</v>
      </c>
      <c r="N36" s="117">
        <f t="shared" ref="N36:P36" si="14">N34+N35</f>
        <v>-5261.1011945350328</v>
      </c>
      <c r="O36" s="117">
        <f t="shared" si="14"/>
        <v>291778.09394000005</v>
      </c>
      <c r="P36" s="117">
        <f t="shared" si="14"/>
        <v>620129.48110999994</v>
      </c>
      <c r="Q36" s="118">
        <f t="shared" si="12"/>
        <v>1026282.07537</v>
      </c>
      <c r="R36" s="117">
        <v>369126.61278000002</v>
      </c>
      <c r="S36" s="117">
        <v>308177.93704999989</v>
      </c>
      <c r="T36" s="117">
        <v>377468.29544000013</v>
      </c>
      <c r="U36" s="117">
        <v>255791.15472999989</v>
      </c>
      <c r="V36" s="118">
        <f t="shared" si="11"/>
        <v>1310563.9999999998</v>
      </c>
      <c r="W36" s="117">
        <v>472563.67031000007</v>
      </c>
    </row>
    <row r="37" spans="1:23">
      <c r="A37" s="11"/>
      <c r="B37" s="11" t="s">
        <v>589</v>
      </c>
      <c r="C37" s="153">
        <v>-21697</v>
      </c>
      <c r="D37" s="153">
        <v>-24343.800000000003</v>
      </c>
      <c r="E37" s="153">
        <v>-50859.199999999997</v>
      </c>
      <c r="F37" s="153">
        <v>6439</v>
      </c>
      <c r="G37" s="142">
        <f t="shared" si="9"/>
        <v>-90461</v>
      </c>
      <c r="H37" s="153">
        <v>-87977</v>
      </c>
      <c r="I37" s="153">
        <v>-146567.79999999999</v>
      </c>
      <c r="J37" s="153">
        <v>-75751.200000000012</v>
      </c>
      <c r="K37" s="153">
        <v>-101762</v>
      </c>
      <c r="L37" s="154">
        <f t="shared" si="10"/>
        <v>-412058</v>
      </c>
      <c r="M37" s="153">
        <v>-47854.240605814004</v>
      </c>
      <c r="N37" s="153">
        <v>2104</v>
      </c>
      <c r="O37" s="121">
        <v>-116711</v>
      </c>
      <c r="P37" s="153">
        <v>-248051.79244400002</v>
      </c>
      <c r="Q37" s="154">
        <f t="shared" si="12"/>
        <v>-410513.03304981405</v>
      </c>
      <c r="R37" s="153">
        <v>-147650.645112</v>
      </c>
      <c r="S37" s="153">
        <v>-123271.17481999996</v>
      </c>
      <c r="T37" s="153">
        <v>-150987.31817600003</v>
      </c>
      <c r="U37" s="153">
        <v>-102315.86189200002</v>
      </c>
      <c r="V37" s="154">
        <f t="shared" si="11"/>
        <v>-524225</v>
      </c>
      <c r="W37" s="153">
        <v>-189025.46812400001</v>
      </c>
    </row>
    <row r="38" spans="1:23">
      <c r="A38" s="11"/>
      <c r="B38" s="11" t="s">
        <v>463</v>
      </c>
      <c r="C38" s="153">
        <v>0</v>
      </c>
      <c r="D38" s="153">
        <v>0</v>
      </c>
      <c r="E38" s="153">
        <v>0</v>
      </c>
      <c r="F38" s="153">
        <v>0</v>
      </c>
      <c r="G38" s="142">
        <f t="shared" si="9"/>
        <v>0</v>
      </c>
      <c r="H38" s="153">
        <v>-2332</v>
      </c>
      <c r="I38" s="153">
        <v>-2515</v>
      </c>
      <c r="J38" s="153">
        <v>-2432</v>
      </c>
      <c r="K38" s="153">
        <v>7279</v>
      </c>
      <c r="L38" s="154">
        <f t="shared" si="10"/>
        <v>0</v>
      </c>
      <c r="M38" s="153">
        <v>0</v>
      </c>
      <c r="N38" s="153">
        <v>0</v>
      </c>
      <c r="O38" s="121">
        <v>0</v>
      </c>
      <c r="P38" s="153">
        <v>0</v>
      </c>
      <c r="Q38" s="154">
        <f t="shared" si="12"/>
        <v>0</v>
      </c>
      <c r="R38" s="153">
        <v>0</v>
      </c>
      <c r="S38" s="153">
        <v>0</v>
      </c>
      <c r="T38" s="153">
        <v>0</v>
      </c>
      <c r="U38" s="153">
        <v>0</v>
      </c>
      <c r="V38" s="154">
        <f t="shared" si="11"/>
        <v>0</v>
      </c>
      <c r="W38" s="153">
        <v>0</v>
      </c>
    </row>
    <row r="39" spans="1:23">
      <c r="A39" s="9"/>
      <c r="B39" s="9" t="s">
        <v>590</v>
      </c>
      <c r="C39" s="117">
        <f>C36+C37+C38</f>
        <v>32548</v>
      </c>
      <c r="D39" s="117">
        <f>D36+D37+D38</f>
        <v>36513.199999999997</v>
      </c>
      <c r="E39" s="117">
        <f>E36+E37+E38</f>
        <v>76288.800000000003</v>
      </c>
      <c r="F39" s="117">
        <f>F36+F37+F38</f>
        <v>-9659</v>
      </c>
      <c r="G39" s="118">
        <f t="shared" si="9"/>
        <v>135691</v>
      </c>
      <c r="H39" s="117">
        <f>H36+H37+H38</f>
        <v>129633</v>
      </c>
      <c r="I39" s="117">
        <f>I36+I37+I38</f>
        <v>217337.2</v>
      </c>
      <c r="J39" s="117">
        <f>J36+J37+J38</f>
        <v>111193.79999999999</v>
      </c>
      <c r="K39" s="117">
        <f>K36+K37+K38</f>
        <v>159923</v>
      </c>
      <c r="L39" s="118">
        <f t="shared" si="10"/>
        <v>618087</v>
      </c>
      <c r="M39" s="117">
        <f>M36+M37+M38</f>
        <v>71781.360908721021</v>
      </c>
      <c r="N39" s="117">
        <f t="shared" ref="N39:P39" si="15">N36+N37+N38</f>
        <v>-3157.1011945350328</v>
      </c>
      <c r="O39" s="117">
        <f t="shared" si="15"/>
        <v>175067.09394000005</v>
      </c>
      <c r="P39" s="117">
        <f t="shared" si="15"/>
        <v>372077.68866599991</v>
      </c>
      <c r="Q39" s="118">
        <f t="shared" si="12"/>
        <v>615769.04232018592</v>
      </c>
      <c r="R39" s="117">
        <f>R36+R37</f>
        <v>221475.96766800003</v>
      </c>
      <c r="S39" s="117">
        <f>S36+S37</f>
        <v>184906.76222999993</v>
      </c>
      <c r="T39" s="117">
        <f>T36+T37</f>
        <v>226480.9772640001</v>
      </c>
      <c r="U39" s="117">
        <f>U36+U37</f>
        <v>153475.29283799988</v>
      </c>
      <c r="V39" s="118">
        <f t="shared" si="11"/>
        <v>786338.99999999988</v>
      </c>
      <c r="W39" s="117">
        <f>W36+W37</f>
        <v>283538.20218600007</v>
      </c>
    </row>
    <row r="40" spans="1:23" s="2" customFormat="1">
      <c r="A40" s="9"/>
      <c r="B40" s="9" t="s">
        <v>591</v>
      </c>
      <c r="C40" s="117">
        <v>0</v>
      </c>
      <c r="D40" s="117">
        <v>0</v>
      </c>
      <c r="E40" s="117">
        <v>0</v>
      </c>
      <c r="F40" s="117">
        <v>0</v>
      </c>
      <c r="G40" s="118">
        <f t="shared" si="9"/>
        <v>0</v>
      </c>
      <c r="H40" s="117">
        <v>0</v>
      </c>
      <c r="I40" s="117">
        <v>0</v>
      </c>
      <c r="J40" s="117">
        <v>0</v>
      </c>
      <c r="K40" s="117">
        <v>0</v>
      </c>
      <c r="L40" s="118">
        <f t="shared" si="10"/>
        <v>0</v>
      </c>
      <c r="M40" s="117">
        <v>0</v>
      </c>
      <c r="N40" s="160">
        <v>0</v>
      </c>
      <c r="O40" s="160">
        <v>0</v>
      </c>
      <c r="P40" s="160">
        <v>0</v>
      </c>
      <c r="Q40" s="118">
        <f t="shared" si="12"/>
        <v>0</v>
      </c>
      <c r="R40" s="160">
        <v>0</v>
      </c>
      <c r="S40" s="160">
        <v>0</v>
      </c>
      <c r="T40" s="160">
        <v>0</v>
      </c>
      <c r="U40" s="160">
        <v>0</v>
      </c>
      <c r="V40" s="118">
        <f t="shared" si="11"/>
        <v>0</v>
      </c>
      <c r="W40" s="160">
        <v>0</v>
      </c>
    </row>
    <row r="41" spans="1:23">
      <c r="A41" s="15"/>
      <c r="B41" s="15" t="s">
        <v>592</v>
      </c>
      <c r="C41" s="155">
        <f>C39+C40</f>
        <v>32548</v>
      </c>
      <c r="D41" s="155">
        <f>D39+D40</f>
        <v>36513.199999999997</v>
      </c>
      <c r="E41" s="155">
        <f>E39+E40</f>
        <v>76288.800000000003</v>
      </c>
      <c r="F41" s="155">
        <f>F39+F40</f>
        <v>-9659</v>
      </c>
      <c r="G41" s="156">
        <f t="shared" si="9"/>
        <v>135691</v>
      </c>
      <c r="H41" s="155">
        <f>H39+H40</f>
        <v>129633</v>
      </c>
      <c r="I41" s="155">
        <f>I39+I40</f>
        <v>217337.2</v>
      </c>
      <c r="J41" s="155">
        <f>J39+J40</f>
        <v>111193.79999999999</v>
      </c>
      <c r="K41" s="155">
        <f>K39+K40</f>
        <v>159923</v>
      </c>
      <c r="L41" s="156">
        <f t="shared" si="10"/>
        <v>618087</v>
      </c>
      <c r="M41" s="155">
        <f>M39+M40</f>
        <v>71781.360908721021</v>
      </c>
      <c r="N41" s="155">
        <f t="shared" ref="N41:P41" si="16">N39+N40</f>
        <v>-3157.1011945350328</v>
      </c>
      <c r="O41" s="155">
        <f t="shared" si="16"/>
        <v>175067.09394000005</v>
      </c>
      <c r="P41" s="155">
        <f t="shared" si="16"/>
        <v>372077.68866599991</v>
      </c>
      <c r="Q41" s="156">
        <f t="shared" si="12"/>
        <v>615769.04232018592</v>
      </c>
      <c r="R41" s="155">
        <f>R40+R39</f>
        <v>221475.96766800003</v>
      </c>
      <c r="S41" s="155">
        <f>S40+S39</f>
        <v>184906.76222999993</v>
      </c>
      <c r="T41" s="155">
        <f>T40+T39</f>
        <v>226480.9772640001</v>
      </c>
      <c r="U41" s="155">
        <f>U40+U39</f>
        <v>153475.29283799988</v>
      </c>
      <c r="V41" s="156">
        <f t="shared" si="11"/>
        <v>786338.99999999988</v>
      </c>
      <c r="W41" s="155">
        <f>W40+W39</f>
        <v>283538.20218600007</v>
      </c>
    </row>
    <row r="42" spans="1:23">
      <c r="A42" s="11"/>
      <c r="B42" s="11" t="s">
        <v>600</v>
      </c>
      <c r="C42" s="157">
        <f>C41</f>
        <v>32548</v>
      </c>
      <c r="D42" s="157">
        <f>D41</f>
        <v>36513.199999999997</v>
      </c>
      <c r="E42" s="157">
        <f>E41</f>
        <v>76288.800000000003</v>
      </c>
      <c r="F42" s="157">
        <f>F41</f>
        <v>-9659</v>
      </c>
      <c r="G42" s="142">
        <f t="shared" si="9"/>
        <v>135691</v>
      </c>
      <c r="H42" s="157">
        <f>H41</f>
        <v>129633</v>
      </c>
      <c r="I42" s="157">
        <f>I41</f>
        <v>217337.2</v>
      </c>
      <c r="J42" s="157">
        <f>J41</f>
        <v>111193.79999999999</v>
      </c>
      <c r="K42" s="157">
        <f>K41</f>
        <v>159923</v>
      </c>
      <c r="L42" s="154">
        <f t="shared" si="10"/>
        <v>618087</v>
      </c>
      <c r="M42" s="157">
        <f>M41</f>
        <v>71781.360908721021</v>
      </c>
      <c r="N42" s="121">
        <f>N41</f>
        <v>-3157.1011945350328</v>
      </c>
      <c r="O42" s="121">
        <f>O41</f>
        <v>175067.09394000005</v>
      </c>
      <c r="P42" s="121">
        <v>372077.68866599997</v>
      </c>
      <c r="Q42" s="154">
        <f t="shared" si="12"/>
        <v>615769.04232018604</v>
      </c>
      <c r="R42" s="121">
        <v>221475.96766800003</v>
      </c>
      <c r="S42" s="121">
        <v>184906.76222999999</v>
      </c>
      <c r="T42" s="121">
        <v>226480.97726399987</v>
      </c>
      <c r="U42" s="121">
        <v>153475.29283800011</v>
      </c>
      <c r="V42" s="154">
        <f t="shared" si="11"/>
        <v>786339</v>
      </c>
      <c r="W42" s="121">
        <v>283538.20218600007</v>
      </c>
    </row>
    <row r="43" spans="1:23">
      <c r="A43" s="11"/>
      <c r="B43" s="11" t="s">
        <v>459</v>
      </c>
      <c r="C43" s="120">
        <v>0</v>
      </c>
      <c r="D43" s="120">
        <v>0</v>
      </c>
      <c r="E43" s="120">
        <v>0</v>
      </c>
      <c r="F43" s="120">
        <v>0</v>
      </c>
      <c r="G43" s="142">
        <f t="shared" si="9"/>
        <v>0</v>
      </c>
      <c r="H43" s="120">
        <v>0</v>
      </c>
      <c r="I43" s="120">
        <v>0</v>
      </c>
      <c r="J43" s="120">
        <v>0</v>
      </c>
      <c r="K43" s="120">
        <v>0</v>
      </c>
      <c r="L43" s="154">
        <f t="shared" si="10"/>
        <v>0</v>
      </c>
      <c r="M43" s="120">
        <v>0</v>
      </c>
      <c r="N43" s="121">
        <v>0</v>
      </c>
      <c r="O43" s="120">
        <v>0</v>
      </c>
      <c r="P43" s="121">
        <v>0</v>
      </c>
      <c r="Q43" s="154">
        <f t="shared" si="12"/>
        <v>0</v>
      </c>
      <c r="R43" s="121">
        <v>0</v>
      </c>
      <c r="S43" s="121">
        <v>0</v>
      </c>
      <c r="T43" s="121">
        <v>0</v>
      </c>
      <c r="U43" s="121">
        <v>0</v>
      </c>
      <c r="V43" s="154">
        <f t="shared" si="11"/>
        <v>0</v>
      </c>
      <c r="W43" s="121">
        <v>0</v>
      </c>
    </row>
    <row r="44" spans="1:23">
      <c r="A44" s="11"/>
      <c r="B44" s="11" t="s">
        <v>596</v>
      </c>
      <c r="C44" s="120">
        <f>C43+C42</f>
        <v>32548</v>
      </c>
      <c r="D44" s="120">
        <f>D43+D42</f>
        <v>36513.199999999997</v>
      </c>
      <c r="E44" s="120">
        <f>E43+E42</f>
        <v>76288.800000000003</v>
      </c>
      <c r="F44" s="120">
        <f>F43+F42</f>
        <v>-9659</v>
      </c>
      <c r="G44" s="142">
        <f t="shared" si="9"/>
        <v>135691</v>
      </c>
      <c r="H44" s="120">
        <f>H43+H42</f>
        <v>129633</v>
      </c>
      <c r="I44" s="120">
        <f>I43+I42</f>
        <v>217337.2</v>
      </c>
      <c r="J44" s="120">
        <f>J43+J42</f>
        <v>111193.79999999999</v>
      </c>
      <c r="K44" s="120">
        <f>K43+K42</f>
        <v>159923</v>
      </c>
      <c r="L44" s="154">
        <f t="shared" si="10"/>
        <v>618087</v>
      </c>
      <c r="M44" s="120">
        <f>M43+M42</f>
        <v>71781.360908721021</v>
      </c>
      <c r="N44" s="121">
        <f>N42</f>
        <v>-3157.1011945350328</v>
      </c>
      <c r="O44" s="120">
        <f>O42</f>
        <v>175067.09394000005</v>
      </c>
      <c r="P44" s="121">
        <v>372077.68866599997</v>
      </c>
      <c r="Q44" s="154">
        <f t="shared" si="12"/>
        <v>615769.04232018604</v>
      </c>
      <c r="R44" s="121">
        <v>221475.96766800003</v>
      </c>
      <c r="S44" s="121">
        <v>184906.76222999999</v>
      </c>
      <c r="T44" s="121">
        <v>226480.97726399987</v>
      </c>
      <c r="U44" s="121">
        <v>153475.29283800011</v>
      </c>
      <c r="V44" s="154">
        <f t="shared" si="11"/>
        <v>786339</v>
      </c>
      <c r="W44" s="121">
        <v>283538.20218600007</v>
      </c>
    </row>
    <row r="45" spans="1:23" s="2" customFormat="1">
      <c r="A45" s="11"/>
      <c r="B45" s="11" t="s">
        <v>597</v>
      </c>
      <c r="C45" s="120">
        <v>0</v>
      </c>
      <c r="D45" s="120">
        <v>0</v>
      </c>
      <c r="E45" s="120">
        <v>0</v>
      </c>
      <c r="F45" s="120">
        <v>0</v>
      </c>
      <c r="G45" s="142">
        <f t="shared" si="9"/>
        <v>0</v>
      </c>
      <c r="H45" s="120">
        <v>0</v>
      </c>
      <c r="I45" s="120">
        <v>0</v>
      </c>
      <c r="J45" s="120">
        <v>0</v>
      </c>
      <c r="K45" s="120">
        <v>0</v>
      </c>
      <c r="L45" s="154">
        <f t="shared" si="10"/>
        <v>0</v>
      </c>
      <c r="M45" s="120">
        <v>0</v>
      </c>
      <c r="N45" s="121">
        <v>0</v>
      </c>
      <c r="O45" s="120"/>
      <c r="P45" s="120"/>
      <c r="Q45" s="154">
        <f t="shared" si="12"/>
        <v>0</v>
      </c>
      <c r="R45" s="120">
        <v>0</v>
      </c>
      <c r="S45" s="120">
        <v>0</v>
      </c>
      <c r="T45" s="120">
        <v>0</v>
      </c>
      <c r="U45" s="120">
        <v>0</v>
      </c>
      <c r="V45" s="154">
        <f t="shared" si="11"/>
        <v>0</v>
      </c>
      <c r="W45" s="120">
        <v>0</v>
      </c>
    </row>
    <row r="46" spans="1:23">
      <c r="A46" s="535"/>
      <c r="B46" s="535" t="s">
        <v>451</v>
      </c>
      <c r="C46" s="521">
        <v>0.75</v>
      </c>
      <c r="D46" s="521">
        <v>0.75</v>
      </c>
      <c r="E46" s="521">
        <v>0.75</v>
      </c>
      <c r="F46" s="521">
        <v>0.75</v>
      </c>
      <c r="G46" s="536">
        <v>0.75</v>
      </c>
      <c r="H46" s="521">
        <v>0.75</v>
      </c>
      <c r="I46" s="521">
        <v>0.75</v>
      </c>
      <c r="J46" s="521">
        <v>0.74996305600709301</v>
      </c>
      <c r="K46" s="521">
        <v>0.75</v>
      </c>
      <c r="L46" s="536">
        <v>0.75</v>
      </c>
      <c r="M46" s="521">
        <v>0.74996305600709301</v>
      </c>
      <c r="N46" s="521">
        <v>0.74996305600709301</v>
      </c>
      <c r="O46" s="521">
        <v>0.74996305600709301</v>
      </c>
      <c r="P46" s="521">
        <v>0.74996305600709301</v>
      </c>
      <c r="Q46" s="536">
        <v>0.74996305600709301</v>
      </c>
      <c r="R46" s="521">
        <v>0.75</v>
      </c>
      <c r="S46" s="521">
        <v>0.75</v>
      </c>
      <c r="T46" s="521">
        <v>0.74996305600709301</v>
      </c>
      <c r="U46" s="521">
        <v>0.75</v>
      </c>
      <c r="V46" s="536">
        <v>0.75</v>
      </c>
      <c r="W46" s="521">
        <v>0.75</v>
      </c>
    </row>
    <row r="47" spans="1:23" s="2" customFormat="1">
      <c r="A47" s="187"/>
      <c r="B47"/>
      <c r="C47"/>
      <c r="D47" s="49"/>
      <c r="E47" s="49"/>
      <c r="F47" s="49"/>
      <c r="G47" s="8"/>
      <c r="H47" s="525"/>
      <c r="I47" s="525"/>
      <c r="J47" s="525"/>
      <c r="K47" s="525"/>
      <c r="L47" s="525"/>
      <c r="M47" s="525"/>
      <c r="N47" s="8"/>
      <c r="O47" s="8"/>
      <c r="P47" s="8"/>
      <c r="Q47" s="525"/>
      <c r="R47" s="8"/>
      <c r="S47" s="8"/>
      <c r="T47" s="8"/>
      <c r="U47" s="8"/>
      <c r="V47" s="476"/>
      <c r="W47" s="476"/>
    </row>
    <row r="48" spans="1:23">
      <c r="O48" s="49"/>
      <c r="W48" s="476"/>
    </row>
    <row r="49" spans="1:23">
      <c r="L49" s="49"/>
      <c r="N49" s="114"/>
      <c r="Q49" s="49"/>
      <c r="W49" s="476"/>
    </row>
    <row r="52" spans="1:23" s="2" customFormat="1">
      <c r="A52" s="187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EC58-E7B9-439B-9A34-29F72558BDBD}">
  <dimension ref="A1:W25"/>
  <sheetViews>
    <sheetView showGridLines="0" showRowColHeaders="0" zoomScale="75" zoomScaleNormal="75" workbookViewId="0">
      <pane xSplit="2" ySplit="5" topLeftCell="R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1"/>
  <cols>
    <col min="1" max="1" width="2.5703125" customWidth="1"/>
    <col min="2" max="2" width="61.42578125" bestFit="1" customWidth="1"/>
    <col min="3" max="3" width="11.42578125" hidden="1" customWidth="1" outlineLevel="1"/>
    <col min="4" max="5" width="10.42578125" hidden="1" customWidth="1" outlineLevel="1"/>
    <col min="6" max="6" width="11.42578125" hidden="1" customWidth="1" outlineLevel="1"/>
    <col min="7" max="7" width="11.42578125" customWidth="1" collapsed="1"/>
    <col min="8" max="8" width="11.42578125" hidden="1" customWidth="1" outlineLevel="1"/>
    <col min="9" max="9" width="10.42578125" hidden="1" customWidth="1" outlineLevel="1"/>
    <col min="10" max="10" width="13" hidden="1" customWidth="1" outlineLevel="1"/>
    <col min="11" max="11" width="11.42578125" hidden="1" customWidth="1" outlineLevel="1"/>
    <col min="12" max="12" width="11.42578125" customWidth="1" collapsed="1"/>
    <col min="13" max="13" width="11.42578125" hidden="1" customWidth="1" outlineLevel="1"/>
    <col min="14" max="14" width="10.42578125" hidden="1" customWidth="1" outlineLevel="1"/>
    <col min="15" max="16" width="13" hidden="1" customWidth="1" outlineLevel="1"/>
    <col min="17" max="17" width="11.42578125" customWidth="1" collapsed="1"/>
    <col min="18" max="21" width="13" customWidth="1" outlineLevel="1"/>
    <col min="22" max="23" width="11.42578125" customWidth="1"/>
  </cols>
  <sheetData>
    <row r="1" spans="1:2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31"/>
      <c r="W1" s="630"/>
    </row>
    <row r="2" spans="1:23" ht="15" customHeight="1">
      <c r="A2" s="619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32"/>
      <c r="W2" s="630"/>
    </row>
    <row r="3" spans="1:23" ht="50.1" customHeight="1">
      <c r="A3" s="619"/>
      <c r="B3" s="766" t="s">
        <v>602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31"/>
      <c r="W3" s="630"/>
    </row>
    <row r="4" spans="1:23" s="108" customFormat="1" ht="10.35" customHeight="1">
      <c r="A4" s="354"/>
      <c r="C4" s="109"/>
      <c r="D4" s="109"/>
      <c r="E4" s="109"/>
      <c r="F4" s="109"/>
      <c r="H4" s="109"/>
      <c r="I4" s="109"/>
      <c r="J4" s="109"/>
      <c r="K4" s="109"/>
      <c r="M4" s="109"/>
      <c r="N4" s="109"/>
      <c r="O4" s="109"/>
      <c r="P4" s="109"/>
      <c r="R4" s="109"/>
      <c r="S4" s="109"/>
      <c r="T4" s="109"/>
      <c r="U4" s="109"/>
    </row>
    <row r="5" spans="1:23" s="103" customFormat="1" ht="23.25">
      <c r="A5" s="74"/>
      <c r="B5" s="74" t="s">
        <v>539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</row>
    <row r="6" spans="1:23" s="108" customFormat="1" ht="15" customHeight="1" thickBot="1">
      <c r="A6" s="354"/>
      <c r="C6" s="109"/>
      <c r="D6" s="109"/>
      <c r="E6" s="109"/>
      <c r="F6" s="109"/>
      <c r="H6" s="109"/>
      <c r="I6" s="109"/>
      <c r="J6" s="109"/>
      <c r="K6" s="109"/>
    </row>
    <row r="7" spans="1:23" s="2" customFormat="1" ht="24.4" customHeight="1">
      <c r="A7" s="625"/>
      <c r="B7" s="625" t="s">
        <v>540</v>
      </c>
      <c r="C7" s="626" t="s">
        <v>248</v>
      </c>
      <c r="D7" s="626" t="s">
        <v>249</v>
      </c>
      <c r="E7" s="626" t="s">
        <v>250</v>
      </c>
      <c r="F7" s="626" t="s">
        <v>215</v>
      </c>
      <c r="G7" s="652">
        <v>2022</v>
      </c>
      <c r="H7" s="626" t="s">
        <v>252</v>
      </c>
      <c r="I7" s="626" t="s">
        <v>253</v>
      </c>
      <c r="J7" s="626" t="s">
        <v>254</v>
      </c>
      <c r="K7" s="626" t="s">
        <v>219</v>
      </c>
      <c r="L7" s="652">
        <v>2023</v>
      </c>
      <c r="M7" s="626" t="s">
        <v>223</v>
      </c>
      <c r="N7" s="626" t="s">
        <v>256</v>
      </c>
      <c r="O7" s="626" t="s">
        <v>357</v>
      </c>
      <c r="P7" s="626" t="s">
        <v>358</v>
      </c>
      <c r="Q7" s="652">
        <v>2024</v>
      </c>
      <c r="R7" s="626" t="s">
        <v>359</v>
      </c>
      <c r="S7" s="626" t="s">
        <v>1115</v>
      </c>
      <c r="T7" s="626" t="s">
        <v>1116</v>
      </c>
      <c r="U7" s="626" t="s">
        <v>1117</v>
      </c>
      <c r="V7" s="653" t="s">
        <v>1118</v>
      </c>
      <c r="W7" s="645" t="s">
        <v>1124</v>
      </c>
    </row>
    <row r="8" spans="1:23" s="2" customFormat="1">
      <c r="B8" s="9" t="s">
        <v>412</v>
      </c>
      <c r="C8" s="10">
        <v>6533</v>
      </c>
      <c r="D8" s="10">
        <v>35956</v>
      </c>
      <c r="E8" s="10">
        <v>98577</v>
      </c>
      <c r="F8" s="10">
        <v>85862</v>
      </c>
      <c r="G8" s="39">
        <f t="shared" ref="G8:G22" si="0">SUM(C8:F8)</f>
        <v>226928</v>
      </c>
      <c r="H8" s="10">
        <v>97887</v>
      </c>
      <c r="I8" s="10">
        <v>81417</v>
      </c>
      <c r="J8" s="10">
        <v>86029</v>
      </c>
      <c r="K8" s="10">
        <v>82720</v>
      </c>
      <c r="L8" s="39">
        <f t="shared" ref="L8:L22" si="1">SUM(H8:K8)</f>
        <v>348053</v>
      </c>
      <c r="M8" s="10">
        <v>190523</v>
      </c>
      <c r="N8" s="10">
        <v>170582</v>
      </c>
      <c r="O8" s="10">
        <v>208663</v>
      </c>
      <c r="P8" s="10">
        <v>191437</v>
      </c>
      <c r="Q8" s="39">
        <f>SUM(M8:P8)</f>
        <v>761205</v>
      </c>
      <c r="R8" s="10">
        <v>139734.08015999998</v>
      </c>
      <c r="S8" s="10">
        <v>135740.24026000002</v>
      </c>
      <c r="T8" s="10">
        <v>194374.34700000001</v>
      </c>
      <c r="U8" s="10">
        <v>109567</v>
      </c>
      <c r="V8" s="39">
        <f t="shared" ref="V8:V22" si="2">SUM(R8:U8)</f>
        <v>579415.66742000007</v>
      </c>
      <c r="W8" s="10">
        <v>219796</v>
      </c>
    </row>
    <row r="9" spans="1:23">
      <c r="B9" s="11" t="s">
        <v>415</v>
      </c>
      <c r="C9" s="12">
        <v>29879</v>
      </c>
      <c r="D9" s="12">
        <v>23228</v>
      </c>
      <c r="E9" s="12">
        <v>26019</v>
      </c>
      <c r="F9" s="12">
        <v>30374</v>
      </c>
      <c r="G9" s="40">
        <f t="shared" si="0"/>
        <v>109500</v>
      </c>
      <c r="H9" s="12">
        <v>32294</v>
      </c>
      <c r="I9" s="12">
        <v>33366</v>
      </c>
      <c r="J9" s="12">
        <v>42026</v>
      </c>
      <c r="K9" s="12">
        <v>37418</v>
      </c>
      <c r="L9" s="40">
        <f t="shared" si="1"/>
        <v>145104</v>
      </c>
      <c r="M9" s="12">
        <v>43817</v>
      </c>
      <c r="N9" s="12">
        <v>47208</v>
      </c>
      <c r="O9" s="12">
        <v>49217</v>
      </c>
      <c r="P9" s="12">
        <v>52398</v>
      </c>
      <c r="Q9" s="40">
        <f t="shared" ref="Q9:Q22" si="3">SUM(M9:P9)</f>
        <v>192640</v>
      </c>
      <c r="R9" s="12">
        <v>42643.975829999996</v>
      </c>
      <c r="S9" s="12">
        <v>47789.214139999996</v>
      </c>
      <c r="T9" s="12">
        <v>44712</v>
      </c>
      <c r="U9" s="12">
        <v>48886</v>
      </c>
      <c r="V9" s="40">
        <f t="shared" si="2"/>
        <v>184031.18997000001</v>
      </c>
      <c r="W9" s="8">
        <v>48143</v>
      </c>
    </row>
    <row r="10" spans="1:23">
      <c r="B10" s="11" t="s">
        <v>417</v>
      </c>
      <c r="C10" s="12">
        <v>0</v>
      </c>
      <c r="D10" s="12">
        <v>0</v>
      </c>
      <c r="E10" s="12">
        <v>0</v>
      </c>
      <c r="F10" s="12">
        <v>0</v>
      </c>
      <c r="G10" s="170">
        <f t="shared" si="0"/>
        <v>0</v>
      </c>
      <c r="H10" s="12">
        <v>0</v>
      </c>
      <c r="I10" s="12">
        <v>0</v>
      </c>
      <c r="J10" s="12">
        <v>0</v>
      </c>
      <c r="K10" s="12">
        <v>0</v>
      </c>
      <c r="L10" s="170">
        <f t="shared" si="1"/>
        <v>0</v>
      </c>
      <c r="M10" s="12">
        <v>-56458</v>
      </c>
      <c r="N10" s="12">
        <v>-52788</v>
      </c>
      <c r="O10" s="12">
        <v>-58273</v>
      </c>
      <c r="P10" s="12">
        <v>-72448</v>
      </c>
      <c r="Q10" s="170">
        <f t="shared" si="3"/>
        <v>-239967</v>
      </c>
      <c r="R10" s="12">
        <v>0</v>
      </c>
      <c r="S10" s="12">
        <v>-16</v>
      </c>
      <c r="T10" s="12">
        <v>-24</v>
      </c>
      <c r="U10" s="12">
        <v>-2721</v>
      </c>
      <c r="V10" s="41">
        <f t="shared" si="2"/>
        <v>-2761</v>
      </c>
      <c r="W10" s="13">
        <v>0</v>
      </c>
    </row>
    <row r="11" spans="1:23">
      <c r="A11" s="11"/>
      <c r="B11" s="9" t="s">
        <v>418</v>
      </c>
      <c r="C11" s="10">
        <f>C8+C9</f>
        <v>36412</v>
      </c>
      <c r="D11" s="10">
        <f>D8+D9</f>
        <v>59184</v>
      </c>
      <c r="E11" s="10">
        <f>E8+E9</f>
        <v>124596</v>
      </c>
      <c r="F11" s="10">
        <f>F8+F9</f>
        <v>116236</v>
      </c>
      <c r="G11" s="39">
        <f t="shared" si="0"/>
        <v>336428</v>
      </c>
      <c r="H11" s="10">
        <f>H8+H9</f>
        <v>130181</v>
      </c>
      <c r="I11" s="10">
        <f>I8+I9</f>
        <v>114783</v>
      </c>
      <c r="J11" s="10">
        <f>J8+J9</f>
        <v>128055</v>
      </c>
      <c r="K11" s="10">
        <f>K8+K9</f>
        <v>120138</v>
      </c>
      <c r="L11" s="39">
        <f t="shared" si="1"/>
        <v>493157</v>
      </c>
      <c r="M11" s="10">
        <f>M8+M9+M10</f>
        <v>177882</v>
      </c>
      <c r="N11" s="10">
        <f t="shared" ref="N11:P11" si="4">N8+N9+N10</f>
        <v>165002</v>
      </c>
      <c r="O11" s="10">
        <f t="shared" si="4"/>
        <v>199607</v>
      </c>
      <c r="P11" s="10">
        <f t="shared" si="4"/>
        <v>171387</v>
      </c>
      <c r="Q11" s="39">
        <f t="shared" si="3"/>
        <v>713878</v>
      </c>
      <c r="R11" s="10">
        <f>R8+R9+R10</f>
        <v>182378.05598999996</v>
      </c>
      <c r="S11" s="10">
        <f>S8+S9+S10</f>
        <v>183513.45440000002</v>
      </c>
      <c r="T11" s="10">
        <f>T8+T9+T10</f>
        <v>239062.34700000001</v>
      </c>
      <c r="U11" s="10">
        <f>U8+U9+U10</f>
        <v>155732</v>
      </c>
      <c r="V11" s="39">
        <f t="shared" si="2"/>
        <v>760685.85739000002</v>
      </c>
      <c r="W11" s="76">
        <f>W8+W9+W10</f>
        <v>267939</v>
      </c>
    </row>
    <row r="12" spans="1:23">
      <c r="A12" s="11"/>
      <c r="B12" s="11" t="s">
        <v>419</v>
      </c>
      <c r="C12" s="12">
        <v>-8151</v>
      </c>
      <c r="D12" s="12">
        <v>-2816</v>
      </c>
      <c r="E12" s="12">
        <v>-49</v>
      </c>
      <c r="F12" s="12">
        <v>-1741</v>
      </c>
      <c r="G12" s="170">
        <f t="shared" si="0"/>
        <v>-12757</v>
      </c>
      <c r="H12" s="12">
        <v>-2043</v>
      </c>
      <c r="I12" s="12">
        <v>-3</v>
      </c>
      <c r="J12" s="12">
        <v>5</v>
      </c>
      <c r="K12" s="12">
        <v>-3</v>
      </c>
      <c r="L12" s="170">
        <f t="shared" si="1"/>
        <v>-2044</v>
      </c>
      <c r="M12" s="12">
        <v>0</v>
      </c>
      <c r="N12" s="12">
        <v>63</v>
      </c>
      <c r="O12" s="12">
        <v>0</v>
      </c>
      <c r="P12" s="12">
        <v>41</v>
      </c>
      <c r="Q12" s="170">
        <f t="shared" si="3"/>
        <v>104</v>
      </c>
      <c r="R12" s="12">
        <v>-766</v>
      </c>
      <c r="S12" s="12">
        <v>-1595</v>
      </c>
      <c r="T12" s="12">
        <v>96</v>
      </c>
      <c r="U12" s="12">
        <v>7</v>
      </c>
      <c r="V12" s="41">
        <f t="shared" si="2"/>
        <v>-2258</v>
      </c>
      <c r="W12" s="13">
        <v>-614</v>
      </c>
    </row>
    <row r="13" spans="1:23">
      <c r="A13" s="11"/>
      <c r="B13" s="9" t="s">
        <v>420</v>
      </c>
      <c r="C13" s="10">
        <f>C11+C12</f>
        <v>28261</v>
      </c>
      <c r="D13" s="10">
        <f>D11+D12</f>
        <v>56368</v>
      </c>
      <c r="E13" s="10">
        <f>E11+E12</f>
        <v>124547</v>
      </c>
      <c r="F13" s="10">
        <f>F11+F12</f>
        <v>114495</v>
      </c>
      <c r="G13" s="39">
        <f t="shared" si="0"/>
        <v>323671</v>
      </c>
      <c r="H13" s="10">
        <f>H11+H12</f>
        <v>128138</v>
      </c>
      <c r="I13" s="10">
        <f>I11+I12</f>
        <v>114780</v>
      </c>
      <c r="J13" s="10">
        <f>J11+J12</f>
        <v>128060</v>
      </c>
      <c r="K13" s="10">
        <f>K11+K12</f>
        <v>120135</v>
      </c>
      <c r="L13" s="39">
        <f t="shared" si="1"/>
        <v>491113</v>
      </c>
      <c r="M13" s="10">
        <f>M11+M12</f>
        <v>177882</v>
      </c>
      <c r="N13" s="10">
        <f t="shared" ref="N13:P13" si="5">N11+N12</f>
        <v>165065</v>
      </c>
      <c r="O13" s="10">
        <f t="shared" si="5"/>
        <v>199607</v>
      </c>
      <c r="P13" s="10">
        <f t="shared" si="5"/>
        <v>171428</v>
      </c>
      <c r="Q13" s="39">
        <f t="shared" si="3"/>
        <v>713982</v>
      </c>
      <c r="R13" s="10">
        <f>R11+R12</f>
        <v>181612.05598999996</v>
      </c>
      <c r="S13" s="10">
        <f>S11+S12</f>
        <v>181918.45440000002</v>
      </c>
      <c r="T13" s="10">
        <f>T11+T12</f>
        <v>239158.34700000001</v>
      </c>
      <c r="U13" s="10">
        <f>U11+U12</f>
        <v>155739</v>
      </c>
      <c r="V13" s="39">
        <f t="shared" si="2"/>
        <v>758427.85739000002</v>
      </c>
      <c r="W13" s="76">
        <f>W11+W12</f>
        <v>267325</v>
      </c>
    </row>
    <row r="14" spans="1:23" s="2" customFormat="1">
      <c r="A14" s="11"/>
      <c r="B14" s="11" t="s">
        <v>603</v>
      </c>
      <c r="C14" s="12">
        <v>-9766</v>
      </c>
      <c r="D14" s="12">
        <v>-21686</v>
      </c>
      <c r="E14" s="12">
        <v>-49625</v>
      </c>
      <c r="F14" s="12">
        <v>-26128</v>
      </c>
      <c r="G14" s="170">
        <f t="shared" si="0"/>
        <v>-107205</v>
      </c>
      <c r="H14" s="12">
        <v>-47610</v>
      </c>
      <c r="I14" s="12">
        <v>-41592</v>
      </c>
      <c r="J14" s="12">
        <v>-46945</v>
      </c>
      <c r="K14" s="12">
        <v>-36746</v>
      </c>
      <c r="L14" s="170">
        <f t="shared" si="1"/>
        <v>-172893</v>
      </c>
      <c r="M14" s="12">
        <v>-66452</v>
      </c>
      <c r="N14" s="12">
        <v>-62302</v>
      </c>
      <c r="O14" s="12">
        <v>-74913</v>
      </c>
      <c r="P14" s="12">
        <v>-55543</v>
      </c>
      <c r="Q14" s="170">
        <f t="shared" si="3"/>
        <v>-259210</v>
      </c>
      <c r="R14" s="12">
        <v>-67863.928459999996</v>
      </c>
      <c r="S14" s="12">
        <v>-67900</v>
      </c>
      <c r="T14" s="12">
        <v>-90499</v>
      </c>
      <c r="U14" s="12">
        <v>-48486.316569999995</v>
      </c>
      <c r="V14" s="41">
        <f t="shared" si="2"/>
        <v>-274749.24502999999</v>
      </c>
      <c r="W14" s="13">
        <v>-93930</v>
      </c>
    </row>
    <row r="15" spans="1:23">
      <c r="A15" s="11"/>
      <c r="B15" s="11" t="s">
        <v>604</v>
      </c>
      <c r="C15" s="12">
        <v>-4687</v>
      </c>
      <c r="D15" s="12">
        <v>-4688</v>
      </c>
      <c r="E15" s="1">
        <v>-4688</v>
      </c>
      <c r="F15" s="1">
        <v>0</v>
      </c>
      <c r="G15" s="170">
        <f t="shared" si="0"/>
        <v>-14063</v>
      </c>
      <c r="H15" s="12">
        <v>0</v>
      </c>
      <c r="I15" s="12">
        <v>0</v>
      </c>
      <c r="J15" s="12">
        <v>0</v>
      </c>
      <c r="K15" s="1">
        <v>0</v>
      </c>
      <c r="L15" s="170">
        <f t="shared" si="1"/>
        <v>0</v>
      </c>
      <c r="M15" s="12">
        <v>0</v>
      </c>
      <c r="N15" s="12">
        <v>0</v>
      </c>
      <c r="O15" s="12">
        <v>0</v>
      </c>
      <c r="P15" s="12">
        <v>0</v>
      </c>
      <c r="Q15" s="170">
        <f t="shared" si="3"/>
        <v>0</v>
      </c>
      <c r="R15" s="12">
        <v>0</v>
      </c>
      <c r="S15" s="12">
        <v>0</v>
      </c>
      <c r="T15" s="12">
        <v>0</v>
      </c>
      <c r="U15" s="12">
        <v>0</v>
      </c>
      <c r="V15" s="41">
        <f t="shared" si="2"/>
        <v>0</v>
      </c>
      <c r="W15" s="13">
        <v>0</v>
      </c>
    </row>
    <row r="16" spans="1:23" s="2" customFormat="1">
      <c r="A16" s="11"/>
      <c r="B16" s="9" t="s">
        <v>590</v>
      </c>
      <c r="C16" s="10">
        <f>C13+C14+C15</f>
        <v>13808</v>
      </c>
      <c r="D16" s="10">
        <f>D13+D14+D15</f>
        <v>29994</v>
      </c>
      <c r="E16" s="10">
        <f>E13+E14+E15</f>
        <v>70234</v>
      </c>
      <c r="F16" s="10">
        <f>F13+F14+F15</f>
        <v>88367</v>
      </c>
      <c r="G16" s="39">
        <f t="shared" si="0"/>
        <v>202403</v>
      </c>
      <c r="H16" s="10">
        <f>H13+H14+H15</f>
        <v>80528</v>
      </c>
      <c r="I16" s="10">
        <f>I13+I14+I15</f>
        <v>73188</v>
      </c>
      <c r="J16" s="10">
        <f>J13+J14+J15</f>
        <v>81115</v>
      </c>
      <c r="K16" s="10">
        <f>K13+K14+K15</f>
        <v>83389</v>
      </c>
      <c r="L16" s="39">
        <f t="shared" si="1"/>
        <v>318220</v>
      </c>
      <c r="M16" s="10">
        <f>M13+M14+M15</f>
        <v>111430</v>
      </c>
      <c r="N16" s="10">
        <f t="shared" ref="N16:P16" si="6">N13+N14+N15</f>
        <v>102763</v>
      </c>
      <c r="O16" s="10">
        <f t="shared" si="6"/>
        <v>124694</v>
      </c>
      <c r="P16" s="10">
        <f t="shared" si="6"/>
        <v>115885</v>
      </c>
      <c r="Q16" s="39">
        <f t="shared" si="3"/>
        <v>454772</v>
      </c>
      <c r="R16" s="10">
        <f>R13+R14+R15</f>
        <v>113748.12752999997</v>
      </c>
      <c r="S16" s="10">
        <f>S13+S14+S15</f>
        <v>114018.45440000002</v>
      </c>
      <c r="T16" s="10">
        <f>T13+T14+T15</f>
        <v>148659.34700000001</v>
      </c>
      <c r="U16" s="10">
        <f>U13+U14+U15</f>
        <v>107252.68343</v>
      </c>
      <c r="V16" s="39">
        <f t="shared" si="2"/>
        <v>483678.61236000003</v>
      </c>
      <c r="W16" s="76">
        <f>W13+W14+W15</f>
        <v>173395</v>
      </c>
    </row>
    <row r="17" spans="1:23">
      <c r="A17" s="11"/>
      <c r="B17" s="9" t="s">
        <v>591</v>
      </c>
      <c r="C17" s="10">
        <v>0</v>
      </c>
      <c r="D17" s="10">
        <v>0</v>
      </c>
      <c r="E17" s="10">
        <v>0</v>
      </c>
      <c r="F17" s="10">
        <v>0</v>
      </c>
      <c r="G17" s="39">
        <f t="shared" si="0"/>
        <v>0</v>
      </c>
      <c r="H17" s="10">
        <v>0</v>
      </c>
      <c r="I17" s="10">
        <v>0</v>
      </c>
      <c r="J17" s="10">
        <v>0</v>
      </c>
      <c r="K17" s="10">
        <v>0</v>
      </c>
      <c r="L17" s="39">
        <f t="shared" si="1"/>
        <v>0</v>
      </c>
      <c r="M17" s="10">
        <v>0</v>
      </c>
      <c r="N17" s="76">
        <v>0</v>
      </c>
      <c r="O17" s="76">
        <v>0</v>
      </c>
      <c r="P17" s="76">
        <v>0</v>
      </c>
      <c r="Q17" s="39">
        <f t="shared" si="3"/>
        <v>0</v>
      </c>
      <c r="R17" s="76">
        <v>0</v>
      </c>
      <c r="S17" s="76">
        <v>0</v>
      </c>
      <c r="T17" s="76">
        <v>0</v>
      </c>
      <c r="U17" s="76">
        <v>0</v>
      </c>
      <c r="V17" s="39">
        <f t="shared" si="2"/>
        <v>0</v>
      </c>
      <c r="W17" s="10">
        <v>0</v>
      </c>
    </row>
    <row r="18" spans="1:23">
      <c r="A18" s="11"/>
      <c r="B18" s="15" t="s">
        <v>592</v>
      </c>
      <c r="C18" s="16">
        <f>C16+C17</f>
        <v>13808</v>
      </c>
      <c r="D18" s="16">
        <f>D16+D17</f>
        <v>29994</v>
      </c>
      <c r="E18" s="16">
        <f>E16+E17</f>
        <v>70234</v>
      </c>
      <c r="F18" s="16">
        <f>F16+F17</f>
        <v>88367</v>
      </c>
      <c r="G18" s="45">
        <f t="shared" si="0"/>
        <v>202403</v>
      </c>
      <c r="H18" s="16">
        <f>H16+H17</f>
        <v>80528</v>
      </c>
      <c r="I18" s="16">
        <f>I16+I17</f>
        <v>73188</v>
      </c>
      <c r="J18" s="16">
        <f>J16+J17</f>
        <v>81115</v>
      </c>
      <c r="K18" s="16">
        <f>K16+K17</f>
        <v>83389</v>
      </c>
      <c r="L18" s="45">
        <f t="shared" si="1"/>
        <v>318220</v>
      </c>
      <c r="M18" s="16">
        <f>M16+M17</f>
        <v>111430</v>
      </c>
      <c r="N18" s="16">
        <f t="shared" ref="N18:P18" si="7">N16+N17</f>
        <v>102763</v>
      </c>
      <c r="O18" s="16">
        <f t="shared" si="7"/>
        <v>124694</v>
      </c>
      <c r="P18" s="16">
        <f t="shared" si="7"/>
        <v>115885</v>
      </c>
      <c r="Q18" s="45">
        <f t="shared" si="3"/>
        <v>454772</v>
      </c>
      <c r="R18" s="16">
        <f>R16+R17</f>
        <v>113748.12752999997</v>
      </c>
      <c r="S18" s="16">
        <f>S16+S17</f>
        <v>114018.45440000002</v>
      </c>
      <c r="T18" s="16">
        <f>T16+T17</f>
        <v>148659.34700000001</v>
      </c>
      <c r="U18" s="16">
        <f>U16+U17</f>
        <v>107252.68343</v>
      </c>
      <c r="V18" s="45">
        <f t="shared" si="2"/>
        <v>483678.61236000003</v>
      </c>
      <c r="W18" s="16">
        <f>W16+W17</f>
        <v>173395</v>
      </c>
    </row>
    <row r="19" spans="1:23">
      <c r="A19" s="11"/>
      <c r="B19" s="11" t="s">
        <v>468</v>
      </c>
      <c r="C19" s="13">
        <f>C18</f>
        <v>13808</v>
      </c>
      <c r="D19" s="13">
        <f>D18</f>
        <v>29994</v>
      </c>
      <c r="E19" s="13">
        <f>E18</f>
        <v>70234</v>
      </c>
      <c r="F19" s="13">
        <f>F18</f>
        <v>88367</v>
      </c>
      <c r="G19" s="170">
        <f t="shared" si="0"/>
        <v>202403</v>
      </c>
      <c r="H19" s="13">
        <f>H18</f>
        <v>80528</v>
      </c>
      <c r="I19" s="13">
        <f>I18</f>
        <v>73188</v>
      </c>
      <c r="J19" s="13">
        <f>J18</f>
        <v>81115</v>
      </c>
      <c r="K19" s="13">
        <f>K18</f>
        <v>83389</v>
      </c>
      <c r="L19" s="170">
        <f t="shared" si="1"/>
        <v>318220</v>
      </c>
      <c r="M19" s="13">
        <f>M18</f>
        <v>111430</v>
      </c>
      <c r="N19" s="1">
        <f>N18</f>
        <v>102763</v>
      </c>
      <c r="O19" s="1">
        <f>O18</f>
        <v>124694</v>
      </c>
      <c r="P19" s="1">
        <f>P18</f>
        <v>115885</v>
      </c>
      <c r="Q19" s="170">
        <f t="shared" si="3"/>
        <v>454772</v>
      </c>
      <c r="R19" s="1">
        <f>R18</f>
        <v>113748.12752999997</v>
      </c>
      <c r="S19" s="1">
        <f t="shared" ref="S19:U19" si="8">S18</f>
        <v>114018.45440000002</v>
      </c>
      <c r="T19" s="1">
        <f t="shared" si="8"/>
        <v>148659.34700000001</v>
      </c>
      <c r="U19" s="1">
        <f t="shared" si="8"/>
        <v>107252.68343</v>
      </c>
      <c r="V19" s="41">
        <f t="shared" si="2"/>
        <v>483678.61236000003</v>
      </c>
      <c r="W19" s="13">
        <f>W18</f>
        <v>173395</v>
      </c>
    </row>
    <row r="20" spans="1:23">
      <c r="A20" s="11"/>
      <c r="B20" s="11" t="s">
        <v>469</v>
      </c>
      <c r="C20" s="13">
        <v>0</v>
      </c>
      <c r="D20" s="242">
        <v>0</v>
      </c>
      <c r="E20" s="1">
        <v>0</v>
      </c>
      <c r="F20" s="110">
        <v>0</v>
      </c>
      <c r="G20" s="170">
        <f t="shared" si="0"/>
        <v>0</v>
      </c>
      <c r="H20" s="110">
        <v>0</v>
      </c>
      <c r="I20" s="110">
        <v>0</v>
      </c>
      <c r="J20" s="13">
        <v>0</v>
      </c>
      <c r="K20" s="1">
        <v>0</v>
      </c>
      <c r="L20" s="170">
        <f t="shared" si="1"/>
        <v>0</v>
      </c>
      <c r="M20" s="110">
        <v>0</v>
      </c>
      <c r="N20" s="1">
        <v>0</v>
      </c>
      <c r="O20" s="1">
        <v>0</v>
      </c>
      <c r="P20" s="1">
        <v>0</v>
      </c>
      <c r="Q20" s="170">
        <f t="shared" si="3"/>
        <v>0</v>
      </c>
      <c r="R20" s="1">
        <v>0</v>
      </c>
      <c r="S20" s="1">
        <v>0</v>
      </c>
      <c r="T20" s="1">
        <v>0</v>
      </c>
      <c r="U20" s="1">
        <v>0</v>
      </c>
      <c r="V20" s="41">
        <f t="shared" si="2"/>
        <v>0</v>
      </c>
      <c r="W20" s="13">
        <v>0</v>
      </c>
    </row>
    <row r="21" spans="1:23" s="2" customFormat="1">
      <c r="A21" s="11"/>
      <c r="B21" s="11" t="s">
        <v>470</v>
      </c>
      <c r="C21" s="13">
        <f>C19+C20</f>
        <v>13808</v>
      </c>
      <c r="D21" s="13">
        <f>D19+D20</f>
        <v>29994</v>
      </c>
      <c r="E21" s="1">
        <f>E19+E20</f>
        <v>70234</v>
      </c>
      <c r="F21" s="1">
        <f>F19+F20</f>
        <v>88367</v>
      </c>
      <c r="G21" s="170">
        <f t="shared" si="0"/>
        <v>202403</v>
      </c>
      <c r="H21" s="13">
        <f>H19+H20</f>
        <v>80528</v>
      </c>
      <c r="I21" s="13">
        <f>I19+I20</f>
        <v>73188</v>
      </c>
      <c r="J21" s="13">
        <f>J19+J20</f>
        <v>81115</v>
      </c>
      <c r="K21" s="13">
        <f>K19+K20</f>
        <v>83389</v>
      </c>
      <c r="L21" s="170">
        <f t="shared" si="1"/>
        <v>318220</v>
      </c>
      <c r="M21" s="13">
        <f>M19+M20</f>
        <v>111430</v>
      </c>
      <c r="N21" s="1">
        <f>N19</f>
        <v>102763</v>
      </c>
      <c r="O21" s="1">
        <f>O19</f>
        <v>124694</v>
      </c>
      <c r="P21" s="1">
        <f>P19</f>
        <v>115885</v>
      </c>
      <c r="Q21" s="170">
        <f t="shared" si="3"/>
        <v>454772</v>
      </c>
      <c r="R21" s="1">
        <f>R20+R19</f>
        <v>113748.12752999997</v>
      </c>
      <c r="S21" s="1">
        <f t="shared" ref="S21:U21" si="9">S20+S19</f>
        <v>114018.45440000002</v>
      </c>
      <c r="T21" s="1">
        <f t="shared" si="9"/>
        <v>148659.34700000001</v>
      </c>
      <c r="U21" s="1">
        <f t="shared" si="9"/>
        <v>107252.68343</v>
      </c>
      <c r="V21" s="41">
        <f t="shared" si="2"/>
        <v>483678.61236000003</v>
      </c>
      <c r="W21" s="13">
        <f>W20+W19</f>
        <v>173395</v>
      </c>
    </row>
    <row r="22" spans="1:23" s="2" customFormat="1">
      <c r="A22" s="11"/>
      <c r="B22" s="11" t="s">
        <v>471</v>
      </c>
      <c r="C22" s="12">
        <v>0</v>
      </c>
      <c r="D22" s="12">
        <v>0</v>
      </c>
      <c r="E22" s="1">
        <v>0</v>
      </c>
      <c r="F22" s="1">
        <v>0</v>
      </c>
      <c r="G22" s="170">
        <f t="shared" si="0"/>
        <v>0</v>
      </c>
      <c r="H22" s="110">
        <v>0</v>
      </c>
      <c r="I22" s="13">
        <v>0</v>
      </c>
      <c r="J22" s="13">
        <v>0</v>
      </c>
      <c r="K22" s="13">
        <v>0</v>
      </c>
      <c r="L22" s="170">
        <f t="shared" si="1"/>
        <v>0</v>
      </c>
      <c r="M22" s="110">
        <v>0</v>
      </c>
      <c r="N22" s="1">
        <v>0</v>
      </c>
      <c r="O22" s="1">
        <v>0</v>
      </c>
      <c r="P22" s="1">
        <v>0</v>
      </c>
      <c r="Q22" s="170">
        <f t="shared" si="3"/>
        <v>0</v>
      </c>
      <c r="R22" s="1">
        <v>0</v>
      </c>
      <c r="S22" s="1">
        <v>0</v>
      </c>
      <c r="T22" s="1">
        <v>0</v>
      </c>
      <c r="U22" s="1">
        <v>0</v>
      </c>
      <c r="V22" s="41">
        <f t="shared" si="2"/>
        <v>0</v>
      </c>
      <c r="W22" s="13">
        <v>0</v>
      </c>
    </row>
    <row r="23" spans="1:23" s="2" customFormat="1">
      <c r="A23" s="11"/>
      <c r="B23" s="17" t="s">
        <v>451</v>
      </c>
      <c r="C23" s="18">
        <v>0.49</v>
      </c>
      <c r="D23" s="18">
        <f>C23</f>
        <v>0.49</v>
      </c>
      <c r="E23" s="169">
        <f t="shared" ref="E23:Q23" si="10">D23</f>
        <v>0.49</v>
      </c>
      <c r="F23" s="169">
        <f t="shared" si="10"/>
        <v>0.49</v>
      </c>
      <c r="G23" s="46">
        <f t="shared" si="10"/>
        <v>0.49</v>
      </c>
      <c r="H23" s="18">
        <f t="shared" si="10"/>
        <v>0.49</v>
      </c>
      <c r="I23" s="18">
        <f t="shared" si="10"/>
        <v>0.49</v>
      </c>
      <c r="J23" s="18">
        <f t="shared" si="10"/>
        <v>0.49</v>
      </c>
      <c r="K23" s="18">
        <f t="shared" si="10"/>
        <v>0.49</v>
      </c>
      <c r="L23" s="46">
        <f t="shared" si="10"/>
        <v>0.49</v>
      </c>
      <c r="M23" s="18">
        <f t="shared" si="10"/>
        <v>0.49</v>
      </c>
      <c r="N23" s="18">
        <f t="shared" si="10"/>
        <v>0.49</v>
      </c>
      <c r="O23" s="18">
        <f t="shared" si="10"/>
        <v>0.49</v>
      </c>
      <c r="P23" s="18">
        <f t="shared" si="10"/>
        <v>0.49</v>
      </c>
      <c r="Q23" s="46">
        <f t="shared" si="10"/>
        <v>0.49</v>
      </c>
      <c r="R23" s="18">
        <v>0.49</v>
      </c>
      <c r="S23" s="18">
        <v>0.49</v>
      </c>
      <c r="T23" s="18">
        <v>0.49</v>
      </c>
      <c r="U23" s="18">
        <v>0.49</v>
      </c>
      <c r="V23" s="46">
        <f>U23</f>
        <v>0.49</v>
      </c>
      <c r="W23" s="18">
        <v>0.49</v>
      </c>
    </row>
    <row r="24" spans="1:23" s="2" customFormat="1">
      <c r="A24" s="11"/>
      <c r="C24" s="501"/>
      <c r="D24" s="501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501"/>
      <c r="U24" s="501"/>
      <c r="V24" s="501"/>
      <c r="W24" s="501"/>
    </row>
    <row r="25" spans="1:23">
      <c r="M25" s="114"/>
    </row>
  </sheetData>
  <phoneticPr fontId="18" type="noConversion"/>
  <conditionalFormatting sqref="AD7:AD19">
    <cfRule type="expression" dxfId="19" priority="3">
      <formula>IF(AA7 = 0,1,AA7*AC7)&lt;0</formula>
    </cfRule>
    <cfRule type="expression" dxfId="18" priority="4">
      <formula>IF(AA7 =0,1,AA7*AC7)&gt;=0</formula>
    </cfRule>
  </conditionalFormatting>
  <conditionalFormatting sqref="AG7:AH19">
    <cfRule type="expression" dxfId="17" priority="1">
      <formula>IF(AA7 = 0,1,AA7*AF7)&lt;0</formula>
    </cfRule>
    <cfRule type="expression" dxfId="16" priority="2">
      <formula>IF(AA7 =0,1,AA7*AF7)&gt;=0</formula>
    </cfRule>
    <cfRule type="expression" dxfId="15" priority="5">
      <formula>"SE(AV9=0;1;AV9*BA9) &gt;=0"</formula>
    </cfRule>
    <cfRule type="expression" dxfId="14" priority="6">
      <formula>"SE(AV9=0;1;AV9*$BA$9) &lt;0"</formula>
    </cfRule>
  </conditionalFormatting>
  <conditionalFormatting sqref="AG8:AH19">
    <cfRule type="expression" dxfId="13" priority="9">
      <formula>"SE(AV9=0;1;AV9*$BA$9)&lt;0"</formula>
    </cfRule>
    <cfRule type="expression" dxfId="12" priority="10">
      <formula>"SE(AV9=0;1;AV9*BA9)&gt;=0"</formula>
    </cfRule>
  </conditionalFormatting>
  <conditionalFormatting sqref="AL7:AL19">
    <cfRule type="expression" dxfId="11" priority="7">
      <formula>IF(AK7 = 0,1,AI7*AK7)&lt;0</formula>
    </cfRule>
    <cfRule type="expression" dxfId="10" priority="8">
      <formula>IF(AI7 =0,1,AI7*AK7)&gt;=0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700E-1DAC-4285-81FD-05832B435D50}">
  <dimension ref="A1:W27"/>
  <sheetViews>
    <sheetView showGridLines="0" showRowColHeaders="0" zoomScale="75" zoomScaleNormal="75" workbookViewId="0">
      <pane xSplit="2" ySplit="5" topLeftCell="R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 outlineLevelCol="1"/>
  <cols>
    <col min="1" max="1" width="2.5703125" customWidth="1"/>
    <col min="2" max="2" width="70.7109375" customWidth="1"/>
    <col min="3" max="3" width="11.42578125" hidden="1" customWidth="1" outlineLevel="1"/>
    <col min="4" max="6" width="12.42578125" hidden="1" customWidth="1" outlineLevel="1"/>
    <col min="7" max="7" width="11.42578125" bestFit="1" customWidth="1" collapsed="1"/>
    <col min="8" max="11" width="12.42578125" hidden="1" customWidth="1" outlineLevel="1"/>
    <col min="12" max="12" width="11.42578125" customWidth="1" collapsed="1"/>
    <col min="13" max="16" width="12.42578125" hidden="1" customWidth="1" outlineLevel="1"/>
    <col min="17" max="17" width="11.42578125" customWidth="1" collapsed="1"/>
    <col min="18" max="21" width="12.42578125" customWidth="1" outlineLevel="1"/>
    <col min="22" max="23" width="11.42578125" customWidth="1"/>
  </cols>
  <sheetData>
    <row r="1" spans="1:23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31"/>
      <c r="W1" s="630"/>
    </row>
    <row r="2" spans="1:23" ht="15" customHeight="1">
      <c r="A2" s="619"/>
      <c r="B2" s="622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32"/>
      <c r="W2" s="630"/>
    </row>
    <row r="3" spans="1:23" ht="50.1" customHeight="1">
      <c r="A3" s="635"/>
      <c r="B3" s="766" t="s">
        <v>605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31"/>
      <c r="W3" s="630"/>
    </row>
    <row r="4" spans="1:23" s="108" customFormat="1" ht="10.35" customHeight="1"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</row>
    <row r="5" spans="1:23" s="103" customFormat="1" ht="23.25">
      <c r="A5" s="74"/>
      <c r="B5" s="74" t="s">
        <v>465</v>
      </c>
      <c r="C5" s="163" t="str">
        <f t="shared" ref="C5:D5" si="0">C7</f>
        <v>1T22</v>
      </c>
      <c r="D5" s="163" t="str">
        <f t="shared" si="0"/>
        <v>2T22</v>
      </c>
      <c r="E5" s="163" t="s">
        <v>250</v>
      </c>
      <c r="F5" s="163" t="s">
        <v>215</v>
      </c>
      <c r="G5" s="161"/>
      <c r="H5" s="163"/>
      <c r="I5" s="163"/>
      <c r="J5" s="163"/>
      <c r="K5" s="163"/>
      <c r="L5" s="161"/>
      <c r="M5" s="163"/>
      <c r="N5" s="163"/>
      <c r="O5" s="163"/>
      <c r="P5" s="163"/>
      <c r="Q5" s="161"/>
      <c r="R5" s="163"/>
      <c r="S5" s="163"/>
      <c r="T5" s="163"/>
      <c r="U5" s="163"/>
      <c r="V5" s="161"/>
      <c r="W5" s="161"/>
    </row>
    <row r="6" spans="1:23" ht="15" customHeight="1" thickBot="1"/>
    <row r="7" spans="1:23" s="2" customFormat="1" ht="24.4" customHeight="1">
      <c r="A7" s="625"/>
      <c r="B7" s="625" t="s">
        <v>606</v>
      </c>
      <c r="C7" s="626" t="s">
        <v>248</v>
      </c>
      <c r="D7" s="626" t="s">
        <v>249</v>
      </c>
      <c r="E7" s="626" t="s">
        <v>250</v>
      </c>
      <c r="F7" s="626" t="s">
        <v>215</v>
      </c>
      <c r="G7" s="652">
        <v>2022</v>
      </c>
      <c r="H7" s="626" t="s">
        <v>252</v>
      </c>
      <c r="I7" s="626" t="s">
        <v>253</v>
      </c>
      <c r="J7" s="626" t="s">
        <v>254</v>
      </c>
      <c r="K7" s="626" t="s">
        <v>219</v>
      </c>
      <c r="L7" s="652">
        <v>2023</v>
      </c>
      <c r="M7" s="626" t="s">
        <v>223</v>
      </c>
      <c r="N7" s="626" t="s">
        <v>256</v>
      </c>
      <c r="O7" s="626" t="s">
        <v>357</v>
      </c>
      <c r="P7" s="626" t="s">
        <v>358</v>
      </c>
      <c r="Q7" s="652">
        <v>2024</v>
      </c>
      <c r="R7" s="626" t="s">
        <v>359</v>
      </c>
      <c r="S7" s="626" t="s">
        <v>1115</v>
      </c>
      <c r="T7" s="626" t="s">
        <v>1116</v>
      </c>
      <c r="U7" s="626" t="s">
        <v>1117</v>
      </c>
      <c r="V7" s="653" t="s">
        <v>1118</v>
      </c>
      <c r="W7" s="645" t="s">
        <v>1124</v>
      </c>
    </row>
    <row r="8" spans="1:23" s="2" customFormat="1">
      <c r="A8" s="9"/>
      <c r="B8" s="9" t="s">
        <v>412</v>
      </c>
      <c r="C8" s="10">
        <v>415134</v>
      </c>
      <c r="D8" s="10">
        <v>494349</v>
      </c>
      <c r="E8" s="10">
        <v>346371</v>
      </c>
      <c r="F8" s="10">
        <v>443827</v>
      </c>
      <c r="G8" s="39">
        <f t="shared" ref="G8:G22" si="1">SUM(C8:F8)</f>
        <v>1699681</v>
      </c>
      <c r="H8" s="10">
        <v>287628</v>
      </c>
      <c r="I8" s="10">
        <v>538397</v>
      </c>
      <c r="J8" s="10">
        <v>236023</v>
      </c>
      <c r="K8" s="10">
        <v>755963</v>
      </c>
      <c r="L8" s="39">
        <f t="shared" ref="L8:L22" si="2">SUM(H8:K8)</f>
        <v>1818011</v>
      </c>
      <c r="M8" s="10">
        <v>356497</v>
      </c>
      <c r="N8" s="10">
        <v>377067.27311570395</v>
      </c>
      <c r="O8" s="10">
        <v>413481.86520638608</v>
      </c>
      <c r="P8" s="10">
        <v>302031.59754790994</v>
      </c>
      <c r="Q8" s="39">
        <f>SUM(M8:P8)</f>
        <v>1449077.73587</v>
      </c>
      <c r="R8" s="10">
        <v>321236.66592</v>
      </c>
      <c r="S8" s="10">
        <v>336695.05516000005</v>
      </c>
      <c r="T8" s="10">
        <v>339628.37185999996</v>
      </c>
      <c r="U8" s="10">
        <v>123293</v>
      </c>
      <c r="V8" s="39">
        <f t="shared" ref="V8:V22" si="3">SUM(R8:U8)</f>
        <v>1120853.0929399999</v>
      </c>
      <c r="W8" s="10">
        <v>255994.86181</v>
      </c>
    </row>
    <row r="9" spans="1:23">
      <c r="A9" s="11"/>
      <c r="B9" s="11" t="s">
        <v>415</v>
      </c>
      <c r="C9" s="12">
        <v>92986</v>
      </c>
      <c r="D9" s="12">
        <v>96450</v>
      </c>
      <c r="E9" s="12">
        <v>100481</v>
      </c>
      <c r="F9" s="12">
        <v>74413</v>
      </c>
      <c r="G9" s="40">
        <f t="shared" si="1"/>
        <v>364330</v>
      </c>
      <c r="H9" s="12">
        <v>126129</v>
      </c>
      <c r="I9" s="12">
        <v>74197</v>
      </c>
      <c r="J9" s="12">
        <v>101285</v>
      </c>
      <c r="K9" s="12">
        <v>-113307</v>
      </c>
      <c r="L9" s="40">
        <f t="shared" si="2"/>
        <v>188304</v>
      </c>
      <c r="M9" s="12">
        <v>60969</v>
      </c>
      <c r="N9" s="1">
        <v>33704.505257499994</v>
      </c>
      <c r="O9" s="1">
        <v>52456.400260000009</v>
      </c>
      <c r="P9" s="1">
        <v>37846.733241385984</v>
      </c>
      <c r="Q9" s="40">
        <f t="shared" ref="Q9:Q22" si="4">SUM(M9:P9)</f>
        <v>184976.63875888599</v>
      </c>
      <c r="R9" s="1">
        <v>54605.071045000004</v>
      </c>
      <c r="S9" s="1">
        <v>63603.933132499995</v>
      </c>
      <c r="T9" s="1">
        <v>89226.271625000023</v>
      </c>
      <c r="U9" s="1">
        <v>96837</v>
      </c>
      <c r="V9" s="40">
        <f t="shared" si="3"/>
        <v>304272.27580250002</v>
      </c>
      <c r="W9" s="8">
        <v>115168.08753</v>
      </c>
    </row>
    <row r="10" spans="1:23">
      <c r="A10" s="11"/>
      <c r="B10" s="11" t="s">
        <v>417</v>
      </c>
      <c r="C10" s="12">
        <v>-28138</v>
      </c>
      <c r="D10" s="12">
        <v>-91875</v>
      </c>
      <c r="E10" s="12">
        <v>55705</v>
      </c>
      <c r="F10" s="12">
        <v>11499</v>
      </c>
      <c r="G10" s="170">
        <f t="shared" si="1"/>
        <v>-52809</v>
      </c>
      <c r="H10" s="12">
        <v>-45921</v>
      </c>
      <c r="I10" s="12">
        <v>-66349</v>
      </c>
      <c r="J10" s="12">
        <v>9272</v>
      </c>
      <c r="K10" s="12">
        <v>23394</v>
      </c>
      <c r="L10" s="170">
        <f t="shared" si="2"/>
        <v>-79604</v>
      </c>
      <c r="M10" s="12">
        <v>-20237</v>
      </c>
      <c r="N10" s="1">
        <v>-18651</v>
      </c>
      <c r="O10" s="1">
        <v>4280</v>
      </c>
      <c r="P10" s="1">
        <v>-66422</v>
      </c>
      <c r="Q10" s="170">
        <f t="shared" si="4"/>
        <v>-101030</v>
      </c>
      <c r="R10" s="1">
        <v>-54.180029199991395</v>
      </c>
      <c r="S10" s="1">
        <v>-32129</v>
      </c>
      <c r="T10" s="1">
        <v>-24084.411731143897</v>
      </c>
      <c r="U10" s="1">
        <v>54745.521007143994</v>
      </c>
      <c r="V10" s="41">
        <f t="shared" si="3"/>
        <v>-1522.0707531998924</v>
      </c>
      <c r="W10" s="1">
        <v>-23995</v>
      </c>
    </row>
    <row r="11" spans="1:23" s="2" customFormat="1">
      <c r="A11" s="9"/>
      <c r="B11" s="9" t="s">
        <v>418</v>
      </c>
      <c r="C11" s="10">
        <f>SUM(C8:C10)</f>
        <v>479982</v>
      </c>
      <c r="D11" s="10">
        <f>SUM(D8:D10)</f>
        <v>498924</v>
      </c>
      <c r="E11" s="10">
        <f>SUM(E8:E10)</f>
        <v>502557</v>
      </c>
      <c r="F11" s="10">
        <f>SUM(F8:F10)</f>
        <v>529739</v>
      </c>
      <c r="G11" s="39">
        <f t="shared" si="1"/>
        <v>2011202</v>
      </c>
      <c r="H11" s="10">
        <f>SUM(H8:H10)</f>
        <v>367836</v>
      </c>
      <c r="I11" s="10">
        <f>SUM(I8:I10)</f>
        <v>546245</v>
      </c>
      <c r="J11" s="10">
        <f>SUM(J8:J10)</f>
        <v>346580</v>
      </c>
      <c r="K11" s="10">
        <f>SUM(K8:K10)</f>
        <v>666050</v>
      </c>
      <c r="L11" s="39">
        <f t="shared" si="2"/>
        <v>1926711</v>
      </c>
      <c r="M11" s="10">
        <f>SUM(M8:M10)</f>
        <v>397229</v>
      </c>
      <c r="N11" s="10">
        <f t="shared" ref="N11:P11" si="5">SUM(N8:N10)</f>
        <v>392120.77837320394</v>
      </c>
      <c r="O11" s="10">
        <f t="shared" si="5"/>
        <v>470218.2654663861</v>
      </c>
      <c r="P11" s="10">
        <f t="shared" si="5"/>
        <v>273456.33078929596</v>
      </c>
      <c r="Q11" s="39">
        <f t="shared" si="4"/>
        <v>1533024.3746288861</v>
      </c>
      <c r="R11" s="10">
        <f>SUM(R8:R10)</f>
        <v>375787.55693580001</v>
      </c>
      <c r="S11" s="10">
        <f>SUM(S8:S10)</f>
        <v>368169.98829250003</v>
      </c>
      <c r="T11" s="10">
        <f>SUM(T8:T10)</f>
        <v>404770.23175385612</v>
      </c>
      <c r="U11" s="10">
        <f>SUM(U8:U10)</f>
        <v>274875.52100714401</v>
      </c>
      <c r="V11" s="39">
        <f t="shared" si="3"/>
        <v>1423603.2979893</v>
      </c>
      <c r="W11" s="10">
        <f>SUM(W8:W10)</f>
        <v>347167.94933999999</v>
      </c>
    </row>
    <row r="12" spans="1:23">
      <c r="A12" s="11"/>
      <c r="B12" s="11" t="s">
        <v>419</v>
      </c>
      <c r="C12" s="12">
        <v>0</v>
      </c>
      <c r="D12" s="12">
        <v>0</v>
      </c>
      <c r="E12" s="12">
        <v>0</v>
      </c>
      <c r="F12" s="12">
        <v>0</v>
      </c>
      <c r="G12" s="170">
        <f t="shared" si="1"/>
        <v>0</v>
      </c>
      <c r="H12" s="12">
        <v>0</v>
      </c>
      <c r="I12" s="12">
        <v>0</v>
      </c>
      <c r="J12" s="12">
        <v>0</v>
      </c>
      <c r="K12" s="12">
        <v>-75547</v>
      </c>
      <c r="L12" s="170">
        <f t="shared" si="2"/>
        <v>-75547</v>
      </c>
      <c r="M12" s="12">
        <v>11</v>
      </c>
      <c r="N12" s="1">
        <v>-11</v>
      </c>
      <c r="O12" s="12">
        <v>0</v>
      </c>
      <c r="P12" s="12">
        <v>788</v>
      </c>
      <c r="Q12" s="170">
        <f t="shared" si="4"/>
        <v>788</v>
      </c>
      <c r="R12" s="12">
        <v>0</v>
      </c>
      <c r="S12" s="12">
        <v>3473</v>
      </c>
      <c r="T12" s="12">
        <v>0</v>
      </c>
      <c r="U12" s="12">
        <v>3172.6809999999996</v>
      </c>
      <c r="V12" s="41">
        <f t="shared" si="3"/>
        <v>6645.6809999999996</v>
      </c>
      <c r="W12" s="1">
        <v>0</v>
      </c>
    </row>
    <row r="13" spans="1:23" s="2" customFormat="1">
      <c r="A13" s="9"/>
      <c r="B13" s="9" t="s">
        <v>420</v>
      </c>
      <c r="C13" s="10">
        <f>C11+C12</f>
        <v>479982</v>
      </c>
      <c r="D13" s="10">
        <f>D11+D12</f>
        <v>498924</v>
      </c>
      <c r="E13" s="10">
        <f>E11+E12</f>
        <v>502557</v>
      </c>
      <c r="F13" s="10">
        <f>F11+F12</f>
        <v>529739</v>
      </c>
      <c r="G13" s="39">
        <f t="shared" si="1"/>
        <v>2011202</v>
      </c>
      <c r="H13" s="10">
        <f>H11+H12</f>
        <v>367836</v>
      </c>
      <c r="I13" s="10">
        <f>I11+I12</f>
        <v>546245</v>
      </c>
      <c r="J13" s="10">
        <f>J11+J12</f>
        <v>346580</v>
      </c>
      <c r="K13" s="10">
        <f>K11+K12</f>
        <v>590503</v>
      </c>
      <c r="L13" s="39">
        <f t="shared" si="2"/>
        <v>1851164</v>
      </c>
      <c r="M13" s="10">
        <f>M11+M12</f>
        <v>397240</v>
      </c>
      <c r="N13" s="10">
        <f>N11+N12</f>
        <v>392109.77837320394</v>
      </c>
      <c r="O13" s="10">
        <f t="shared" ref="O13:P13" si="6">O11+O12</f>
        <v>470218.2654663861</v>
      </c>
      <c r="P13" s="10">
        <f t="shared" si="6"/>
        <v>274244.33078929596</v>
      </c>
      <c r="Q13" s="39">
        <f t="shared" si="4"/>
        <v>1533812.3746288861</v>
      </c>
      <c r="R13" s="10">
        <f>R11+R12</f>
        <v>375787.55693580001</v>
      </c>
      <c r="S13" s="10">
        <f>S11+S12</f>
        <v>371642.98829250003</v>
      </c>
      <c r="T13" s="10">
        <f>T11+T12</f>
        <v>404770.23175385612</v>
      </c>
      <c r="U13" s="10">
        <f>U11+U12</f>
        <v>278048.20200714399</v>
      </c>
      <c r="V13" s="39">
        <f t="shared" si="3"/>
        <v>1430248.9789893001</v>
      </c>
      <c r="W13" s="10">
        <f>W11+W12</f>
        <v>347167.94933999999</v>
      </c>
    </row>
    <row r="14" spans="1:23">
      <c r="A14" s="11"/>
      <c r="B14" s="11" t="s">
        <v>603</v>
      </c>
      <c r="C14" s="12">
        <v>-187006</v>
      </c>
      <c r="D14" s="12">
        <v>179269</v>
      </c>
      <c r="E14" s="12">
        <v>-559809</v>
      </c>
      <c r="F14" s="12">
        <v>-194669</v>
      </c>
      <c r="G14" s="170">
        <f t="shared" si="1"/>
        <v>-762215</v>
      </c>
      <c r="H14" s="12">
        <v>-144290</v>
      </c>
      <c r="I14" s="12">
        <v>-214201</v>
      </c>
      <c r="J14" s="12">
        <v>191247</v>
      </c>
      <c r="K14" s="12">
        <v>-520162</v>
      </c>
      <c r="L14" s="170">
        <f t="shared" si="2"/>
        <v>-687406</v>
      </c>
      <c r="M14" s="12">
        <v>-150704.758471148</v>
      </c>
      <c r="N14" s="1">
        <v>-150695.86421949297</v>
      </c>
      <c r="O14" s="12">
        <v>-180035.25456751301</v>
      </c>
      <c r="P14" s="12">
        <v>-60289.589233914972</v>
      </c>
      <c r="Q14" s="170">
        <f t="shared" si="4"/>
        <v>-541725.46649206895</v>
      </c>
      <c r="R14" s="12">
        <v>-144246.83465655</v>
      </c>
      <c r="S14" s="12">
        <v>-140102</v>
      </c>
      <c r="T14" s="12">
        <v>-156197.36066357099</v>
      </c>
      <c r="U14" s="12">
        <v>-100983.73210622906</v>
      </c>
      <c r="V14" s="41">
        <f t="shared" si="3"/>
        <v>-541529.92742635007</v>
      </c>
      <c r="W14" s="1">
        <v>-134603.31649531799</v>
      </c>
    </row>
    <row r="15" spans="1:23" ht="14.25" customHeight="1">
      <c r="A15" s="11"/>
      <c r="B15" s="11" t="s">
        <v>604</v>
      </c>
      <c r="C15" s="12">
        <v>0</v>
      </c>
      <c r="D15" s="12">
        <v>-372932</v>
      </c>
      <c r="E15" s="1">
        <v>372932</v>
      </c>
      <c r="F15" s="1">
        <v>0</v>
      </c>
      <c r="G15" s="170">
        <f t="shared" si="1"/>
        <v>0</v>
      </c>
      <c r="H15" s="12">
        <v>0</v>
      </c>
      <c r="I15" s="12">
        <v>0</v>
      </c>
      <c r="J15" s="12">
        <v>0</v>
      </c>
      <c r="K15" s="1">
        <v>0</v>
      </c>
      <c r="L15" s="170">
        <f t="shared" si="2"/>
        <v>0</v>
      </c>
      <c r="M15" s="12">
        <v>0</v>
      </c>
      <c r="N15" s="1">
        <v>0</v>
      </c>
      <c r="O15" s="12">
        <v>0</v>
      </c>
      <c r="P15" s="1">
        <v>0</v>
      </c>
      <c r="Q15" s="170">
        <f t="shared" si="4"/>
        <v>0</v>
      </c>
      <c r="R15" s="1">
        <v>0</v>
      </c>
      <c r="S15" s="1">
        <v>0</v>
      </c>
      <c r="T15" s="1">
        <v>0</v>
      </c>
      <c r="U15" s="1">
        <v>0</v>
      </c>
      <c r="V15" s="41">
        <f t="shared" si="3"/>
        <v>0</v>
      </c>
      <c r="W15" s="1"/>
    </row>
    <row r="16" spans="1:23" s="2" customFormat="1">
      <c r="A16" s="9"/>
      <c r="B16" s="9" t="s">
        <v>590</v>
      </c>
      <c r="C16" s="10">
        <f>C13+C14+C15</f>
        <v>292976</v>
      </c>
      <c r="D16" s="10">
        <f>D13+D14+D15</f>
        <v>305261</v>
      </c>
      <c r="E16" s="10">
        <f>E13+E14+E15</f>
        <v>315680</v>
      </c>
      <c r="F16" s="10">
        <f>F13+F14+F15</f>
        <v>335070</v>
      </c>
      <c r="G16" s="39">
        <f t="shared" si="1"/>
        <v>1248987</v>
      </c>
      <c r="H16" s="10">
        <f>H13+H14+H15</f>
        <v>223546</v>
      </c>
      <c r="I16" s="10">
        <f>I13+I14+I15</f>
        <v>332044</v>
      </c>
      <c r="J16" s="10">
        <f>J13+J14+J15</f>
        <v>537827</v>
      </c>
      <c r="K16" s="10">
        <f>K13+K14+K15</f>
        <v>70341</v>
      </c>
      <c r="L16" s="39">
        <f t="shared" si="2"/>
        <v>1163758</v>
      </c>
      <c r="M16" s="10">
        <f>M13+M14+M15</f>
        <v>246535.241528852</v>
      </c>
      <c r="N16" s="10">
        <f>N13+N14+N15</f>
        <v>241413.91415371097</v>
      </c>
      <c r="O16" s="10">
        <f t="shared" ref="O16:P16" si="7">O13+O14+O15</f>
        <v>290183.01089887309</v>
      </c>
      <c r="P16" s="10">
        <f t="shared" si="7"/>
        <v>213954.74155538098</v>
      </c>
      <c r="Q16" s="39">
        <f t="shared" si="4"/>
        <v>992086.90813681704</v>
      </c>
      <c r="R16" s="10">
        <f>R13+R14+R15</f>
        <v>231540.72227925001</v>
      </c>
      <c r="S16" s="10">
        <f>S13+S14+S15</f>
        <v>231540.98829250003</v>
      </c>
      <c r="T16" s="10">
        <f>T13+T14+T15</f>
        <v>248572.87109028513</v>
      </c>
      <c r="U16" s="10">
        <f>U13+U14+U15</f>
        <v>177064.46990091493</v>
      </c>
      <c r="V16" s="39">
        <f t="shared" si="3"/>
        <v>888719.05156295013</v>
      </c>
      <c r="W16" s="10">
        <f>W13+W14+W15</f>
        <v>212564.632844682</v>
      </c>
    </row>
    <row r="17" spans="1:23">
      <c r="A17" s="9"/>
      <c r="B17" s="9" t="s">
        <v>591</v>
      </c>
      <c r="C17" s="10">
        <v>52684</v>
      </c>
      <c r="D17" s="10">
        <v>30997</v>
      </c>
      <c r="E17" s="10">
        <v>12816</v>
      </c>
      <c r="F17" s="10">
        <v>-1353</v>
      </c>
      <c r="G17" s="39">
        <f t="shared" si="1"/>
        <v>95144</v>
      </c>
      <c r="H17" s="10">
        <v>0</v>
      </c>
      <c r="I17" s="10">
        <v>0</v>
      </c>
      <c r="J17" s="10">
        <v>0</v>
      </c>
      <c r="K17" s="10">
        <v>0</v>
      </c>
      <c r="L17" s="39">
        <f t="shared" si="2"/>
        <v>0</v>
      </c>
      <c r="M17" s="10">
        <v>0</v>
      </c>
      <c r="N17" s="76">
        <v>0</v>
      </c>
      <c r="O17" s="76">
        <v>0</v>
      </c>
      <c r="P17" s="76">
        <v>0</v>
      </c>
      <c r="Q17" s="39">
        <f t="shared" si="4"/>
        <v>0</v>
      </c>
      <c r="R17" s="76">
        <v>0</v>
      </c>
      <c r="S17" s="76">
        <v>0</v>
      </c>
      <c r="T17" s="76">
        <v>0</v>
      </c>
      <c r="U17" s="76">
        <v>0</v>
      </c>
      <c r="V17" s="39">
        <f t="shared" si="3"/>
        <v>0</v>
      </c>
      <c r="W17" s="10"/>
    </row>
    <row r="18" spans="1:23" s="20" customFormat="1">
      <c r="A18" s="100"/>
      <c r="B18" s="100" t="s">
        <v>592</v>
      </c>
      <c r="C18" s="778">
        <f>C17+C16</f>
        <v>345660</v>
      </c>
      <c r="D18" s="778">
        <f>D17+D16</f>
        <v>336258</v>
      </c>
      <c r="E18" s="778">
        <f>E17+E16</f>
        <v>328496</v>
      </c>
      <c r="F18" s="778">
        <f>F17+F16</f>
        <v>333717</v>
      </c>
      <c r="G18" s="792">
        <f t="shared" si="1"/>
        <v>1344131</v>
      </c>
      <c r="H18" s="778">
        <f>H17+H16</f>
        <v>223546</v>
      </c>
      <c r="I18" s="778">
        <f>I17+I16</f>
        <v>332044</v>
      </c>
      <c r="J18" s="778">
        <f>J17+J16</f>
        <v>537827</v>
      </c>
      <c r="K18" s="778">
        <f>K17+K16</f>
        <v>70341</v>
      </c>
      <c r="L18" s="792">
        <f t="shared" si="2"/>
        <v>1163758</v>
      </c>
      <c r="M18" s="778">
        <f>M17+M16</f>
        <v>246535.241528852</v>
      </c>
      <c r="N18" s="778">
        <f t="shared" ref="N18:P18" si="8">N17+N16</f>
        <v>241413.91415371097</v>
      </c>
      <c r="O18" s="778">
        <f t="shared" si="8"/>
        <v>290183.01089887309</v>
      </c>
      <c r="P18" s="778">
        <f t="shared" si="8"/>
        <v>213954.74155538098</v>
      </c>
      <c r="Q18" s="792">
        <f t="shared" si="4"/>
        <v>992086.90813681704</v>
      </c>
      <c r="R18" s="778">
        <f>R17+R16</f>
        <v>231540.72227925001</v>
      </c>
      <c r="S18" s="778">
        <f>S17+S16</f>
        <v>231540.98829250003</v>
      </c>
      <c r="T18" s="778">
        <f t="shared" ref="T18:U18" si="9">T17+T16</f>
        <v>248572.87109028513</v>
      </c>
      <c r="U18" s="778">
        <f t="shared" si="9"/>
        <v>177064.46990091493</v>
      </c>
      <c r="V18" s="792">
        <f t="shared" si="3"/>
        <v>888719.05156295013</v>
      </c>
      <c r="W18" s="778">
        <f>W17+W16</f>
        <v>212564.632844682</v>
      </c>
    </row>
    <row r="19" spans="1:23">
      <c r="A19" s="11"/>
      <c r="B19" s="11" t="s">
        <v>468</v>
      </c>
      <c r="C19" s="13">
        <v>332302</v>
      </c>
      <c r="D19" s="13">
        <v>327894</v>
      </c>
      <c r="E19" s="13">
        <v>321537</v>
      </c>
      <c r="F19" s="13">
        <v>332791</v>
      </c>
      <c r="G19" s="170">
        <f t="shared" si="1"/>
        <v>1314524</v>
      </c>
      <c r="H19" s="13">
        <v>222516</v>
      </c>
      <c r="I19" s="13">
        <v>330963</v>
      </c>
      <c r="J19" s="13">
        <v>536508</v>
      </c>
      <c r="K19" s="13">
        <v>68092</v>
      </c>
      <c r="L19" s="170">
        <f t="shared" si="2"/>
        <v>1158079</v>
      </c>
      <c r="M19" s="13">
        <v>245333.95717650698</v>
      </c>
      <c r="N19" s="1">
        <f>N18-N22</f>
        <v>240182.70733705981</v>
      </c>
      <c r="O19" s="1">
        <v>289169</v>
      </c>
      <c r="P19" s="1">
        <v>214574.596806088</v>
      </c>
      <c r="Q19" s="170">
        <f t="shared" si="4"/>
        <v>989260.26131965476</v>
      </c>
      <c r="R19" s="1">
        <v>230653.03735068699</v>
      </c>
      <c r="S19" s="1">
        <v>230804.31031793801</v>
      </c>
      <c r="T19" s="1">
        <v>247842.50359296502</v>
      </c>
      <c r="U19" s="1">
        <v>179834</v>
      </c>
      <c r="V19" s="41">
        <f t="shared" si="3"/>
        <v>889133.85126159003</v>
      </c>
      <c r="W19" s="1">
        <v>217225.35504692901</v>
      </c>
    </row>
    <row r="20" spans="1:23">
      <c r="A20" s="11"/>
      <c r="B20" s="11" t="s">
        <v>469</v>
      </c>
      <c r="C20" s="13">
        <v>-240</v>
      </c>
      <c r="D20" s="242">
        <v>3388</v>
      </c>
      <c r="E20" s="1">
        <v>1414</v>
      </c>
      <c r="F20" s="110">
        <v>-1095</v>
      </c>
      <c r="G20" s="170">
        <f t="shared" si="1"/>
        <v>3467</v>
      </c>
      <c r="H20" s="110">
        <v>867</v>
      </c>
      <c r="I20" s="110">
        <v>2134</v>
      </c>
      <c r="J20" s="13">
        <v>405</v>
      </c>
      <c r="K20" s="110">
        <v>7206</v>
      </c>
      <c r="L20" s="170">
        <f t="shared" si="2"/>
        <v>10612</v>
      </c>
      <c r="M20" s="110">
        <v>1580</v>
      </c>
      <c r="N20" s="1">
        <v>3233</v>
      </c>
      <c r="O20" s="1">
        <v>1790</v>
      </c>
      <c r="P20" s="1">
        <v>-2392</v>
      </c>
      <c r="Q20" s="170">
        <f>SUM(M20:P20)</f>
        <v>4211</v>
      </c>
      <c r="R20" s="1">
        <v>779</v>
      </c>
      <c r="S20" s="1">
        <v>241</v>
      </c>
      <c r="T20" s="1">
        <v>1288</v>
      </c>
      <c r="U20" s="1">
        <v>-2775</v>
      </c>
      <c r="V20" s="41">
        <f t="shared" si="3"/>
        <v>-467</v>
      </c>
      <c r="W20" s="162">
        <v>14961</v>
      </c>
    </row>
    <row r="21" spans="1:23">
      <c r="A21" s="11"/>
      <c r="B21" s="11" t="s">
        <v>470</v>
      </c>
      <c r="C21" s="13">
        <f>C19+C20</f>
        <v>332062</v>
      </c>
      <c r="D21" s="13">
        <f>D19+D20</f>
        <v>331282</v>
      </c>
      <c r="E21" s="1">
        <f>E19+E20</f>
        <v>322951</v>
      </c>
      <c r="F21" s="1">
        <f>F19+F20</f>
        <v>331696</v>
      </c>
      <c r="G21" s="170">
        <f t="shared" si="1"/>
        <v>1317991</v>
      </c>
      <c r="H21" s="13">
        <f>H19+H20</f>
        <v>223383</v>
      </c>
      <c r="I21" s="13">
        <f>I19+I20</f>
        <v>333097</v>
      </c>
      <c r="J21" s="13">
        <f>J19+J20</f>
        <v>536913</v>
      </c>
      <c r="K21" s="13">
        <f>K19+K20</f>
        <v>75298</v>
      </c>
      <c r="L21" s="170">
        <f t="shared" si="2"/>
        <v>1168691</v>
      </c>
      <c r="M21" s="13">
        <f>M19+M20</f>
        <v>246913.95717650698</v>
      </c>
      <c r="N21" s="1">
        <f>N19+N20</f>
        <v>243415.70733705981</v>
      </c>
      <c r="O21" s="1">
        <f>O19+O20</f>
        <v>290959</v>
      </c>
      <c r="P21" s="1">
        <f>P19+P20</f>
        <v>212182.596806088</v>
      </c>
      <c r="Q21" s="170">
        <f t="shared" si="4"/>
        <v>993471.26131965476</v>
      </c>
      <c r="R21" s="1">
        <f>R19+R20</f>
        <v>231432.03735068699</v>
      </c>
      <c r="S21" s="1">
        <f>S19+S20</f>
        <v>231045.31031793801</v>
      </c>
      <c r="T21" s="1">
        <f t="shared" ref="T21:W21" si="10">T19+T20</f>
        <v>249130.50359296502</v>
      </c>
      <c r="U21" s="1">
        <f t="shared" si="10"/>
        <v>177059</v>
      </c>
      <c r="V21" s="41">
        <f t="shared" si="3"/>
        <v>888666.85126159003</v>
      </c>
      <c r="W21" s="1">
        <f t="shared" si="10"/>
        <v>232186.35504692901</v>
      </c>
    </row>
    <row r="22" spans="1:23">
      <c r="A22" s="11"/>
      <c r="B22" s="11" t="s">
        <v>471</v>
      </c>
      <c r="C22" s="12">
        <v>13358</v>
      </c>
      <c r="D22" s="12">
        <v>8364</v>
      </c>
      <c r="E22" s="1">
        <v>6959</v>
      </c>
      <c r="F22" s="1">
        <v>926</v>
      </c>
      <c r="G22" s="170">
        <f t="shared" si="1"/>
        <v>29607</v>
      </c>
      <c r="H22" s="110">
        <v>1030</v>
      </c>
      <c r="I22" s="13">
        <v>1081</v>
      </c>
      <c r="J22" s="13">
        <v>1319</v>
      </c>
      <c r="K22" s="13">
        <v>2249</v>
      </c>
      <c r="L22" s="170">
        <f t="shared" si="2"/>
        <v>5679</v>
      </c>
      <c r="M22" s="110">
        <v>1201.33370400218</v>
      </c>
      <c r="N22" s="1">
        <v>1231.2068166511497</v>
      </c>
      <c r="O22" s="1">
        <v>1013.9377322324704</v>
      </c>
      <c r="P22" s="1">
        <v>-620.48538935663964</v>
      </c>
      <c r="Q22" s="170">
        <f t="shared" si="4"/>
        <v>2825.9928635291603</v>
      </c>
      <c r="R22" s="1">
        <v>887.68492856250009</v>
      </c>
      <c r="S22" s="1">
        <v>737.30749581249984</v>
      </c>
      <c r="T22" s="1">
        <v>730.36749732103976</v>
      </c>
      <c r="U22" s="1">
        <v>702.36465492895013</v>
      </c>
      <c r="V22" s="41">
        <f t="shared" si="3"/>
        <v>3057.7245766249898</v>
      </c>
      <c r="W22" s="1">
        <v>-4660.0853880625</v>
      </c>
    </row>
    <row r="23" spans="1:23" ht="15.75" thickBot="1">
      <c r="A23" s="17"/>
      <c r="B23" s="17" t="s">
        <v>451</v>
      </c>
      <c r="C23" s="18">
        <v>0.48249983000000002</v>
      </c>
      <c r="D23" s="18">
        <v>0.48249983000000002</v>
      </c>
      <c r="E23" s="169">
        <v>0.48249983000000002</v>
      </c>
      <c r="F23" s="169">
        <v>0.48249983000000002</v>
      </c>
      <c r="G23" s="48">
        <v>0.48249999999999998</v>
      </c>
      <c r="H23" s="18">
        <v>0.48249983000000002</v>
      </c>
      <c r="I23" s="18">
        <v>0.48249983000000002</v>
      </c>
      <c r="J23" s="18">
        <v>0.48249983000000002</v>
      </c>
      <c r="K23" s="18">
        <v>0.48249983000000002</v>
      </c>
      <c r="L23" s="48">
        <v>0.48249999999999998</v>
      </c>
      <c r="M23" s="18">
        <v>0.48249983000000002</v>
      </c>
      <c r="N23" s="18">
        <v>0.48249983000000002</v>
      </c>
      <c r="O23" s="18">
        <v>0.48249983000000002</v>
      </c>
      <c r="P23" s="18">
        <v>0.48249983000000002</v>
      </c>
      <c r="Q23" s="48">
        <v>0.48249983000000002</v>
      </c>
      <c r="R23" s="18">
        <v>0.48249983000000002</v>
      </c>
      <c r="S23" s="18">
        <v>0.48249983000000002</v>
      </c>
      <c r="T23" s="18">
        <v>0.48249983000000002</v>
      </c>
      <c r="U23" s="18">
        <v>0.48249999999999998</v>
      </c>
      <c r="V23" s="48">
        <v>0.48249983000000002</v>
      </c>
      <c r="W23" s="18">
        <v>0.48249983000000002</v>
      </c>
    </row>
    <row r="24" spans="1:23">
      <c r="C24" s="102"/>
      <c r="G24" s="102"/>
      <c r="L24" s="102"/>
      <c r="Q24" s="102"/>
      <c r="V24" s="102"/>
      <c r="W24" s="102"/>
    </row>
    <row r="25" spans="1:23">
      <c r="C25" s="102"/>
      <c r="G25" s="102"/>
      <c r="L25" s="102"/>
      <c r="M25" s="8"/>
      <c r="N25" s="8"/>
      <c r="P25" s="8"/>
      <c r="Q25" s="102"/>
      <c r="R25" s="8"/>
      <c r="S25" s="8"/>
      <c r="T25" s="8"/>
      <c r="U25" s="8"/>
      <c r="V25" s="102"/>
      <c r="W25" s="102"/>
    </row>
    <row r="26" spans="1:23">
      <c r="C26" s="102"/>
      <c r="G26" s="102"/>
      <c r="H26" s="8"/>
      <c r="I26" s="8"/>
      <c r="J26" s="8"/>
      <c r="K26" s="8"/>
      <c r="L26" s="8"/>
      <c r="M26" s="8"/>
      <c r="N26" s="49"/>
      <c r="Q26" s="8"/>
      <c r="V26" s="102"/>
      <c r="W26" s="102"/>
    </row>
    <row r="27" spans="1:23">
      <c r="C27" s="102"/>
      <c r="G27" s="102"/>
      <c r="L27" s="102"/>
      <c r="Q27" s="102"/>
      <c r="V27" s="102"/>
      <c r="W27" s="102"/>
    </row>
  </sheetData>
  <phoneticPr fontId="18" type="noConversion"/>
  <conditionalFormatting sqref="AD8:AD19">
    <cfRule type="expression" dxfId="9" priority="23">
      <formula>IF(AA8 = 0,1,AA8*AC8)&lt;0</formula>
    </cfRule>
    <cfRule type="expression" dxfId="8" priority="24">
      <formula>IF(AA8 =0,1,AA8*AC8)&gt;=0</formula>
    </cfRule>
  </conditionalFormatting>
  <conditionalFormatting sqref="AG8:AH19">
    <cfRule type="expression" dxfId="7" priority="21">
      <formula>IF(AA8 = 0,1,AA8*AF8)&lt;0</formula>
    </cfRule>
    <cfRule type="expression" dxfId="6" priority="22">
      <formula>IF(AA8 =0,1,AA8*AF8)&gt;=0</formula>
    </cfRule>
    <cfRule type="expression" dxfId="5" priority="25">
      <formula>"SE(AV9=0;1;AV9*BA9) &gt;=0"</formula>
    </cfRule>
    <cfRule type="expression" dxfId="4" priority="26">
      <formula>"SE(AV9=0;1;AV9*$BA$9) &lt;0"</formula>
    </cfRule>
    <cfRule type="expression" dxfId="3" priority="29">
      <formula>"SE(AV9=0;1;AV9*$BA$9)&lt;0"</formula>
    </cfRule>
    <cfRule type="expression" dxfId="2" priority="30">
      <formula>"SE(AV9=0;1;AV9*BA9)&gt;=0"</formula>
    </cfRule>
  </conditionalFormatting>
  <conditionalFormatting sqref="AL8:AL19">
    <cfRule type="expression" dxfId="1" priority="27">
      <formula>IF(AK8 = 0,1,AI8*AK8)&lt;0</formula>
    </cfRule>
    <cfRule type="expression" dxfId="0" priority="28">
      <formula>IF(AI8 =0,1,AI8*AK8)&gt;=0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A71AD-8F06-4D9D-B5C5-31DFF0B9D195}">
  <dimension ref="A1:AF52"/>
  <sheetViews>
    <sheetView showGridLines="0" showRowColHeaders="0" zoomScale="75" zoomScaleNormal="75" workbookViewId="0">
      <pane xSplit="2" ySplit="5" topLeftCell="AA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3.5703125" customWidth="1"/>
    <col min="2" max="2" width="70.7109375" customWidth="1"/>
    <col min="3" max="3" width="9.42578125" bestFit="1" customWidth="1"/>
    <col min="4" max="4" width="22.42578125" customWidth="1"/>
    <col min="5" max="6" width="14.42578125" customWidth="1"/>
    <col min="7" max="7" width="11.42578125" customWidth="1"/>
    <col min="8" max="8" width="10.5703125" customWidth="1"/>
    <col min="9" max="9" width="13.42578125" customWidth="1"/>
    <col min="10" max="10" width="13.5703125" bestFit="1" customWidth="1"/>
    <col min="11" max="19" width="15.42578125" bestFit="1" customWidth="1"/>
    <col min="20" max="25" width="13.5703125" customWidth="1"/>
    <col min="26" max="31" width="13.7109375" customWidth="1"/>
  </cols>
  <sheetData>
    <row r="1" spans="1:31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31"/>
      <c r="AE1" s="630"/>
    </row>
    <row r="2" spans="1:31" ht="15" customHeight="1">
      <c r="A2" s="619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32"/>
      <c r="AE2" s="630"/>
    </row>
    <row r="3" spans="1:31" ht="50.1" customHeight="1">
      <c r="A3" s="619"/>
      <c r="B3" s="770" t="s">
        <v>851</v>
      </c>
      <c r="C3" s="623"/>
      <c r="D3" s="623"/>
      <c r="E3" s="623"/>
      <c r="F3" s="623"/>
      <c r="G3" s="623"/>
      <c r="H3" s="623"/>
      <c r="I3" s="623"/>
      <c r="J3" s="623"/>
      <c r="K3" s="623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31"/>
      <c r="AE3" s="630"/>
    </row>
    <row r="4" spans="1:31">
      <c r="L4" s="8"/>
      <c r="M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103" customFormat="1" ht="23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</row>
    <row r="6" spans="1:31">
      <c r="L6" s="8"/>
      <c r="M6" s="8"/>
      <c r="O6" s="8"/>
      <c r="P6" s="8"/>
      <c r="Q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2" customFormat="1" ht="24.4" customHeight="1">
      <c r="A7" s="625"/>
      <c r="B7" s="625" t="s">
        <v>852</v>
      </c>
      <c r="C7" s="642" t="s">
        <v>236</v>
      </c>
      <c r="D7" s="642" t="s">
        <v>237</v>
      </c>
      <c r="E7" s="642" t="s">
        <v>238</v>
      </c>
      <c r="F7" s="684" t="s">
        <v>239</v>
      </c>
      <c r="G7" s="684" t="s">
        <v>240</v>
      </c>
      <c r="H7" s="684" t="s">
        <v>241</v>
      </c>
      <c r="I7" s="684" t="s">
        <v>242</v>
      </c>
      <c r="J7" s="684" t="s">
        <v>243</v>
      </c>
      <c r="K7" s="684" t="s">
        <v>244</v>
      </c>
      <c r="L7" s="685" t="s">
        <v>245</v>
      </c>
      <c r="M7" s="685" t="s">
        <v>246</v>
      </c>
      <c r="N7" s="685" t="s">
        <v>247</v>
      </c>
      <c r="O7" s="685" t="s">
        <v>248</v>
      </c>
      <c r="P7" s="685" t="s">
        <v>249</v>
      </c>
      <c r="Q7" s="685" t="s">
        <v>250</v>
      </c>
      <c r="R7" s="685" t="s">
        <v>215</v>
      </c>
      <c r="S7" s="685" t="s">
        <v>252</v>
      </c>
      <c r="T7" s="685" t="s">
        <v>253</v>
      </c>
      <c r="U7" s="685" t="s">
        <v>254</v>
      </c>
      <c r="V7" s="685" t="s">
        <v>219</v>
      </c>
      <c r="W7" s="685" t="s">
        <v>223</v>
      </c>
      <c r="X7" s="685" t="s">
        <v>256</v>
      </c>
      <c r="Y7" s="685" t="s">
        <v>357</v>
      </c>
      <c r="Z7" s="685" t="s">
        <v>358</v>
      </c>
      <c r="AA7" s="685" t="s">
        <v>359</v>
      </c>
      <c r="AB7" s="685" t="s">
        <v>1115</v>
      </c>
      <c r="AC7" s="685" t="s">
        <v>1116</v>
      </c>
      <c r="AD7" s="686" t="s">
        <v>1117</v>
      </c>
      <c r="AE7" s="681" t="s">
        <v>1124</v>
      </c>
    </row>
    <row r="8" spans="1:31" s="2" customFormat="1">
      <c r="A8" s="9"/>
      <c r="B8" s="9" t="s">
        <v>853</v>
      </c>
      <c r="C8" s="76">
        <f t="shared" ref="C8:Z8" si="0">SUM(C9:C10)</f>
        <v>99302.414000000004</v>
      </c>
      <c r="D8" s="76">
        <f t="shared" si="0"/>
        <v>101076.36</v>
      </c>
      <c r="E8" s="76">
        <f t="shared" si="0"/>
        <v>101815.111</v>
      </c>
      <c r="F8" s="76">
        <f t="shared" si="0"/>
        <v>103259.93</v>
      </c>
      <c r="G8" s="76">
        <f t="shared" si="0"/>
        <v>103390</v>
      </c>
      <c r="H8" s="76">
        <f t="shared" si="0"/>
        <v>128062.075</v>
      </c>
      <c r="I8" s="76">
        <f t="shared" si="0"/>
        <v>145380.52799999999</v>
      </c>
      <c r="J8" s="76">
        <f t="shared" si="0"/>
        <v>145833.81700000001</v>
      </c>
      <c r="K8" s="76">
        <f t="shared" si="0"/>
        <v>145746.902</v>
      </c>
      <c r="L8" s="76">
        <f t="shared" si="0"/>
        <v>145730</v>
      </c>
      <c r="M8" s="76">
        <f t="shared" si="0"/>
        <v>145917.31700000001</v>
      </c>
      <c r="N8" s="76">
        <f t="shared" si="0"/>
        <v>146203.22</v>
      </c>
      <c r="O8" s="76">
        <f t="shared" si="0"/>
        <v>146282</v>
      </c>
      <c r="P8" s="76">
        <f t="shared" si="0"/>
        <v>148984</v>
      </c>
      <c r="Q8" s="76">
        <f t="shared" si="0"/>
        <v>150475</v>
      </c>
      <c r="R8" s="76">
        <f t="shared" si="0"/>
        <v>150623</v>
      </c>
      <c r="S8" s="76">
        <f t="shared" si="0"/>
        <v>151309</v>
      </c>
      <c r="T8" s="76">
        <f t="shared" si="0"/>
        <v>151477</v>
      </c>
      <c r="U8" s="76">
        <f t="shared" si="0"/>
        <v>151838</v>
      </c>
      <c r="V8" s="76">
        <f t="shared" si="0"/>
        <v>152479</v>
      </c>
      <c r="W8" s="76">
        <f t="shared" si="0"/>
        <v>154032</v>
      </c>
      <c r="X8" s="76">
        <f t="shared" si="0"/>
        <v>151119</v>
      </c>
      <c r="Y8" s="76">
        <f t="shared" si="0"/>
        <v>153196</v>
      </c>
      <c r="Z8" s="76">
        <f t="shared" si="0"/>
        <v>153681</v>
      </c>
      <c r="AA8" s="76">
        <f>SUM(AA9:AA10)</f>
        <v>155407</v>
      </c>
      <c r="AB8" s="76">
        <f>SUM(AB9:AB10)</f>
        <v>156139</v>
      </c>
      <c r="AC8" s="76">
        <f>SUM(AC9:AC10)</f>
        <v>156681</v>
      </c>
      <c r="AD8" s="76">
        <f>SUM(AD9:AD10)</f>
        <v>157207</v>
      </c>
      <c r="AE8" s="76">
        <f t="shared" ref="AE8" si="1">SUM(AE9:AE10)</f>
        <v>0</v>
      </c>
    </row>
    <row r="9" spans="1:31">
      <c r="B9" t="s">
        <v>854</v>
      </c>
      <c r="C9" s="1">
        <v>96481.994000000006</v>
      </c>
      <c r="D9" s="1">
        <v>98235.694000000003</v>
      </c>
      <c r="E9" s="1">
        <v>98944.834000000003</v>
      </c>
      <c r="F9" s="1">
        <v>100286.745</v>
      </c>
      <c r="G9" s="1">
        <v>100612</v>
      </c>
      <c r="H9" s="1">
        <v>125567.848</v>
      </c>
      <c r="I9" s="1">
        <v>143134.345</v>
      </c>
      <c r="J9" s="1">
        <v>143840.25700000001</v>
      </c>
      <c r="K9" s="1">
        <v>143798.79</v>
      </c>
      <c r="L9" s="1">
        <v>143901</v>
      </c>
      <c r="M9" s="1">
        <v>144071.867</v>
      </c>
      <c r="N9" s="1">
        <v>144356.54399999999</v>
      </c>
      <c r="O9" s="1">
        <v>144429</v>
      </c>
      <c r="P9" s="1">
        <v>147088</v>
      </c>
      <c r="Q9" s="1">
        <v>148521</v>
      </c>
      <c r="R9" s="1">
        <v>148657</v>
      </c>
      <c r="S9" s="1">
        <v>149402</v>
      </c>
      <c r="T9" s="1">
        <v>149569</v>
      </c>
      <c r="U9" s="1">
        <v>149913</v>
      </c>
      <c r="V9" s="1">
        <v>150544</v>
      </c>
      <c r="W9" s="1">
        <v>152100</v>
      </c>
      <c r="X9" s="1">
        <v>149147</v>
      </c>
      <c r="Y9" s="1">
        <v>151086</v>
      </c>
      <c r="Z9" s="1">
        <v>151610</v>
      </c>
      <c r="AA9" s="1">
        <v>153320</v>
      </c>
      <c r="AB9" s="1">
        <v>154078</v>
      </c>
      <c r="AC9" s="1">
        <v>154575</v>
      </c>
      <c r="AD9" s="1">
        <v>155028</v>
      </c>
      <c r="AE9" s="1"/>
    </row>
    <row r="10" spans="1:31">
      <c r="B10" t="s">
        <v>855</v>
      </c>
      <c r="C10" s="1">
        <v>2820.42</v>
      </c>
      <c r="D10" s="1">
        <v>2840.6660000000002</v>
      </c>
      <c r="E10" s="1">
        <v>2870.277</v>
      </c>
      <c r="F10" s="1">
        <v>2973.1849999999999</v>
      </c>
      <c r="G10" s="1">
        <v>2778</v>
      </c>
      <c r="H10" s="1">
        <v>2494.2269999999999</v>
      </c>
      <c r="I10" s="1">
        <v>2246.183</v>
      </c>
      <c r="J10" s="1">
        <v>1993.56</v>
      </c>
      <c r="K10" s="1">
        <v>1948.1120000000001</v>
      </c>
      <c r="L10" s="1">
        <v>1829</v>
      </c>
      <c r="M10" s="1">
        <v>1845.45</v>
      </c>
      <c r="N10" s="1">
        <v>1846.6759999999999</v>
      </c>
      <c r="O10" s="1">
        <v>1853</v>
      </c>
      <c r="P10" s="1">
        <v>1896</v>
      </c>
      <c r="Q10" s="1">
        <v>1954</v>
      </c>
      <c r="R10" s="1">
        <v>1966</v>
      </c>
      <c r="S10" s="1">
        <v>1907</v>
      </c>
      <c r="T10" s="1">
        <v>1908</v>
      </c>
      <c r="U10" s="1">
        <v>1925</v>
      </c>
      <c r="V10" s="1">
        <v>1935</v>
      </c>
      <c r="W10" s="1">
        <v>1932</v>
      </c>
      <c r="X10" s="1">
        <v>1972</v>
      </c>
      <c r="Y10" s="1">
        <v>2110</v>
      </c>
      <c r="Z10" s="1">
        <v>2071</v>
      </c>
      <c r="AA10" s="1">
        <v>2087</v>
      </c>
      <c r="AB10" s="1">
        <v>2061</v>
      </c>
      <c r="AC10" s="1">
        <v>2106</v>
      </c>
      <c r="AD10" s="1">
        <v>2179</v>
      </c>
      <c r="AE10" s="1"/>
    </row>
    <row r="11" spans="1:31" s="2" customFormat="1">
      <c r="A11" s="9"/>
      <c r="B11" s="9" t="s">
        <v>856</v>
      </c>
      <c r="C11" s="76">
        <f t="shared" ref="C11:Z11" si="2">SUM(C12:C16)</f>
        <v>54643</v>
      </c>
      <c r="D11" s="76">
        <f t="shared" si="2"/>
        <v>54156</v>
      </c>
      <c r="E11" s="76">
        <f t="shared" si="2"/>
        <v>54056</v>
      </c>
      <c r="F11" s="76">
        <f t="shared" si="2"/>
        <v>53924</v>
      </c>
      <c r="G11" s="76">
        <f t="shared" si="2"/>
        <v>53870</v>
      </c>
      <c r="H11" s="76">
        <f t="shared" si="2"/>
        <v>53729</v>
      </c>
      <c r="I11" s="76">
        <f t="shared" si="2"/>
        <v>54005</v>
      </c>
      <c r="J11" s="76">
        <f t="shared" si="2"/>
        <v>54196</v>
      </c>
      <c r="K11" s="76">
        <f t="shared" si="2"/>
        <v>54090</v>
      </c>
      <c r="L11" s="76">
        <f t="shared" si="2"/>
        <v>53772</v>
      </c>
      <c r="M11" s="76">
        <f t="shared" si="2"/>
        <v>53849</v>
      </c>
      <c r="N11" s="76">
        <f t="shared" si="2"/>
        <v>53801</v>
      </c>
      <c r="O11" s="76">
        <f t="shared" si="2"/>
        <v>53775</v>
      </c>
      <c r="P11" s="76">
        <f t="shared" si="2"/>
        <v>53966</v>
      </c>
      <c r="Q11" s="76">
        <f t="shared" si="2"/>
        <v>53669</v>
      </c>
      <c r="R11" s="76">
        <f t="shared" si="2"/>
        <v>53388</v>
      </c>
      <c r="S11" s="76">
        <f t="shared" si="2"/>
        <v>53524</v>
      </c>
      <c r="T11" s="76">
        <f t="shared" si="2"/>
        <v>53081</v>
      </c>
      <c r="U11" s="76">
        <f t="shared" si="2"/>
        <v>52762</v>
      </c>
      <c r="V11" s="76">
        <f t="shared" si="2"/>
        <v>52576</v>
      </c>
      <c r="W11" s="76">
        <f t="shared" si="2"/>
        <v>52262</v>
      </c>
      <c r="X11" s="76">
        <f t="shared" si="2"/>
        <v>51661</v>
      </c>
      <c r="Y11" s="76">
        <f t="shared" si="2"/>
        <v>50789</v>
      </c>
      <c r="Z11" s="76">
        <f t="shared" si="2"/>
        <v>50408</v>
      </c>
      <c r="AA11" s="76">
        <f>SUM(AA12:AA16)</f>
        <v>49896</v>
      </c>
      <c r="AB11" s="76">
        <f>SUM(AB12:AB16)</f>
        <v>48962</v>
      </c>
      <c r="AC11" s="76">
        <f>SUM(AC12:AC16)</f>
        <v>48064</v>
      </c>
      <c r="AD11" s="76">
        <f>SUM(AD12:AD16)</f>
        <v>46569</v>
      </c>
      <c r="AE11" s="76">
        <f t="shared" ref="AE11" si="3">SUM(AE12:AE16)</f>
        <v>0</v>
      </c>
    </row>
    <row r="12" spans="1:31">
      <c r="B12" t="s">
        <v>857</v>
      </c>
      <c r="C12" s="1">
        <v>3375</v>
      </c>
      <c r="D12" s="1">
        <v>3374</v>
      </c>
      <c r="E12" s="1">
        <v>3374</v>
      </c>
      <c r="F12" s="1">
        <v>3373</v>
      </c>
      <c r="G12" s="1">
        <v>3372</v>
      </c>
      <c r="H12" s="1">
        <v>3372</v>
      </c>
      <c r="I12" s="1">
        <v>3372</v>
      </c>
      <c r="J12" s="1">
        <v>3372</v>
      </c>
      <c r="K12" s="1">
        <v>3372</v>
      </c>
      <c r="L12" s="1">
        <v>3372</v>
      </c>
      <c r="M12" s="1">
        <v>3372</v>
      </c>
      <c r="N12" s="1">
        <v>3372</v>
      </c>
      <c r="O12" s="1">
        <v>3372</v>
      </c>
      <c r="P12" s="1">
        <v>3372</v>
      </c>
      <c r="Q12" s="1">
        <v>3372</v>
      </c>
      <c r="R12" s="1">
        <v>3372</v>
      </c>
      <c r="S12" s="1">
        <v>3371</v>
      </c>
      <c r="T12" s="1">
        <v>3371</v>
      </c>
      <c r="U12" s="1">
        <v>3371</v>
      </c>
      <c r="V12" s="1">
        <v>3371</v>
      </c>
      <c r="W12" s="1">
        <v>3371</v>
      </c>
      <c r="X12" s="1">
        <v>3371</v>
      </c>
      <c r="Y12" s="1">
        <v>3257</v>
      </c>
      <c r="Z12" s="1">
        <v>3258</v>
      </c>
      <c r="AA12" s="1">
        <v>3252</v>
      </c>
      <c r="AB12" s="1">
        <v>3249</v>
      </c>
      <c r="AC12" s="1">
        <v>3208</v>
      </c>
      <c r="AD12" s="1">
        <v>3120</v>
      </c>
      <c r="AE12" s="1"/>
    </row>
    <row r="13" spans="1:31">
      <c r="B13" t="s">
        <v>858</v>
      </c>
      <c r="C13" s="1">
        <v>772</v>
      </c>
      <c r="D13" s="1">
        <v>767</v>
      </c>
      <c r="E13" s="1">
        <v>750</v>
      </c>
      <c r="F13" s="1">
        <v>756</v>
      </c>
      <c r="G13" s="1">
        <v>752</v>
      </c>
      <c r="H13" s="1">
        <v>739</v>
      </c>
      <c r="I13" s="1">
        <v>784</v>
      </c>
      <c r="J13" s="1">
        <v>797</v>
      </c>
      <c r="K13" s="1">
        <v>788</v>
      </c>
      <c r="L13" s="1">
        <v>842</v>
      </c>
      <c r="M13" s="1">
        <v>895</v>
      </c>
      <c r="N13" s="1">
        <v>906</v>
      </c>
      <c r="O13" s="1">
        <v>906</v>
      </c>
      <c r="P13" s="1">
        <v>909</v>
      </c>
      <c r="Q13" s="1">
        <v>916</v>
      </c>
      <c r="R13" s="1">
        <v>916</v>
      </c>
      <c r="S13" s="1">
        <v>890</v>
      </c>
      <c r="T13" s="1">
        <v>910</v>
      </c>
      <c r="U13" s="1">
        <v>911</v>
      </c>
      <c r="V13" s="1">
        <v>904</v>
      </c>
      <c r="W13" s="1">
        <v>903</v>
      </c>
      <c r="X13" s="1">
        <v>818</v>
      </c>
      <c r="Y13" s="1">
        <v>926</v>
      </c>
      <c r="Z13" s="1">
        <v>1000</v>
      </c>
      <c r="AA13" s="1">
        <v>992</v>
      </c>
      <c r="AB13" s="1">
        <v>996</v>
      </c>
      <c r="AC13" s="1">
        <v>1020</v>
      </c>
      <c r="AD13" s="1">
        <v>805</v>
      </c>
      <c r="AE13" s="1"/>
    </row>
    <row r="14" spans="1:31">
      <c r="B14" t="s">
        <v>859</v>
      </c>
      <c r="C14" s="1">
        <v>8393</v>
      </c>
      <c r="D14" s="1">
        <v>8252</v>
      </c>
      <c r="E14" s="1">
        <v>8264</v>
      </c>
      <c r="F14" s="1">
        <v>8190</v>
      </c>
      <c r="G14" s="1">
        <v>8318</v>
      </c>
      <c r="H14" s="1">
        <v>8263</v>
      </c>
      <c r="I14" s="1">
        <v>8591</v>
      </c>
      <c r="J14" s="1">
        <v>8810</v>
      </c>
      <c r="K14" s="1">
        <v>8848</v>
      </c>
      <c r="L14" s="1">
        <v>8909</v>
      </c>
      <c r="M14" s="1">
        <v>8984</v>
      </c>
      <c r="N14" s="1">
        <v>9049</v>
      </c>
      <c r="O14" s="1">
        <v>9141</v>
      </c>
      <c r="P14" s="1">
        <v>9293</v>
      </c>
      <c r="Q14" s="1">
        <v>9188</v>
      </c>
      <c r="R14" s="1">
        <v>9087</v>
      </c>
      <c r="S14" s="1">
        <v>9229</v>
      </c>
      <c r="T14" s="1">
        <v>8927</v>
      </c>
      <c r="U14" s="1">
        <v>8928</v>
      </c>
      <c r="V14" s="1">
        <v>8864</v>
      </c>
      <c r="W14" s="1">
        <v>8904</v>
      </c>
      <c r="X14" s="1">
        <v>8896</v>
      </c>
      <c r="Y14" s="1">
        <v>8694</v>
      </c>
      <c r="Z14" s="1">
        <v>8660</v>
      </c>
      <c r="AA14" s="1">
        <v>8426</v>
      </c>
      <c r="AB14" s="1">
        <v>8013</v>
      </c>
      <c r="AC14" s="1">
        <v>7889</v>
      </c>
      <c r="AD14" s="1">
        <v>7853</v>
      </c>
      <c r="AE14" s="1"/>
    </row>
    <row r="15" spans="1:31">
      <c r="B15" t="s">
        <v>860</v>
      </c>
      <c r="C15" s="1">
        <v>13000</v>
      </c>
      <c r="D15" s="1">
        <v>12985</v>
      </c>
      <c r="E15" s="1">
        <v>12977</v>
      </c>
      <c r="F15" s="1">
        <v>12968</v>
      </c>
      <c r="G15" s="1">
        <v>12956</v>
      </c>
      <c r="H15" s="1">
        <v>12969</v>
      </c>
      <c r="I15" s="1">
        <v>12984</v>
      </c>
      <c r="J15" s="1">
        <v>13056</v>
      </c>
      <c r="K15" s="1">
        <v>13142</v>
      </c>
      <c r="L15" s="1">
        <v>13319</v>
      </c>
      <c r="M15" s="1">
        <v>13393</v>
      </c>
      <c r="N15" s="1">
        <v>13422</v>
      </c>
      <c r="O15" s="1">
        <v>13408</v>
      </c>
      <c r="P15" s="1">
        <v>13394</v>
      </c>
      <c r="Q15" s="1">
        <v>13378</v>
      </c>
      <c r="R15" s="1">
        <v>13375</v>
      </c>
      <c r="S15" s="1">
        <v>13366</v>
      </c>
      <c r="T15" s="1">
        <v>13344</v>
      </c>
      <c r="U15" s="1">
        <v>13317</v>
      </c>
      <c r="V15" s="1">
        <v>13295</v>
      </c>
      <c r="W15" s="1">
        <v>13251</v>
      </c>
      <c r="X15" s="1">
        <v>13203</v>
      </c>
      <c r="Y15" s="1">
        <v>13160</v>
      </c>
      <c r="Z15" s="1">
        <v>13136</v>
      </c>
      <c r="AA15" s="1">
        <v>13115</v>
      </c>
      <c r="AB15" s="1">
        <v>13086</v>
      </c>
      <c r="AC15" s="1">
        <v>13067</v>
      </c>
      <c r="AD15" s="1">
        <v>13002</v>
      </c>
      <c r="AE15" s="1"/>
    </row>
    <row r="16" spans="1:31">
      <c r="B16" t="s">
        <v>861</v>
      </c>
      <c r="C16" s="1">
        <v>29103</v>
      </c>
      <c r="D16" s="1">
        <v>28778</v>
      </c>
      <c r="E16" s="1">
        <v>28691</v>
      </c>
      <c r="F16" s="1">
        <v>28637</v>
      </c>
      <c r="G16" s="1">
        <v>28472</v>
      </c>
      <c r="H16" s="1">
        <v>28386</v>
      </c>
      <c r="I16" s="1">
        <v>28274</v>
      </c>
      <c r="J16" s="1">
        <v>28161</v>
      </c>
      <c r="K16" s="1">
        <v>27940</v>
      </c>
      <c r="L16" s="1">
        <v>27330</v>
      </c>
      <c r="M16" s="1">
        <v>27205</v>
      </c>
      <c r="N16" s="1">
        <v>27052</v>
      </c>
      <c r="O16" s="1">
        <v>26948</v>
      </c>
      <c r="P16" s="1">
        <v>26998</v>
      </c>
      <c r="Q16" s="1">
        <v>26815</v>
      </c>
      <c r="R16" s="1">
        <v>26638</v>
      </c>
      <c r="S16" s="1">
        <v>26668</v>
      </c>
      <c r="T16" s="1">
        <v>26529</v>
      </c>
      <c r="U16" s="1">
        <v>26235</v>
      </c>
      <c r="V16" s="1">
        <v>26142</v>
      </c>
      <c r="W16" s="1">
        <v>25833</v>
      </c>
      <c r="X16" s="1">
        <v>25373</v>
      </c>
      <c r="Y16" s="1">
        <v>24752</v>
      </c>
      <c r="Z16" s="1">
        <v>24354</v>
      </c>
      <c r="AA16" s="1">
        <v>24111</v>
      </c>
      <c r="AB16" s="1">
        <v>23618</v>
      </c>
      <c r="AC16" s="1">
        <v>22880</v>
      </c>
      <c r="AD16" s="1">
        <v>21789</v>
      </c>
      <c r="AE16" s="1"/>
    </row>
    <row r="17" spans="1:31" s="2" customFormat="1">
      <c r="A17" s="9"/>
      <c r="B17" s="9" t="s">
        <v>862</v>
      </c>
      <c r="C17" s="76">
        <f t="shared" ref="C17" si="4">SUM(C18:C23)</f>
        <v>685841.87778390991</v>
      </c>
      <c r="D17" s="76">
        <f t="shared" ref="D17" si="5">SUM(D18:D23)</f>
        <v>682444.75616444997</v>
      </c>
      <c r="E17" s="76">
        <f t="shared" ref="E17" si="6">SUM(E18:E23)</f>
        <v>683186.4159663507</v>
      </c>
      <c r="F17" s="76">
        <f t="shared" ref="F17" si="7">SUM(F18:F23)</f>
        <v>693724.20844049961</v>
      </c>
      <c r="G17" s="76">
        <f t="shared" ref="G17" si="8">SUM(G18:G23)</f>
        <v>699622.36473252007</v>
      </c>
      <c r="H17" s="76">
        <f t="shared" ref="H17" si="9">SUM(H18:H23)</f>
        <v>720080.13777868007</v>
      </c>
      <c r="I17" s="76">
        <f t="shared" ref="I17" si="10">SUM(I18:I23)</f>
        <v>756488.41693685029</v>
      </c>
      <c r="J17" s="76">
        <f t="shared" ref="J17" si="11">SUM(J18:J23)</f>
        <v>787421.79937659041</v>
      </c>
      <c r="K17" s="76">
        <f t="shared" ref="K17" si="12">SUM(K18:K23)</f>
        <v>799626.05071761948</v>
      </c>
      <c r="L17" s="76">
        <f t="shared" ref="L17" si="13">SUM(L18:L23)</f>
        <v>816250.69611238048</v>
      </c>
      <c r="M17" s="76">
        <f t="shared" ref="M17" si="14">SUM(M18:M23)</f>
        <v>842332.98156876909</v>
      </c>
      <c r="N17" s="76">
        <f t="shared" ref="N17" si="15">SUM(N18:N23)</f>
        <v>867646.05668255023</v>
      </c>
      <c r="O17" s="76">
        <f t="shared" ref="O17" si="16">SUM(O18:O23)</f>
        <v>888994.6365990903</v>
      </c>
      <c r="P17" s="76">
        <f t="shared" ref="P17" si="17">SUM(P18:P23)</f>
        <v>928174.79821698996</v>
      </c>
      <c r="Q17" s="76">
        <f t="shared" ref="Q17" si="18">SUM(Q18:Q23)</f>
        <v>977017.15098751104</v>
      </c>
      <c r="R17" s="76">
        <f t="shared" ref="R17" si="19">SUM(R18:R23)</f>
        <v>1012344.5665086914</v>
      </c>
      <c r="S17" s="76">
        <f t="shared" ref="S17" si="20">SUM(S18:S23)</f>
        <v>1036897.4684586497</v>
      </c>
      <c r="T17" s="76">
        <f t="shared" ref="T17:V17" si="21">SUM(T18:T23)</f>
        <v>1061636.6429686898</v>
      </c>
      <c r="U17" s="76">
        <f t="shared" si="21"/>
        <v>1091366.1495775599</v>
      </c>
      <c r="V17" s="76">
        <f t="shared" si="21"/>
        <v>1119740.1435197394</v>
      </c>
      <c r="W17" s="76">
        <f t="shared" ref="W17:AE17" si="22">SUM(W18:W23)</f>
        <v>1144248</v>
      </c>
      <c r="X17" s="76">
        <f t="shared" si="22"/>
        <v>1174697</v>
      </c>
      <c r="Y17" s="76">
        <f t="shared" si="22"/>
        <v>1209423</v>
      </c>
      <c r="Z17" s="76">
        <f t="shared" si="22"/>
        <v>1236308</v>
      </c>
      <c r="AA17" s="76">
        <f t="shared" si="22"/>
        <v>1266426</v>
      </c>
      <c r="AB17" s="76">
        <f t="shared" si="22"/>
        <v>1293616</v>
      </c>
      <c r="AC17" s="76">
        <f t="shared" ref="AC17" si="23">SUM(AC18:AC23)</f>
        <v>1334082</v>
      </c>
      <c r="AD17" s="76">
        <f t="shared" si="22"/>
        <v>1377894</v>
      </c>
      <c r="AE17" s="76">
        <f t="shared" si="22"/>
        <v>0</v>
      </c>
    </row>
    <row r="18" spans="1:31">
      <c r="B18" t="s">
        <v>863</v>
      </c>
      <c r="C18" s="1">
        <v>82735.958821349981</v>
      </c>
      <c r="D18" s="1">
        <v>82669.21334406003</v>
      </c>
      <c r="E18" s="1">
        <v>84036.301676610005</v>
      </c>
      <c r="F18" s="1">
        <v>85578.047156710032</v>
      </c>
      <c r="G18" s="1">
        <v>85452.498107659965</v>
      </c>
      <c r="H18" s="1">
        <v>83883.959357429892</v>
      </c>
      <c r="I18" s="1">
        <v>88807.30164487999</v>
      </c>
      <c r="J18" s="1">
        <v>94335.445513459956</v>
      </c>
      <c r="K18" s="1">
        <v>95992.028280890008</v>
      </c>
      <c r="L18" s="1">
        <v>100149.39619229992</v>
      </c>
      <c r="M18" s="1">
        <v>105632.05452028004</v>
      </c>
      <c r="N18" s="1">
        <v>111612.08709727997</v>
      </c>
      <c r="O18" s="1">
        <v>115149.41225019997</v>
      </c>
      <c r="P18" s="1">
        <v>123277.66133876998</v>
      </c>
      <c r="Q18" s="1">
        <v>129078.35588619008</v>
      </c>
      <c r="R18" s="1">
        <v>137342.98252675994</v>
      </c>
      <c r="S18" s="1">
        <v>137711.86725028002</v>
      </c>
      <c r="T18" s="1">
        <v>135748.57714076995</v>
      </c>
      <c r="U18" s="1">
        <v>135111.88060997988</v>
      </c>
      <c r="V18" s="1">
        <v>134624.97143127001</v>
      </c>
      <c r="W18" s="1">
        <v>133955</v>
      </c>
      <c r="X18" s="1">
        <v>132390</v>
      </c>
      <c r="Y18" s="1">
        <v>133198</v>
      </c>
      <c r="Z18" s="1">
        <v>133999</v>
      </c>
      <c r="AA18" s="1">
        <v>141066</v>
      </c>
      <c r="AB18" s="1">
        <v>144473</v>
      </c>
      <c r="AC18" s="1">
        <v>147635</v>
      </c>
      <c r="AD18" s="1">
        <v>151988</v>
      </c>
      <c r="AE18" s="1"/>
    </row>
    <row r="19" spans="1:31">
      <c r="B19" t="s">
        <v>864</v>
      </c>
      <c r="C19" s="1">
        <v>60263.480639669993</v>
      </c>
      <c r="D19" s="1">
        <v>54562.05302824</v>
      </c>
      <c r="E19" s="1">
        <v>51996.313528679988</v>
      </c>
      <c r="F19" s="1">
        <v>49934.592650909981</v>
      </c>
      <c r="G19" s="1">
        <v>49550.581441829992</v>
      </c>
      <c r="H19" s="1">
        <v>55289.188073379992</v>
      </c>
      <c r="I19" s="1">
        <v>71924.049080079945</v>
      </c>
      <c r="J19" s="1">
        <v>80755.172345599931</v>
      </c>
      <c r="K19" s="1">
        <v>81311.54913035997</v>
      </c>
      <c r="L19" s="1">
        <v>81615.99626624996</v>
      </c>
      <c r="M19" s="1">
        <v>86947.977593919888</v>
      </c>
      <c r="N19" s="1">
        <v>86414.033071709986</v>
      </c>
      <c r="O19" s="1">
        <v>86111.530216860017</v>
      </c>
      <c r="P19" s="1">
        <v>86582.290141410049</v>
      </c>
      <c r="Q19" s="1">
        <v>94710.201151579924</v>
      </c>
      <c r="R19" s="1">
        <v>93790.074386249893</v>
      </c>
      <c r="S19" s="1">
        <v>94325.329032949972</v>
      </c>
      <c r="T19" s="1">
        <v>95147.553264690054</v>
      </c>
      <c r="U19" s="1">
        <v>95371.632837790021</v>
      </c>
      <c r="V19" s="1">
        <v>97332.187516659949</v>
      </c>
      <c r="W19" s="1">
        <v>97967</v>
      </c>
      <c r="X19" s="1">
        <v>97902</v>
      </c>
      <c r="Y19" s="1">
        <v>99978</v>
      </c>
      <c r="Z19" s="1">
        <v>100422</v>
      </c>
      <c r="AA19" s="1">
        <v>103995</v>
      </c>
      <c r="AB19" s="1">
        <v>105818</v>
      </c>
      <c r="AC19" s="1">
        <v>110842</v>
      </c>
      <c r="AD19" s="1">
        <v>114734</v>
      </c>
      <c r="AE19" s="1"/>
    </row>
    <row r="20" spans="1:31">
      <c r="B20" t="s">
        <v>865</v>
      </c>
      <c r="C20" s="1">
        <v>451511.54715295997</v>
      </c>
      <c r="D20" s="1">
        <v>456173.83759862988</v>
      </c>
      <c r="E20" s="1">
        <v>459985.35891150072</v>
      </c>
      <c r="F20" s="1">
        <v>468538.16554623953</v>
      </c>
      <c r="G20" s="1">
        <v>473731.40665362007</v>
      </c>
      <c r="H20" s="1">
        <v>487974.90391750011</v>
      </c>
      <c r="I20" s="1">
        <v>501929.79884402035</v>
      </c>
      <c r="J20" s="1">
        <v>513892.00616598054</v>
      </c>
      <c r="K20" s="1">
        <v>521625.40658034943</v>
      </c>
      <c r="L20" s="1">
        <v>532745.71682705067</v>
      </c>
      <c r="M20" s="1">
        <v>545445.03654618922</v>
      </c>
      <c r="N20" s="1">
        <v>561328.33278203022</v>
      </c>
      <c r="O20" s="1">
        <v>574393.57890713029</v>
      </c>
      <c r="P20" s="1">
        <v>593943.71692220983</v>
      </c>
      <c r="Q20" s="1">
        <v>618003.58080647106</v>
      </c>
      <c r="R20" s="1">
        <v>639840.98294566153</v>
      </c>
      <c r="S20" s="1">
        <v>659560.74822291976</v>
      </c>
      <c r="T20" s="1">
        <v>682820.33282967994</v>
      </c>
      <c r="U20" s="1">
        <v>707943.10972377995</v>
      </c>
      <c r="V20" s="1">
        <v>733250.75346789951</v>
      </c>
      <c r="W20" s="1">
        <v>754257</v>
      </c>
      <c r="X20" s="1">
        <v>783568</v>
      </c>
      <c r="Y20" s="1">
        <v>812152</v>
      </c>
      <c r="Z20" s="1">
        <v>832054</v>
      </c>
      <c r="AA20" s="1">
        <v>850488</v>
      </c>
      <c r="AB20" s="1">
        <v>875484</v>
      </c>
      <c r="AC20" s="1">
        <v>904980</v>
      </c>
      <c r="AD20" s="1">
        <v>938028</v>
      </c>
      <c r="AE20" s="1"/>
    </row>
    <row r="21" spans="1:31">
      <c r="B21" t="s">
        <v>866</v>
      </c>
      <c r="C21" s="1">
        <v>84000.198982819973</v>
      </c>
      <c r="D21" s="1">
        <v>83834.703614149999</v>
      </c>
      <c r="E21" s="1">
        <v>82004.230030480001</v>
      </c>
      <c r="F21" s="1">
        <v>84274.476172290015</v>
      </c>
      <c r="G21" s="1">
        <v>84953.334083860042</v>
      </c>
      <c r="H21" s="1">
        <v>85943.067727760019</v>
      </c>
      <c r="I21" s="1">
        <v>86966.341030559997</v>
      </c>
      <c r="J21" s="1">
        <v>90719.840355119974</v>
      </c>
      <c r="K21" s="1">
        <v>91964.759829020026</v>
      </c>
      <c r="L21" s="1">
        <v>91557.558217190002</v>
      </c>
      <c r="M21" s="1">
        <v>91999.712049679976</v>
      </c>
      <c r="N21" s="1">
        <v>91800.053094309988</v>
      </c>
      <c r="O21" s="1">
        <v>92130.00685301004</v>
      </c>
      <c r="P21" s="1">
        <v>93590.882488860021</v>
      </c>
      <c r="Q21" s="1">
        <v>94931.768567420018</v>
      </c>
      <c r="R21" s="1">
        <v>97257.662855430026</v>
      </c>
      <c r="S21" s="1">
        <v>97411.604127919971</v>
      </c>
      <c r="T21" s="1">
        <v>98530.183949800004</v>
      </c>
      <c r="U21" s="1">
        <v>100587.27045809997</v>
      </c>
      <c r="V21" s="1">
        <v>98377.466318880048</v>
      </c>
      <c r="W21" s="1">
        <v>100264</v>
      </c>
      <c r="X21" s="1">
        <v>101833</v>
      </c>
      <c r="Y21" s="1">
        <v>104521</v>
      </c>
      <c r="Z21" s="1">
        <v>107258</v>
      </c>
      <c r="AA21" s="1">
        <v>107340</v>
      </c>
      <c r="AB21" s="1">
        <v>107330</v>
      </c>
      <c r="AC21" s="1">
        <v>108848</v>
      </c>
      <c r="AD21" s="1">
        <v>110225</v>
      </c>
      <c r="AE21" s="1"/>
    </row>
    <row r="22" spans="1:31">
      <c r="B22" t="s">
        <v>867</v>
      </c>
      <c r="C22" s="1">
        <v>7330.6921871100049</v>
      </c>
      <c r="D22" s="1">
        <v>5204.9485793700005</v>
      </c>
      <c r="E22" s="1">
        <v>5164.2118190800011</v>
      </c>
      <c r="F22" s="1">
        <v>5398.9269143500014</v>
      </c>
      <c r="G22" s="1">
        <v>5934.5444455500001</v>
      </c>
      <c r="H22" s="1">
        <v>6989.0187026100057</v>
      </c>
      <c r="I22" s="1">
        <v>6860.9263373099984</v>
      </c>
      <c r="J22" s="1">
        <v>7719.334996430006</v>
      </c>
      <c r="K22" s="1">
        <v>8732.3068970000058</v>
      </c>
      <c r="L22" s="1">
        <v>10182.028609590014</v>
      </c>
      <c r="M22" s="1">
        <v>12308.200858699993</v>
      </c>
      <c r="N22" s="1">
        <v>16491.550637220014</v>
      </c>
      <c r="O22" s="1">
        <v>21210.108371890023</v>
      </c>
      <c r="P22" s="1">
        <v>30780.247325740002</v>
      </c>
      <c r="Q22" s="1">
        <v>40293.244575850011</v>
      </c>
      <c r="R22" s="1">
        <v>44112.863794589997</v>
      </c>
      <c r="S22" s="1">
        <v>47887.919824579978</v>
      </c>
      <c r="T22" s="1">
        <v>49389.995783749961</v>
      </c>
      <c r="U22" s="1">
        <v>52352.255947910016</v>
      </c>
      <c r="V22" s="1">
        <v>56154.764785029976</v>
      </c>
      <c r="W22" s="1">
        <v>57805</v>
      </c>
      <c r="X22" s="1">
        <v>59004</v>
      </c>
      <c r="Y22" s="1">
        <v>59574</v>
      </c>
      <c r="Z22" s="1">
        <v>62575</v>
      </c>
      <c r="AA22" s="1">
        <v>63537</v>
      </c>
      <c r="AB22" s="1">
        <v>60511</v>
      </c>
      <c r="AC22" s="1">
        <v>61777</v>
      </c>
      <c r="AD22" s="1">
        <v>62919</v>
      </c>
      <c r="AE22" s="1"/>
    </row>
    <row r="23" spans="1:31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" customFormat="1">
      <c r="A24" s="9"/>
      <c r="B24" s="9" t="s">
        <v>868</v>
      </c>
      <c r="C24" s="10">
        <v>84826</v>
      </c>
      <c r="D24" s="10">
        <v>84378</v>
      </c>
      <c r="E24" s="10">
        <v>85086</v>
      </c>
      <c r="F24" s="10">
        <v>84066</v>
      </c>
      <c r="G24" s="10">
        <v>84819</v>
      </c>
      <c r="H24" s="10">
        <v>84320</v>
      </c>
      <c r="I24" s="10">
        <v>84290</v>
      </c>
      <c r="J24" s="10">
        <v>81945</v>
      </c>
      <c r="K24" s="10">
        <v>81876</v>
      </c>
      <c r="L24" s="10">
        <v>84262</v>
      </c>
      <c r="M24" s="10">
        <v>84751</v>
      </c>
      <c r="N24" s="10">
        <v>86004</v>
      </c>
      <c r="O24" s="10">
        <v>86850</v>
      </c>
      <c r="P24" s="10">
        <v>86901</v>
      </c>
      <c r="Q24" s="10">
        <v>87221</v>
      </c>
      <c r="R24" s="10">
        <v>86959</v>
      </c>
      <c r="S24" s="10">
        <v>86741</v>
      </c>
      <c r="T24" s="76">
        <v>86743</v>
      </c>
      <c r="U24" s="76">
        <v>87053</v>
      </c>
      <c r="V24" s="10">
        <v>86962</v>
      </c>
      <c r="W24" s="76">
        <v>86794</v>
      </c>
      <c r="X24" s="76">
        <v>86669</v>
      </c>
      <c r="Y24" s="76">
        <v>83640</v>
      </c>
      <c r="Z24" s="76">
        <v>83307</v>
      </c>
      <c r="AA24" s="76">
        <v>83770</v>
      </c>
      <c r="AB24" s="76">
        <v>84050</v>
      </c>
      <c r="AC24" s="76">
        <v>84354</v>
      </c>
      <c r="AD24" s="76">
        <v>84394</v>
      </c>
      <c r="AE24" s="76"/>
    </row>
    <row r="25" spans="1:31">
      <c r="C25" s="8"/>
      <c r="D25" s="8"/>
      <c r="E25" s="8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8"/>
      <c r="Y25" s="8"/>
      <c r="Z25" s="8"/>
      <c r="AA25" s="8"/>
      <c r="AB25" s="8"/>
      <c r="AC25" s="8"/>
      <c r="AD25" s="8"/>
      <c r="AE25" s="8"/>
    </row>
    <row r="26" spans="1:31" s="2" customFormat="1" ht="24.4" customHeight="1">
      <c r="A26" s="625"/>
      <c r="B26" s="625" t="s">
        <v>869</v>
      </c>
      <c r="C26" s="642"/>
      <c r="D26" s="642"/>
      <c r="E26" s="642"/>
      <c r="F26" s="684"/>
      <c r="G26" s="684"/>
      <c r="H26" s="684"/>
      <c r="I26" s="684"/>
      <c r="J26" s="684"/>
      <c r="K26" s="684" t="s">
        <v>244</v>
      </c>
      <c r="L26" s="685" t="s">
        <v>245</v>
      </c>
      <c r="M26" s="685" t="s">
        <v>246</v>
      </c>
      <c r="N26" s="685" t="s">
        <v>247</v>
      </c>
      <c r="O26" s="685" t="s">
        <v>248</v>
      </c>
      <c r="P26" s="685" t="s">
        <v>249</v>
      </c>
      <c r="Q26" s="685" t="s">
        <v>250</v>
      </c>
      <c r="R26" s="685" t="s">
        <v>215</v>
      </c>
      <c r="S26" s="685" t="s">
        <v>252</v>
      </c>
      <c r="T26" s="685" t="s">
        <v>253</v>
      </c>
      <c r="U26" s="685" t="s">
        <v>254</v>
      </c>
      <c r="V26" s="685" t="s">
        <v>219</v>
      </c>
      <c r="W26" s="685" t="s">
        <v>223</v>
      </c>
      <c r="X26" s="685" t="s">
        <v>256</v>
      </c>
      <c r="Y26" s="685" t="s">
        <v>357</v>
      </c>
      <c r="Z26" s="685" t="s">
        <v>358</v>
      </c>
      <c r="AA26" s="685" t="s">
        <v>359</v>
      </c>
      <c r="AB26" s="685" t="s">
        <v>1115</v>
      </c>
      <c r="AC26" s="685" t="s">
        <v>1116</v>
      </c>
      <c r="AD26" s="686" t="s">
        <v>1117</v>
      </c>
      <c r="AE26" s="681" t="s">
        <v>1124</v>
      </c>
    </row>
    <row r="27" spans="1:31" s="2" customFormat="1">
      <c r="A27" s="9"/>
      <c r="B27" s="9" t="s">
        <v>853</v>
      </c>
      <c r="C27" s="9"/>
      <c r="D27" s="9"/>
      <c r="E27" s="9"/>
      <c r="F27" s="9"/>
      <c r="G27" s="9"/>
      <c r="H27" s="9"/>
      <c r="I27" s="9"/>
      <c r="J27" s="9"/>
      <c r="K27" s="76">
        <f t="shared" ref="K27:S27" si="24">K28+K31+K34+K37+K39+K42+K45</f>
        <v>15367.393</v>
      </c>
      <c r="L27" s="76">
        <f t="shared" si="24"/>
        <v>15481.6</v>
      </c>
      <c r="M27" s="76">
        <f t="shared" si="24"/>
        <v>15609.101999999999</v>
      </c>
      <c r="N27" s="76">
        <f t="shared" si="24"/>
        <v>15702.115</v>
      </c>
      <c r="O27" s="312">
        <f t="shared" si="24"/>
        <v>15485.415000000001</v>
      </c>
      <c r="P27" s="312">
        <f t="shared" si="24"/>
        <v>16900.428</v>
      </c>
      <c r="Q27" s="312">
        <f t="shared" si="24"/>
        <v>17638.183000000001</v>
      </c>
      <c r="R27" s="312">
        <f t="shared" si="24"/>
        <v>18150.263000000003</v>
      </c>
      <c r="S27" s="312">
        <f t="shared" si="24"/>
        <v>18288.801000000003</v>
      </c>
      <c r="T27" s="395">
        <v>18356.920999999998</v>
      </c>
      <c r="U27" s="395">
        <v>18619.831999999999</v>
      </c>
      <c r="V27" s="395">
        <f t="shared" ref="V27:AA27" si="25">SUM(V28,V31,V34,V37,V39,V42,V45)</f>
        <v>18606.580999999998</v>
      </c>
      <c r="W27" s="395">
        <f t="shared" si="25"/>
        <v>18482.368000000002</v>
      </c>
      <c r="X27" s="395">
        <f t="shared" si="25"/>
        <v>18604.394999999997</v>
      </c>
      <c r="Y27" s="395">
        <f t="shared" si="25"/>
        <v>18917.048000000003</v>
      </c>
      <c r="Z27" s="395">
        <f t="shared" si="25"/>
        <v>18658.748</v>
      </c>
      <c r="AA27" s="395">
        <f t="shared" si="25"/>
        <v>19003.467999999997</v>
      </c>
      <c r="AB27" s="395">
        <f>SUM(AB28,AB31,AB34,AB37,AB39,AB42,AB45)</f>
        <v>19113.457999999999</v>
      </c>
      <c r="AC27" s="395">
        <f>SUM(AC28,AC31,AC34,AC37,AC39,AC42,AC45)</f>
        <v>19448.727999999999</v>
      </c>
      <c r="AD27" s="395">
        <f>SUM(AD28,AD31,AD34,AD37,AD39,AD42,AD45)</f>
        <v>19731.733</v>
      </c>
      <c r="AE27" s="395">
        <f>SUM(AE28,AE31,AE34,AE37,AE39,AE42,AE45)</f>
        <v>19932.087</v>
      </c>
    </row>
    <row r="28" spans="1:31">
      <c r="A28" s="232"/>
      <c r="B28" s="21" t="s">
        <v>279</v>
      </c>
      <c r="C28" s="21"/>
      <c r="D28" s="21"/>
      <c r="E28" s="21"/>
      <c r="F28" s="21"/>
      <c r="G28" s="21"/>
      <c r="H28" s="21"/>
      <c r="I28" s="21"/>
      <c r="J28" s="21"/>
      <c r="K28" s="219">
        <f>K29+K30</f>
        <v>1813</v>
      </c>
      <c r="L28" s="219">
        <f>L29+L30</f>
        <v>1853</v>
      </c>
      <c r="M28" s="219">
        <f>M29+M30</f>
        <v>1899.606</v>
      </c>
      <c r="N28" s="313">
        <f>N29+N30</f>
        <v>1957</v>
      </c>
      <c r="O28" s="313">
        <f>O29+O30</f>
        <v>1991</v>
      </c>
      <c r="P28" s="313">
        <f t="shared" ref="P28:S28" si="26">P29+P30</f>
        <v>2018</v>
      </c>
      <c r="Q28" s="313">
        <f t="shared" si="26"/>
        <v>2060</v>
      </c>
      <c r="R28" s="313">
        <f t="shared" si="26"/>
        <v>2053</v>
      </c>
      <c r="S28" s="313">
        <f t="shared" si="26"/>
        <v>2055.3130000000001</v>
      </c>
      <c r="T28" s="219">
        <f>T29+T30</f>
        <v>2065.6370000000002</v>
      </c>
      <c r="U28" s="219">
        <f>U29+U30</f>
        <v>2051</v>
      </c>
      <c r="V28" s="219">
        <f>V29+V30</f>
        <v>2063</v>
      </c>
      <c r="W28" s="219">
        <f>W29+W30</f>
        <v>2075.2219999999998</v>
      </c>
      <c r="X28" s="219">
        <f>X29+X30</f>
        <v>2074.2640000000001</v>
      </c>
      <c r="Y28" s="219">
        <f t="shared" ref="Y28:AE28" si="27">SUM(Y29:Y30)</f>
        <v>2100.1860000000001</v>
      </c>
      <c r="Z28" s="219">
        <f t="shared" si="27"/>
        <v>2102.748</v>
      </c>
      <c r="AA28" s="219">
        <f t="shared" si="27"/>
        <v>2101.3530000000001</v>
      </c>
      <c r="AB28" s="219">
        <f>SUM(AB29:AB30)</f>
        <v>1927.4580000000001</v>
      </c>
      <c r="AC28" s="219">
        <f t="shared" ref="AC28" si="28">SUM(AC29:AC30)</f>
        <v>1935.4770000000001</v>
      </c>
      <c r="AD28" s="219">
        <f t="shared" si="27"/>
        <v>1937.5540000000001</v>
      </c>
      <c r="AE28" s="219">
        <f t="shared" si="27"/>
        <v>1938</v>
      </c>
    </row>
    <row r="29" spans="1:31">
      <c r="B29" s="231" t="s">
        <v>854</v>
      </c>
      <c r="K29" s="110">
        <v>1662</v>
      </c>
      <c r="L29" s="110">
        <v>1701</v>
      </c>
      <c r="M29" s="110">
        <v>1745</v>
      </c>
      <c r="N29" s="572">
        <v>1802</v>
      </c>
      <c r="O29" s="572">
        <v>1836</v>
      </c>
      <c r="P29" s="572">
        <v>1862</v>
      </c>
      <c r="Q29" s="572">
        <v>1902</v>
      </c>
      <c r="R29" s="572">
        <v>1895</v>
      </c>
      <c r="S29" s="110">
        <v>1898</v>
      </c>
      <c r="T29" s="507">
        <v>1908.673</v>
      </c>
      <c r="U29" s="507">
        <v>1921</v>
      </c>
      <c r="V29" s="507">
        <v>1935</v>
      </c>
      <c r="W29" s="507">
        <v>1948.4829999999999</v>
      </c>
      <c r="X29" s="507">
        <v>1948.751</v>
      </c>
      <c r="Y29" s="507">
        <f>1946.981</f>
        <v>1946.981</v>
      </c>
      <c r="Z29" s="507">
        <v>1950.28</v>
      </c>
      <c r="AA29" s="507">
        <f>1949931/1000</f>
        <v>1949.931</v>
      </c>
      <c r="AB29" s="507">
        <f>1845670/1000</f>
        <v>1845.67</v>
      </c>
      <c r="AC29" s="507">
        <f>1854884/1000</f>
        <v>1854.884</v>
      </c>
      <c r="AD29" s="507">
        <f>1857977/1000</f>
        <v>1857.9770000000001</v>
      </c>
      <c r="AE29" s="397">
        <v>1859</v>
      </c>
    </row>
    <row r="30" spans="1:31">
      <c r="B30" s="231" t="s">
        <v>855</v>
      </c>
      <c r="K30" s="110">
        <v>151</v>
      </c>
      <c r="L30" s="110">
        <v>152</v>
      </c>
      <c r="M30" s="110">
        <f>154606/1000</f>
        <v>154.60599999999999</v>
      </c>
      <c r="N30" s="572">
        <v>155</v>
      </c>
      <c r="O30" s="572">
        <v>155</v>
      </c>
      <c r="P30" s="572">
        <v>156</v>
      </c>
      <c r="Q30" s="572">
        <v>158</v>
      </c>
      <c r="R30" s="572">
        <v>158</v>
      </c>
      <c r="S30" s="110">
        <v>157.31299999999999</v>
      </c>
      <c r="T30" s="507">
        <v>156.964</v>
      </c>
      <c r="U30" s="507">
        <v>130</v>
      </c>
      <c r="V30" s="507">
        <v>128</v>
      </c>
      <c r="W30" s="507">
        <v>126.739</v>
      </c>
      <c r="X30" s="507">
        <v>125.51300000000001</v>
      </c>
      <c r="Y30" s="507">
        <f>153.205</f>
        <v>153.20500000000001</v>
      </c>
      <c r="Z30" s="507">
        <v>152.46799999999999</v>
      </c>
      <c r="AA30" s="507">
        <f>151422/1000</f>
        <v>151.422</v>
      </c>
      <c r="AB30" s="507">
        <f>81788/1000</f>
        <v>81.787999999999997</v>
      </c>
      <c r="AC30" s="507">
        <f>80593/1000</f>
        <v>80.593000000000004</v>
      </c>
      <c r="AD30" s="507">
        <f>79577/1000</f>
        <v>79.576999999999998</v>
      </c>
      <c r="AE30" s="397">
        <v>79</v>
      </c>
    </row>
    <row r="31" spans="1:31">
      <c r="A31" s="232"/>
      <c r="B31" s="21" t="s">
        <v>870</v>
      </c>
      <c r="C31" s="21"/>
      <c r="D31" s="21"/>
      <c r="E31" s="21"/>
      <c r="F31" s="21"/>
      <c r="G31" s="21"/>
      <c r="H31" s="21"/>
      <c r="I31" s="21"/>
      <c r="J31" s="21"/>
      <c r="K31" s="396">
        <f>K32+K33</f>
        <v>2403</v>
      </c>
      <c r="L31" s="396">
        <f>L32+L33</f>
        <v>2218</v>
      </c>
      <c r="M31" s="396">
        <f>M32+M33</f>
        <v>2056</v>
      </c>
      <c r="N31" s="396">
        <f>N32+N33</f>
        <v>1987</v>
      </c>
      <c r="O31" s="396">
        <f t="shared" ref="O31:Q31" si="29">O32+O33</f>
        <v>1924</v>
      </c>
      <c r="P31" s="396">
        <f t="shared" si="29"/>
        <v>1986</v>
      </c>
      <c r="Q31" s="396">
        <f t="shared" si="29"/>
        <v>2150</v>
      </c>
      <c r="R31" s="396">
        <f t="shared" ref="R31:Y31" si="30">R32+R33</f>
        <v>2324</v>
      </c>
      <c r="S31" s="396">
        <f t="shared" si="30"/>
        <v>2426</v>
      </c>
      <c r="T31" s="396">
        <f t="shared" si="30"/>
        <v>2539</v>
      </c>
      <c r="U31" s="396">
        <f>U32+U33</f>
        <v>2658</v>
      </c>
      <c r="V31" s="396">
        <f t="shared" si="30"/>
        <v>2816</v>
      </c>
      <c r="W31" s="396">
        <f t="shared" si="30"/>
        <v>2931</v>
      </c>
      <c r="X31" s="396">
        <f t="shared" si="30"/>
        <v>3030</v>
      </c>
      <c r="Y31" s="396">
        <f t="shared" si="30"/>
        <v>3139.5369999999998</v>
      </c>
      <c r="Z31" s="396">
        <f t="shared" ref="Z31:AE31" si="31">Z32+Z33</f>
        <v>3244</v>
      </c>
      <c r="AA31" s="396">
        <f t="shared" si="31"/>
        <v>3370.029</v>
      </c>
      <c r="AB31" s="396">
        <f t="shared" si="31"/>
        <v>3515</v>
      </c>
      <c r="AC31" s="396">
        <f t="shared" si="31"/>
        <v>3649</v>
      </c>
      <c r="AD31" s="396">
        <f t="shared" si="31"/>
        <v>3762.768</v>
      </c>
      <c r="AE31" s="396">
        <f t="shared" si="31"/>
        <v>3818</v>
      </c>
    </row>
    <row r="32" spans="1:31">
      <c r="B32" s="231" t="s">
        <v>854</v>
      </c>
      <c r="K32" s="1">
        <v>2370</v>
      </c>
      <c r="L32" s="1">
        <v>2190</v>
      </c>
      <c r="M32" s="1">
        <v>2026</v>
      </c>
      <c r="N32" s="314">
        <v>1954</v>
      </c>
      <c r="O32" s="314">
        <v>1889</v>
      </c>
      <c r="P32" s="314">
        <v>1943</v>
      </c>
      <c r="Q32" s="314">
        <v>2087</v>
      </c>
      <c r="R32" s="314">
        <v>2251</v>
      </c>
      <c r="S32" s="1">
        <v>2346</v>
      </c>
      <c r="T32" s="507">
        <v>2449</v>
      </c>
      <c r="U32" s="507">
        <v>2554</v>
      </c>
      <c r="V32" s="507">
        <v>2703</v>
      </c>
      <c r="W32" s="507">
        <v>2809</v>
      </c>
      <c r="X32" s="507">
        <v>2898</v>
      </c>
      <c r="Y32" s="507">
        <f>2998413/1000</f>
        <v>2998.413</v>
      </c>
      <c r="Z32" s="507">
        <v>3096</v>
      </c>
      <c r="AA32" s="507">
        <v>3214.66</v>
      </c>
      <c r="AB32" s="507">
        <v>3353</v>
      </c>
      <c r="AC32" s="507">
        <v>3479</v>
      </c>
      <c r="AD32" s="507">
        <f>3586842/1000</f>
        <v>3586.8420000000001</v>
      </c>
      <c r="AE32" s="397">
        <v>3639</v>
      </c>
    </row>
    <row r="33" spans="1:32">
      <c r="B33" s="231" t="s">
        <v>855</v>
      </c>
      <c r="K33" s="1">
        <v>33</v>
      </c>
      <c r="L33" s="1">
        <v>28</v>
      </c>
      <c r="M33" s="1">
        <v>30</v>
      </c>
      <c r="N33" s="314">
        <v>33</v>
      </c>
      <c r="O33" s="314">
        <v>35</v>
      </c>
      <c r="P33" s="314">
        <v>43</v>
      </c>
      <c r="Q33" s="314">
        <v>63</v>
      </c>
      <c r="R33" s="314">
        <v>73</v>
      </c>
      <c r="S33" s="1">
        <v>80</v>
      </c>
      <c r="T33" s="397">
        <v>90</v>
      </c>
      <c r="U33" s="397">
        <v>104</v>
      </c>
      <c r="V33" s="397">
        <v>113</v>
      </c>
      <c r="W33" s="397">
        <v>122</v>
      </c>
      <c r="X33" s="397">
        <v>132</v>
      </c>
      <c r="Y33" s="397">
        <f>141124/1000</f>
        <v>141.124</v>
      </c>
      <c r="Z33" s="397">
        <v>148</v>
      </c>
      <c r="AA33" s="397">
        <v>155.369</v>
      </c>
      <c r="AB33" s="397">
        <v>162</v>
      </c>
      <c r="AC33" s="397">
        <v>170</v>
      </c>
      <c r="AD33" s="397">
        <f>175926/1000</f>
        <v>175.92599999999999</v>
      </c>
      <c r="AE33" s="397">
        <v>179</v>
      </c>
    </row>
    <row r="34" spans="1:32">
      <c r="A34" s="232"/>
      <c r="B34" s="21" t="s">
        <v>277</v>
      </c>
      <c r="C34" s="21"/>
      <c r="D34" s="21"/>
      <c r="E34" s="21"/>
      <c r="F34" s="21"/>
      <c r="G34" s="21"/>
      <c r="H34" s="21"/>
      <c r="I34" s="21"/>
      <c r="J34" s="21"/>
      <c r="K34" s="396">
        <f>K35+K36</f>
        <v>84</v>
      </c>
      <c r="L34" s="396">
        <f>L35+L36</f>
        <v>81</v>
      </c>
      <c r="M34" s="396">
        <f>M35+M36</f>
        <v>78.057000000000002</v>
      </c>
      <c r="N34" s="396">
        <f>N35+N36</f>
        <v>78</v>
      </c>
      <c r="O34" s="396">
        <f>O35+O36</f>
        <v>84</v>
      </c>
      <c r="P34" s="396">
        <f t="shared" ref="P34" si="32">P35+P36</f>
        <v>92</v>
      </c>
      <c r="Q34" s="396">
        <f t="shared" ref="Q34:Y34" si="33">Q35+Q36</f>
        <v>103.345</v>
      </c>
      <c r="R34" s="396">
        <f t="shared" si="33"/>
        <v>107.426</v>
      </c>
      <c r="S34" s="396">
        <f t="shared" si="33"/>
        <v>116.149</v>
      </c>
      <c r="T34" s="396">
        <f t="shared" si="33"/>
        <v>123.81700000000001</v>
      </c>
      <c r="U34" s="396">
        <f t="shared" si="33"/>
        <v>135.32900000000001</v>
      </c>
      <c r="V34" s="396">
        <f t="shared" si="33"/>
        <v>140</v>
      </c>
      <c r="W34" s="396">
        <f t="shared" si="33"/>
        <v>145.209</v>
      </c>
      <c r="X34" s="396">
        <f t="shared" si="33"/>
        <v>154.17699999999999</v>
      </c>
      <c r="Y34" s="396">
        <f t="shared" si="33"/>
        <v>167.96899999999999</v>
      </c>
      <c r="Z34" s="396">
        <f t="shared" ref="Z34:AE34" si="34">Z35+Z36</f>
        <v>179</v>
      </c>
      <c r="AA34" s="396">
        <f t="shared" si="34"/>
        <v>189.16800000000001</v>
      </c>
      <c r="AB34" s="396">
        <f t="shared" si="34"/>
        <v>194</v>
      </c>
      <c r="AC34" s="396">
        <f t="shared" si="34"/>
        <v>203</v>
      </c>
      <c r="AD34" s="396">
        <f t="shared" si="34"/>
        <v>208.65</v>
      </c>
      <c r="AE34" s="396">
        <f t="shared" si="34"/>
        <v>211</v>
      </c>
    </row>
    <row r="35" spans="1:32">
      <c r="B35" s="231" t="s">
        <v>854</v>
      </c>
      <c r="K35" s="1">
        <v>65</v>
      </c>
      <c r="L35" s="1">
        <v>62</v>
      </c>
      <c r="M35" s="1">
        <v>60</v>
      </c>
      <c r="N35" s="314">
        <v>60</v>
      </c>
      <c r="O35" s="314">
        <v>65</v>
      </c>
      <c r="P35" s="314">
        <v>71</v>
      </c>
      <c r="Q35" s="314">
        <v>77</v>
      </c>
      <c r="R35" s="314">
        <v>80</v>
      </c>
      <c r="S35" s="1">
        <v>86</v>
      </c>
      <c r="T35" s="397">
        <v>90.876000000000005</v>
      </c>
      <c r="U35" s="397">
        <v>100</v>
      </c>
      <c r="V35" s="397">
        <v>104</v>
      </c>
      <c r="W35" s="397">
        <v>108</v>
      </c>
      <c r="X35" s="397">
        <v>115</v>
      </c>
      <c r="Y35" s="397">
        <f>126193/1000</f>
        <v>126.193</v>
      </c>
      <c r="Z35" s="397">
        <v>136</v>
      </c>
      <c r="AA35" s="397">
        <v>144.249</v>
      </c>
      <c r="AB35" s="397">
        <v>149</v>
      </c>
      <c r="AC35" s="397">
        <v>157</v>
      </c>
      <c r="AD35" s="397">
        <f>163431/1000</f>
        <v>163.43100000000001</v>
      </c>
      <c r="AE35" s="397">
        <v>166</v>
      </c>
    </row>
    <row r="36" spans="1:32">
      <c r="B36" s="231" t="s">
        <v>855</v>
      </c>
      <c r="K36" s="1">
        <v>19</v>
      </c>
      <c r="L36" s="1">
        <v>19</v>
      </c>
      <c r="M36" s="1">
        <v>18.056999999999999</v>
      </c>
      <c r="N36" s="314">
        <v>18</v>
      </c>
      <c r="O36" s="314">
        <v>19</v>
      </c>
      <c r="P36" s="314">
        <v>21</v>
      </c>
      <c r="Q36" s="314">
        <f>26345/1000</f>
        <v>26.344999999999999</v>
      </c>
      <c r="R36" s="314">
        <f>27426/1000</f>
        <v>27.425999999999998</v>
      </c>
      <c r="S36" s="1">
        <v>30.149000000000001</v>
      </c>
      <c r="T36" s="397">
        <v>32.941000000000003</v>
      </c>
      <c r="U36" s="397">
        <v>35.329000000000001</v>
      </c>
      <c r="V36" s="397">
        <v>36</v>
      </c>
      <c r="W36" s="397">
        <f>37209/1000</f>
        <v>37.209000000000003</v>
      </c>
      <c r="X36" s="397">
        <f>(39177/1000)</f>
        <v>39.177</v>
      </c>
      <c r="Y36" s="397">
        <f>41776/1000</f>
        <v>41.776000000000003</v>
      </c>
      <c r="Z36" s="397">
        <v>43</v>
      </c>
      <c r="AA36" s="397">
        <v>44.918999999999997</v>
      </c>
      <c r="AB36" s="397">
        <v>45</v>
      </c>
      <c r="AC36" s="397">
        <v>46</v>
      </c>
      <c r="AD36" s="397">
        <f>45219/1000</f>
        <v>45.219000000000001</v>
      </c>
      <c r="AE36" s="397">
        <v>45</v>
      </c>
    </row>
    <row r="37" spans="1:32">
      <c r="A37" s="232"/>
      <c r="B37" s="21" t="s">
        <v>871</v>
      </c>
      <c r="C37" s="21"/>
      <c r="D37" s="21"/>
      <c r="E37" s="21"/>
      <c r="F37" s="21"/>
      <c r="G37" s="21"/>
      <c r="H37" s="21"/>
      <c r="I37" s="21"/>
      <c r="J37" s="21"/>
      <c r="K37" s="396">
        <f t="shared" ref="K37:S37" si="35">K38</f>
        <v>3913.393</v>
      </c>
      <c r="L37" s="396">
        <f t="shared" si="35"/>
        <v>3947.6</v>
      </c>
      <c r="M37" s="396">
        <f t="shared" si="35"/>
        <v>3964.3620000000001</v>
      </c>
      <c r="N37" s="396">
        <f t="shared" si="35"/>
        <v>3983.1149999999998</v>
      </c>
      <c r="O37" s="396">
        <f t="shared" si="35"/>
        <v>4000.1109999999999</v>
      </c>
      <c r="P37" s="396">
        <f t="shared" si="35"/>
        <v>3989.0250000000001</v>
      </c>
      <c r="Q37" s="396">
        <f t="shared" si="35"/>
        <v>4002.607</v>
      </c>
      <c r="R37" s="396">
        <f t="shared" si="35"/>
        <v>4043.7950000000001</v>
      </c>
      <c r="S37" s="396">
        <f t="shared" si="35"/>
        <v>4072.404</v>
      </c>
      <c r="T37" s="396">
        <v>4111.82</v>
      </c>
      <c r="U37" s="396">
        <v>4805.2209999999995</v>
      </c>
      <c r="V37" s="396">
        <f t="shared" ref="V37:AA37" si="36">V38</f>
        <v>4938.9049999999997</v>
      </c>
      <c r="W37" s="396">
        <f t="shared" si="36"/>
        <v>5059.5829999999996</v>
      </c>
      <c r="X37" s="396">
        <f t="shared" si="36"/>
        <v>5193.41</v>
      </c>
      <c r="Y37" s="396">
        <f t="shared" si="36"/>
        <v>5360.3040000000001</v>
      </c>
      <c r="Z37" s="396">
        <f t="shared" si="36"/>
        <v>5421</v>
      </c>
      <c r="AA37" s="396">
        <f t="shared" si="36"/>
        <v>5579</v>
      </c>
      <c r="AB37" s="396">
        <f>AB38</f>
        <v>5651</v>
      </c>
      <c r="AC37" s="396">
        <f>AC38</f>
        <v>5795.2510000000002</v>
      </c>
      <c r="AD37" s="396">
        <f>AD38</f>
        <v>5910.3580000000002</v>
      </c>
      <c r="AE37" s="396">
        <f t="shared" ref="AE37" si="37">AE38</f>
        <v>6099.0869999999995</v>
      </c>
    </row>
    <row r="38" spans="1:32">
      <c r="B38" s="231" t="s">
        <v>872</v>
      </c>
      <c r="K38" s="1">
        <v>3913.393</v>
      </c>
      <c r="L38" s="1">
        <v>3947.6</v>
      </c>
      <c r="M38" s="1">
        <v>3964.3620000000001</v>
      </c>
      <c r="N38" s="314">
        <v>3983.1149999999998</v>
      </c>
      <c r="O38" s="314">
        <v>4000.1109999999999</v>
      </c>
      <c r="P38" s="314">
        <v>3989.0250000000001</v>
      </c>
      <c r="Q38" s="314">
        <v>4002.607</v>
      </c>
      <c r="R38" s="314">
        <v>4043.7950000000001</v>
      </c>
      <c r="S38" s="314">
        <v>4072.404</v>
      </c>
      <c r="T38" s="397">
        <v>4111.82</v>
      </c>
      <c r="U38" s="397">
        <v>4805.2209999999995</v>
      </c>
      <c r="V38" s="397">
        <f>(1061299+3167892+709714)/1000</f>
        <v>4938.9049999999997</v>
      </c>
      <c r="W38" s="397">
        <f>(1177040+3130876+751667)/1000</f>
        <v>5059.5829999999996</v>
      </c>
      <c r="X38" s="397">
        <f>(1356316+3063456+773638)/1000</f>
        <v>5193.41</v>
      </c>
      <c r="Y38" s="397">
        <f>(1607822+2969054+783428)/1000</f>
        <v>5360.3040000000001</v>
      </c>
      <c r="Z38" s="397">
        <v>5421</v>
      </c>
      <c r="AA38" s="397">
        <v>5579</v>
      </c>
      <c r="AB38" s="397">
        <v>5651</v>
      </c>
      <c r="AC38" s="397">
        <f>2212.691+2790.621+791.939</f>
        <v>5795.2510000000002</v>
      </c>
      <c r="AD38" s="397">
        <f>2737.728+784.197+2388.433</f>
        <v>5910.3580000000002</v>
      </c>
      <c r="AE38" s="397">
        <f>776.126+2623.582+2699.379</f>
        <v>6099.0869999999995</v>
      </c>
    </row>
    <row r="39" spans="1:32">
      <c r="A39" s="232"/>
      <c r="B39" s="21" t="s">
        <v>873</v>
      </c>
      <c r="C39" s="21"/>
      <c r="D39" s="21"/>
      <c r="E39" s="21"/>
      <c r="F39" s="21"/>
      <c r="G39" s="21"/>
      <c r="H39" s="21"/>
      <c r="I39" s="21"/>
      <c r="J39" s="21"/>
      <c r="K39" s="396">
        <f t="shared" ref="K39:Y39" si="38">SUM(K40:K41)</f>
        <v>2699</v>
      </c>
      <c r="L39" s="396">
        <f t="shared" si="38"/>
        <v>2680</v>
      </c>
      <c r="M39" s="396">
        <f t="shared" si="38"/>
        <v>2705</v>
      </c>
      <c r="N39" s="396">
        <f t="shared" si="38"/>
        <v>2720</v>
      </c>
      <c r="O39" s="396">
        <f t="shared" si="38"/>
        <v>2757</v>
      </c>
      <c r="P39" s="396">
        <f t="shared" si="38"/>
        <v>4007</v>
      </c>
      <c r="Q39" s="396">
        <f t="shared" si="38"/>
        <v>4497</v>
      </c>
      <c r="R39" s="396">
        <f t="shared" si="38"/>
        <v>4935</v>
      </c>
      <c r="S39" s="396">
        <f t="shared" si="38"/>
        <v>4975</v>
      </c>
      <c r="T39" s="396">
        <f t="shared" si="38"/>
        <v>4580</v>
      </c>
      <c r="U39" s="396">
        <f t="shared" si="38"/>
        <v>4256</v>
      </c>
      <c r="V39" s="396">
        <f t="shared" si="38"/>
        <v>4149</v>
      </c>
      <c r="W39" s="396">
        <f t="shared" si="38"/>
        <v>3802</v>
      </c>
      <c r="X39" s="396">
        <f t="shared" si="38"/>
        <v>3612.1010000000001</v>
      </c>
      <c r="Y39" s="396">
        <f t="shared" si="38"/>
        <v>3582.5590000000002</v>
      </c>
      <c r="Z39" s="396">
        <f t="shared" ref="Z39:AE39" si="39">SUM(Z40:Z41)</f>
        <v>3038</v>
      </c>
      <c r="AA39" s="396">
        <f t="shared" si="39"/>
        <v>2992.2629999999999</v>
      </c>
      <c r="AB39" s="396">
        <f t="shared" si="39"/>
        <v>2979</v>
      </c>
      <c r="AC39" s="396">
        <f t="shared" si="39"/>
        <v>2933</v>
      </c>
      <c r="AD39" s="396">
        <f t="shared" si="39"/>
        <v>2887.1099999999997</v>
      </c>
      <c r="AE39" s="396">
        <f t="shared" si="39"/>
        <v>2856</v>
      </c>
    </row>
    <row r="40" spans="1:32">
      <c r="B40" s="231" t="s">
        <v>854</v>
      </c>
      <c r="K40" s="1">
        <v>2497</v>
      </c>
      <c r="L40" s="1">
        <v>2479</v>
      </c>
      <c r="M40" s="1">
        <v>2465</v>
      </c>
      <c r="N40" s="314">
        <v>2480</v>
      </c>
      <c r="O40" s="314">
        <v>2516</v>
      </c>
      <c r="P40" s="314">
        <v>3759</v>
      </c>
      <c r="Q40" s="314">
        <v>4219</v>
      </c>
      <c r="R40" s="314">
        <v>4656</v>
      </c>
      <c r="S40" s="1">
        <v>4669</v>
      </c>
      <c r="T40" s="397">
        <v>4266</v>
      </c>
      <c r="U40" s="397">
        <v>3962</v>
      </c>
      <c r="V40" s="397">
        <v>3862</v>
      </c>
      <c r="W40" s="397">
        <v>3512</v>
      </c>
      <c r="X40" s="397">
        <v>3327</v>
      </c>
      <c r="Y40" s="397">
        <f>3302824/1000</f>
        <v>3302.8240000000001</v>
      </c>
      <c r="Z40" s="397">
        <v>2756</v>
      </c>
      <c r="AA40" s="397">
        <v>2708.5929999999998</v>
      </c>
      <c r="AB40" s="397">
        <v>2694</v>
      </c>
      <c r="AC40" s="397">
        <v>2681</v>
      </c>
      <c r="AD40" s="397">
        <f>2640189/1000</f>
        <v>2640.1889999999999</v>
      </c>
      <c r="AE40" s="397">
        <v>2613</v>
      </c>
    </row>
    <row r="41" spans="1:32">
      <c r="B41" s="231" t="s">
        <v>855</v>
      </c>
      <c r="K41" s="1">
        <v>202</v>
      </c>
      <c r="L41" s="1">
        <v>201</v>
      </c>
      <c r="M41" s="1">
        <v>240</v>
      </c>
      <c r="N41" s="314">
        <v>240</v>
      </c>
      <c r="O41" s="314">
        <v>241</v>
      </c>
      <c r="P41" s="314">
        <v>248</v>
      </c>
      <c r="Q41" s="314">
        <v>278</v>
      </c>
      <c r="R41" s="314">
        <v>279</v>
      </c>
      <c r="S41" s="1">
        <v>306</v>
      </c>
      <c r="T41" s="397">
        <v>314</v>
      </c>
      <c r="U41" s="397">
        <v>294</v>
      </c>
      <c r="V41" s="397">
        <v>287</v>
      </c>
      <c r="W41" s="397">
        <v>290</v>
      </c>
      <c r="X41" s="397">
        <f>(285101/1000)</f>
        <v>285.101</v>
      </c>
      <c r="Y41" s="397">
        <f>279735/1000</f>
        <v>279.73500000000001</v>
      </c>
      <c r="Z41" s="397">
        <v>282</v>
      </c>
      <c r="AA41" s="397">
        <v>283.67</v>
      </c>
      <c r="AB41" s="397">
        <v>285</v>
      </c>
      <c r="AC41" s="397">
        <v>252</v>
      </c>
      <c r="AD41" s="397">
        <f>246921/1000</f>
        <v>246.92099999999999</v>
      </c>
      <c r="AE41" s="397">
        <v>243</v>
      </c>
    </row>
    <row r="42" spans="1:32">
      <c r="A42" s="232"/>
      <c r="B42" s="21" t="s">
        <v>874</v>
      </c>
      <c r="C42" s="21"/>
      <c r="D42" s="21"/>
      <c r="E42" s="21"/>
      <c r="F42" s="21"/>
      <c r="G42" s="21"/>
      <c r="H42" s="21"/>
      <c r="I42" s="21"/>
      <c r="J42" s="21"/>
      <c r="K42" s="219">
        <f>K43+K44</f>
        <v>2992</v>
      </c>
      <c r="L42" s="219">
        <f>L43+L44</f>
        <v>3082</v>
      </c>
      <c r="M42" s="219">
        <f>M43+M44</f>
        <v>3220</v>
      </c>
      <c r="N42" s="313">
        <f>N43+N44</f>
        <v>3237</v>
      </c>
      <c r="O42" s="313">
        <f t="shared" ref="O42" si="40">O43+O44</f>
        <v>3337</v>
      </c>
      <c r="P42" s="313">
        <f t="shared" ref="P42:X42" si="41">P43+P44</f>
        <v>3343</v>
      </c>
      <c r="Q42" s="313">
        <f t="shared" si="41"/>
        <v>3312</v>
      </c>
      <c r="R42" s="313">
        <f t="shared" si="41"/>
        <v>3136</v>
      </c>
      <c r="S42" s="313">
        <f t="shared" si="41"/>
        <v>3064</v>
      </c>
      <c r="T42" s="219">
        <f t="shared" si="41"/>
        <v>2974</v>
      </c>
      <c r="U42" s="219">
        <f t="shared" si="41"/>
        <v>2841</v>
      </c>
      <c r="V42" s="219">
        <f t="shared" si="41"/>
        <v>2799.3</v>
      </c>
      <c r="W42" s="219">
        <f t="shared" si="41"/>
        <v>2729.2420000000002</v>
      </c>
      <c r="X42" s="219">
        <f t="shared" si="41"/>
        <v>2760.3440000000001</v>
      </c>
      <c r="Y42" s="219">
        <f t="shared" ref="Y42:AE42" si="42">SUM(Y43:Y44)</f>
        <v>2751.828</v>
      </c>
      <c r="Z42" s="219">
        <f t="shared" si="42"/>
        <v>2747</v>
      </c>
      <c r="AA42" s="219">
        <f t="shared" si="42"/>
        <v>2787.1709999999998</v>
      </c>
      <c r="AB42" s="219">
        <f t="shared" si="42"/>
        <v>2806</v>
      </c>
      <c r="AC42" s="219">
        <f t="shared" si="42"/>
        <v>2842</v>
      </c>
      <c r="AD42" s="219">
        <f t="shared" si="42"/>
        <v>2888.4639999999999</v>
      </c>
      <c r="AE42" s="219">
        <f t="shared" si="42"/>
        <v>2845</v>
      </c>
      <c r="AF42" s="369"/>
    </row>
    <row r="43" spans="1:32">
      <c r="B43" s="231" t="s">
        <v>854</v>
      </c>
      <c r="K43" s="1">
        <v>2786</v>
      </c>
      <c r="L43" s="1">
        <v>2873</v>
      </c>
      <c r="M43" s="1">
        <v>3003</v>
      </c>
      <c r="N43" s="314">
        <v>3019</v>
      </c>
      <c r="O43" s="314">
        <v>3114</v>
      </c>
      <c r="P43" s="314">
        <v>3113</v>
      </c>
      <c r="Q43" s="314">
        <v>3070</v>
      </c>
      <c r="R43" s="314">
        <v>2903</v>
      </c>
      <c r="S43" s="1">
        <v>2840</v>
      </c>
      <c r="T43" s="397">
        <v>2762</v>
      </c>
      <c r="U43" s="397">
        <v>2630</v>
      </c>
      <c r="V43" s="397">
        <v>2584</v>
      </c>
      <c r="W43" s="397">
        <v>2510</v>
      </c>
      <c r="X43" s="397">
        <f>2539113/1000</f>
        <v>2539.1129999999998</v>
      </c>
      <c r="Y43" s="397">
        <f>2529759/1000</f>
        <v>2529.759</v>
      </c>
      <c r="Z43" s="397">
        <v>2524</v>
      </c>
      <c r="AA43" s="397">
        <v>2562.5549999999998</v>
      </c>
      <c r="AB43" s="397">
        <v>2581</v>
      </c>
      <c r="AC43" s="397">
        <v>2619</v>
      </c>
      <c r="AD43" s="397">
        <f>2667383/1000</f>
        <v>2667.3829999999998</v>
      </c>
      <c r="AE43" s="397">
        <v>2626</v>
      </c>
    </row>
    <row r="44" spans="1:32">
      <c r="B44" s="231" t="s">
        <v>855</v>
      </c>
      <c r="K44" s="1">
        <v>206</v>
      </c>
      <c r="L44" s="1">
        <v>209</v>
      </c>
      <c r="M44" s="1">
        <v>217</v>
      </c>
      <c r="N44" s="314">
        <v>218</v>
      </c>
      <c r="O44" s="314">
        <v>223</v>
      </c>
      <c r="P44" s="314">
        <v>230</v>
      </c>
      <c r="Q44" s="314">
        <v>242</v>
      </c>
      <c r="R44" s="314">
        <v>233</v>
      </c>
      <c r="S44" s="1">
        <v>224</v>
      </c>
      <c r="T44" s="397">
        <v>212</v>
      </c>
      <c r="U44" s="397">
        <v>211</v>
      </c>
      <c r="V44" s="397">
        <v>215.3</v>
      </c>
      <c r="W44" s="507">
        <f>219242/1000</f>
        <v>219.24199999999999</v>
      </c>
      <c r="X44" s="507">
        <f>(221231/1000)</f>
        <v>221.23099999999999</v>
      </c>
      <c r="Y44" s="397">
        <f>222069/1000</f>
        <v>222.06899999999999</v>
      </c>
      <c r="Z44" s="397">
        <v>223</v>
      </c>
      <c r="AA44" s="397">
        <v>224.61600000000001</v>
      </c>
      <c r="AB44" s="397">
        <v>225</v>
      </c>
      <c r="AC44" s="397">
        <v>223</v>
      </c>
      <c r="AD44" s="397">
        <f>221081/1000</f>
        <v>221.08099999999999</v>
      </c>
      <c r="AE44" s="397">
        <v>219</v>
      </c>
    </row>
    <row r="45" spans="1:32">
      <c r="A45" s="232"/>
      <c r="B45" s="21" t="s">
        <v>875</v>
      </c>
      <c r="C45" s="21"/>
      <c r="D45" s="21"/>
      <c r="E45" s="21"/>
      <c r="F45" s="21"/>
      <c r="G45" s="21"/>
      <c r="H45" s="21"/>
      <c r="I45" s="21"/>
      <c r="J45" s="21"/>
      <c r="K45" s="219">
        <v>1463</v>
      </c>
      <c r="L45" s="219">
        <v>1620</v>
      </c>
      <c r="M45" s="219">
        <v>1686.077</v>
      </c>
      <c r="N45" s="313">
        <v>1740</v>
      </c>
      <c r="O45" s="313">
        <f t="shared" ref="O45" si="43">O46+O47</f>
        <v>1392.3040000000001</v>
      </c>
      <c r="P45" s="313">
        <f t="shared" ref="P45" si="44">P46+P47</f>
        <v>1465.403</v>
      </c>
      <c r="Q45" s="313">
        <f t="shared" ref="Q45:S45" si="45">Q46+Q47</f>
        <v>1513.231</v>
      </c>
      <c r="R45" s="313">
        <f t="shared" si="45"/>
        <v>1551.0419999999999</v>
      </c>
      <c r="S45" s="313">
        <f t="shared" si="45"/>
        <v>1579.9349999999999</v>
      </c>
      <c r="T45" s="219">
        <v>1774.421</v>
      </c>
      <c r="U45" s="219">
        <v>1714.575</v>
      </c>
      <c r="V45" s="219">
        <f t="shared" ref="V45:AA45" si="46">V46</f>
        <v>1700.376</v>
      </c>
      <c r="W45" s="219">
        <f t="shared" si="46"/>
        <v>1740.1120000000001</v>
      </c>
      <c r="X45" s="219">
        <f t="shared" si="46"/>
        <v>1780.0989999999999</v>
      </c>
      <c r="Y45" s="219">
        <f t="shared" si="46"/>
        <v>1814.665</v>
      </c>
      <c r="Z45" s="219">
        <f t="shared" si="46"/>
        <v>1927</v>
      </c>
      <c r="AA45" s="219">
        <f t="shared" si="46"/>
        <v>1984.4839999999999</v>
      </c>
      <c r="AB45" s="219">
        <f>AB46</f>
        <v>2041</v>
      </c>
      <c r="AC45" s="219">
        <f>AC46</f>
        <v>2091</v>
      </c>
      <c r="AD45" s="219">
        <f>AD46</f>
        <v>2136.8290000000002</v>
      </c>
      <c r="AE45" s="219">
        <f>AE46</f>
        <v>2165</v>
      </c>
    </row>
    <row r="46" spans="1:32">
      <c r="B46" s="231" t="s">
        <v>854</v>
      </c>
      <c r="K46" s="1">
        <v>567.00900000000001</v>
      </c>
      <c r="L46" s="1">
        <v>784.58799999999997</v>
      </c>
      <c r="M46" s="1">
        <v>1025.94</v>
      </c>
      <c r="N46" s="1">
        <v>1253.8789999999999</v>
      </c>
      <c r="O46" s="1">
        <v>1392.3040000000001</v>
      </c>
      <c r="P46" s="1">
        <v>1465.403</v>
      </c>
      <c r="Q46" s="1">
        <v>1513.231</v>
      </c>
      <c r="R46" s="1">
        <v>1551.0419999999999</v>
      </c>
      <c r="S46" s="1">
        <v>1579.9349999999999</v>
      </c>
      <c r="T46" s="397">
        <v>1611.1369999999999</v>
      </c>
      <c r="U46" s="397">
        <v>1658</v>
      </c>
      <c r="V46" s="397">
        <v>1700.376</v>
      </c>
      <c r="W46" s="397">
        <v>1740.1120000000001</v>
      </c>
      <c r="X46" s="397">
        <v>1780.0989999999999</v>
      </c>
      <c r="Y46" s="397">
        <v>1814.665</v>
      </c>
      <c r="Z46" s="397">
        <v>1927</v>
      </c>
      <c r="AA46" s="397">
        <f>1984484/1000</f>
        <v>1984.4839999999999</v>
      </c>
      <c r="AB46" s="397">
        <v>2041</v>
      </c>
      <c r="AC46" s="397">
        <v>2091</v>
      </c>
      <c r="AD46" s="397">
        <f>2136829/1000</f>
        <v>2136.8290000000002</v>
      </c>
      <c r="AE46" s="397">
        <v>2165</v>
      </c>
    </row>
    <row r="47" spans="1:32">
      <c r="B47" s="231" t="s">
        <v>855</v>
      </c>
      <c r="K47" s="65">
        <v>0</v>
      </c>
      <c r="L47" s="65">
        <v>0</v>
      </c>
      <c r="M47" s="6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315">
        <v>0</v>
      </c>
      <c r="AC47" s="315">
        <v>0</v>
      </c>
      <c r="AD47" s="65">
        <v>0</v>
      </c>
      <c r="AE47" s="65">
        <v>0</v>
      </c>
    </row>
    <row r="48" spans="1:32" s="2" customFormat="1">
      <c r="A48" s="9"/>
      <c r="B48" s="9" t="s">
        <v>1</v>
      </c>
      <c r="C48" s="9"/>
      <c r="D48" s="9"/>
      <c r="E48" s="9"/>
      <c r="F48" s="9"/>
      <c r="G48" s="9"/>
      <c r="H48" s="9"/>
      <c r="I48" s="9"/>
      <c r="J48" s="9"/>
      <c r="K48" s="9"/>
      <c r="L48" s="117"/>
      <c r="M48" s="117"/>
      <c r="N48" s="316"/>
      <c r="O48" s="316"/>
      <c r="P48" s="317"/>
      <c r="Q48" s="317"/>
      <c r="R48" s="317"/>
      <c r="S48" s="117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</row>
    <row r="49" spans="2:31">
      <c r="B49" t="s">
        <v>876</v>
      </c>
      <c r="K49" s="1">
        <v>20827</v>
      </c>
      <c r="L49" s="1">
        <v>23699</v>
      </c>
      <c r="M49" s="1">
        <v>23228</v>
      </c>
      <c r="N49" s="314">
        <v>26074</v>
      </c>
      <c r="O49" s="314">
        <v>24098</v>
      </c>
      <c r="P49" s="314">
        <v>27090</v>
      </c>
      <c r="Q49" s="314">
        <v>26470</v>
      </c>
      <c r="R49" s="314">
        <v>27076</v>
      </c>
      <c r="S49" s="1">
        <v>23885</v>
      </c>
      <c r="T49" s="1">
        <v>24709</v>
      </c>
      <c r="U49" s="110">
        <v>23657</v>
      </c>
      <c r="V49" s="110">
        <v>25120</v>
      </c>
      <c r="W49" s="110">
        <v>22976</v>
      </c>
      <c r="X49" s="110">
        <v>24782</v>
      </c>
      <c r="Y49" s="110">
        <v>23141</v>
      </c>
      <c r="Z49" s="110">
        <v>25011</v>
      </c>
      <c r="AA49" s="110">
        <v>23309</v>
      </c>
      <c r="AB49" s="110">
        <v>23239</v>
      </c>
      <c r="AC49" s="110">
        <v>23379</v>
      </c>
      <c r="AD49" s="1">
        <v>25009</v>
      </c>
      <c r="AE49" s="1">
        <v>22526</v>
      </c>
    </row>
    <row r="50" spans="2:31">
      <c r="B50" t="s">
        <v>877</v>
      </c>
      <c r="K50" s="65">
        <v>0</v>
      </c>
      <c r="L50" s="65">
        <v>0</v>
      </c>
      <c r="M50" s="65">
        <v>0</v>
      </c>
      <c r="N50" s="314">
        <v>2585</v>
      </c>
      <c r="O50" s="314">
        <v>4128</v>
      </c>
      <c r="P50" s="314">
        <v>4614</v>
      </c>
      <c r="Q50" s="314">
        <v>4997</v>
      </c>
      <c r="R50" s="314">
        <v>5492</v>
      </c>
      <c r="S50" s="1">
        <v>4435</v>
      </c>
      <c r="T50" s="1">
        <v>4405</v>
      </c>
      <c r="U50" s="110">
        <v>4183</v>
      </c>
      <c r="V50" s="110">
        <v>4490</v>
      </c>
      <c r="W50" s="110">
        <v>4431</v>
      </c>
      <c r="X50" s="110">
        <v>4777</v>
      </c>
      <c r="Y50" s="110">
        <v>4403</v>
      </c>
      <c r="Z50" s="110">
        <v>4833</v>
      </c>
      <c r="AA50" s="110">
        <v>4198</v>
      </c>
      <c r="AB50" s="110">
        <v>4432</v>
      </c>
      <c r="AC50" s="110">
        <v>4192</v>
      </c>
      <c r="AD50" s="1">
        <v>4585</v>
      </c>
      <c r="AE50" s="1">
        <v>3794</v>
      </c>
    </row>
    <row r="51" spans="2:31">
      <c r="K51" s="65"/>
      <c r="L51" s="65"/>
      <c r="M51" s="65"/>
      <c r="N51" s="314"/>
      <c r="O51" s="314"/>
      <c r="P51" s="314"/>
      <c r="Q51" s="314"/>
      <c r="R51" s="314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2:31"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V17:AB17" formulaRang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12410-C427-4AA1-B062-FA10712F7E7F}">
  <dimension ref="A1:AK154"/>
  <sheetViews>
    <sheetView showGridLines="0" showRowColHeaders="0" zoomScale="75" zoomScaleNormal="75" workbookViewId="0">
      <pane xSplit="22" topLeftCell="AA1" activePane="topRight" state="frozen"/>
      <selection pane="topRight"/>
    </sheetView>
  </sheetViews>
  <sheetFormatPr defaultColWidth="9.42578125" defaultRowHeight="15"/>
  <cols>
    <col min="1" max="1" width="3.5703125" customWidth="1"/>
    <col min="2" max="2" width="60.7109375" bestFit="1" customWidth="1"/>
    <col min="3" max="22" width="18.5703125" hidden="1" customWidth="1"/>
    <col min="23" max="31" width="18.5703125" customWidth="1"/>
    <col min="32" max="36" width="18.42578125" bestFit="1" customWidth="1"/>
  </cols>
  <sheetData>
    <row r="1" spans="1:31">
      <c r="A1" s="619"/>
      <c r="B1" s="61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31"/>
      <c r="AE1" s="630"/>
    </row>
    <row r="2" spans="1:31" ht="15.75">
      <c r="A2" s="619"/>
      <c r="B2" s="649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32"/>
      <c r="AE2" s="630"/>
    </row>
    <row r="3" spans="1:31" ht="54.4" customHeight="1">
      <c r="A3" s="692"/>
      <c r="B3" s="795" t="s">
        <v>1128</v>
      </c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689"/>
      <c r="AD3" s="631"/>
      <c r="AE3" s="630"/>
    </row>
    <row r="4" spans="1:31" ht="7.5" customHeight="1"/>
    <row r="5" spans="1:31" s="30" customFormat="1" ht="7.5" customHeight="1">
      <c r="A5" s="20"/>
      <c r="B5" s="455"/>
      <c r="V5" s="215"/>
      <c r="W5" s="215"/>
      <c r="X5" s="215"/>
      <c r="Y5" s="215"/>
      <c r="Z5" s="215"/>
      <c r="AA5" s="215"/>
      <c r="AB5" s="215"/>
      <c r="AC5" s="215"/>
      <c r="AD5" s="215"/>
      <c r="AE5" s="215"/>
    </row>
    <row r="6" spans="1:31" s="387" customFormat="1" ht="25.35" customHeight="1">
      <c r="A6" s="625"/>
      <c r="B6" s="625" t="s">
        <v>898</v>
      </c>
      <c r="C6" s="626" t="s">
        <v>236</v>
      </c>
      <c r="D6" s="626" t="s">
        <v>237</v>
      </c>
      <c r="E6" s="626" t="s">
        <v>238</v>
      </c>
      <c r="F6" s="626" t="s">
        <v>239</v>
      </c>
      <c r="G6" s="626" t="s">
        <v>240</v>
      </c>
      <c r="H6" s="626" t="s">
        <v>241</v>
      </c>
      <c r="I6" s="626" t="s">
        <v>242</v>
      </c>
      <c r="J6" s="626" t="s">
        <v>243</v>
      </c>
      <c r="K6" s="626" t="s">
        <v>244</v>
      </c>
      <c r="L6" s="626" t="s">
        <v>245</v>
      </c>
      <c r="M6" s="626" t="s">
        <v>246</v>
      </c>
      <c r="N6" s="626" t="s">
        <v>247</v>
      </c>
      <c r="O6" s="626" t="s">
        <v>248</v>
      </c>
      <c r="P6" s="626" t="s">
        <v>249</v>
      </c>
      <c r="Q6" s="626" t="s">
        <v>250</v>
      </c>
      <c r="R6" s="626" t="s">
        <v>215</v>
      </c>
      <c r="S6" s="626" t="s">
        <v>252</v>
      </c>
      <c r="T6" s="626" t="s">
        <v>253</v>
      </c>
      <c r="U6" s="626" t="s">
        <v>254</v>
      </c>
      <c r="V6" s="626" t="s">
        <v>219</v>
      </c>
      <c r="W6" s="626" t="s">
        <v>223</v>
      </c>
      <c r="X6" s="626" t="s">
        <v>256</v>
      </c>
      <c r="Y6" s="626" t="s">
        <v>357</v>
      </c>
      <c r="Z6" s="626" t="s">
        <v>358</v>
      </c>
      <c r="AA6" s="626" t="s">
        <v>359</v>
      </c>
      <c r="AB6" s="626" t="s">
        <v>1115</v>
      </c>
      <c r="AC6" s="626" t="s">
        <v>1116</v>
      </c>
      <c r="AD6" s="686" t="s">
        <v>1117</v>
      </c>
      <c r="AE6" s="681" t="s">
        <v>1124</v>
      </c>
    </row>
    <row r="7" spans="1:31" s="387" customFormat="1">
      <c r="A7" s="225"/>
      <c r="B7" s="597" t="s">
        <v>690</v>
      </c>
      <c r="C7" s="595"/>
      <c r="D7" s="595"/>
      <c r="E7" s="595"/>
      <c r="F7" s="59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>
        <f>SUM(V8,V18,V28,V38)</f>
        <v>154980533.53031999</v>
      </c>
      <c r="W7" s="235">
        <f t="shared" ref="W7:AA7" si="0">SUM(W8,W18,W28,W38)</f>
        <v>159642757.44849998</v>
      </c>
      <c r="X7" s="235">
        <f t="shared" si="0"/>
        <v>162878502.79696998</v>
      </c>
      <c r="Y7" s="235">
        <f t="shared" si="0"/>
        <v>167681782.15158996</v>
      </c>
      <c r="Z7" s="235">
        <f t="shared" si="0"/>
        <v>172933508.88552997</v>
      </c>
      <c r="AA7" s="235">
        <f t="shared" si="0"/>
        <v>178981500.17569</v>
      </c>
      <c r="AB7" s="235">
        <f>SUM(AB8,AB18,AB28,AB38)</f>
        <v>184695874.69483</v>
      </c>
      <c r="AC7" s="235">
        <f>SUM(AC8,AC18,AC28,AC38)</f>
        <v>191904603.61825007</v>
      </c>
      <c r="AD7" s="235">
        <f>SUM(AD8,AD18,AD28,AD38)</f>
        <v>199396937.52133003</v>
      </c>
      <c r="AE7" s="235">
        <f>SUM(AE8,AE18,AE28,AE38)</f>
        <v>206869472.76302999</v>
      </c>
    </row>
    <row r="8" spans="1:31" s="387" customFormat="1">
      <c r="A8" s="225"/>
      <c r="B8" s="596" t="s">
        <v>899</v>
      </c>
      <c r="C8" s="595"/>
      <c r="D8" s="595"/>
      <c r="E8" s="595"/>
      <c r="F8" s="59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>
        <f>SUM(V9:V17)</f>
        <v>145735276.42506999</v>
      </c>
      <c r="W8" s="235">
        <f t="shared" ref="W8:AA8" si="1">SUM(W9:W17)</f>
        <v>150341750.42935997</v>
      </c>
      <c r="X8" s="235">
        <f t="shared" si="1"/>
        <v>153552680.88223997</v>
      </c>
      <c r="Y8" s="235">
        <f t="shared" si="1"/>
        <v>158246790.52849993</v>
      </c>
      <c r="Z8" s="235">
        <f t="shared" si="1"/>
        <v>163324439.24889997</v>
      </c>
      <c r="AA8" s="235">
        <f t="shared" si="1"/>
        <v>169200877.16255996</v>
      </c>
      <c r="AB8" s="235">
        <f>SUM(AB9:AB17)</f>
        <v>174688839.04883996</v>
      </c>
      <c r="AC8" s="235">
        <f>SUM(AC9:AC17)</f>
        <v>181707841.11995998</v>
      </c>
      <c r="AD8" s="235">
        <f>SUM(AD9:AD17)</f>
        <v>188833301.68511999</v>
      </c>
      <c r="AE8" s="235">
        <f>SUM(AE9:AE17)</f>
        <v>196077749.56162998</v>
      </c>
    </row>
    <row r="9" spans="1:31" s="30" customFormat="1" ht="18" customHeight="1">
      <c r="A9"/>
      <c r="B9" s="36" t="s">
        <v>900</v>
      </c>
      <c r="C9" s="592"/>
      <c r="D9" s="592"/>
      <c r="E9" s="592"/>
      <c r="F9" s="592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93"/>
      <c r="T9" s="593"/>
      <c r="U9" s="593"/>
      <c r="V9" s="593">
        <v>145342536.10489997</v>
      </c>
      <c r="W9" s="593">
        <v>149763379.68509001</v>
      </c>
      <c r="X9" s="593">
        <v>153045917.05372</v>
      </c>
      <c r="Y9" s="593">
        <v>157673308.94094998</v>
      </c>
      <c r="Z9" s="593">
        <v>162750201.79713002</v>
      </c>
      <c r="AA9" s="593">
        <v>168659997.40139002</v>
      </c>
      <c r="AB9" s="593">
        <v>174111435.87309</v>
      </c>
      <c r="AC9" s="593">
        <v>181135445.48986003</v>
      </c>
      <c r="AD9" s="593">
        <v>188421978.63053003</v>
      </c>
      <c r="AE9" s="593">
        <v>195624975.16664004</v>
      </c>
    </row>
    <row r="10" spans="1:31" s="30" customFormat="1" ht="18" customHeight="1">
      <c r="A10"/>
      <c r="B10" s="36" t="s">
        <v>901</v>
      </c>
      <c r="C10" s="592"/>
      <c r="D10" s="592"/>
      <c r="E10" s="592"/>
      <c r="F10" s="592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>
        <v>125323.89157000001</v>
      </c>
      <c r="W10" s="593">
        <v>129329.36614</v>
      </c>
      <c r="X10" s="593">
        <v>130663.88213000001</v>
      </c>
      <c r="Y10" s="593">
        <v>132589.86163999999</v>
      </c>
      <c r="Z10" s="593">
        <v>134473.54168999998</v>
      </c>
      <c r="AA10" s="593">
        <v>136069.95519000001</v>
      </c>
      <c r="AB10" s="593">
        <v>139543.68011000002</v>
      </c>
      <c r="AC10" s="593">
        <v>139927.40592000002</v>
      </c>
      <c r="AD10" s="593">
        <v>139482.70736000006</v>
      </c>
      <c r="AE10" s="593">
        <v>139371.92591000002</v>
      </c>
    </row>
    <row r="11" spans="1:31" s="30" customFormat="1" ht="18" customHeight="1">
      <c r="A11"/>
      <c r="B11" s="36" t="s">
        <v>902</v>
      </c>
      <c r="C11" s="592"/>
      <c r="D11" s="592"/>
      <c r="E11" s="592"/>
      <c r="F11" s="592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>
        <v>8.6736173798840357E-21</v>
      </c>
      <c r="W11" s="593">
        <v>0</v>
      </c>
      <c r="X11" s="593">
        <v>0</v>
      </c>
      <c r="Y11" s="593">
        <v>0</v>
      </c>
      <c r="Z11" s="593">
        <v>0</v>
      </c>
      <c r="AA11" s="593">
        <v>0</v>
      </c>
      <c r="AB11" s="593">
        <v>0</v>
      </c>
      <c r="AC11" s="593">
        <v>0</v>
      </c>
      <c r="AD11" s="593">
        <v>0</v>
      </c>
      <c r="AE11" s="593">
        <v>0</v>
      </c>
    </row>
    <row r="12" spans="1:31" s="30" customFormat="1" ht="18" customHeight="1">
      <c r="A12"/>
      <c r="B12" s="36" t="s">
        <v>903</v>
      </c>
      <c r="C12" s="592"/>
      <c r="D12" s="592"/>
      <c r="E12" s="592"/>
      <c r="F12" s="592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>
        <v>228991.70196999697</v>
      </c>
      <c r="W12" s="593">
        <v>412221.42669995705</v>
      </c>
      <c r="X12" s="593">
        <v>333011.26546995825</v>
      </c>
      <c r="Y12" s="593">
        <v>397619.67186995677</v>
      </c>
      <c r="Z12" s="593">
        <v>397149.76791995397</v>
      </c>
      <c r="AA12" s="593">
        <v>363212.49576995283</v>
      </c>
      <c r="AB12" s="593">
        <v>399926.52120995283</v>
      </c>
      <c r="AC12" s="593">
        <v>394207.92562995263</v>
      </c>
      <c r="AD12" s="593">
        <v>232887.10035995353</v>
      </c>
      <c r="AE12" s="593">
        <v>275544.98773995327</v>
      </c>
    </row>
    <row r="13" spans="1:31" s="30" customFormat="1" ht="18" customHeight="1">
      <c r="A13"/>
      <c r="B13" s="36" t="s">
        <v>904</v>
      </c>
      <c r="C13" s="592"/>
      <c r="D13" s="592"/>
      <c r="E13" s="592"/>
      <c r="F13" s="592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>
        <v>938.48631000000103</v>
      </c>
      <c r="W13" s="593">
        <v>56.655270000005352</v>
      </c>
      <c r="X13" s="593">
        <v>58.934540000005349</v>
      </c>
      <c r="Y13" s="593">
        <v>60.858360000005348</v>
      </c>
      <c r="Z13" s="593">
        <v>108.78285000000534</v>
      </c>
      <c r="AA13" s="593">
        <v>30.694680000005363</v>
      </c>
      <c r="AB13" s="593">
        <v>47.19138000000536</v>
      </c>
      <c r="AC13" s="593">
        <v>5.0000005365291147E-5</v>
      </c>
      <c r="AD13" s="593">
        <v>5.0000005365291147E-5</v>
      </c>
      <c r="AE13" s="593">
        <v>5.0000005365291147E-5</v>
      </c>
    </row>
    <row r="14" spans="1:31" s="30" customFormat="1" ht="18" customHeight="1">
      <c r="A14"/>
      <c r="B14" s="36" t="s">
        <v>905</v>
      </c>
      <c r="C14" s="592"/>
      <c r="D14" s="592"/>
      <c r="E14" s="592"/>
      <c r="F14" s="592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>
        <v>1566.0663699999977</v>
      </c>
      <c r="W14" s="593">
        <v>1542.7708200000011</v>
      </c>
      <c r="X14" s="593">
        <v>1236.8189800000007</v>
      </c>
      <c r="Y14" s="593">
        <v>1245.3511000000003</v>
      </c>
      <c r="Z14" s="593">
        <v>546.89275000000009</v>
      </c>
      <c r="AA14" s="593">
        <v>1063.3633900000002</v>
      </c>
      <c r="AB14" s="593">
        <v>1038.0374600000005</v>
      </c>
      <c r="AC14" s="593">
        <v>1678.9532100000001</v>
      </c>
      <c r="AD14" s="593">
        <v>2713.8645200000005</v>
      </c>
      <c r="AE14" s="593">
        <v>3381.9107000000004</v>
      </c>
    </row>
    <row r="15" spans="1:31" s="30" customFormat="1" ht="18" customHeight="1">
      <c r="A15"/>
      <c r="B15" s="36" t="s">
        <v>906</v>
      </c>
      <c r="C15" s="592"/>
      <c r="D15" s="592"/>
      <c r="E15" s="592"/>
      <c r="F15" s="592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593"/>
      <c r="S15" s="593"/>
      <c r="T15" s="593"/>
      <c r="U15" s="593"/>
      <c r="V15" s="593">
        <v>0</v>
      </c>
      <c r="W15" s="593">
        <v>0</v>
      </c>
      <c r="X15" s="593">
        <v>0</v>
      </c>
      <c r="Y15" s="593">
        <v>0</v>
      </c>
      <c r="Z15" s="593">
        <v>0</v>
      </c>
      <c r="AA15" s="593">
        <v>0</v>
      </c>
      <c r="AB15" s="593">
        <v>0</v>
      </c>
      <c r="AC15" s="593">
        <v>0</v>
      </c>
      <c r="AD15" s="593">
        <v>0</v>
      </c>
      <c r="AE15" s="593">
        <v>0</v>
      </c>
    </row>
    <row r="16" spans="1:31" s="30" customFormat="1" ht="18" customHeight="1">
      <c r="A16"/>
      <c r="B16" s="36" t="s">
        <v>907</v>
      </c>
      <c r="C16" s="592"/>
      <c r="D16" s="592"/>
      <c r="E16" s="592"/>
      <c r="F16" s="592"/>
      <c r="G16" s="593"/>
      <c r="H16" s="593"/>
      <c r="I16" s="593"/>
      <c r="J16" s="593"/>
      <c r="K16" s="593"/>
      <c r="L16" s="593"/>
      <c r="M16" s="593"/>
      <c r="N16" s="593"/>
      <c r="O16" s="593"/>
      <c r="P16" s="593"/>
      <c r="Q16" s="593"/>
      <c r="R16" s="593"/>
      <c r="S16" s="593"/>
      <c r="T16" s="593"/>
      <c r="U16" s="593"/>
      <c r="V16" s="593">
        <v>35920.173949999953</v>
      </c>
      <c r="W16" s="593">
        <v>2.3364555090665819E-10</v>
      </c>
      <c r="X16" s="593">
        <v>2.3364555090665819E-10</v>
      </c>
      <c r="Y16" s="593">
        <v>2.3364555090665819E-10</v>
      </c>
      <c r="Z16" s="593">
        <v>2.3364555090665819E-10</v>
      </c>
      <c r="AA16" s="593">
        <v>2.3364555090665819E-10</v>
      </c>
      <c r="AB16" s="593">
        <v>0</v>
      </c>
      <c r="AC16" s="593">
        <v>0</v>
      </c>
      <c r="AD16" s="593">
        <v>0</v>
      </c>
      <c r="AE16" s="593">
        <v>0</v>
      </c>
    </row>
    <row r="17" spans="1:31" s="30" customFormat="1" ht="18" customHeight="1">
      <c r="A17"/>
      <c r="B17" s="36" t="s">
        <v>908</v>
      </c>
      <c r="C17" s="592"/>
      <c r="D17" s="592"/>
      <c r="E17" s="592"/>
      <c r="F17" s="592"/>
      <c r="G17" s="593"/>
      <c r="H17" s="593"/>
      <c r="I17" s="593"/>
      <c r="J17" s="593"/>
      <c r="K17" s="593"/>
      <c r="L17" s="593"/>
      <c r="M17" s="593"/>
      <c r="N17" s="593"/>
      <c r="O17" s="593"/>
      <c r="P17" s="593"/>
      <c r="Q17" s="593"/>
      <c r="R17" s="593"/>
      <c r="S17" s="593"/>
      <c r="T17" s="593"/>
      <c r="U17" s="593"/>
      <c r="V17" s="593">
        <v>0</v>
      </c>
      <c r="W17" s="593">
        <v>35220.525340000007</v>
      </c>
      <c r="X17" s="593">
        <v>41792.927400000037</v>
      </c>
      <c r="Y17" s="593">
        <v>41965.84457999999</v>
      </c>
      <c r="Z17" s="593">
        <v>41958.466559999957</v>
      </c>
      <c r="AA17" s="593">
        <v>40503.252139999953</v>
      </c>
      <c r="AB17" s="593">
        <v>36847.745589999962</v>
      </c>
      <c r="AC17" s="593">
        <v>36581.345289999968</v>
      </c>
      <c r="AD17" s="593">
        <v>36239.382299999968</v>
      </c>
      <c r="AE17" s="593">
        <v>34475.570589999988</v>
      </c>
    </row>
    <row r="18" spans="1:31" s="387" customFormat="1">
      <c r="A18" s="225"/>
      <c r="B18" s="596" t="s">
        <v>909</v>
      </c>
      <c r="C18" s="595"/>
      <c r="D18" s="595"/>
      <c r="E18" s="595"/>
      <c r="F18" s="59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>
        <f>SUM(V19:V27)</f>
        <v>8535471.4826899953</v>
      </c>
      <c r="W18" s="235">
        <f t="shared" ref="W18:AA18" si="2">SUM(W19:W27)</f>
        <v>8583065.3983200155</v>
      </c>
      <c r="X18" s="235">
        <f t="shared" si="2"/>
        <v>8617989.1534500159</v>
      </c>
      <c r="Y18" s="235">
        <f t="shared" si="2"/>
        <v>8722256.1594500169</v>
      </c>
      <c r="Z18" s="235">
        <f t="shared" si="2"/>
        <v>8883277.2507300172</v>
      </c>
      <c r="AA18" s="235">
        <f t="shared" si="2"/>
        <v>9042024.6426000185</v>
      </c>
      <c r="AB18" s="235">
        <f>SUM(AB19:AB27)</f>
        <v>9265414.1648900192</v>
      </c>
      <c r="AC18" s="235">
        <f>SUM(AC19:AC27)</f>
        <v>9486147.4503100719</v>
      </c>
      <c r="AD18" s="235">
        <f>SUM(AD19:AD27)</f>
        <v>9861919.4299300201</v>
      </c>
      <c r="AE18" s="235">
        <f>SUM(AE19:AE27)</f>
        <v>10098033.41456002</v>
      </c>
    </row>
    <row r="19" spans="1:31" s="30" customFormat="1" ht="18" customHeight="1">
      <c r="A19"/>
      <c r="B19" s="36" t="s">
        <v>900</v>
      </c>
      <c r="C19" s="592"/>
      <c r="D19" s="592"/>
      <c r="E19" s="592"/>
      <c r="F19" s="592"/>
      <c r="G19" s="593"/>
      <c r="H19" s="593"/>
      <c r="I19" s="593"/>
      <c r="J19" s="593"/>
      <c r="K19" s="593"/>
      <c r="L19" s="593"/>
      <c r="M19" s="593"/>
      <c r="N19" s="593"/>
      <c r="O19" s="593"/>
      <c r="P19" s="593"/>
      <c r="Q19" s="593"/>
      <c r="R19" s="593"/>
      <c r="S19" s="593"/>
      <c r="T19" s="593"/>
      <c r="U19" s="593"/>
      <c r="V19" s="593">
        <v>8194410.4255099948</v>
      </c>
      <c r="W19" s="593">
        <v>8246199.666070017</v>
      </c>
      <c r="X19" s="593">
        <v>8270727.7550900169</v>
      </c>
      <c r="Y19" s="593">
        <v>8341465.1680000182</v>
      </c>
      <c r="Z19" s="593">
        <v>8499395.9432500172</v>
      </c>
      <c r="AA19" s="593">
        <v>8646074.1329600178</v>
      </c>
      <c r="AB19" s="593">
        <v>8853100.6205400191</v>
      </c>
      <c r="AC19" s="593">
        <v>9036523.8786500208</v>
      </c>
      <c r="AD19" s="593">
        <v>9389028.2361000199</v>
      </c>
      <c r="AE19" s="593">
        <v>9587287.4973800201</v>
      </c>
    </row>
    <row r="20" spans="1:31" s="30" customFormat="1" ht="18" customHeight="1">
      <c r="A20"/>
      <c r="B20" s="36" t="s">
        <v>901</v>
      </c>
      <c r="C20" s="592"/>
      <c r="D20" s="592"/>
      <c r="E20" s="592"/>
      <c r="F20" s="592"/>
      <c r="G20" s="593"/>
      <c r="H20" s="593"/>
      <c r="I20" s="593"/>
      <c r="J20" s="593"/>
      <c r="K20" s="593"/>
      <c r="L20" s="593"/>
      <c r="M20" s="593"/>
      <c r="N20" s="593"/>
      <c r="O20" s="593"/>
      <c r="P20" s="593"/>
      <c r="Q20" s="593"/>
      <c r="R20" s="593"/>
      <c r="S20" s="593"/>
      <c r="T20" s="593"/>
      <c r="U20" s="593"/>
      <c r="V20" s="593">
        <v>319168.96961000026</v>
      </c>
      <c r="W20" s="593">
        <v>318616.45911999996</v>
      </c>
      <c r="X20" s="593">
        <v>327534.16422999994</v>
      </c>
      <c r="Y20" s="593">
        <v>343693.39545999991</v>
      </c>
      <c r="Z20" s="593">
        <v>359485.1667399999</v>
      </c>
      <c r="AA20" s="593">
        <v>374923.57038999995</v>
      </c>
      <c r="AB20" s="593">
        <v>388855.12583999994</v>
      </c>
      <c r="AC20" s="593">
        <v>425363.83783999993</v>
      </c>
      <c r="AD20" s="593">
        <v>450694.26354999992</v>
      </c>
      <c r="AE20" s="593">
        <v>478090.05500999989</v>
      </c>
    </row>
    <row r="21" spans="1:31" s="30" customFormat="1" ht="18" customHeight="1">
      <c r="A21"/>
      <c r="B21" s="36" t="s">
        <v>902</v>
      </c>
      <c r="C21" s="592"/>
      <c r="D21" s="592"/>
      <c r="E21" s="592"/>
      <c r="F21" s="592"/>
      <c r="G21" s="593"/>
      <c r="H21" s="593"/>
      <c r="I21" s="593"/>
      <c r="J21" s="593"/>
      <c r="K21" s="593"/>
      <c r="L21" s="593"/>
      <c r="M21" s="593"/>
      <c r="N21" s="593"/>
      <c r="O21" s="593"/>
      <c r="P21" s="593"/>
      <c r="Q21" s="593"/>
      <c r="R21" s="593"/>
      <c r="S21" s="593"/>
      <c r="T21" s="593"/>
      <c r="U21" s="593"/>
      <c r="V21" s="593">
        <v>0</v>
      </c>
      <c r="W21" s="593">
        <v>0</v>
      </c>
      <c r="X21" s="593">
        <v>0</v>
      </c>
      <c r="Y21" s="593">
        <v>0</v>
      </c>
      <c r="Z21" s="593">
        <v>0</v>
      </c>
      <c r="AA21" s="593">
        <v>0</v>
      </c>
      <c r="AB21" s="593">
        <v>0</v>
      </c>
      <c r="AC21" s="593">
        <v>0</v>
      </c>
      <c r="AD21" s="593">
        <v>0</v>
      </c>
      <c r="AE21" s="593">
        <v>0</v>
      </c>
    </row>
    <row r="22" spans="1:31" s="30" customFormat="1" ht="18" customHeight="1">
      <c r="A22"/>
      <c r="B22" s="36" t="s">
        <v>903</v>
      </c>
      <c r="C22" s="592"/>
      <c r="D22" s="592"/>
      <c r="E22" s="592"/>
      <c r="F22" s="592"/>
      <c r="G22" s="593"/>
      <c r="H22" s="593"/>
      <c r="I22" s="593"/>
      <c r="J22" s="593"/>
      <c r="K22" s="593"/>
      <c r="L22" s="593"/>
      <c r="M22" s="593"/>
      <c r="N22" s="593"/>
      <c r="O22" s="593"/>
      <c r="P22" s="593"/>
      <c r="Q22" s="593"/>
      <c r="R22" s="593"/>
      <c r="S22" s="593"/>
      <c r="T22" s="593"/>
      <c r="U22" s="593"/>
      <c r="V22" s="593">
        <v>16293.055329999899</v>
      </c>
      <c r="W22" s="593">
        <v>12500.041999998264</v>
      </c>
      <c r="X22" s="593">
        <v>14404.990309998269</v>
      </c>
      <c r="Y22" s="593">
        <v>31769.858119998244</v>
      </c>
      <c r="Z22" s="593">
        <v>20261.793069998257</v>
      </c>
      <c r="AA22" s="593">
        <v>15491.463919998234</v>
      </c>
      <c r="AB22" s="593">
        <v>18403.136049998215</v>
      </c>
      <c r="AC22" s="593">
        <v>17553.788419998167</v>
      </c>
      <c r="AD22" s="593">
        <v>12604.742519998197</v>
      </c>
      <c r="AE22" s="593">
        <v>21150.890569998199</v>
      </c>
    </row>
    <row r="23" spans="1:31" s="30" customFormat="1" ht="18" customHeight="1">
      <c r="A23"/>
      <c r="B23" s="36" t="s">
        <v>904</v>
      </c>
      <c r="C23" s="592"/>
      <c r="D23" s="592"/>
      <c r="E23" s="592"/>
      <c r="F23" s="592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>
        <v>42.212729999995574</v>
      </c>
      <c r="W23" s="593">
        <v>4.9999998912682029E-5</v>
      </c>
      <c r="X23" s="593">
        <v>4.9999998912682029E-5</v>
      </c>
      <c r="Y23" s="593">
        <v>4.9999998912682029E-5</v>
      </c>
      <c r="Z23" s="593">
        <v>4.9999998912682029E-5</v>
      </c>
      <c r="AA23" s="593">
        <v>4.9999998912682029E-5</v>
      </c>
      <c r="AB23" s="593">
        <v>4.9999998912682029E-5</v>
      </c>
      <c r="AC23" s="593">
        <v>4.9999998912682029E-5</v>
      </c>
      <c r="AD23" s="593">
        <v>4.9999998912682029E-5</v>
      </c>
      <c r="AE23" s="593">
        <v>4.9999998912682029E-5</v>
      </c>
    </row>
    <row r="24" spans="1:31" s="30" customFormat="1" ht="18" customHeight="1">
      <c r="A24"/>
      <c r="B24" s="36" t="s">
        <v>905</v>
      </c>
      <c r="C24" s="592"/>
      <c r="D24" s="592"/>
      <c r="E24" s="592"/>
      <c r="F24" s="592"/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>
        <v>2943.0795600000042</v>
      </c>
      <c r="W24" s="593">
        <v>3267.122510000012</v>
      </c>
      <c r="X24" s="593">
        <v>2363.0244300000122</v>
      </c>
      <c r="Y24" s="593">
        <v>2360.260720000012</v>
      </c>
      <c r="Z24" s="593">
        <v>1162.7000600000122</v>
      </c>
      <c r="AA24" s="593">
        <v>2697.2423100000124</v>
      </c>
      <c r="AB24" s="593">
        <v>2489.9808000000126</v>
      </c>
      <c r="AC24" s="593">
        <v>4133.1181000000124</v>
      </c>
      <c r="AD24" s="593">
        <v>7006.8402900000092</v>
      </c>
      <c r="AE24" s="593">
        <v>9095.7500500000097</v>
      </c>
    </row>
    <row r="25" spans="1:31" s="30" customFormat="1" ht="18" customHeight="1">
      <c r="A25"/>
      <c r="B25" s="36" t="s">
        <v>906</v>
      </c>
      <c r="C25" s="592"/>
      <c r="D25" s="592"/>
      <c r="E25" s="592"/>
      <c r="F25" s="592"/>
      <c r="G25" s="593"/>
      <c r="H25" s="593"/>
      <c r="I25" s="593"/>
      <c r="J25" s="593"/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593"/>
      <c r="V25" s="593">
        <v>0</v>
      </c>
      <c r="W25" s="593">
        <v>0</v>
      </c>
      <c r="X25" s="593">
        <v>0</v>
      </c>
      <c r="Y25" s="593">
        <v>0</v>
      </c>
      <c r="Z25" s="593">
        <v>0</v>
      </c>
      <c r="AA25" s="593">
        <v>0</v>
      </c>
      <c r="AB25" s="593">
        <v>0</v>
      </c>
      <c r="AC25" s="593">
        <v>0</v>
      </c>
      <c r="AD25" s="593">
        <v>0</v>
      </c>
      <c r="AE25" s="593">
        <v>0</v>
      </c>
    </row>
    <row r="26" spans="1:31" s="30" customFormat="1" ht="18" customHeight="1">
      <c r="A26"/>
      <c r="B26" s="36" t="s">
        <v>907</v>
      </c>
      <c r="C26" s="592"/>
      <c r="D26" s="592"/>
      <c r="E26" s="592"/>
      <c r="F26" s="592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>
        <v>2613.739949999997</v>
      </c>
      <c r="W26" s="593">
        <v>4.0000052360397834E-5</v>
      </c>
      <c r="X26" s="593">
        <v>4.0000052360397834E-5</v>
      </c>
      <c r="Y26" s="593">
        <v>4.0000052360397834E-5</v>
      </c>
      <c r="Z26" s="593">
        <v>4.0000052360397834E-5</v>
      </c>
      <c r="AA26" s="593">
        <v>4.0000052360397834E-5</v>
      </c>
      <c r="AB26" s="593">
        <v>0</v>
      </c>
      <c r="AC26" s="593">
        <v>4.0000052360397831E-2</v>
      </c>
      <c r="AD26" s="593">
        <v>4.0000052360397834E-5</v>
      </c>
      <c r="AE26" s="593">
        <v>0</v>
      </c>
    </row>
    <row r="27" spans="1:31" s="30" customFormat="1" ht="18" customHeight="1">
      <c r="A27"/>
      <c r="B27" s="36" t="s">
        <v>908</v>
      </c>
      <c r="C27" s="592"/>
      <c r="D27" s="592"/>
      <c r="E27" s="592"/>
      <c r="F27" s="592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>
        <v>0</v>
      </c>
      <c r="W27" s="593">
        <v>2482.1085300000004</v>
      </c>
      <c r="X27" s="593">
        <v>2959.2193000000002</v>
      </c>
      <c r="Y27" s="593">
        <v>2967.4770600000024</v>
      </c>
      <c r="Z27" s="593">
        <v>2971.6475200000014</v>
      </c>
      <c r="AA27" s="593">
        <v>2838.2329300000015</v>
      </c>
      <c r="AB27" s="593">
        <v>2565.3016100000023</v>
      </c>
      <c r="AC27" s="593">
        <v>2572.7872500000021</v>
      </c>
      <c r="AD27" s="593">
        <v>2585.3473800000024</v>
      </c>
      <c r="AE27" s="593">
        <v>2409.2215000000024</v>
      </c>
    </row>
    <row r="28" spans="1:31" s="387" customFormat="1">
      <c r="A28" s="225"/>
      <c r="B28" s="596" t="s">
        <v>910</v>
      </c>
      <c r="C28" s="595"/>
      <c r="D28" s="595"/>
      <c r="E28" s="595"/>
      <c r="F28" s="59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>
        <f>SUM(V29:V37)</f>
        <v>608054.50958999747</v>
      </c>
      <c r="W28" s="235">
        <f t="shared" ref="W28:AA28" si="3">SUM(W29:W37)</f>
        <v>613351.05240000039</v>
      </c>
      <c r="X28" s="235">
        <f t="shared" si="3"/>
        <v>605848.89274000051</v>
      </c>
      <c r="Y28" s="235">
        <f t="shared" si="3"/>
        <v>613987.17299000046</v>
      </c>
      <c r="Z28" s="235">
        <f t="shared" si="3"/>
        <v>625623.92288000055</v>
      </c>
      <c r="AA28" s="235">
        <f t="shared" si="3"/>
        <v>638562.06281000038</v>
      </c>
      <c r="AB28" s="235">
        <f>SUM(AB29:AB37)</f>
        <v>639448.56716000033</v>
      </c>
      <c r="AC28" s="235">
        <f>SUM(AC29:AC37)</f>
        <v>610082.80926000036</v>
      </c>
      <c r="AD28" s="235">
        <f>SUM(AD29:AD37)</f>
        <v>603848.81600000034</v>
      </c>
      <c r="AE28" s="235">
        <f>SUM(AE29:AE37)</f>
        <v>596244.02142000326</v>
      </c>
    </row>
    <row r="29" spans="1:31" s="30" customFormat="1" ht="18" customHeight="1">
      <c r="A29"/>
      <c r="B29" s="36" t="s">
        <v>900</v>
      </c>
      <c r="C29" s="592"/>
      <c r="D29" s="592"/>
      <c r="E29" s="592"/>
      <c r="F29" s="592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>
        <v>352649.36967000022</v>
      </c>
      <c r="W29" s="593">
        <v>353888.85021000006</v>
      </c>
      <c r="X29" s="593">
        <v>347014.66842</v>
      </c>
      <c r="Y29" s="593">
        <v>347912.86752999999</v>
      </c>
      <c r="Z29" s="593">
        <v>354648.14726</v>
      </c>
      <c r="AA29" s="593">
        <v>359582.75334999996</v>
      </c>
      <c r="AB29" s="593">
        <v>357325.00441999995</v>
      </c>
      <c r="AC29" s="593">
        <v>335644.37094999995</v>
      </c>
      <c r="AD29" s="593">
        <v>330158.31569999992</v>
      </c>
      <c r="AE29" s="593">
        <v>322289.10363999993</v>
      </c>
    </row>
    <row r="30" spans="1:31" s="30" customFormat="1" ht="18" customHeight="1">
      <c r="A30"/>
      <c r="B30" s="36" t="s">
        <v>901</v>
      </c>
      <c r="C30" s="592"/>
      <c r="D30" s="592"/>
      <c r="E30" s="592"/>
      <c r="F30" s="592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>
        <v>252174.67976000006</v>
      </c>
      <c r="W30" s="593">
        <v>257211.55988999995</v>
      </c>
      <c r="X30" s="593">
        <v>256557.92086999997</v>
      </c>
      <c r="Y30" s="593">
        <v>262626.43769999995</v>
      </c>
      <c r="Z30" s="593">
        <v>268550.17589000001</v>
      </c>
      <c r="AA30" s="593">
        <v>276799.31237999996</v>
      </c>
      <c r="AB30" s="593">
        <v>279335.1737199999</v>
      </c>
      <c r="AC30" s="593">
        <v>271990.46068999986</v>
      </c>
      <c r="AD30" s="593">
        <v>271542.35330999986</v>
      </c>
      <c r="AE30" s="593">
        <v>271799.93755999982</v>
      </c>
    </row>
    <row r="31" spans="1:31" s="30" customFormat="1" ht="18" customHeight="1">
      <c r="A31"/>
      <c r="B31" s="36" t="s">
        <v>902</v>
      </c>
      <c r="C31" s="592"/>
      <c r="D31" s="592"/>
      <c r="E31" s="592"/>
      <c r="F31" s="592"/>
      <c r="G31" s="593"/>
      <c r="H31" s="593"/>
      <c r="I31" s="593"/>
      <c r="J31" s="593"/>
      <c r="K31" s="593"/>
      <c r="L31" s="593"/>
      <c r="M31" s="593"/>
      <c r="N31" s="593"/>
      <c r="O31" s="593"/>
      <c r="P31" s="593"/>
      <c r="Q31" s="593"/>
      <c r="R31" s="593"/>
      <c r="S31" s="593"/>
      <c r="T31" s="593"/>
      <c r="U31" s="593"/>
      <c r="V31" s="593">
        <v>47.658460000000744</v>
      </c>
      <c r="W31" s="593">
        <v>45.738039999999849</v>
      </c>
      <c r="X31" s="593">
        <v>43.192299999999847</v>
      </c>
      <c r="Y31" s="593">
        <v>43.046019999999842</v>
      </c>
      <c r="Z31" s="593">
        <v>42.301449999999846</v>
      </c>
      <c r="AA31" s="593">
        <v>44.442889999999849</v>
      </c>
      <c r="AB31" s="593">
        <v>41.945859999999854</v>
      </c>
      <c r="AC31" s="593">
        <v>43.748549999999852</v>
      </c>
      <c r="AD31" s="593">
        <v>41.978029999999855</v>
      </c>
      <c r="AE31" s="593">
        <v>40.754149999999854</v>
      </c>
    </row>
    <row r="32" spans="1:31" s="30" customFormat="1" ht="18" customHeight="1">
      <c r="A32"/>
      <c r="B32" s="36" t="s">
        <v>903</v>
      </c>
      <c r="C32" s="592"/>
      <c r="D32" s="592"/>
      <c r="E32" s="592"/>
      <c r="F32" s="592"/>
      <c r="G32" s="593"/>
      <c r="H32" s="593"/>
      <c r="I32" s="593"/>
      <c r="J32" s="593"/>
      <c r="K32" s="593"/>
      <c r="L32" s="593"/>
      <c r="M32" s="593"/>
      <c r="N32" s="593"/>
      <c r="O32" s="593"/>
      <c r="P32" s="593"/>
      <c r="Q32" s="593"/>
      <c r="R32" s="593"/>
      <c r="S32" s="593"/>
      <c r="T32" s="593"/>
      <c r="U32" s="593"/>
      <c r="V32" s="593">
        <v>1160.0299100000314</v>
      </c>
      <c r="W32" s="593">
        <v>891.64945000000455</v>
      </c>
      <c r="X32" s="593">
        <v>894.57634000000451</v>
      </c>
      <c r="Y32" s="593">
        <v>2075.4238500000047</v>
      </c>
      <c r="Z32" s="593">
        <v>1026.6619700000044</v>
      </c>
      <c r="AA32" s="593">
        <v>804.11264000000472</v>
      </c>
      <c r="AB32" s="593">
        <v>1392.8939500000045</v>
      </c>
      <c r="AC32" s="593">
        <v>1021.9655300000043</v>
      </c>
      <c r="AD32" s="593">
        <v>713.99581000000387</v>
      </c>
      <c r="AE32" s="593">
        <v>718.09588000000326</v>
      </c>
    </row>
    <row r="33" spans="1:31" s="30" customFormat="1" ht="18" customHeight="1">
      <c r="A33"/>
      <c r="B33" s="36" t="s">
        <v>904</v>
      </c>
      <c r="C33" s="592"/>
      <c r="D33" s="592"/>
      <c r="E33" s="592"/>
      <c r="F33" s="592"/>
      <c r="G33" s="593"/>
      <c r="H33" s="593"/>
      <c r="I33" s="593"/>
      <c r="J33" s="593"/>
      <c r="K33" s="593"/>
      <c r="L33" s="593"/>
      <c r="M33" s="593"/>
      <c r="N33" s="593"/>
      <c r="O33" s="593"/>
      <c r="P33" s="593"/>
      <c r="Q33" s="593"/>
      <c r="R33" s="593"/>
      <c r="S33" s="593"/>
      <c r="T33" s="593"/>
      <c r="U33" s="593"/>
      <c r="V33" s="593">
        <v>1040.6705799999979</v>
      </c>
      <c r="W33" s="593">
        <v>408.61743999998072</v>
      </c>
      <c r="X33" s="593">
        <v>421.28093999998077</v>
      </c>
      <c r="Y33" s="593">
        <v>431.35297999998085</v>
      </c>
      <c r="Z33" s="593">
        <v>446.14141999998077</v>
      </c>
      <c r="AA33" s="593">
        <v>463.72235999998082</v>
      </c>
      <c r="AB33" s="593">
        <v>478.88706999998078</v>
      </c>
      <c r="AC33" s="593">
        <v>488.93026999998079</v>
      </c>
      <c r="AD33" s="593">
        <v>500.76339999998083</v>
      </c>
      <c r="AE33" s="593">
        <v>524.9679799999808</v>
      </c>
    </row>
    <row r="34" spans="1:31" s="30" customFormat="1" ht="18" customHeight="1">
      <c r="A34"/>
      <c r="B34" s="36" t="s">
        <v>905</v>
      </c>
      <c r="C34" s="592"/>
      <c r="D34" s="592"/>
      <c r="E34" s="592"/>
      <c r="F34" s="592"/>
      <c r="G34" s="593"/>
      <c r="H34" s="593"/>
      <c r="I34" s="593"/>
      <c r="J34" s="593"/>
      <c r="K34" s="593"/>
      <c r="L34" s="593"/>
      <c r="M34" s="593"/>
      <c r="N34" s="593"/>
      <c r="O34" s="593"/>
      <c r="P34" s="593"/>
      <c r="Q34" s="593"/>
      <c r="R34" s="593"/>
      <c r="S34" s="593"/>
      <c r="T34" s="593"/>
      <c r="U34" s="593"/>
      <c r="V34" s="593">
        <v>215.72188999725179</v>
      </c>
      <c r="W34" s="593">
        <v>199.26324000045796</v>
      </c>
      <c r="X34" s="593">
        <v>209.66463000045857</v>
      </c>
      <c r="Y34" s="593">
        <v>205.36154000045966</v>
      </c>
      <c r="Z34" s="593">
        <v>214.71907000045991</v>
      </c>
      <c r="AA34" s="593">
        <v>191.28897000045936</v>
      </c>
      <c r="AB34" s="593">
        <v>173.17103000045941</v>
      </c>
      <c r="AC34" s="593">
        <v>187.42341000045977</v>
      </c>
      <c r="AD34" s="593">
        <v>184.93365000045858</v>
      </c>
      <c r="AE34" s="593">
        <v>183.63402000045869</v>
      </c>
    </row>
    <row r="35" spans="1:31" s="30" customFormat="1" ht="18" customHeight="1">
      <c r="A35"/>
      <c r="B35" s="36" t="s">
        <v>906</v>
      </c>
      <c r="C35" s="592"/>
      <c r="D35" s="592"/>
      <c r="E35" s="592"/>
      <c r="F35" s="592"/>
      <c r="G35" s="593"/>
      <c r="H35" s="593"/>
      <c r="I35" s="593"/>
      <c r="J35" s="593"/>
      <c r="K35" s="593"/>
      <c r="L35" s="593"/>
      <c r="M35" s="593"/>
      <c r="N35" s="593"/>
      <c r="O35" s="593"/>
      <c r="P35" s="593"/>
      <c r="Q35" s="593"/>
      <c r="R35" s="593"/>
      <c r="S35" s="593"/>
      <c r="T35" s="593"/>
      <c r="U35" s="593"/>
      <c r="V35" s="593">
        <v>27.46696000000119</v>
      </c>
      <c r="W35" s="593">
        <v>25.986150000000382</v>
      </c>
      <c r="X35" s="593">
        <v>24.970930000000383</v>
      </c>
      <c r="Y35" s="593">
        <v>4.37383000000038</v>
      </c>
      <c r="Z35" s="593">
        <v>4.3075400000003805</v>
      </c>
      <c r="AA35" s="593">
        <v>4.2401900000003794</v>
      </c>
      <c r="AB35" s="593">
        <v>0</v>
      </c>
      <c r="AC35" s="593">
        <v>0</v>
      </c>
      <c r="AD35" s="593">
        <v>4.4436300000003799</v>
      </c>
      <c r="AE35" s="593">
        <v>4.2965800000003798</v>
      </c>
    </row>
    <row r="36" spans="1:31" s="30" customFormat="1" ht="18" customHeight="1">
      <c r="A36"/>
      <c r="B36" s="36" t="s">
        <v>907</v>
      </c>
      <c r="C36" s="592"/>
      <c r="D36" s="592"/>
      <c r="E36" s="592"/>
      <c r="F36" s="592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>
        <v>738.91236000000413</v>
      </c>
      <c r="W36" s="593">
        <v>-9.9999970116186892E-6</v>
      </c>
      <c r="X36" s="593">
        <v>-9.9999970116186892E-6</v>
      </c>
      <c r="Y36" s="593">
        <v>-9.9999970116186892E-6</v>
      </c>
      <c r="Z36" s="593">
        <v>-9.9999970116186892E-6</v>
      </c>
      <c r="AA36" s="593">
        <v>-9.9999970116186892E-6</v>
      </c>
      <c r="AB36" s="593">
        <v>4.1484900000003799</v>
      </c>
      <c r="AC36" s="593">
        <v>4.5769900000003796</v>
      </c>
      <c r="AD36" s="593">
        <v>-9.9999970116186892E-6</v>
      </c>
      <c r="AE36" s="593">
        <v>-9.9999970116186887E-3</v>
      </c>
    </row>
    <row r="37" spans="1:31" s="30" customFormat="1" ht="18" customHeight="1">
      <c r="A37"/>
      <c r="B37" s="36" t="s">
        <v>908</v>
      </c>
      <c r="C37" s="592"/>
      <c r="D37" s="592"/>
      <c r="E37" s="592"/>
      <c r="F37" s="592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>
        <v>0</v>
      </c>
      <c r="W37" s="593">
        <v>679.38798999999995</v>
      </c>
      <c r="X37" s="593">
        <v>682.61831999999993</v>
      </c>
      <c r="Y37" s="593">
        <v>688.30954999999994</v>
      </c>
      <c r="Z37" s="593">
        <v>691.46828999999991</v>
      </c>
      <c r="AA37" s="593">
        <v>672.19003999999984</v>
      </c>
      <c r="AB37" s="593">
        <v>697.3426199999999</v>
      </c>
      <c r="AC37" s="593">
        <v>701.33286999999996</v>
      </c>
      <c r="AD37" s="593">
        <v>702.03248000000008</v>
      </c>
      <c r="AE37" s="593">
        <v>683.24161000000004</v>
      </c>
    </row>
    <row r="38" spans="1:31" s="387" customFormat="1">
      <c r="A38" s="225"/>
      <c r="B38" s="596" t="s">
        <v>911</v>
      </c>
      <c r="C38" s="595"/>
      <c r="D38" s="595"/>
      <c r="E38" s="595"/>
      <c r="F38" s="59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>
        <f>SUM(V39:V47)</f>
        <v>101731.11297000003</v>
      </c>
      <c r="W38" s="235">
        <f t="shared" ref="W38:AA38" si="4">SUM(W39:W47)</f>
        <v>104590.56841999966</v>
      </c>
      <c r="X38" s="235">
        <f t="shared" si="4"/>
        <v>101983.86853999966</v>
      </c>
      <c r="Y38" s="235">
        <f t="shared" si="4"/>
        <v>98748.290649999617</v>
      </c>
      <c r="Z38" s="235">
        <f t="shared" si="4"/>
        <v>100168.46301999965</v>
      </c>
      <c r="AA38" s="235">
        <f t="shared" si="4"/>
        <v>100036.30771999963</v>
      </c>
      <c r="AB38" s="235">
        <f>SUM(AB39:AB47)</f>
        <v>102172.91393999962</v>
      </c>
      <c r="AC38" s="235">
        <f>SUM(AC39:AC47)</f>
        <v>100532.23871999963</v>
      </c>
      <c r="AD38" s="235">
        <f>SUM(AD39:AD47)</f>
        <v>97867.590279999626</v>
      </c>
      <c r="AE38" s="235">
        <f>SUM(AE39:AE47)</f>
        <v>97445.765419999632</v>
      </c>
    </row>
    <row r="39" spans="1:31" s="30" customFormat="1" ht="18" customHeight="1">
      <c r="A39"/>
      <c r="B39" s="36" t="s">
        <v>900</v>
      </c>
      <c r="C39" s="592"/>
      <c r="D39" s="592"/>
      <c r="E39" s="592"/>
      <c r="F39" s="592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>
        <v>0</v>
      </c>
      <c r="W39" s="593">
        <v>0</v>
      </c>
      <c r="X39" s="593">
        <v>0</v>
      </c>
      <c r="Y39" s="593">
        <v>0</v>
      </c>
      <c r="Z39" s="593">
        <v>0</v>
      </c>
      <c r="AA39" s="593">
        <v>0</v>
      </c>
      <c r="AB39" s="593">
        <v>0</v>
      </c>
      <c r="AC39" s="593">
        <v>0</v>
      </c>
      <c r="AD39" s="593">
        <v>0</v>
      </c>
      <c r="AE39" s="593">
        <v>0</v>
      </c>
    </row>
    <row r="40" spans="1:31" s="30" customFormat="1" ht="18" customHeight="1">
      <c r="A40"/>
      <c r="B40" s="36" t="s">
        <v>901</v>
      </c>
      <c r="C40" s="592"/>
      <c r="D40" s="592"/>
      <c r="E40" s="592"/>
      <c r="F40" s="592"/>
      <c r="G40" s="593"/>
      <c r="H40" s="593"/>
      <c r="I40" s="593"/>
      <c r="J40" s="593"/>
      <c r="K40" s="593"/>
      <c r="L40" s="593"/>
      <c r="M40" s="593"/>
      <c r="N40" s="593"/>
      <c r="O40" s="593"/>
      <c r="P40" s="593"/>
      <c r="Q40" s="593"/>
      <c r="R40" s="593"/>
      <c r="S40" s="593"/>
      <c r="T40" s="593"/>
      <c r="U40" s="593"/>
      <c r="V40" s="593">
        <v>63295.409229999997</v>
      </c>
      <c r="W40" s="593">
        <v>65973.065370000011</v>
      </c>
      <c r="X40" s="593">
        <v>65629.510650000011</v>
      </c>
      <c r="Y40" s="593">
        <v>66464.201860000001</v>
      </c>
      <c r="Z40" s="593">
        <v>66378.855960000001</v>
      </c>
      <c r="AA40" s="593">
        <v>67479.218999999997</v>
      </c>
      <c r="AB40" s="593">
        <v>68085.900149999987</v>
      </c>
      <c r="AC40" s="593">
        <v>65697.955199999982</v>
      </c>
      <c r="AD40" s="593">
        <v>65373.90219999999</v>
      </c>
      <c r="AE40" s="593">
        <v>65193.971839999991</v>
      </c>
    </row>
    <row r="41" spans="1:31" s="30" customFormat="1" ht="18" customHeight="1">
      <c r="A41"/>
      <c r="B41" s="36" t="s">
        <v>902</v>
      </c>
      <c r="C41" s="592"/>
      <c r="D41" s="592"/>
      <c r="E41" s="592"/>
      <c r="F41" s="592"/>
      <c r="G41" s="593"/>
      <c r="H41" s="593"/>
      <c r="I41" s="593"/>
      <c r="J41" s="593"/>
      <c r="K41" s="593"/>
      <c r="L41" s="593"/>
      <c r="M41" s="593"/>
      <c r="N41" s="593"/>
      <c r="O41" s="593"/>
      <c r="P41" s="593"/>
      <c r="Q41" s="593"/>
      <c r="R41" s="593"/>
      <c r="S41" s="593"/>
      <c r="T41" s="593"/>
      <c r="U41" s="593"/>
      <c r="V41" s="593">
        <v>12864.689640000088</v>
      </c>
      <c r="W41" s="593">
        <v>12391.802839999857</v>
      </c>
      <c r="X41" s="593">
        <v>12087.176499999854</v>
      </c>
      <c r="Y41" s="593">
        <v>12036.554789999855</v>
      </c>
      <c r="Z41" s="593">
        <v>11845.050929999856</v>
      </c>
      <c r="AA41" s="593">
        <v>11416.69952999986</v>
      </c>
      <c r="AB41" s="593">
        <v>11174.48933999986</v>
      </c>
      <c r="AC41" s="593">
        <v>11081.58927999986</v>
      </c>
      <c r="AD41" s="593">
        <v>10855.97616999986</v>
      </c>
      <c r="AE41" s="593">
        <v>10536.207129999857</v>
      </c>
    </row>
    <row r="42" spans="1:31" s="30" customFormat="1" ht="18" customHeight="1">
      <c r="A42"/>
      <c r="B42" s="36" t="s">
        <v>903</v>
      </c>
      <c r="C42" s="592"/>
      <c r="D42" s="592"/>
      <c r="E42" s="592"/>
      <c r="F42" s="592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  <c r="R42" s="593"/>
      <c r="S42" s="593"/>
      <c r="T42" s="593"/>
      <c r="U42" s="593"/>
      <c r="V42" s="593">
        <v>0</v>
      </c>
      <c r="W42" s="593">
        <v>833.52319000000023</v>
      </c>
      <c r="X42" s="593">
        <v>704.22943000000043</v>
      </c>
      <c r="Y42" s="593">
        <v>812.43023000000039</v>
      </c>
      <c r="Z42" s="593">
        <v>974.27194000000031</v>
      </c>
      <c r="AA42" s="593">
        <v>1729.3759400000006</v>
      </c>
      <c r="AB42" s="593">
        <v>1275.7133500000009</v>
      </c>
      <c r="AC42" s="593">
        <v>1316.0157100000008</v>
      </c>
      <c r="AD42" s="593">
        <v>1351.8051100000007</v>
      </c>
      <c r="AE42" s="593">
        <v>1351.8349400000006</v>
      </c>
    </row>
    <row r="43" spans="1:31" s="30" customFormat="1" ht="18" customHeight="1">
      <c r="A43"/>
      <c r="B43" s="36" t="s">
        <v>904</v>
      </c>
      <c r="C43" s="592"/>
      <c r="D43" s="592"/>
      <c r="E43" s="592"/>
      <c r="F43" s="592"/>
      <c r="G43" s="593"/>
      <c r="H43" s="593"/>
      <c r="I43" s="593"/>
      <c r="J43" s="593"/>
      <c r="K43" s="593"/>
      <c r="L43" s="593"/>
      <c r="M43" s="593"/>
      <c r="N43" s="593"/>
      <c r="O43" s="593"/>
      <c r="P43" s="593"/>
      <c r="Q43" s="593"/>
      <c r="R43" s="593"/>
      <c r="S43" s="593"/>
      <c r="T43" s="593"/>
      <c r="U43" s="593"/>
      <c r="V43" s="593">
        <v>17178.979909999973</v>
      </c>
      <c r="W43" s="593">
        <v>17128.612519999908</v>
      </c>
      <c r="X43" s="593">
        <v>15357.106389999906</v>
      </c>
      <c r="Y43" s="593">
        <v>14983.080349999904</v>
      </c>
      <c r="Z43" s="593">
        <v>16511.230799999903</v>
      </c>
      <c r="AA43" s="593">
        <v>15073.487479999903</v>
      </c>
      <c r="AB43" s="593">
        <v>17363.385789999906</v>
      </c>
      <c r="AC43" s="593">
        <v>17922.985629999905</v>
      </c>
      <c r="AD43" s="593">
        <v>15852.078729999906</v>
      </c>
      <c r="AE43" s="593">
        <v>15946.664059999908</v>
      </c>
    </row>
    <row r="44" spans="1:31" s="30" customFormat="1" ht="18" customHeight="1">
      <c r="A44"/>
      <c r="B44" s="36" t="s">
        <v>905</v>
      </c>
      <c r="C44" s="592"/>
      <c r="D44" s="592"/>
      <c r="E44" s="592"/>
      <c r="F44" s="592"/>
      <c r="G44" s="593"/>
      <c r="H44" s="593"/>
      <c r="I44" s="593"/>
      <c r="J44" s="593"/>
      <c r="K44" s="593"/>
      <c r="L44" s="593"/>
      <c r="M44" s="593"/>
      <c r="N44" s="593"/>
      <c r="O44" s="593"/>
      <c r="P44" s="593"/>
      <c r="Q44" s="593"/>
      <c r="R44" s="593"/>
      <c r="S44" s="593"/>
      <c r="T44" s="593"/>
      <c r="U44" s="593"/>
      <c r="V44" s="593">
        <v>0</v>
      </c>
      <c r="W44" s="593">
        <v>0</v>
      </c>
      <c r="X44" s="593">
        <v>0</v>
      </c>
      <c r="Y44" s="593">
        <v>0</v>
      </c>
      <c r="Z44" s="593">
        <v>0</v>
      </c>
      <c r="AA44" s="593">
        <v>0</v>
      </c>
      <c r="AB44" s="593">
        <v>0</v>
      </c>
      <c r="AC44" s="593">
        <v>0</v>
      </c>
      <c r="AD44" s="593">
        <v>0</v>
      </c>
      <c r="AE44" s="593">
        <v>0</v>
      </c>
    </row>
    <row r="45" spans="1:31" s="30" customFormat="1" ht="18" customHeight="1">
      <c r="A45"/>
      <c r="B45" s="36" t="s">
        <v>906</v>
      </c>
      <c r="C45" s="592"/>
      <c r="D45" s="592"/>
      <c r="E45" s="592"/>
      <c r="F45" s="592"/>
      <c r="G45" s="593"/>
      <c r="H45" s="593"/>
      <c r="I45" s="593"/>
      <c r="J45" s="593"/>
      <c r="K45" s="593"/>
      <c r="L45" s="593"/>
      <c r="M45" s="593"/>
      <c r="N45" s="593"/>
      <c r="O45" s="593"/>
      <c r="P45" s="593"/>
      <c r="Q45" s="593"/>
      <c r="R45" s="593"/>
      <c r="S45" s="593"/>
      <c r="T45" s="593"/>
      <c r="U45" s="593"/>
      <c r="V45" s="593">
        <v>7193.1116399999619</v>
      </c>
      <c r="W45" s="593">
        <v>7163.3247699998665</v>
      </c>
      <c r="X45" s="593">
        <v>7085.1937299998654</v>
      </c>
      <c r="Y45" s="593">
        <v>3351.1818599998642</v>
      </c>
      <c r="Z45" s="593">
        <v>3294.7092499998639</v>
      </c>
      <c r="AA45" s="593">
        <v>3229.2875299998641</v>
      </c>
      <c r="AB45" s="593">
        <v>3171.2571599998641</v>
      </c>
      <c r="AC45" s="593">
        <v>3395.9258099998638</v>
      </c>
      <c r="AD45" s="593">
        <v>3343.9029699998637</v>
      </c>
      <c r="AE45" s="593">
        <v>3293.5325899998643</v>
      </c>
    </row>
    <row r="46" spans="1:31" s="30" customFormat="1" ht="18" customHeight="1">
      <c r="A46"/>
      <c r="B46" s="36" t="s">
        <v>907</v>
      </c>
      <c r="C46" s="592"/>
      <c r="D46" s="592"/>
      <c r="E46" s="592"/>
      <c r="F46" s="592"/>
      <c r="G46" s="593"/>
      <c r="H46" s="593"/>
      <c r="I46" s="593"/>
      <c r="J46" s="593"/>
      <c r="K46" s="593"/>
      <c r="L46" s="593"/>
      <c r="M46" s="593"/>
      <c r="N46" s="593"/>
      <c r="O46" s="593"/>
      <c r="P46" s="593"/>
      <c r="Q46" s="593"/>
      <c r="R46" s="593"/>
      <c r="S46" s="593"/>
      <c r="T46" s="593"/>
      <c r="U46" s="593"/>
      <c r="V46" s="593">
        <v>1198.9225499999984</v>
      </c>
      <c r="W46" s="593">
        <v>563.68646000000945</v>
      </c>
      <c r="X46" s="593">
        <v>572.15206000000933</v>
      </c>
      <c r="Y46" s="593">
        <v>541.4232500000096</v>
      </c>
      <c r="Z46" s="593">
        <v>585.40501000000972</v>
      </c>
      <c r="AA46" s="593">
        <v>516.92000000000951</v>
      </c>
      <c r="AB46" s="593">
        <v>491.48726000000954</v>
      </c>
      <c r="AC46" s="593">
        <v>498.75944000000959</v>
      </c>
      <c r="AD46" s="593">
        <v>458.64399000000958</v>
      </c>
      <c r="AE46" s="593">
        <v>470.66147000000956</v>
      </c>
    </row>
    <row r="47" spans="1:31" s="30" customFormat="1" ht="18" customHeight="1">
      <c r="A47"/>
      <c r="B47" s="36" t="s">
        <v>908</v>
      </c>
      <c r="C47" s="592"/>
      <c r="D47" s="592"/>
      <c r="E47" s="592"/>
      <c r="F47" s="592"/>
      <c r="G47" s="593"/>
      <c r="H47" s="593"/>
      <c r="I47" s="593"/>
      <c r="J47" s="593"/>
      <c r="K47" s="593"/>
      <c r="L47" s="593"/>
      <c r="M47" s="593"/>
      <c r="N47" s="593"/>
      <c r="O47" s="593"/>
      <c r="P47" s="593"/>
      <c r="Q47" s="593"/>
      <c r="R47" s="593"/>
      <c r="S47" s="593"/>
      <c r="T47" s="593"/>
      <c r="U47" s="593"/>
      <c r="V47" s="593">
        <v>0</v>
      </c>
      <c r="W47" s="593">
        <v>536.55326999999988</v>
      </c>
      <c r="X47" s="593">
        <v>548.49977999999976</v>
      </c>
      <c r="Y47" s="593">
        <v>559.41830999999968</v>
      </c>
      <c r="Z47" s="593">
        <v>578.93912999999975</v>
      </c>
      <c r="AA47" s="593">
        <v>591.31823999999972</v>
      </c>
      <c r="AB47" s="593">
        <v>610.68088999999975</v>
      </c>
      <c r="AC47" s="593">
        <v>619.00764999999978</v>
      </c>
      <c r="AD47" s="593">
        <v>631.2811099999999</v>
      </c>
      <c r="AE47" s="593">
        <v>652.89338999999961</v>
      </c>
    </row>
    <row r="48" spans="1:31" s="387" customFormat="1">
      <c r="A48" s="225"/>
      <c r="B48" s="597" t="s">
        <v>380</v>
      </c>
      <c r="C48" s="595">
        <f>SUM(C49:C56)</f>
        <v>0</v>
      </c>
      <c r="D48" s="595">
        <f>SUM(D49:D56)</f>
        <v>0</v>
      </c>
      <c r="E48" s="595">
        <f>SUM(E49:E56)</f>
        <v>0</v>
      </c>
      <c r="F48" s="595">
        <f>SUM(F49:F56)</f>
        <v>0</v>
      </c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>
        <f t="shared" ref="V48:AA48" si="5">SUM(V49:V56)</f>
        <v>2154321.2101700003</v>
      </c>
      <c r="W48" s="235">
        <f t="shared" si="5"/>
        <v>1985628.8847099994</v>
      </c>
      <c r="X48" s="235">
        <f t="shared" si="5"/>
        <v>2124652.00245</v>
      </c>
      <c r="Y48" s="235">
        <f t="shared" si="5"/>
        <v>8403648.8498200011</v>
      </c>
      <c r="Z48" s="235">
        <f t="shared" si="5"/>
        <v>8378312.1535899984</v>
      </c>
      <c r="AA48" s="235">
        <f t="shared" si="5"/>
        <v>8303149.8382599987</v>
      </c>
      <c r="AB48" s="235">
        <f>SUM(AB49:AB56)</f>
        <v>8219538.6861100011</v>
      </c>
      <c r="AC48" s="235">
        <f>SUM(AC49:AC56)</f>
        <v>8118234.8733600015</v>
      </c>
      <c r="AD48" s="235">
        <f>SUM(AD49:AD56)</f>
        <v>7922552.809419998</v>
      </c>
      <c r="AE48" s="235">
        <f>SUM(AE49:AE56)</f>
        <v>7735136.3869400015</v>
      </c>
    </row>
    <row r="49" spans="1:32" s="30" customFormat="1" ht="18" customHeight="1">
      <c r="A49"/>
      <c r="B49" s="36" t="s">
        <v>912</v>
      </c>
      <c r="C49" s="602">
        <v>0</v>
      </c>
      <c r="D49" s="602">
        <v>0</v>
      </c>
      <c r="E49" s="602">
        <v>0</v>
      </c>
      <c r="F49" s="602">
        <v>0</v>
      </c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>
        <v>193.50023999999999</v>
      </c>
      <c r="W49" s="564">
        <v>289.86011999999999</v>
      </c>
      <c r="X49" s="564">
        <v>375.48212000000001</v>
      </c>
      <c r="Y49" s="564">
        <v>428.57554999999996</v>
      </c>
      <c r="Z49" s="564">
        <v>402.13884999999999</v>
      </c>
      <c r="AA49" s="564">
        <v>10428.424429999997</v>
      </c>
      <c r="AB49" s="564">
        <v>4459.8826900000004</v>
      </c>
      <c r="AC49" s="564">
        <v>1122.66049</v>
      </c>
      <c r="AD49" s="564">
        <v>1226.6396800000002</v>
      </c>
      <c r="AE49" s="593">
        <v>1140.04946</v>
      </c>
      <c r="AF49" s="592"/>
    </row>
    <row r="50" spans="1:32" s="30" customFormat="1" ht="18" customHeight="1">
      <c r="A50"/>
      <c r="B50" s="36" t="s">
        <v>913</v>
      </c>
      <c r="C50" s="602">
        <v>0</v>
      </c>
      <c r="D50" s="602">
        <v>0</v>
      </c>
      <c r="E50" s="602">
        <v>0</v>
      </c>
      <c r="F50" s="602">
        <v>0</v>
      </c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>
        <v>0</v>
      </c>
      <c r="W50" s="564">
        <v>0</v>
      </c>
      <c r="X50" s="564">
        <v>0</v>
      </c>
      <c r="Y50" s="564">
        <v>0</v>
      </c>
      <c r="Z50" s="564">
        <v>0</v>
      </c>
      <c r="AA50" s="564">
        <v>0</v>
      </c>
      <c r="AB50" s="564">
        <v>0</v>
      </c>
      <c r="AC50" s="564">
        <v>0</v>
      </c>
      <c r="AD50" s="564">
        <v>0</v>
      </c>
      <c r="AE50" s="593">
        <v>0</v>
      </c>
      <c r="AF50" s="592"/>
    </row>
    <row r="51" spans="1:32" s="30" customFormat="1" ht="18" customHeight="1">
      <c r="A51"/>
      <c r="B51" s="36" t="s">
        <v>914</v>
      </c>
      <c r="C51" s="592">
        <v>0</v>
      </c>
      <c r="D51" s="592">
        <v>0</v>
      </c>
      <c r="E51" s="592">
        <v>0</v>
      </c>
      <c r="F51" s="592">
        <v>0</v>
      </c>
      <c r="G51" s="593"/>
      <c r="H51" s="593"/>
      <c r="I51" s="593"/>
      <c r="J51" s="593"/>
      <c r="K51" s="593"/>
      <c r="L51" s="593"/>
      <c r="M51" s="593"/>
      <c r="N51" s="593"/>
      <c r="O51" s="593"/>
      <c r="P51" s="593"/>
      <c r="Q51" s="593"/>
      <c r="R51" s="593"/>
      <c r="S51" s="593"/>
      <c r="T51" s="593"/>
      <c r="U51" s="593"/>
      <c r="V51" s="564">
        <v>266.64735999999999</v>
      </c>
      <c r="W51" s="564">
        <v>227.6626</v>
      </c>
      <c r="X51" s="564">
        <v>201.86335</v>
      </c>
      <c r="Y51" s="564">
        <v>171.26148999999998</v>
      </c>
      <c r="Z51" s="564">
        <v>151.40367000000001</v>
      </c>
      <c r="AA51" s="564">
        <v>136.62782000000001</v>
      </c>
      <c r="AB51" s="564">
        <v>114.56795</v>
      </c>
      <c r="AC51" s="564">
        <v>96.79449000000001</v>
      </c>
      <c r="AD51" s="564">
        <v>80.199380000000005</v>
      </c>
      <c r="AE51" s="593">
        <v>67.613209999999995</v>
      </c>
      <c r="AF51" s="592"/>
    </row>
    <row r="52" spans="1:32" s="30" customFormat="1" ht="18" customHeight="1">
      <c r="A52"/>
      <c r="B52" s="36" t="s">
        <v>915</v>
      </c>
      <c r="C52" s="592">
        <v>0</v>
      </c>
      <c r="D52" s="592">
        <v>0</v>
      </c>
      <c r="E52" s="592">
        <v>0</v>
      </c>
      <c r="F52" s="592">
        <v>0</v>
      </c>
      <c r="G52" s="593"/>
      <c r="H52" s="593"/>
      <c r="I52" s="593"/>
      <c r="J52" s="593"/>
      <c r="K52" s="593"/>
      <c r="L52" s="593"/>
      <c r="M52" s="593"/>
      <c r="N52" s="593"/>
      <c r="O52" s="593"/>
      <c r="P52" s="593"/>
      <c r="Q52" s="593"/>
      <c r="R52" s="593"/>
      <c r="S52" s="593"/>
      <c r="T52" s="593"/>
      <c r="U52" s="593"/>
      <c r="V52" s="564">
        <v>430.02915000000002</v>
      </c>
      <c r="W52" s="564">
        <v>416.54318999999998</v>
      </c>
      <c r="X52" s="564">
        <v>482.48667</v>
      </c>
      <c r="Y52" s="564">
        <v>496.40234000000004</v>
      </c>
      <c r="Z52" s="564">
        <v>443.78546</v>
      </c>
      <c r="AA52" s="564">
        <v>417.80786999999998</v>
      </c>
      <c r="AB52" s="564">
        <v>362.19834000000003</v>
      </c>
      <c r="AC52" s="564">
        <v>303.67953</v>
      </c>
      <c r="AD52" s="564">
        <v>308.28126000000003</v>
      </c>
      <c r="AE52" s="593">
        <v>251.46983</v>
      </c>
      <c r="AF52" s="592"/>
    </row>
    <row r="53" spans="1:32" s="30" customFormat="1" ht="18" customHeight="1">
      <c r="A53"/>
      <c r="B53" s="36" t="s">
        <v>916</v>
      </c>
      <c r="C53" s="592">
        <v>0</v>
      </c>
      <c r="D53" s="592">
        <v>0</v>
      </c>
      <c r="E53" s="592">
        <v>0</v>
      </c>
      <c r="F53" s="592">
        <v>0</v>
      </c>
      <c r="G53" s="593"/>
      <c r="H53" s="593"/>
      <c r="I53" s="593"/>
      <c r="J53" s="593"/>
      <c r="K53" s="593"/>
      <c r="L53" s="593"/>
      <c r="M53" s="593"/>
      <c r="N53" s="593"/>
      <c r="O53" s="593"/>
      <c r="P53" s="593"/>
      <c r="Q53" s="593"/>
      <c r="R53" s="593"/>
      <c r="S53" s="593"/>
      <c r="T53" s="593"/>
      <c r="U53" s="593"/>
      <c r="V53" s="564">
        <v>1582465.3943700001</v>
      </c>
      <c r="W53" s="564">
        <v>1427069.6570699997</v>
      </c>
      <c r="X53" s="564">
        <v>1292540.0559699999</v>
      </c>
      <c r="Y53" s="564">
        <v>7225989.7544100005</v>
      </c>
      <c r="Z53" s="564">
        <v>7321943.1903299997</v>
      </c>
      <c r="AA53" s="564">
        <v>7210529.9501099987</v>
      </c>
      <c r="AB53" s="564">
        <v>7100801.2804300012</v>
      </c>
      <c r="AC53" s="564">
        <v>7034301.9084800007</v>
      </c>
      <c r="AD53" s="564">
        <v>6836067.7466799989</v>
      </c>
      <c r="AE53" s="593">
        <v>6666215.7850100007</v>
      </c>
      <c r="AF53" s="592"/>
    </row>
    <row r="54" spans="1:32" s="30" customFormat="1" ht="18" customHeight="1">
      <c r="A54"/>
      <c r="B54" s="36" t="s">
        <v>917</v>
      </c>
      <c r="C54" s="592">
        <v>0</v>
      </c>
      <c r="D54" s="592">
        <v>0</v>
      </c>
      <c r="E54" s="592">
        <v>0</v>
      </c>
      <c r="F54" s="592">
        <v>0</v>
      </c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64">
        <v>298904.93968000007</v>
      </c>
      <c r="W54" s="564">
        <v>290930.38416000002</v>
      </c>
      <c r="X54" s="564">
        <v>515399.94870000007</v>
      </c>
      <c r="Y54" s="564">
        <v>713383.46108999988</v>
      </c>
      <c r="Z54" s="564">
        <v>607548.33779999998</v>
      </c>
      <c r="AA54" s="564">
        <v>606326.03491000005</v>
      </c>
      <c r="AB54" s="564">
        <v>692236.94515999989</v>
      </c>
      <c r="AC54" s="564">
        <v>652810.09845999978</v>
      </c>
      <c r="AD54" s="564">
        <v>646640.70319999987</v>
      </c>
      <c r="AE54" s="593">
        <v>616312.86345000006</v>
      </c>
      <c r="AF54" s="592"/>
    </row>
    <row r="55" spans="1:32" s="30" customFormat="1" ht="18" customHeight="1">
      <c r="A55"/>
      <c r="B55" s="36" t="s">
        <v>918</v>
      </c>
      <c r="C55" s="592">
        <v>0</v>
      </c>
      <c r="D55" s="592">
        <v>0</v>
      </c>
      <c r="E55" s="592">
        <v>0</v>
      </c>
      <c r="F55" s="592">
        <v>0</v>
      </c>
      <c r="G55" s="593"/>
      <c r="H55" s="593"/>
      <c r="I55" s="593"/>
      <c r="J55" s="593"/>
      <c r="K55" s="593"/>
      <c r="L55" s="593"/>
      <c r="M55" s="593"/>
      <c r="N55" s="593"/>
      <c r="O55" s="593"/>
      <c r="P55" s="593"/>
      <c r="Q55" s="593"/>
      <c r="R55" s="593"/>
      <c r="S55" s="593"/>
      <c r="T55" s="593"/>
      <c r="U55" s="593"/>
      <c r="V55" s="564">
        <v>224804.5154</v>
      </c>
      <c r="W55" s="564">
        <v>218316.25727999999</v>
      </c>
      <c r="X55" s="564">
        <v>269067.98557000002</v>
      </c>
      <c r="Y55" s="564">
        <v>408948.62555999996</v>
      </c>
      <c r="Z55" s="564">
        <v>426254.70286000002</v>
      </c>
      <c r="AA55" s="564">
        <v>452390.05823000002</v>
      </c>
      <c r="AB55" s="564">
        <v>398290.89831000002</v>
      </c>
      <c r="AC55" s="564">
        <v>406297.95904000005</v>
      </c>
      <c r="AD55" s="564">
        <v>414840.97689999995</v>
      </c>
      <c r="AE55" s="593">
        <v>427327.95423000003</v>
      </c>
      <c r="AF55" s="592"/>
    </row>
    <row r="56" spans="1:32" s="30" customFormat="1" ht="18" customHeight="1">
      <c r="A56"/>
      <c r="B56" s="36" t="s">
        <v>919</v>
      </c>
      <c r="C56" s="592">
        <v>0</v>
      </c>
      <c r="D56" s="592">
        <v>0</v>
      </c>
      <c r="E56" s="592">
        <v>0</v>
      </c>
      <c r="F56" s="592">
        <v>0</v>
      </c>
      <c r="G56" s="593"/>
      <c r="H56" s="593"/>
      <c r="I56" s="593"/>
      <c r="J56" s="593"/>
      <c r="K56" s="593"/>
      <c r="L56" s="593"/>
      <c r="M56" s="593"/>
      <c r="N56" s="593"/>
      <c r="O56" s="593"/>
      <c r="P56" s="593"/>
      <c r="Q56" s="593"/>
      <c r="R56" s="593"/>
      <c r="S56" s="593"/>
      <c r="T56" s="593"/>
      <c r="U56" s="593"/>
      <c r="V56" s="564">
        <v>47256.183970000006</v>
      </c>
      <c r="W56" s="564">
        <v>48378.520289999993</v>
      </c>
      <c r="X56" s="564">
        <v>46584.180070000002</v>
      </c>
      <c r="Y56" s="564">
        <v>54230.769379999998</v>
      </c>
      <c r="Z56" s="564">
        <v>21568.59462</v>
      </c>
      <c r="AA56" s="564">
        <v>22920.934889999997</v>
      </c>
      <c r="AB56" s="564">
        <v>23272.913229999995</v>
      </c>
      <c r="AC56" s="564">
        <v>23301.772870000004</v>
      </c>
      <c r="AD56" s="564">
        <v>23388.262319999998</v>
      </c>
      <c r="AE56" s="593">
        <v>23820.651749999994</v>
      </c>
      <c r="AF56" s="592"/>
    </row>
    <row r="57" spans="1:32" s="387" customFormat="1" ht="25.35" customHeight="1">
      <c r="A57" s="225"/>
      <c r="B57" s="225" t="s">
        <v>920</v>
      </c>
      <c r="C57" s="235">
        <f>SUM(C7,C48)</f>
        <v>0</v>
      </c>
      <c r="D57" s="235">
        <f>SUM(D7,D48)</f>
        <v>0</v>
      </c>
      <c r="E57" s="235">
        <f>SUM(E7,E48)</f>
        <v>0</v>
      </c>
      <c r="F57" s="235">
        <f>SUM(F7,F48)</f>
        <v>0</v>
      </c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>
        <f t="shared" ref="V57:AA57" si="6">SUM(V7,V48)</f>
        <v>157134854.74048999</v>
      </c>
      <c r="W57" s="235">
        <f t="shared" si="6"/>
        <v>161628386.33320999</v>
      </c>
      <c r="X57" s="235">
        <f t="shared" si="6"/>
        <v>165003154.79941997</v>
      </c>
      <c r="Y57" s="235">
        <f t="shared" si="6"/>
        <v>176085431.00140995</v>
      </c>
      <c r="Z57" s="235">
        <f t="shared" si="6"/>
        <v>181311821.03911996</v>
      </c>
      <c r="AA57" s="235">
        <f t="shared" si="6"/>
        <v>187284650.01394999</v>
      </c>
      <c r="AB57" s="235">
        <f>SUM(AB7,AB48)</f>
        <v>192915413.38093999</v>
      </c>
      <c r="AC57" s="235">
        <f>SUM(AC7,AC48)</f>
        <v>200022838.49161008</v>
      </c>
      <c r="AD57" s="235">
        <f>SUM(AD7,AD48)</f>
        <v>207319490.33075002</v>
      </c>
      <c r="AE57" s="235">
        <f>SUM(AE7,AE48)</f>
        <v>214604609.14997</v>
      </c>
    </row>
    <row r="58" spans="1:32" ht="4.9000000000000004" customHeight="1">
      <c r="B58" s="3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2" ht="4.9000000000000004" customHeight="1">
      <c r="B59" s="36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613"/>
      <c r="W59" s="8"/>
      <c r="X59" s="8"/>
      <c r="Y59" s="8"/>
      <c r="Z59" s="8"/>
      <c r="AA59" s="8"/>
      <c r="AB59" s="8"/>
      <c r="AC59" s="8"/>
      <c r="AD59" s="8"/>
      <c r="AE59" s="8"/>
    </row>
    <row r="60" spans="1:32" ht="4.9000000000000004" customHeight="1"/>
    <row r="61" spans="1:32" s="387" customFormat="1" ht="25.35" customHeight="1">
      <c r="A61" s="598"/>
      <c r="B61" s="598" t="s">
        <v>921</v>
      </c>
      <c r="C61" s="599" t="s">
        <v>236</v>
      </c>
      <c r="D61" s="599" t="s">
        <v>237</v>
      </c>
      <c r="E61" s="599" t="s">
        <v>238</v>
      </c>
      <c r="F61" s="599" t="s">
        <v>239</v>
      </c>
      <c r="G61" s="599" t="s">
        <v>240</v>
      </c>
      <c r="H61" s="599" t="s">
        <v>241</v>
      </c>
      <c r="I61" s="599" t="s">
        <v>242</v>
      </c>
      <c r="J61" s="599" t="s">
        <v>243</v>
      </c>
      <c r="K61" s="599" t="s">
        <v>244</v>
      </c>
      <c r="L61" s="599" t="s">
        <v>245</v>
      </c>
      <c r="M61" s="599" t="s">
        <v>246</v>
      </c>
      <c r="N61" s="599" t="s">
        <v>247</v>
      </c>
      <c r="O61" s="599" t="s">
        <v>248</v>
      </c>
      <c r="P61" s="599" t="s">
        <v>249</v>
      </c>
      <c r="Q61" s="599" t="s">
        <v>250</v>
      </c>
      <c r="R61" s="599" t="s">
        <v>215</v>
      </c>
      <c r="S61" s="599" t="s">
        <v>252</v>
      </c>
      <c r="T61" s="599" t="s">
        <v>253</v>
      </c>
      <c r="U61" s="599" t="s">
        <v>254</v>
      </c>
      <c r="V61" s="599" t="s">
        <v>219</v>
      </c>
      <c r="W61" s="599" t="s">
        <v>223</v>
      </c>
      <c r="X61" s="599" t="s">
        <v>256</v>
      </c>
      <c r="Y61" s="599" t="s">
        <v>357</v>
      </c>
      <c r="Z61" s="599" t="s">
        <v>358</v>
      </c>
      <c r="AA61" s="599" t="s">
        <v>359</v>
      </c>
      <c r="AB61" s="599" t="s">
        <v>1115</v>
      </c>
      <c r="AC61" s="599" t="s">
        <v>1116</v>
      </c>
      <c r="AD61" s="599" t="s">
        <v>1117</v>
      </c>
      <c r="AE61" s="599" t="s">
        <v>1124</v>
      </c>
    </row>
    <row r="62" spans="1:32" s="30" customFormat="1" ht="25.35" customHeight="1">
      <c r="A62" s="225"/>
      <c r="B62" s="590" t="s">
        <v>380</v>
      </c>
      <c r="C62" s="591">
        <f t="shared" ref="C62:W62" si="7">SUM(C63:C71)</f>
        <v>0</v>
      </c>
      <c r="D62" s="591">
        <f t="shared" si="7"/>
        <v>0</v>
      </c>
      <c r="E62" s="591">
        <f t="shared" si="7"/>
        <v>0</v>
      </c>
      <c r="F62" s="591">
        <f t="shared" si="7"/>
        <v>0</v>
      </c>
      <c r="G62" s="591">
        <f t="shared" si="7"/>
        <v>0</v>
      </c>
      <c r="H62" s="591">
        <f t="shared" si="7"/>
        <v>0</v>
      </c>
      <c r="I62" s="591">
        <f t="shared" si="7"/>
        <v>0</v>
      </c>
      <c r="J62" s="591">
        <f t="shared" si="7"/>
        <v>0</v>
      </c>
      <c r="K62" s="591">
        <f t="shared" si="7"/>
        <v>568283.40769000002</v>
      </c>
      <c r="L62" s="591">
        <f t="shared" si="7"/>
        <v>1149092.2959699999</v>
      </c>
      <c r="M62" s="591">
        <f t="shared" si="7"/>
        <v>1888593.5180000002</v>
      </c>
      <c r="N62" s="591">
        <f t="shared" si="7"/>
        <v>2467178.0589900003</v>
      </c>
      <c r="O62" s="591">
        <f t="shared" si="7"/>
        <v>2825783.3933999995</v>
      </c>
      <c r="P62" s="591">
        <f t="shared" si="7"/>
        <v>3328798.2443200005</v>
      </c>
      <c r="Q62" s="591">
        <f t="shared" si="7"/>
        <v>3997942.3254300002</v>
      </c>
      <c r="R62" s="591">
        <f t="shared" si="7"/>
        <v>4200385.3606899995</v>
      </c>
      <c r="S62" s="591">
        <f t="shared" si="7"/>
        <v>4565869.414570001</v>
      </c>
      <c r="T62" s="591">
        <f t="shared" si="7"/>
        <v>4900552.30834</v>
      </c>
      <c r="U62" s="591">
        <f t="shared" si="7"/>
        <v>5183018.8107099999</v>
      </c>
      <c r="V62" s="591">
        <f t="shared" si="7"/>
        <v>5503475.8554299995</v>
      </c>
      <c r="W62" s="591">
        <f t="shared" si="7"/>
        <v>5755688.1150000012</v>
      </c>
      <c r="X62" s="591">
        <f>SUM(X63:X71)</f>
        <v>6111041.70737</v>
      </c>
      <c r="Y62" s="590"/>
      <c r="Z62" s="590"/>
      <c r="AA62" s="590"/>
      <c r="AB62" s="590"/>
      <c r="AC62" s="590"/>
      <c r="AD62" s="590"/>
      <c r="AE62" s="590"/>
    </row>
    <row r="63" spans="1:32" s="30" customFormat="1" ht="18" customHeight="1">
      <c r="A63"/>
      <c r="B63" s="36" t="s">
        <v>922</v>
      </c>
      <c r="C63" s="592">
        <v>0</v>
      </c>
      <c r="D63" s="592">
        <v>0</v>
      </c>
      <c r="E63" s="592">
        <v>0</v>
      </c>
      <c r="F63" s="592">
        <v>0</v>
      </c>
      <c r="G63" s="593">
        <v>0</v>
      </c>
      <c r="H63" s="593">
        <v>0</v>
      </c>
      <c r="I63" s="593">
        <v>0</v>
      </c>
      <c r="J63" s="593">
        <v>0</v>
      </c>
      <c r="K63" s="593">
        <v>0</v>
      </c>
      <c r="L63" s="593">
        <v>0</v>
      </c>
      <c r="M63" s="593">
        <v>0</v>
      </c>
      <c r="N63" s="593">
        <v>0</v>
      </c>
      <c r="O63" s="593">
        <v>0</v>
      </c>
      <c r="P63" s="593">
        <v>0</v>
      </c>
      <c r="Q63" s="593">
        <v>0</v>
      </c>
      <c r="R63" s="593">
        <v>0</v>
      </c>
      <c r="S63" s="593">
        <v>0</v>
      </c>
      <c r="T63" s="593">
        <v>0</v>
      </c>
      <c r="U63" s="593">
        <v>0</v>
      </c>
      <c r="V63" s="593">
        <v>0</v>
      </c>
      <c r="W63" s="593">
        <v>0</v>
      </c>
      <c r="X63" s="593">
        <v>0</v>
      </c>
      <c r="Y63" s="593">
        <v>0</v>
      </c>
      <c r="Z63" s="593">
        <v>0</v>
      </c>
      <c r="AA63" s="593">
        <v>0</v>
      </c>
      <c r="AB63" s="593">
        <v>0</v>
      </c>
      <c r="AC63" s="593">
        <v>0</v>
      </c>
      <c r="AD63" s="593">
        <v>0</v>
      </c>
      <c r="AE63" s="593">
        <v>0</v>
      </c>
    </row>
    <row r="64" spans="1:32" s="30" customFormat="1" ht="18" customHeight="1">
      <c r="A64"/>
      <c r="B64" s="36" t="s">
        <v>923</v>
      </c>
      <c r="C64" s="592">
        <v>0</v>
      </c>
      <c r="D64" s="592">
        <v>0</v>
      </c>
      <c r="E64" s="592">
        <v>0</v>
      </c>
      <c r="F64" s="592">
        <v>0</v>
      </c>
      <c r="G64" s="593">
        <v>0</v>
      </c>
      <c r="H64" s="593">
        <v>0</v>
      </c>
      <c r="I64" s="593">
        <v>0</v>
      </c>
      <c r="J64" s="593">
        <v>0</v>
      </c>
      <c r="K64" s="593">
        <v>0</v>
      </c>
      <c r="L64" s="593">
        <v>0</v>
      </c>
      <c r="M64" s="593">
        <v>0</v>
      </c>
      <c r="N64" s="593">
        <v>0</v>
      </c>
      <c r="O64" s="593">
        <v>0</v>
      </c>
      <c r="P64" s="593">
        <v>0</v>
      </c>
      <c r="Q64" s="593">
        <v>0</v>
      </c>
      <c r="R64" s="593">
        <v>0</v>
      </c>
      <c r="S64" s="593">
        <v>0</v>
      </c>
      <c r="T64" s="593">
        <v>0</v>
      </c>
      <c r="U64" s="593">
        <v>0</v>
      </c>
      <c r="V64" s="593">
        <v>0</v>
      </c>
      <c r="W64" s="593">
        <v>0</v>
      </c>
      <c r="X64" s="593">
        <v>0</v>
      </c>
      <c r="Y64" s="593">
        <v>0</v>
      </c>
      <c r="Z64" s="593">
        <v>0</v>
      </c>
      <c r="AA64" s="593">
        <v>0</v>
      </c>
      <c r="AB64" s="593">
        <v>0</v>
      </c>
      <c r="AC64" s="593">
        <v>0</v>
      </c>
      <c r="AD64" s="593">
        <v>0</v>
      </c>
      <c r="AE64" s="593">
        <v>0</v>
      </c>
    </row>
    <row r="65" spans="1:31" s="30" customFormat="1" ht="18" customHeight="1">
      <c r="A65"/>
      <c r="B65" s="36" t="s">
        <v>905</v>
      </c>
      <c r="C65" s="592">
        <v>0</v>
      </c>
      <c r="D65" s="592">
        <v>0</v>
      </c>
      <c r="E65" s="592">
        <v>0</v>
      </c>
      <c r="F65" s="592">
        <v>0</v>
      </c>
      <c r="G65" s="593">
        <v>0</v>
      </c>
      <c r="H65" s="593">
        <v>0</v>
      </c>
      <c r="I65" s="593">
        <v>0</v>
      </c>
      <c r="J65" s="593">
        <v>0</v>
      </c>
      <c r="K65" s="593">
        <v>0</v>
      </c>
      <c r="L65" s="593">
        <v>0</v>
      </c>
      <c r="M65" s="593">
        <v>0</v>
      </c>
      <c r="N65" s="593">
        <v>0</v>
      </c>
      <c r="O65" s="593">
        <v>0</v>
      </c>
      <c r="P65" s="593">
        <v>0</v>
      </c>
      <c r="Q65" s="593">
        <v>0</v>
      </c>
      <c r="R65" s="593">
        <v>0</v>
      </c>
      <c r="S65" s="593">
        <v>0</v>
      </c>
      <c r="T65" s="593">
        <v>0</v>
      </c>
      <c r="U65" s="593">
        <v>0</v>
      </c>
      <c r="V65" s="593">
        <v>0</v>
      </c>
      <c r="W65" s="593">
        <v>0</v>
      </c>
      <c r="X65" s="593">
        <v>0</v>
      </c>
      <c r="Y65" s="593">
        <v>0</v>
      </c>
      <c r="Z65" s="593">
        <v>0</v>
      </c>
      <c r="AA65" s="593">
        <v>0</v>
      </c>
      <c r="AB65" s="593">
        <v>0</v>
      </c>
      <c r="AC65" s="593">
        <v>0</v>
      </c>
      <c r="AD65" s="593">
        <v>0</v>
      </c>
      <c r="AE65" s="593">
        <v>0</v>
      </c>
    </row>
    <row r="66" spans="1:31" s="30" customFormat="1" ht="18" customHeight="1">
      <c r="A66"/>
      <c r="B66" s="36" t="s">
        <v>900</v>
      </c>
      <c r="C66" s="592">
        <v>0</v>
      </c>
      <c r="D66" s="592">
        <v>0</v>
      </c>
      <c r="E66" s="592">
        <v>0</v>
      </c>
      <c r="F66" s="592">
        <v>0</v>
      </c>
      <c r="G66" s="593">
        <v>0</v>
      </c>
      <c r="H66" s="593">
        <v>0</v>
      </c>
      <c r="I66" s="593">
        <v>0</v>
      </c>
      <c r="J66" s="593">
        <v>0</v>
      </c>
      <c r="K66" s="593">
        <v>0</v>
      </c>
      <c r="L66" s="593">
        <v>0</v>
      </c>
      <c r="M66" s="593">
        <v>0</v>
      </c>
      <c r="N66" s="593">
        <v>0</v>
      </c>
      <c r="O66" s="593">
        <v>0</v>
      </c>
      <c r="P66" s="593">
        <v>0</v>
      </c>
      <c r="Q66" s="593">
        <v>0</v>
      </c>
      <c r="R66" s="593">
        <v>0</v>
      </c>
      <c r="S66" s="593">
        <v>0</v>
      </c>
      <c r="T66" s="593">
        <v>0</v>
      </c>
      <c r="U66" s="593">
        <v>0</v>
      </c>
      <c r="V66" s="593">
        <v>0</v>
      </c>
      <c r="W66" s="593">
        <v>0</v>
      </c>
      <c r="X66" s="593">
        <v>0</v>
      </c>
      <c r="Y66" s="593">
        <v>0</v>
      </c>
      <c r="Z66" s="593">
        <v>0</v>
      </c>
      <c r="AA66" s="593">
        <v>0</v>
      </c>
      <c r="AB66" s="593">
        <v>0</v>
      </c>
      <c r="AC66" s="593">
        <v>0</v>
      </c>
      <c r="AD66" s="593">
        <v>0</v>
      </c>
      <c r="AE66" s="593">
        <v>0</v>
      </c>
    </row>
    <row r="67" spans="1:31" s="30" customFormat="1" ht="18" customHeight="1">
      <c r="A67"/>
      <c r="B67" s="36" t="s">
        <v>901</v>
      </c>
      <c r="C67" s="592">
        <v>0</v>
      </c>
      <c r="D67" s="592">
        <v>0</v>
      </c>
      <c r="E67" s="592">
        <v>0</v>
      </c>
      <c r="F67" s="592">
        <v>0</v>
      </c>
      <c r="G67" s="593">
        <v>0</v>
      </c>
      <c r="H67" s="593">
        <v>0</v>
      </c>
      <c r="I67" s="593">
        <v>0</v>
      </c>
      <c r="J67" s="593">
        <v>0</v>
      </c>
      <c r="K67" s="593">
        <v>0</v>
      </c>
      <c r="L67" s="593">
        <v>0</v>
      </c>
      <c r="M67" s="593">
        <v>0</v>
      </c>
      <c r="N67" s="593">
        <v>0</v>
      </c>
      <c r="O67" s="593">
        <v>0</v>
      </c>
      <c r="P67" s="593">
        <v>0</v>
      </c>
      <c r="Q67" s="593">
        <v>0</v>
      </c>
      <c r="R67" s="593">
        <v>0</v>
      </c>
      <c r="S67" s="593">
        <v>0</v>
      </c>
      <c r="T67" s="593">
        <v>0</v>
      </c>
      <c r="U67" s="593">
        <v>0</v>
      </c>
      <c r="V67" s="593">
        <v>0</v>
      </c>
      <c r="W67" s="593">
        <v>0</v>
      </c>
      <c r="X67" s="593">
        <v>0</v>
      </c>
      <c r="Y67" s="593">
        <v>0</v>
      </c>
      <c r="Z67" s="593">
        <v>0</v>
      </c>
      <c r="AA67" s="593">
        <v>0</v>
      </c>
      <c r="AB67" s="593">
        <v>0</v>
      </c>
      <c r="AC67" s="593">
        <v>0</v>
      </c>
      <c r="AD67" s="593">
        <v>0</v>
      </c>
      <c r="AE67" s="593">
        <v>0</v>
      </c>
    </row>
    <row r="68" spans="1:31" s="30" customFormat="1" ht="18" customHeight="1">
      <c r="A68"/>
      <c r="B68" s="36" t="s">
        <v>902</v>
      </c>
      <c r="C68" s="592">
        <v>0</v>
      </c>
      <c r="D68" s="592">
        <v>0</v>
      </c>
      <c r="E68" s="592">
        <v>0</v>
      </c>
      <c r="F68" s="592">
        <v>0</v>
      </c>
      <c r="G68" s="593">
        <v>0</v>
      </c>
      <c r="H68" s="593">
        <v>0</v>
      </c>
      <c r="I68" s="593">
        <v>0</v>
      </c>
      <c r="J68" s="593">
        <v>0</v>
      </c>
      <c r="K68" s="593">
        <v>566576.46237000008</v>
      </c>
      <c r="L68" s="593">
        <v>1140356.1092099999</v>
      </c>
      <c r="M68" s="593">
        <v>1876453.818</v>
      </c>
      <c r="N68" s="593">
        <v>2445223.7250900003</v>
      </c>
      <c r="O68" s="593">
        <v>2788896.3808499998</v>
      </c>
      <c r="P68" s="593">
        <v>3289887.4921500003</v>
      </c>
      <c r="Q68" s="593">
        <v>3951314.72689</v>
      </c>
      <c r="R68" s="593">
        <v>4128002.5293299994</v>
      </c>
      <c r="S68" s="593">
        <v>4477048.9254700001</v>
      </c>
      <c r="T68" s="593">
        <v>4775644.7982299998</v>
      </c>
      <c r="U68" s="593">
        <v>5040399.6778199999</v>
      </c>
      <c r="V68" s="593">
        <v>5333506.5749999993</v>
      </c>
      <c r="W68" s="593">
        <v>5561831.7374900011</v>
      </c>
      <c r="X68" s="593">
        <v>5810905.71557</v>
      </c>
      <c r="Y68" s="593">
        <v>0</v>
      </c>
      <c r="Z68" s="593">
        <v>0</v>
      </c>
      <c r="AA68" s="593">
        <v>0</v>
      </c>
      <c r="AB68" s="593">
        <v>0</v>
      </c>
      <c r="AC68" s="593">
        <v>0</v>
      </c>
      <c r="AD68" s="593">
        <v>0</v>
      </c>
      <c r="AE68" s="593">
        <v>0</v>
      </c>
    </row>
    <row r="69" spans="1:31" s="30" customFormat="1" ht="18" customHeight="1">
      <c r="A69"/>
      <c r="B69" s="36" t="s">
        <v>904</v>
      </c>
      <c r="C69" s="592">
        <v>0</v>
      </c>
      <c r="D69" s="592">
        <v>0</v>
      </c>
      <c r="E69" s="592">
        <v>0</v>
      </c>
      <c r="F69" s="592">
        <v>0</v>
      </c>
      <c r="G69" s="593">
        <v>0</v>
      </c>
      <c r="H69" s="593">
        <v>0</v>
      </c>
      <c r="I69" s="593">
        <v>0</v>
      </c>
      <c r="J69" s="593">
        <v>0</v>
      </c>
      <c r="K69" s="593">
        <v>1685.2267099999999</v>
      </c>
      <c r="L69" s="593">
        <v>8203.1244800000004</v>
      </c>
      <c r="M69" s="593">
        <v>11980.056</v>
      </c>
      <c r="N69" s="593">
        <v>18950.551019999999</v>
      </c>
      <c r="O69" s="593">
        <v>31815.798589999999</v>
      </c>
      <c r="P69" s="593">
        <v>27668.809379999999</v>
      </c>
      <c r="Q69" s="593">
        <v>34039.219239999991</v>
      </c>
      <c r="R69" s="593">
        <v>48043.984129999997</v>
      </c>
      <c r="S69" s="593">
        <v>58843.045330000008</v>
      </c>
      <c r="T69" s="593">
        <v>68817.160159999999</v>
      </c>
      <c r="U69" s="593">
        <v>76136.207939999978</v>
      </c>
      <c r="V69" s="593">
        <v>100721.59853999999</v>
      </c>
      <c r="W69" s="593">
        <v>110355.30622</v>
      </c>
      <c r="X69" s="593">
        <v>194337.10298</v>
      </c>
      <c r="Y69" s="593">
        <v>0</v>
      </c>
      <c r="Z69" s="593">
        <v>0</v>
      </c>
      <c r="AA69" s="593">
        <v>0</v>
      </c>
      <c r="AB69" s="593">
        <v>0</v>
      </c>
      <c r="AC69" s="593">
        <v>0</v>
      </c>
      <c r="AD69" s="593">
        <v>0</v>
      </c>
      <c r="AE69" s="593">
        <v>0</v>
      </c>
    </row>
    <row r="70" spans="1:31" s="30" customFormat="1" ht="18" customHeight="1">
      <c r="A70"/>
      <c r="B70" s="36" t="s">
        <v>906</v>
      </c>
      <c r="C70" s="592">
        <v>0</v>
      </c>
      <c r="D70" s="592">
        <v>0</v>
      </c>
      <c r="E70" s="592">
        <v>0</v>
      </c>
      <c r="F70" s="592">
        <v>0</v>
      </c>
      <c r="G70" s="593">
        <v>0</v>
      </c>
      <c r="H70" s="593">
        <v>0</v>
      </c>
      <c r="I70" s="593">
        <v>0</v>
      </c>
      <c r="J70" s="593">
        <v>0</v>
      </c>
      <c r="K70" s="593">
        <v>21.71039</v>
      </c>
      <c r="L70" s="593">
        <v>533.06227999999999</v>
      </c>
      <c r="M70" s="593">
        <v>156.97999999999999</v>
      </c>
      <c r="N70" s="593">
        <v>2985.7192200000004</v>
      </c>
      <c r="O70" s="593">
        <v>5029.3931500000008</v>
      </c>
      <c r="P70" s="593">
        <v>10903.42993</v>
      </c>
      <c r="Q70" s="593">
        <v>12087.8904</v>
      </c>
      <c r="R70" s="593">
        <v>23285.073159999996</v>
      </c>
      <c r="S70" s="593">
        <v>28736.368010000006</v>
      </c>
      <c r="T70" s="593">
        <v>52541.902430000002</v>
      </c>
      <c r="U70" s="593">
        <v>63855.282299999999</v>
      </c>
      <c r="V70" s="593">
        <v>65583.684049999996</v>
      </c>
      <c r="W70" s="593">
        <v>78780.831049999993</v>
      </c>
      <c r="X70" s="593">
        <v>99845.881549999991</v>
      </c>
      <c r="Y70" s="593">
        <v>0</v>
      </c>
      <c r="Z70" s="593">
        <v>0</v>
      </c>
      <c r="AA70" s="593">
        <v>0</v>
      </c>
      <c r="AB70" s="593">
        <v>0</v>
      </c>
      <c r="AC70" s="593">
        <v>0</v>
      </c>
      <c r="AD70" s="593">
        <v>0</v>
      </c>
      <c r="AE70" s="593">
        <v>0</v>
      </c>
    </row>
    <row r="71" spans="1:31" s="30" customFormat="1" ht="18" customHeight="1">
      <c r="A71"/>
      <c r="B71" s="36" t="s">
        <v>907</v>
      </c>
      <c r="C71" s="592">
        <v>0</v>
      </c>
      <c r="D71" s="592">
        <v>0</v>
      </c>
      <c r="E71" s="592">
        <v>0</v>
      </c>
      <c r="F71" s="592">
        <v>0</v>
      </c>
      <c r="G71" s="593">
        <v>0</v>
      </c>
      <c r="H71" s="593">
        <v>0</v>
      </c>
      <c r="I71" s="593">
        <v>0</v>
      </c>
      <c r="J71" s="593">
        <v>0</v>
      </c>
      <c r="K71" s="593">
        <v>8.2199999999999999E-3</v>
      </c>
      <c r="L71" s="593">
        <v>0</v>
      </c>
      <c r="M71" s="593">
        <v>2.6640000000000001</v>
      </c>
      <c r="N71" s="593">
        <v>18.063659999999999</v>
      </c>
      <c r="O71" s="593">
        <v>41.820809999999994</v>
      </c>
      <c r="P71" s="593">
        <v>338.51285999999999</v>
      </c>
      <c r="Q71" s="593">
        <v>500.4889</v>
      </c>
      <c r="R71" s="593">
        <v>1053.7740699999999</v>
      </c>
      <c r="S71" s="593">
        <v>1241.0757599999999</v>
      </c>
      <c r="T71" s="593">
        <v>3548.4475199999997</v>
      </c>
      <c r="U71" s="593">
        <v>2627.6426499999998</v>
      </c>
      <c r="V71" s="593">
        <v>3663.99784</v>
      </c>
      <c r="W71" s="593">
        <v>4720.2402399999992</v>
      </c>
      <c r="X71" s="593">
        <v>5953.007270000001</v>
      </c>
      <c r="Y71" s="593">
        <v>0</v>
      </c>
      <c r="Z71" s="593">
        <v>0</v>
      </c>
      <c r="AA71" s="593">
        <v>0</v>
      </c>
      <c r="AB71" s="593">
        <v>0</v>
      </c>
      <c r="AC71" s="593">
        <v>0</v>
      </c>
      <c r="AD71" s="593">
        <v>0</v>
      </c>
      <c r="AE71" s="593">
        <v>0</v>
      </c>
    </row>
    <row r="72" spans="1:31" s="30" customFormat="1" ht="25.35" customHeight="1">
      <c r="A72" s="225"/>
      <c r="B72" s="590" t="s">
        <v>920</v>
      </c>
      <c r="C72" s="591">
        <f t="shared" ref="C72:Z72" si="8">SUM(C63:C71)</f>
        <v>0</v>
      </c>
      <c r="D72" s="591">
        <f t="shared" si="8"/>
        <v>0</v>
      </c>
      <c r="E72" s="591">
        <f t="shared" si="8"/>
        <v>0</v>
      </c>
      <c r="F72" s="591">
        <f t="shared" si="8"/>
        <v>0</v>
      </c>
      <c r="G72" s="591">
        <f t="shared" si="8"/>
        <v>0</v>
      </c>
      <c r="H72" s="591">
        <f t="shared" si="8"/>
        <v>0</v>
      </c>
      <c r="I72" s="591">
        <f t="shared" si="8"/>
        <v>0</v>
      </c>
      <c r="J72" s="591">
        <f t="shared" si="8"/>
        <v>0</v>
      </c>
      <c r="K72" s="591">
        <f t="shared" si="8"/>
        <v>568283.40769000002</v>
      </c>
      <c r="L72" s="591">
        <f t="shared" si="8"/>
        <v>1149092.2959699999</v>
      </c>
      <c r="M72" s="591">
        <f t="shared" si="8"/>
        <v>1888593.5180000002</v>
      </c>
      <c r="N72" s="591">
        <f t="shared" si="8"/>
        <v>2467178.0589900003</v>
      </c>
      <c r="O72" s="591">
        <f t="shared" si="8"/>
        <v>2825783.3933999995</v>
      </c>
      <c r="P72" s="591">
        <f t="shared" si="8"/>
        <v>3328798.2443200005</v>
      </c>
      <c r="Q72" s="591">
        <f t="shared" si="8"/>
        <v>3997942.3254300002</v>
      </c>
      <c r="R72" s="591">
        <f t="shared" si="8"/>
        <v>4200385.3606899995</v>
      </c>
      <c r="S72" s="591">
        <f t="shared" si="8"/>
        <v>4565869.414570001</v>
      </c>
      <c r="T72" s="591">
        <f t="shared" si="8"/>
        <v>4900552.30834</v>
      </c>
      <c r="U72" s="591">
        <f t="shared" si="8"/>
        <v>5183018.8107099999</v>
      </c>
      <c r="V72" s="591">
        <f t="shared" si="8"/>
        <v>5503475.8554299995</v>
      </c>
      <c r="W72" s="591">
        <f t="shared" si="8"/>
        <v>5755688.1150000012</v>
      </c>
      <c r="X72" s="591">
        <f t="shared" si="8"/>
        <v>6111041.70737</v>
      </c>
      <c r="Y72" s="591">
        <f t="shared" si="8"/>
        <v>0</v>
      </c>
      <c r="Z72" s="591">
        <f t="shared" si="8"/>
        <v>0</v>
      </c>
      <c r="AA72" s="591">
        <f t="shared" ref="AA72" si="9">SUM(AA63:AA71)</f>
        <v>0</v>
      </c>
      <c r="AB72" s="591">
        <f>SUM(AB63:AB71)</f>
        <v>0</v>
      </c>
      <c r="AC72" s="591">
        <f>SUM(AC63:AC71)</f>
        <v>0</v>
      </c>
      <c r="AD72" s="591">
        <f>SUM(AD63:AD71)</f>
        <v>0</v>
      </c>
      <c r="AE72" s="591">
        <f>SUM(AE63:AE71)</f>
        <v>0</v>
      </c>
    </row>
    <row r="73" spans="1:31" ht="4.9000000000000004" customHeight="1">
      <c r="B73" s="36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31" ht="4.9000000000000004" customHeight="1">
      <c r="B74" s="36"/>
      <c r="C74" s="8"/>
      <c r="D74" s="8"/>
      <c r="E74" s="8"/>
      <c r="F74" s="8"/>
      <c r="G74" s="8"/>
      <c r="H74" s="8"/>
      <c r="I74" s="8"/>
      <c r="J74" s="8"/>
      <c r="K74" s="1"/>
      <c r="L74" s="1"/>
      <c r="M74" s="37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31" ht="4.9000000000000004" customHeight="1"/>
    <row r="76" spans="1:31" s="387" customFormat="1" ht="25.35" customHeight="1">
      <c r="A76" s="625"/>
      <c r="B76" s="625" t="s">
        <v>528</v>
      </c>
      <c r="C76" s="626" t="s">
        <v>236</v>
      </c>
      <c r="D76" s="626" t="s">
        <v>237</v>
      </c>
      <c r="E76" s="626" t="s">
        <v>238</v>
      </c>
      <c r="F76" s="626" t="s">
        <v>239</v>
      </c>
      <c r="G76" s="626" t="s">
        <v>240</v>
      </c>
      <c r="H76" s="626" t="s">
        <v>241</v>
      </c>
      <c r="I76" s="626" t="s">
        <v>242</v>
      </c>
      <c r="J76" s="626" t="s">
        <v>243</v>
      </c>
      <c r="K76" s="626" t="s">
        <v>244</v>
      </c>
      <c r="L76" s="626" t="s">
        <v>245</v>
      </c>
      <c r="M76" s="626" t="s">
        <v>246</v>
      </c>
      <c r="N76" s="626" t="s">
        <v>247</v>
      </c>
      <c r="O76" s="626" t="s">
        <v>248</v>
      </c>
      <c r="P76" s="626" t="s">
        <v>249</v>
      </c>
      <c r="Q76" s="626" t="s">
        <v>250</v>
      </c>
      <c r="R76" s="626" t="s">
        <v>215</v>
      </c>
      <c r="S76" s="626" t="s">
        <v>252</v>
      </c>
      <c r="T76" s="626" t="s">
        <v>253</v>
      </c>
      <c r="U76" s="626" t="s">
        <v>254</v>
      </c>
      <c r="V76" s="626" t="s">
        <v>219</v>
      </c>
      <c r="W76" s="626" t="s">
        <v>223</v>
      </c>
      <c r="X76" s="626" t="s">
        <v>256</v>
      </c>
      <c r="Y76" s="626" t="s">
        <v>357</v>
      </c>
      <c r="Z76" s="626" t="s">
        <v>358</v>
      </c>
      <c r="AA76" s="626" t="s">
        <v>359</v>
      </c>
      <c r="AB76" s="626" t="s">
        <v>1115</v>
      </c>
      <c r="AC76" s="626" t="s">
        <v>1116</v>
      </c>
      <c r="AD76" s="675" t="s">
        <v>1117</v>
      </c>
      <c r="AE76" s="681" t="s">
        <v>1124</v>
      </c>
    </row>
    <row r="77" spans="1:31" s="30" customFormat="1" ht="25.35" customHeight="1">
      <c r="A77" s="225"/>
      <c r="B77" s="590" t="s">
        <v>380</v>
      </c>
      <c r="C77" s="591">
        <f t="shared" ref="C77" si="10">SUM(C78:C86)</f>
        <v>0</v>
      </c>
      <c r="D77" s="591">
        <f t="shared" ref="D77:W77" si="11">SUM(D78:D86)</f>
        <v>0</v>
      </c>
      <c r="E77" s="591">
        <f t="shared" si="11"/>
        <v>0</v>
      </c>
      <c r="F77" s="591">
        <f t="shared" si="11"/>
        <v>0</v>
      </c>
      <c r="G77" s="591">
        <f t="shared" si="11"/>
        <v>0</v>
      </c>
      <c r="H77" s="591">
        <f t="shared" si="11"/>
        <v>0</v>
      </c>
      <c r="I77" s="591">
        <f t="shared" si="11"/>
        <v>0</v>
      </c>
      <c r="J77" s="591">
        <f t="shared" si="11"/>
        <v>0</v>
      </c>
      <c r="K77" s="591">
        <f t="shared" si="11"/>
        <v>78503.135230000014</v>
      </c>
      <c r="L77" s="591">
        <f t="shared" si="11"/>
        <v>206250.66634000003</v>
      </c>
      <c r="M77" s="591">
        <f t="shared" si="11"/>
        <v>316682.26418</v>
      </c>
      <c r="N77" s="591">
        <f t="shared" si="11"/>
        <v>422575.34127999999</v>
      </c>
      <c r="O77" s="591">
        <f t="shared" si="11"/>
        <v>476075.78680000006</v>
      </c>
      <c r="P77" s="591">
        <f t="shared" si="11"/>
        <v>526625.00129000004</v>
      </c>
      <c r="Q77" s="591">
        <f t="shared" si="11"/>
        <v>607320.80544000003</v>
      </c>
      <c r="R77" s="591">
        <f t="shared" si="11"/>
        <v>656390.08990000002</v>
      </c>
      <c r="S77" s="591">
        <f t="shared" si="11"/>
        <v>679079.98643999989</v>
      </c>
      <c r="T77" s="591">
        <f t="shared" si="11"/>
        <v>713632.44010000012</v>
      </c>
      <c r="U77" s="591">
        <f t="shared" si="11"/>
        <v>755254.19293999998</v>
      </c>
      <c r="V77" s="591">
        <f t="shared" si="11"/>
        <v>793665.82285000011</v>
      </c>
      <c r="W77" s="591">
        <f t="shared" si="11"/>
        <v>841623.64552000014</v>
      </c>
      <c r="X77" s="591">
        <f>SUM(X78:X86)</f>
        <v>1095617.5906799999</v>
      </c>
      <c r="Y77" s="591">
        <f t="shared" ref="Y77:AD77" si="12">SUM(Y78:Y86)</f>
        <v>1007074.8563499999</v>
      </c>
      <c r="Z77" s="591">
        <f t="shared" si="12"/>
        <v>1054094.3524</v>
      </c>
      <c r="AA77" s="591">
        <f t="shared" si="12"/>
        <v>1115661.44839</v>
      </c>
      <c r="AB77" s="591">
        <f t="shared" si="12"/>
        <v>1209472.9810299999</v>
      </c>
      <c r="AC77" s="591">
        <f t="shared" si="12"/>
        <v>1308118.4217099999</v>
      </c>
      <c r="AD77" s="591">
        <f t="shared" si="12"/>
        <v>1403558.7752399999</v>
      </c>
      <c r="AE77" s="591">
        <f>SUM(AE78:AE86)</f>
        <v>1430089.03363</v>
      </c>
    </row>
    <row r="78" spans="1:31" s="30" customFormat="1" ht="18" customHeight="1">
      <c r="A78"/>
      <c r="B78" s="36" t="s">
        <v>922</v>
      </c>
      <c r="C78" s="592">
        <v>0</v>
      </c>
      <c r="D78" s="592">
        <v>0</v>
      </c>
      <c r="E78" s="592">
        <v>0</v>
      </c>
      <c r="F78" s="592">
        <v>0</v>
      </c>
      <c r="G78" s="593">
        <v>0</v>
      </c>
      <c r="H78" s="593">
        <v>0</v>
      </c>
      <c r="I78" s="593">
        <v>0</v>
      </c>
      <c r="J78" s="593">
        <v>0</v>
      </c>
      <c r="K78" s="593">
        <v>0</v>
      </c>
      <c r="L78" s="593">
        <v>0</v>
      </c>
      <c r="M78" s="593">
        <v>0</v>
      </c>
      <c r="N78" s="593">
        <v>0</v>
      </c>
      <c r="O78" s="593">
        <v>0</v>
      </c>
      <c r="P78" s="593">
        <v>0</v>
      </c>
      <c r="Q78" s="593">
        <v>0</v>
      </c>
      <c r="R78" s="593">
        <v>0</v>
      </c>
      <c r="S78" s="593">
        <v>0</v>
      </c>
      <c r="T78" s="593">
        <v>0</v>
      </c>
      <c r="U78" s="593">
        <v>0</v>
      </c>
      <c r="V78" s="593">
        <v>0</v>
      </c>
      <c r="W78" s="593">
        <v>0</v>
      </c>
      <c r="X78" s="593">
        <v>0</v>
      </c>
      <c r="Y78" s="593">
        <v>0</v>
      </c>
      <c r="Z78" s="593">
        <v>0</v>
      </c>
      <c r="AA78" s="593">
        <v>21472.808690000002</v>
      </c>
      <c r="AB78" s="593">
        <v>15590.216960000002</v>
      </c>
      <c r="AC78" s="593">
        <v>912.26657000000012</v>
      </c>
      <c r="AD78" s="593">
        <v>2052.3263699999998</v>
      </c>
      <c r="AE78" s="593">
        <v>981.57016999999996</v>
      </c>
    </row>
    <row r="79" spans="1:31" s="30" customFormat="1" ht="18" customHeight="1">
      <c r="A79"/>
      <c r="B79" s="36" t="s">
        <v>923</v>
      </c>
      <c r="C79" s="592">
        <v>0</v>
      </c>
      <c r="D79" s="592">
        <v>0</v>
      </c>
      <c r="E79" s="592">
        <v>0</v>
      </c>
      <c r="F79" s="592">
        <v>0</v>
      </c>
      <c r="G79" s="593">
        <v>0</v>
      </c>
      <c r="H79" s="593">
        <v>0</v>
      </c>
      <c r="I79" s="593">
        <v>0</v>
      </c>
      <c r="J79" s="593">
        <v>0</v>
      </c>
      <c r="K79" s="593">
        <v>0</v>
      </c>
      <c r="L79" s="593">
        <v>0</v>
      </c>
      <c r="M79" s="593">
        <v>0</v>
      </c>
      <c r="N79" s="593">
        <v>0</v>
      </c>
      <c r="O79" s="593">
        <v>0</v>
      </c>
      <c r="P79" s="593">
        <v>0</v>
      </c>
      <c r="Q79" s="593">
        <v>0</v>
      </c>
      <c r="R79" s="593">
        <v>0</v>
      </c>
      <c r="S79" s="593">
        <v>0</v>
      </c>
      <c r="T79" s="593">
        <v>0</v>
      </c>
      <c r="U79" s="593">
        <v>0</v>
      </c>
      <c r="V79" s="593">
        <v>0</v>
      </c>
      <c r="W79" s="593">
        <v>0</v>
      </c>
      <c r="X79" s="593">
        <v>0</v>
      </c>
      <c r="Y79" s="593">
        <v>0</v>
      </c>
      <c r="Z79" s="593">
        <v>0</v>
      </c>
      <c r="AA79" s="593">
        <v>0</v>
      </c>
      <c r="AB79" s="593">
        <v>0</v>
      </c>
      <c r="AC79" s="593">
        <v>0</v>
      </c>
      <c r="AD79" s="593">
        <v>0</v>
      </c>
      <c r="AE79" s="593">
        <v>0</v>
      </c>
    </row>
    <row r="80" spans="1:31" s="30" customFormat="1" ht="18" customHeight="1">
      <c r="A80"/>
      <c r="B80" s="36" t="s">
        <v>905</v>
      </c>
      <c r="C80" s="592">
        <v>0</v>
      </c>
      <c r="D80" s="592">
        <v>0</v>
      </c>
      <c r="E80" s="592">
        <v>0</v>
      </c>
      <c r="F80" s="592">
        <v>0</v>
      </c>
      <c r="G80" s="593">
        <v>0</v>
      </c>
      <c r="H80" s="593">
        <v>0</v>
      </c>
      <c r="I80" s="593">
        <v>0</v>
      </c>
      <c r="J80" s="593">
        <v>0</v>
      </c>
      <c r="K80" s="593">
        <v>0</v>
      </c>
      <c r="L80" s="593">
        <v>0</v>
      </c>
      <c r="M80" s="593">
        <v>0</v>
      </c>
      <c r="N80" s="593">
        <v>0</v>
      </c>
      <c r="O80" s="593">
        <v>0</v>
      </c>
      <c r="P80" s="593">
        <v>0</v>
      </c>
      <c r="Q80" s="593">
        <v>0</v>
      </c>
      <c r="R80" s="593">
        <v>0</v>
      </c>
      <c r="S80" s="593">
        <v>0</v>
      </c>
      <c r="T80" s="593">
        <v>0</v>
      </c>
      <c r="U80" s="593">
        <v>0</v>
      </c>
      <c r="V80" s="593">
        <v>0</v>
      </c>
      <c r="W80" s="593">
        <v>0</v>
      </c>
      <c r="X80" s="593">
        <v>0</v>
      </c>
      <c r="Y80" s="593">
        <v>0</v>
      </c>
      <c r="Z80" s="593">
        <v>0</v>
      </c>
      <c r="AA80" s="593">
        <v>0</v>
      </c>
      <c r="AB80" s="593">
        <v>0</v>
      </c>
      <c r="AC80" s="593">
        <v>0</v>
      </c>
      <c r="AD80" s="593">
        <v>0</v>
      </c>
      <c r="AE80" s="593">
        <v>0</v>
      </c>
    </row>
    <row r="81" spans="1:31" s="30" customFormat="1" ht="18" customHeight="1">
      <c r="A81"/>
      <c r="B81" s="36" t="s">
        <v>900</v>
      </c>
      <c r="C81" s="592">
        <v>0</v>
      </c>
      <c r="D81" s="592">
        <v>0</v>
      </c>
      <c r="E81" s="592">
        <v>0</v>
      </c>
      <c r="F81" s="592">
        <v>0</v>
      </c>
      <c r="G81" s="593">
        <v>0</v>
      </c>
      <c r="H81" s="593">
        <v>0</v>
      </c>
      <c r="I81" s="593">
        <v>0</v>
      </c>
      <c r="J81" s="593">
        <v>0</v>
      </c>
      <c r="K81" s="593">
        <v>0</v>
      </c>
      <c r="L81" s="593">
        <v>0</v>
      </c>
      <c r="M81" s="593">
        <v>0</v>
      </c>
      <c r="N81" s="593">
        <v>0</v>
      </c>
      <c r="O81" s="593">
        <v>0</v>
      </c>
      <c r="P81" s="593">
        <v>0</v>
      </c>
      <c r="Q81" s="593">
        <v>0</v>
      </c>
      <c r="R81" s="593">
        <v>0</v>
      </c>
      <c r="S81" s="593">
        <v>0</v>
      </c>
      <c r="T81" s="593">
        <v>0</v>
      </c>
      <c r="U81" s="593">
        <v>0</v>
      </c>
      <c r="V81" s="593">
        <v>0</v>
      </c>
      <c r="W81" s="593">
        <v>0</v>
      </c>
      <c r="X81" s="593">
        <v>0</v>
      </c>
      <c r="Y81" s="593">
        <v>0</v>
      </c>
      <c r="Z81" s="593">
        <v>0</v>
      </c>
      <c r="AA81" s="593">
        <v>0</v>
      </c>
      <c r="AB81" s="593">
        <v>0</v>
      </c>
      <c r="AC81" s="593">
        <v>0</v>
      </c>
      <c r="AD81" s="593">
        <v>0</v>
      </c>
      <c r="AE81" s="593">
        <v>0</v>
      </c>
    </row>
    <row r="82" spans="1:31" s="30" customFormat="1" ht="18" customHeight="1">
      <c r="A82"/>
      <c r="B82" s="36" t="s">
        <v>901</v>
      </c>
      <c r="C82" s="592">
        <v>0</v>
      </c>
      <c r="D82" s="592">
        <v>0</v>
      </c>
      <c r="E82" s="592">
        <v>0</v>
      </c>
      <c r="F82" s="592">
        <v>0</v>
      </c>
      <c r="G82" s="593">
        <v>0</v>
      </c>
      <c r="H82" s="593">
        <v>0</v>
      </c>
      <c r="I82" s="593">
        <v>0</v>
      </c>
      <c r="J82" s="593">
        <v>0</v>
      </c>
      <c r="K82" s="593">
        <v>0</v>
      </c>
      <c r="L82" s="593">
        <v>0</v>
      </c>
      <c r="M82" s="593">
        <v>0</v>
      </c>
      <c r="N82" s="593">
        <v>0</v>
      </c>
      <c r="O82" s="593">
        <v>0</v>
      </c>
      <c r="P82" s="593">
        <v>0</v>
      </c>
      <c r="Q82" s="593">
        <v>0</v>
      </c>
      <c r="R82" s="593">
        <v>0</v>
      </c>
      <c r="S82" s="593">
        <v>0</v>
      </c>
      <c r="T82" s="593">
        <v>0</v>
      </c>
      <c r="U82" s="593">
        <v>0</v>
      </c>
      <c r="V82" s="593">
        <v>0</v>
      </c>
      <c r="W82" s="593">
        <v>0</v>
      </c>
      <c r="X82" s="593">
        <v>0</v>
      </c>
      <c r="Y82" s="593">
        <v>0</v>
      </c>
      <c r="Z82" s="593">
        <v>0</v>
      </c>
      <c r="AA82" s="593">
        <v>0</v>
      </c>
      <c r="AB82" s="593">
        <v>0</v>
      </c>
      <c r="AC82" s="593">
        <v>0</v>
      </c>
      <c r="AD82" s="593">
        <v>0</v>
      </c>
      <c r="AE82" s="593">
        <v>0</v>
      </c>
    </row>
    <row r="83" spans="1:31" s="30" customFormat="1" ht="18" customHeight="1">
      <c r="A83"/>
      <c r="B83" s="36" t="s">
        <v>902</v>
      </c>
      <c r="C83" s="592">
        <v>0</v>
      </c>
      <c r="D83" s="592">
        <v>0</v>
      </c>
      <c r="E83" s="592">
        <v>0</v>
      </c>
      <c r="F83" s="592">
        <v>0</v>
      </c>
      <c r="G83" s="593">
        <v>0</v>
      </c>
      <c r="H83" s="593">
        <v>0</v>
      </c>
      <c r="I83" s="593">
        <v>0</v>
      </c>
      <c r="J83" s="593">
        <v>0</v>
      </c>
      <c r="K83" s="593">
        <v>77760.653860000006</v>
      </c>
      <c r="L83" s="593">
        <v>199921.06593000001</v>
      </c>
      <c r="M83" s="593">
        <v>304335.56622000004</v>
      </c>
      <c r="N83" s="593">
        <v>391052.1617</v>
      </c>
      <c r="O83" s="593">
        <v>435368.23995000008</v>
      </c>
      <c r="P83" s="593">
        <v>484504.99539</v>
      </c>
      <c r="Q83" s="593">
        <v>554604.30998999998</v>
      </c>
      <c r="R83" s="593">
        <v>583161.48705</v>
      </c>
      <c r="S83" s="593">
        <v>598737.85334999999</v>
      </c>
      <c r="T83" s="593">
        <v>618779.07958000002</v>
      </c>
      <c r="U83" s="593">
        <v>650457.81258999999</v>
      </c>
      <c r="V83" s="593">
        <v>677701.05664000008</v>
      </c>
      <c r="W83" s="593">
        <v>703140.16451000003</v>
      </c>
      <c r="X83" s="593">
        <v>739826.22248999996</v>
      </c>
      <c r="Y83" s="593">
        <v>777443.06256999995</v>
      </c>
      <c r="Z83" s="593">
        <v>813935.40567999997</v>
      </c>
      <c r="AA83" s="593">
        <v>870760.64935000008</v>
      </c>
      <c r="AB83" s="593">
        <v>928113.83342000004</v>
      </c>
      <c r="AC83" s="593">
        <v>998688.47953000001</v>
      </c>
      <c r="AD83" s="593">
        <v>1050927.1995399999</v>
      </c>
      <c r="AE83" s="593">
        <v>1077883.3753</v>
      </c>
    </row>
    <row r="84" spans="1:31" s="30" customFormat="1" ht="18" customHeight="1">
      <c r="A84"/>
      <c r="B84" s="36" t="s">
        <v>904</v>
      </c>
      <c r="C84" s="592">
        <v>0</v>
      </c>
      <c r="D84" s="592">
        <v>0</v>
      </c>
      <c r="E84" s="592">
        <v>0</v>
      </c>
      <c r="F84" s="592">
        <v>0</v>
      </c>
      <c r="G84" s="593">
        <v>0</v>
      </c>
      <c r="H84" s="593">
        <v>0</v>
      </c>
      <c r="I84" s="593">
        <v>0</v>
      </c>
      <c r="J84" s="593">
        <v>0</v>
      </c>
      <c r="K84" s="593">
        <v>194.17573000000002</v>
      </c>
      <c r="L84" s="593">
        <v>1730.4305300000001</v>
      </c>
      <c r="M84" s="593">
        <v>4402.7907800000003</v>
      </c>
      <c r="N84" s="593">
        <v>9686.1671200000001</v>
      </c>
      <c r="O84" s="593">
        <v>14642.467280000001</v>
      </c>
      <c r="P84" s="593">
        <v>16562.854240000001</v>
      </c>
      <c r="Q84" s="593">
        <v>20186.812899999997</v>
      </c>
      <c r="R84" s="593">
        <v>33703.295429999998</v>
      </c>
      <c r="S84" s="593">
        <v>40775.19442</v>
      </c>
      <c r="T84" s="593">
        <v>48272.517309999996</v>
      </c>
      <c r="U84" s="593">
        <v>56535.437579999998</v>
      </c>
      <c r="V84" s="593">
        <v>60834.719530000002</v>
      </c>
      <c r="W84" s="593">
        <v>79738.488639999981</v>
      </c>
      <c r="X84" s="593">
        <v>143968.64009000003</v>
      </c>
      <c r="Y84" s="593">
        <v>135665.06880000001</v>
      </c>
      <c r="Z84" s="593">
        <v>148851.32931</v>
      </c>
      <c r="AA84" s="593">
        <v>143035.13004999998</v>
      </c>
      <c r="AB84" s="593">
        <v>177866.29313000001</v>
      </c>
      <c r="AC84" s="593">
        <v>220457.76078000001</v>
      </c>
      <c r="AD84" s="593">
        <v>256194.09576999999</v>
      </c>
      <c r="AE84" s="593">
        <v>254885.09552999999</v>
      </c>
    </row>
    <row r="85" spans="1:31" s="30" customFormat="1" ht="18" customHeight="1">
      <c r="A85"/>
      <c r="B85" s="36" t="s">
        <v>906</v>
      </c>
      <c r="C85" s="592">
        <v>0</v>
      </c>
      <c r="D85" s="592">
        <v>0</v>
      </c>
      <c r="E85" s="592">
        <v>0</v>
      </c>
      <c r="F85" s="592">
        <v>0</v>
      </c>
      <c r="G85" s="593">
        <v>0</v>
      </c>
      <c r="H85" s="593">
        <v>0</v>
      </c>
      <c r="I85" s="593">
        <v>0</v>
      </c>
      <c r="J85" s="593">
        <v>0</v>
      </c>
      <c r="K85" s="593">
        <v>399.73596000000003</v>
      </c>
      <c r="L85" s="593">
        <v>3611.3447900000001</v>
      </c>
      <c r="M85" s="593">
        <v>5482.4851899999994</v>
      </c>
      <c r="N85" s="593">
        <v>11072.83777</v>
      </c>
      <c r="O85" s="593">
        <v>18201.7078</v>
      </c>
      <c r="P85" s="593">
        <v>22009.188699999999</v>
      </c>
      <c r="Q85" s="593">
        <v>28518.431780000003</v>
      </c>
      <c r="R85" s="593">
        <v>35102.117489999997</v>
      </c>
      <c r="S85" s="593">
        <v>38123.177389999997</v>
      </c>
      <c r="T85" s="593">
        <v>44872.061070000003</v>
      </c>
      <c r="U85" s="593">
        <v>47407.804950000005</v>
      </c>
      <c r="V85" s="593">
        <v>54199.268060000002</v>
      </c>
      <c r="W85" s="593">
        <v>57737.688959999999</v>
      </c>
      <c r="X85" s="593">
        <v>210821.12343000001</v>
      </c>
      <c r="Y85" s="593">
        <v>93242.903860000006</v>
      </c>
      <c r="Z85" s="593">
        <v>90537.681469999996</v>
      </c>
      <c r="AA85" s="593">
        <v>79191.060980000009</v>
      </c>
      <c r="AB85" s="593">
        <v>86584.175199999998</v>
      </c>
      <c r="AC85" s="593">
        <v>86117.501959999994</v>
      </c>
      <c r="AD85" s="593">
        <v>92683.727760000009</v>
      </c>
      <c r="AE85" s="593">
        <v>94591.9522</v>
      </c>
    </row>
    <row r="86" spans="1:31" s="30" customFormat="1" ht="18" customHeight="1">
      <c r="A86"/>
      <c r="B86" s="36" t="s">
        <v>907</v>
      </c>
      <c r="C86" s="592">
        <v>0</v>
      </c>
      <c r="D86" s="592">
        <v>0</v>
      </c>
      <c r="E86" s="592">
        <v>0</v>
      </c>
      <c r="F86" s="592">
        <v>0</v>
      </c>
      <c r="G86" s="593">
        <v>0</v>
      </c>
      <c r="H86" s="593">
        <v>0</v>
      </c>
      <c r="I86" s="593">
        <v>0</v>
      </c>
      <c r="J86" s="593">
        <v>0</v>
      </c>
      <c r="K86" s="593">
        <v>148.56968000000001</v>
      </c>
      <c r="L86" s="593">
        <v>987.82509000000005</v>
      </c>
      <c r="M86" s="593">
        <v>2461.4219900000003</v>
      </c>
      <c r="N86" s="593">
        <v>10764.174690000002</v>
      </c>
      <c r="O86" s="593">
        <v>7863.3717699999997</v>
      </c>
      <c r="P86" s="593">
        <v>3547.9629599999998</v>
      </c>
      <c r="Q86" s="593">
        <v>4011.2507700000006</v>
      </c>
      <c r="R86" s="593">
        <v>4423.1899300000005</v>
      </c>
      <c r="S86" s="593">
        <v>1443.7612799999999</v>
      </c>
      <c r="T86" s="593">
        <v>1708.7821399999998</v>
      </c>
      <c r="U86" s="593">
        <v>853.13782000000003</v>
      </c>
      <c r="V86" s="593">
        <v>930.77861999999993</v>
      </c>
      <c r="W86" s="593">
        <v>1007.3034100000001</v>
      </c>
      <c r="X86" s="593">
        <v>1001.6046700000001</v>
      </c>
      <c r="Y86" s="593">
        <v>723.82111999999995</v>
      </c>
      <c r="Z86" s="593">
        <v>769.93593999999996</v>
      </c>
      <c r="AA86" s="593">
        <v>1201.7993199999999</v>
      </c>
      <c r="AB86" s="593">
        <v>1318.4623200000001</v>
      </c>
      <c r="AC86" s="593">
        <v>1942.4128699999999</v>
      </c>
      <c r="AD86" s="593">
        <v>1701.4258</v>
      </c>
      <c r="AE86" s="593">
        <v>1747.04043</v>
      </c>
    </row>
    <row r="87" spans="1:31" s="30" customFormat="1" ht="25.35" customHeight="1">
      <c r="A87" s="225"/>
      <c r="B87" s="590" t="s">
        <v>920</v>
      </c>
      <c r="C87" s="591">
        <f t="shared" ref="C87:D87" si="13">SUM(C78:C86)</f>
        <v>0</v>
      </c>
      <c r="D87" s="591">
        <f t="shared" si="13"/>
        <v>0</v>
      </c>
      <c r="E87" s="591">
        <f t="shared" ref="E87:W87" si="14">SUM(E78:E86)</f>
        <v>0</v>
      </c>
      <c r="F87" s="591">
        <f t="shared" si="14"/>
        <v>0</v>
      </c>
      <c r="G87" s="591">
        <f t="shared" si="14"/>
        <v>0</v>
      </c>
      <c r="H87" s="591">
        <f t="shared" si="14"/>
        <v>0</v>
      </c>
      <c r="I87" s="591">
        <f t="shared" si="14"/>
        <v>0</v>
      </c>
      <c r="J87" s="591">
        <f t="shared" si="14"/>
        <v>0</v>
      </c>
      <c r="K87" s="591">
        <f t="shared" si="14"/>
        <v>78503.135230000014</v>
      </c>
      <c r="L87" s="591">
        <f t="shared" si="14"/>
        <v>206250.66634000003</v>
      </c>
      <c r="M87" s="591">
        <f t="shared" si="14"/>
        <v>316682.26418</v>
      </c>
      <c r="N87" s="591">
        <f t="shared" si="14"/>
        <v>422575.34127999999</v>
      </c>
      <c r="O87" s="591">
        <f t="shared" si="14"/>
        <v>476075.78680000006</v>
      </c>
      <c r="P87" s="591">
        <f t="shared" si="14"/>
        <v>526625.00129000004</v>
      </c>
      <c r="Q87" s="591">
        <f t="shared" si="14"/>
        <v>607320.80544000003</v>
      </c>
      <c r="R87" s="591">
        <f t="shared" si="14"/>
        <v>656390.08990000002</v>
      </c>
      <c r="S87" s="591">
        <f t="shared" si="14"/>
        <v>679079.98643999989</v>
      </c>
      <c r="T87" s="591">
        <f t="shared" si="14"/>
        <v>713632.44010000012</v>
      </c>
      <c r="U87" s="591">
        <f t="shared" si="14"/>
        <v>755254.19293999998</v>
      </c>
      <c r="V87" s="591">
        <f t="shared" si="14"/>
        <v>793665.82285000011</v>
      </c>
      <c r="W87" s="591">
        <f t="shared" si="14"/>
        <v>841623.64552000014</v>
      </c>
      <c r="X87" s="591">
        <f>SUM(X78:X86)</f>
        <v>1095617.5906799999</v>
      </c>
      <c r="Y87" s="591">
        <f t="shared" ref="Y87:AE87" si="15">SUM(Y69,Y77)</f>
        <v>1007074.8563499999</v>
      </c>
      <c r="Z87" s="591">
        <f t="shared" si="15"/>
        <v>1054094.3524</v>
      </c>
      <c r="AA87" s="591">
        <f t="shared" si="15"/>
        <v>1115661.44839</v>
      </c>
      <c r="AB87" s="591">
        <f t="shared" si="15"/>
        <v>1209472.9810299999</v>
      </c>
      <c r="AC87" s="591">
        <f t="shared" si="15"/>
        <v>1308118.4217099999</v>
      </c>
      <c r="AD87" s="591">
        <f t="shared" si="15"/>
        <v>1403558.7752399999</v>
      </c>
      <c r="AE87" s="591">
        <f t="shared" si="15"/>
        <v>1430089.03363</v>
      </c>
    </row>
    <row r="88" spans="1:31" ht="4.9000000000000004" customHeight="1">
      <c r="B88" s="36"/>
      <c r="K88" s="1"/>
      <c r="L88" s="459"/>
      <c r="M88" s="459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4.9000000000000004" customHeight="1">
      <c r="B89" s="36"/>
      <c r="C89" s="8"/>
      <c r="D89" s="8"/>
      <c r="E89" s="8"/>
      <c r="F89" s="8"/>
      <c r="G89" s="8"/>
      <c r="H89" s="8"/>
      <c r="I89" s="8"/>
      <c r="J89" s="8"/>
      <c r="K89" s="1"/>
      <c r="L89" s="459"/>
      <c r="M89" s="459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4.9000000000000004" customHeight="1"/>
    <row r="91" spans="1:31" s="387" customFormat="1" ht="25.35" customHeight="1">
      <c r="A91" s="625"/>
      <c r="B91" s="625" t="s">
        <v>924</v>
      </c>
      <c r="C91" s="626" t="s">
        <v>236</v>
      </c>
      <c r="D91" s="626" t="s">
        <v>237</v>
      </c>
      <c r="E91" s="626" t="s">
        <v>238</v>
      </c>
      <c r="F91" s="626" t="s">
        <v>239</v>
      </c>
      <c r="G91" s="626" t="s">
        <v>240</v>
      </c>
      <c r="H91" s="626" t="s">
        <v>241</v>
      </c>
      <c r="I91" s="626" t="s">
        <v>242</v>
      </c>
      <c r="J91" s="626" t="s">
        <v>243</v>
      </c>
      <c r="K91" s="626" t="s">
        <v>244</v>
      </c>
      <c r="L91" s="626" t="s">
        <v>245</v>
      </c>
      <c r="M91" s="626" t="s">
        <v>246</v>
      </c>
      <c r="N91" s="626" t="s">
        <v>247</v>
      </c>
      <c r="O91" s="626" t="s">
        <v>248</v>
      </c>
      <c r="P91" s="626" t="s">
        <v>249</v>
      </c>
      <c r="Q91" s="626" t="s">
        <v>250</v>
      </c>
      <c r="R91" s="626" t="s">
        <v>215</v>
      </c>
      <c r="S91" s="626" t="s">
        <v>252</v>
      </c>
      <c r="T91" s="626" t="s">
        <v>253</v>
      </c>
      <c r="U91" s="626" t="s">
        <v>254</v>
      </c>
      <c r="V91" s="626" t="s">
        <v>219</v>
      </c>
      <c r="W91" s="626" t="s">
        <v>223</v>
      </c>
      <c r="X91" s="626" t="s">
        <v>256</v>
      </c>
      <c r="Y91" s="626" t="s">
        <v>357</v>
      </c>
      <c r="Z91" s="626" t="s">
        <v>358</v>
      </c>
      <c r="AA91" s="626" t="s">
        <v>359</v>
      </c>
      <c r="AB91" s="626" t="s">
        <v>1115</v>
      </c>
      <c r="AC91" s="626" t="s">
        <v>1116</v>
      </c>
      <c r="AD91" s="675" t="s">
        <v>1117</v>
      </c>
      <c r="AE91" s="681" t="s">
        <v>1124</v>
      </c>
    </row>
    <row r="92" spans="1:31" s="30" customFormat="1" ht="25.35" customHeight="1">
      <c r="A92" s="225"/>
      <c r="B92" s="590" t="s">
        <v>380</v>
      </c>
      <c r="C92" s="591">
        <f t="shared" ref="C92" si="16">SUM(C93:C101)</f>
        <v>6575762.5494100004</v>
      </c>
      <c r="D92" s="591">
        <f t="shared" ref="D92:W92" si="17">SUM(D93:D101)</f>
        <v>6838411.4787800005</v>
      </c>
      <c r="E92" s="591">
        <f t="shared" si="17"/>
        <v>7002350.7505000001</v>
      </c>
      <c r="F92" s="591">
        <f t="shared" si="17"/>
        <v>7099210.7186300019</v>
      </c>
      <c r="G92" s="591">
        <f t="shared" si="17"/>
        <v>6788614.6559099983</v>
      </c>
      <c r="H92" s="591">
        <f t="shared" si="17"/>
        <v>6872698.7390199993</v>
      </c>
      <c r="I92" s="591">
        <f t="shared" si="17"/>
        <v>2241160.22346</v>
      </c>
      <c r="J92" s="591">
        <f t="shared" si="17"/>
        <v>2347544.1628999999</v>
      </c>
      <c r="K92" s="591">
        <f t="shared" si="17"/>
        <v>2493331.9540400002</v>
      </c>
      <c r="L92" s="591">
        <f t="shared" si="17"/>
        <v>2370475.1796599999</v>
      </c>
      <c r="M92" s="591">
        <f t="shared" si="17"/>
        <v>2328050.6632900005</v>
      </c>
      <c r="N92" s="591">
        <f t="shared" si="17"/>
        <v>2297731.8746900004</v>
      </c>
      <c r="O92" s="591">
        <f t="shared" si="17"/>
        <v>2307644.7400000002</v>
      </c>
      <c r="P92" s="591">
        <f t="shared" si="17"/>
        <v>2286110.73</v>
      </c>
      <c r="Q92" s="591">
        <f t="shared" si="17"/>
        <v>2248733.2070700005</v>
      </c>
      <c r="R92" s="591">
        <f t="shared" si="17"/>
        <v>2315969.301</v>
      </c>
      <c r="S92" s="591">
        <f t="shared" si="17"/>
        <v>2304082.6081099999</v>
      </c>
      <c r="T92" s="591">
        <f t="shared" si="17"/>
        <v>2227958.6906900005</v>
      </c>
      <c r="U92" s="591">
        <f t="shared" si="17"/>
        <v>2185765.7489099996</v>
      </c>
      <c r="V92" s="591">
        <f t="shared" si="17"/>
        <v>2123218.3174000001</v>
      </c>
      <c r="W92" s="591">
        <f t="shared" si="17"/>
        <v>2137080.8497599997</v>
      </c>
      <c r="X92" s="591">
        <f>SUM(X93:X101)</f>
        <v>2286252.1012500003</v>
      </c>
      <c r="Y92" s="591">
        <f t="shared" ref="Y92" si="18">SUM(Y93:Y101)</f>
        <v>2176711.6316200001</v>
      </c>
      <c r="Z92" s="591">
        <f>SUM(Z93:Z101)</f>
        <v>2089862.1748000004</v>
      </c>
      <c r="AA92" s="591">
        <f>SUM(AA93:AA101)</f>
        <v>2094795.5599299993</v>
      </c>
      <c r="AB92" s="591">
        <f t="shared" ref="AB92:AD92" si="19">SUM(AB93:AB101)</f>
        <v>2080707.3130800002</v>
      </c>
      <c r="AC92" s="591">
        <f t="shared" si="19"/>
        <v>2100048.1042900002</v>
      </c>
      <c r="AD92" s="591">
        <f t="shared" si="19"/>
        <v>2195195.6032600007</v>
      </c>
      <c r="AE92" s="591">
        <f>SUM(AE93:AE101)</f>
        <v>2221920.4961600001</v>
      </c>
    </row>
    <row r="93" spans="1:31" s="30" customFormat="1" ht="18" customHeight="1">
      <c r="A93"/>
      <c r="B93" s="36" t="s">
        <v>922</v>
      </c>
      <c r="C93" s="592">
        <v>6711.2033700000002</v>
      </c>
      <c r="D93" s="592">
        <v>7739.93534</v>
      </c>
      <c r="E93" s="592">
        <v>8296.718280000001</v>
      </c>
      <c r="F93" s="592">
        <v>5321.5396600000004</v>
      </c>
      <c r="G93" s="593">
        <v>0</v>
      </c>
      <c r="H93" s="593">
        <v>0</v>
      </c>
      <c r="I93" s="593">
        <v>0</v>
      </c>
      <c r="J93" s="593">
        <v>0</v>
      </c>
      <c r="K93" s="593">
        <v>0</v>
      </c>
      <c r="L93" s="593">
        <v>0</v>
      </c>
      <c r="M93" s="593">
        <v>0</v>
      </c>
      <c r="N93" s="593">
        <v>0</v>
      </c>
      <c r="O93" s="593">
        <v>0</v>
      </c>
      <c r="P93" s="593">
        <v>0</v>
      </c>
      <c r="Q93" s="593">
        <v>0</v>
      </c>
      <c r="R93" s="593">
        <v>0</v>
      </c>
      <c r="S93" s="593">
        <v>0</v>
      </c>
      <c r="T93" s="593">
        <v>0</v>
      </c>
      <c r="U93" s="593">
        <v>0</v>
      </c>
      <c r="V93" s="593">
        <v>0</v>
      </c>
      <c r="W93" s="593">
        <v>0</v>
      </c>
      <c r="X93" s="593">
        <v>0</v>
      </c>
      <c r="Y93" s="593">
        <v>0</v>
      </c>
      <c r="Z93" s="593">
        <v>0</v>
      </c>
      <c r="AA93" s="593">
        <v>0</v>
      </c>
      <c r="AB93" s="593">
        <v>12441.910429999998</v>
      </c>
      <c r="AC93" s="593">
        <v>13127.283739999999</v>
      </c>
      <c r="AD93" s="593">
        <v>71851.117410000006</v>
      </c>
      <c r="AE93" s="593">
        <v>15394.04205</v>
      </c>
    </row>
    <row r="94" spans="1:31" s="30" customFormat="1" ht="18" customHeight="1">
      <c r="A94"/>
      <c r="B94" s="36" t="s">
        <v>923</v>
      </c>
      <c r="C94" s="592">
        <v>0</v>
      </c>
      <c r="D94" s="592">
        <v>0</v>
      </c>
      <c r="E94" s="592">
        <v>0</v>
      </c>
      <c r="F94" s="592">
        <v>0</v>
      </c>
      <c r="G94" s="593">
        <v>0</v>
      </c>
      <c r="H94" s="593">
        <v>0</v>
      </c>
      <c r="I94" s="593">
        <v>0</v>
      </c>
      <c r="J94" s="593">
        <v>0</v>
      </c>
      <c r="K94" s="593">
        <v>0</v>
      </c>
      <c r="L94" s="593">
        <v>0</v>
      </c>
      <c r="M94" s="593">
        <v>0</v>
      </c>
      <c r="N94" s="593">
        <v>0</v>
      </c>
      <c r="O94" s="593">
        <v>0</v>
      </c>
      <c r="P94" s="593">
        <v>0</v>
      </c>
      <c r="Q94" s="593">
        <v>0</v>
      </c>
      <c r="R94" s="593">
        <v>0</v>
      </c>
      <c r="S94" s="593">
        <v>0</v>
      </c>
      <c r="T94" s="593">
        <v>0</v>
      </c>
      <c r="U94" s="593">
        <v>0</v>
      </c>
      <c r="V94" s="593">
        <v>0</v>
      </c>
      <c r="W94" s="593">
        <v>0</v>
      </c>
      <c r="X94" s="593">
        <v>0</v>
      </c>
      <c r="Y94" s="593">
        <v>0</v>
      </c>
      <c r="Z94" s="593">
        <v>0</v>
      </c>
      <c r="AA94" s="593">
        <v>0</v>
      </c>
      <c r="AB94" s="593">
        <v>0</v>
      </c>
      <c r="AC94" s="593">
        <v>0</v>
      </c>
      <c r="AD94" s="593">
        <v>0</v>
      </c>
    </row>
    <row r="95" spans="1:31" s="30" customFormat="1" ht="18" customHeight="1">
      <c r="A95"/>
      <c r="B95" s="36" t="s">
        <v>905</v>
      </c>
      <c r="C95" s="592">
        <v>0</v>
      </c>
      <c r="D95" s="592">
        <v>0</v>
      </c>
      <c r="E95" s="592">
        <v>0</v>
      </c>
      <c r="F95" s="592">
        <v>0</v>
      </c>
      <c r="G95" s="593">
        <v>0</v>
      </c>
      <c r="H95" s="593">
        <v>0</v>
      </c>
      <c r="I95" s="593">
        <v>0</v>
      </c>
      <c r="J95" s="593">
        <v>0</v>
      </c>
      <c r="K95" s="593">
        <v>0</v>
      </c>
      <c r="L95" s="593">
        <v>0</v>
      </c>
      <c r="M95" s="593">
        <v>0</v>
      </c>
      <c r="N95" s="593">
        <v>0</v>
      </c>
      <c r="O95" s="593">
        <v>0</v>
      </c>
      <c r="P95" s="593">
        <v>0</v>
      </c>
      <c r="Q95" s="593">
        <v>0</v>
      </c>
      <c r="R95" s="593">
        <v>0</v>
      </c>
      <c r="S95" s="593">
        <v>0</v>
      </c>
      <c r="T95" s="593">
        <v>0</v>
      </c>
      <c r="U95" s="593">
        <v>0</v>
      </c>
      <c r="V95" s="593">
        <v>0</v>
      </c>
      <c r="W95" s="593">
        <v>0</v>
      </c>
      <c r="X95" s="593">
        <v>0</v>
      </c>
      <c r="Y95" s="593">
        <v>0</v>
      </c>
      <c r="Z95" s="593">
        <v>0</v>
      </c>
      <c r="AA95" s="593">
        <v>0</v>
      </c>
      <c r="AB95" s="593">
        <v>0</v>
      </c>
      <c r="AC95" s="593">
        <v>0</v>
      </c>
      <c r="AD95" s="593">
        <v>0</v>
      </c>
      <c r="AE95" s="593">
        <v>0</v>
      </c>
    </row>
    <row r="96" spans="1:31" s="30" customFormat="1" ht="18" customHeight="1">
      <c r="A96"/>
      <c r="B96" s="36" t="s">
        <v>900</v>
      </c>
      <c r="C96" s="592">
        <v>0</v>
      </c>
      <c r="D96" s="592">
        <v>0</v>
      </c>
      <c r="E96" s="592">
        <v>0</v>
      </c>
      <c r="F96" s="592">
        <v>0</v>
      </c>
      <c r="G96" s="593">
        <v>0</v>
      </c>
      <c r="H96" s="593">
        <v>0</v>
      </c>
      <c r="I96" s="593">
        <v>0</v>
      </c>
      <c r="J96" s="593">
        <v>0</v>
      </c>
      <c r="K96" s="593">
        <v>0</v>
      </c>
      <c r="L96" s="593">
        <v>0</v>
      </c>
      <c r="M96" s="593">
        <v>0</v>
      </c>
      <c r="N96" s="593">
        <v>0</v>
      </c>
      <c r="O96" s="593">
        <v>0</v>
      </c>
      <c r="P96" s="593">
        <v>0</v>
      </c>
      <c r="Q96" s="593">
        <v>0</v>
      </c>
      <c r="R96" s="593">
        <v>0</v>
      </c>
      <c r="S96" s="593">
        <v>0</v>
      </c>
      <c r="T96" s="593">
        <v>0</v>
      </c>
      <c r="U96" s="593">
        <v>0</v>
      </c>
      <c r="V96" s="593">
        <v>0</v>
      </c>
      <c r="W96" s="593">
        <v>0</v>
      </c>
      <c r="X96" s="593">
        <v>0</v>
      </c>
      <c r="Y96" s="593">
        <v>0</v>
      </c>
      <c r="Z96" s="593">
        <v>0</v>
      </c>
      <c r="AA96" s="593">
        <v>0</v>
      </c>
      <c r="AB96" s="593">
        <v>0</v>
      </c>
      <c r="AC96" s="593">
        <v>0</v>
      </c>
      <c r="AD96" s="593">
        <v>0</v>
      </c>
      <c r="AE96" s="593">
        <v>0</v>
      </c>
    </row>
    <row r="97" spans="1:31" s="30" customFormat="1" ht="18" customHeight="1">
      <c r="A97"/>
      <c r="B97" s="36" t="s">
        <v>901</v>
      </c>
      <c r="C97" s="592">
        <v>0</v>
      </c>
      <c r="D97" s="592">
        <v>0</v>
      </c>
      <c r="E97" s="592">
        <v>0</v>
      </c>
      <c r="F97" s="592">
        <v>0</v>
      </c>
      <c r="G97" s="593">
        <v>0</v>
      </c>
      <c r="H97" s="593">
        <v>0</v>
      </c>
      <c r="I97" s="593">
        <v>0</v>
      </c>
      <c r="J97" s="593">
        <v>0</v>
      </c>
      <c r="K97" s="593">
        <v>0</v>
      </c>
      <c r="L97" s="593">
        <v>0</v>
      </c>
      <c r="M97" s="593">
        <v>0</v>
      </c>
      <c r="N97" s="593">
        <v>0</v>
      </c>
      <c r="O97" s="593">
        <v>0</v>
      </c>
      <c r="P97" s="593">
        <v>0</v>
      </c>
      <c r="Q97" s="593">
        <v>0</v>
      </c>
      <c r="R97" s="593">
        <v>0</v>
      </c>
      <c r="S97" s="593">
        <v>0</v>
      </c>
      <c r="T97" s="593">
        <v>0</v>
      </c>
      <c r="U97" s="593">
        <v>0</v>
      </c>
      <c r="V97" s="593">
        <v>0</v>
      </c>
      <c r="W97" s="593">
        <v>0</v>
      </c>
      <c r="X97" s="593">
        <v>0</v>
      </c>
      <c r="Y97" s="593">
        <v>0</v>
      </c>
      <c r="Z97" s="593">
        <v>0</v>
      </c>
      <c r="AA97" s="593">
        <v>0</v>
      </c>
      <c r="AB97" s="593">
        <v>0</v>
      </c>
      <c r="AC97" s="593">
        <v>0</v>
      </c>
      <c r="AD97" s="593">
        <v>0</v>
      </c>
      <c r="AE97" s="593">
        <v>0</v>
      </c>
    </row>
    <row r="98" spans="1:31" s="30" customFormat="1" ht="18" customHeight="1">
      <c r="A98"/>
      <c r="B98" s="36" t="s">
        <v>902</v>
      </c>
      <c r="C98" s="592">
        <v>4038153.8100200002</v>
      </c>
      <c r="D98" s="592">
        <v>4295574.5863699997</v>
      </c>
      <c r="E98" s="592">
        <v>4485435.9052100005</v>
      </c>
      <c r="F98" s="592">
        <v>4773220.8158100015</v>
      </c>
      <c r="G98" s="593">
        <v>4956832.9396099988</v>
      </c>
      <c r="H98" s="593">
        <v>4976024.9244399983</v>
      </c>
      <c r="I98" s="593">
        <v>800285.90915000008</v>
      </c>
      <c r="J98" s="593">
        <v>889688.56941000011</v>
      </c>
      <c r="K98" s="593">
        <v>948569.88300000026</v>
      </c>
      <c r="L98" s="593">
        <v>861466.23780000024</v>
      </c>
      <c r="M98" s="593">
        <v>813090.19165000005</v>
      </c>
      <c r="N98" s="593">
        <v>773590.58366000024</v>
      </c>
      <c r="O98" s="593">
        <f>749090050/1000</f>
        <v>749090.05</v>
      </c>
      <c r="P98" s="593">
        <f>695617681/1000</f>
        <v>695617.68099999998</v>
      </c>
      <c r="Q98" s="593">
        <v>677204.75970000017</v>
      </c>
      <c r="R98" s="593">
        <v>647586.8390700001</v>
      </c>
      <c r="S98" s="593">
        <v>600327.53101999988</v>
      </c>
      <c r="T98" s="593">
        <v>564014.41999000008</v>
      </c>
      <c r="U98" s="593">
        <v>554592.75019000005</v>
      </c>
      <c r="V98" s="593">
        <v>563199.70126999996</v>
      </c>
      <c r="W98" s="593">
        <v>559175.84074000025</v>
      </c>
      <c r="X98" s="593">
        <v>545972.10309000011</v>
      </c>
      <c r="Y98" s="593">
        <v>532025.03012000001</v>
      </c>
      <c r="Z98" s="593">
        <v>514942.30423000001</v>
      </c>
      <c r="AA98" s="593">
        <v>482801.6759899999</v>
      </c>
      <c r="AB98" s="593">
        <v>466156.58042000007</v>
      </c>
      <c r="AC98" s="593">
        <v>484751.95846000005</v>
      </c>
      <c r="AD98" s="593">
        <v>546163.02505000005</v>
      </c>
      <c r="AE98" s="593">
        <v>599856.77928000002</v>
      </c>
    </row>
    <row r="99" spans="1:31" s="30" customFormat="1" ht="18" customHeight="1">
      <c r="A99"/>
      <c r="B99" s="36" t="s">
        <v>904</v>
      </c>
      <c r="C99" s="592">
        <v>1390662.3039200001</v>
      </c>
      <c r="D99" s="592">
        <v>1360251.0716900004</v>
      </c>
      <c r="E99" s="592">
        <v>1342931.9534699998</v>
      </c>
      <c r="F99" s="592">
        <v>1268201.9955099998</v>
      </c>
      <c r="G99" s="593">
        <v>1226767.3077099998</v>
      </c>
      <c r="H99" s="593">
        <v>1196545.0509300004</v>
      </c>
      <c r="I99" s="593">
        <v>932003.97014999995</v>
      </c>
      <c r="J99" s="593">
        <v>941428.99414000008</v>
      </c>
      <c r="K99" s="593">
        <v>1057015.38699</v>
      </c>
      <c r="L99" s="593">
        <v>1094148.2376499998</v>
      </c>
      <c r="M99" s="593">
        <v>1084096.3933100002</v>
      </c>
      <c r="N99" s="593">
        <v>1044214.16655</v>
      </c>
      <c r="O99" s="593">
        <f>1048592890/1000</f>
        <v>1048592.8899999999</v>
      </c>
      <c r="P99" s="593">
        <f>1096861793/1000</f>
        <v>1096861.7930000001</v>
      </c>
      <c r="Q99" s="593">
        <v>1079832.4549300002</v>
      </c>
      <c r="R99" s="593">
        <v>1183047.6226699995</v>
      </c>
      <c r="S99" s="593">
        <v>1186282.0571799998</v>
      </c>
      <c r="T99" s="593">
        <v>1171035.0602800003</v>
      </c>
      <c r="U99" s="593">
        <v>1143638.6676199997</v>
      </c>
      <c r="V99" s="593">
        <v>1104962.09901</v>
      </c>
      <c r="W99" s="593">
        <v>1125519.9019699998</v>
      </c>
      <c r="X99" s="593">
        <v>1263208.1700300002</v>
      </c>
      <c r="Y99" s="593">
        <v>1188747.9848000002</v>
      </c>
      <c r="Z99" s="593">
        <v>1098324.0342300001</v>
      </c>
      <c r="AA99" s="593">
        <v>1136033.9247799993</v>
      </c>
      <c r="AB99" s="593">
        <v>1129198.23337</v>
      </c>
      <c r="AC99" s="593">
        <v>1133636.2486699999</v>
      </c>
      <c r="AD99" s="593">
        <v>1113424.6099600005</v>
      </c>
      <c r="AE99" s="593">
        <v>1141185.9813100004</v>
      </c>
    </row>
    <row r="100" spans="1:31" s="30" customFormat="1" ht="18" customHeight="1">
      <c r="A100"/>
      <c r="B100" s="36" t="s">
        <v>906</v>
      </c>
      <c r="C100" s="592">
        <v>978221.51603000029</v>
      </c>
      <c r="D100" s="592">
        <v>1008631.4120699998</v>
      </c>
      <c r="E100" s="592">
        <v>1001852.7589</v>
      </c>
      <c r="F100" s="592">
        <v>899101.7275499996</v>
      </c>
      <c r="G100" s="593">
        <v>446129.6145400001</v>
      </c>
      <c r="H100" s="593">
        <v>539004.87184000004</v>
      </c>
      <c r="I100" s="593">
        <v>370563.87555</v>
      </c>
      <c r="J100" s="593">
        <v>375344.51221999998</v>
      </c>
      <c r="K100" s="593">
        <v>358285.14509999991</v>
      </c>
      <c r="L100" s="593">
        <v>333100.06143000012</v>
      </c>
      <c r="M100" s="593">
        <v>338709.40745000006</v>
      </c>
      <c r="N100" s="593">
        <v>390875.09164000006</v>
      </c>
      <c r="O100" s="593">
        <f>417650350/1000</f>
        <v>417650.35</v>
      </c>
      <c r="P100" s="593">
        <f>398068625/1000</f>
        <v>398068.625</v>
      </c>
      <c r="Q100" s="593">
        <v>395717.35574999993</v>
      </c>
      <c r="R100" s="593">
        <v>380797.97239000001</v>
      </c>
      <c r="S100" s="593">
        <v>413389.44068999996</v>
      </c>
      <c r="T100" s="593">
        <v>389272.53758</v>
      </c>
      <c r="U100" s="593">
        <v>384693.09304000001</v>
      </c>
      <c r="V100" s="593">
        <v>352496.04893000005</v>
      </c>
      <c r="W100" s="593">
        <v>351406.41564000002</v>
      </c>
      <c r="X100" s="593">
        <v>374460.34974000009</v>
      </c>
      <c r="Y100" s="593">
        <v>353279.93486999994</v>
      </c>
      <c r="Z100" s="593">
        <v>341123.24903000001</v>
      </c>
      <c r="AA100" s="593">
        <v>337398.99497</v>
      </c>
      <c r="AB100" s="593">
        <v>333578.14043999993</v>
      </c>
      <c r="AC100" s="593">
        <v>330244.46934000001</v>
      </c>
      <c r="AD100" s="593">
        <v>327284.19574</v>
      </c>
      <c r="AE100" s="593">
        <v>324979.65340999991</v>
      </c>
    </row>
    <row r="101" spans="1:31" s="30" customFormat="1" ht="18" customHeight="1">
      <c r="A101"/>
      <c r="B101" s="36" t="s">
        <v>907</v>
      </c>
      <c r="C101" s="592">
        <v>162013.71606999999</v>
      </c>
      <c r="D101" s="592">
        <v>166214.47331</v>
      </c>
      <c r="E101" s="592">
        <v>163833.41464000003</v>
      </c>
      <c r="F101" s="592">
        <v>153364.64009999999</v>
      </c>
      <c r="G101" s="593">
        <v>158884.79404999997</v>
      </c>
      <c r="H101" s="593">
        <v>161123.89181000003</v>
      </c>
      <c r="I101" s="593">
        <v>138306.46861000001</v>
      </c>
      <c r="J101" s="593">
        <v>141082.08712999997</v>
      </c>
      <c r="K101" s="593">
        <v>129461.53895</v>
      </c>
      <c r="L101" s="593">
        <v>81760.642779999995</v>
      </c>
      <c r="M101" s="593">
        <v>92154.670879999991</v>
      </c>
      <c r="N101" s="593">
        <v>89052.032839999985</v>
      </c>
      <c r="O101" s="593">
        <f>92311450/1000</f>
        <v>92311.45</v>
      </c>
      <c r="P101" s="593">
        <f>95562631/1000</f>
        <v>95562.630999999994</v>
      </c>
      <c r="Q101" s="593">
        <v>95978.636690000014</v>
      </c>
      <c r="R101" s="593">
        <v>104536.86687</v>
      </c>
      <c r="S101" s="593">
        <v>104083.57921999999</v>
      </c>
      <c r="T101" s="593">
        <v>103636.67284</v>
      </c>
      <c r="U101" s="593">
        <v>102841.23806000002</v>
      </c>
      <c r="V101" s="593">
        <v>102560.46819000001</v>
      </c>
      <c r="W101" s="593">
        <v>100978.69140999997</v>
      </c>
      <c r="X101" s="593">
        <v>102611.47838999999</v>
      </c>
      <c r="Y101" s="593">
        <v>102658.68182999999</v>
      </c>
      <c r="Z101" s="593">
        <v>135472.58731</v>
      </c>
      <c r="AA101" s="593">
        <v>138560.96419000003</v>
      </c>
      <c r="AB101" s="593">
        <v>139332.44842000003</v>
      </c>
      <c r="AC101" s="593">
        <v>138288.14408000003</v>
      </c>
      <c r="AD101" s="593">
        <v>136472.65510000003</v>
      </c>
      <c r="AE101" s="593">
        <v>140504.04011</v>
      </c>
    </row>
    <row r="102" spans="1:31" s="30" customFormat="1" ht="25.35" customHeight="1">
      <c r="A102" s="225"/>
      <c r="B102" s="590" t="s">
        <v>920</v>
      </c>
      <c r="C102" s="591">
        <f t="shared" ref="C102" si="20">SUM(C93:C101)</f>
        <v>6575762.5494100004</v>
      </c>
      <c r="D102" s="591">
        <f t="shared" ref="D102:W102" si="21">SUM(D93:D101)</f>
        <v>6838411.4787800005</v>
      </c>
      <c r="E102" s="591">
        <f t="shared" si="21"/>
        <v>7002350.7505000001</v>
      </c>
      <c r="F102" s="591">
        <f t="shared" si="21"/>
        <v>7099210.7186300019</v>
      </c>
      <c r="G102" s="591">
        <f t="shared" si="21"/>
        <v>6788614.6559099983</v>
      </c>
      <c r="H102" s="591">
        <f t="shared" si="21"/>
        <v>6872698.7390199993</v>
      </c>
      <c r="I102" s="591">
        <f t="shared" si="21"/>
        <v>2241160.22346</v>
      </c>
      <c r="J102" s="591">
        <f t="shared" si="21"/>
        <v>2347544.1628999999</v>
      </c>
      <c r="K102" s="591">
        <f t="shared" si="21"/>
        <v>2493331.9540400002</v>
      </c>
      <c r="L102" s="591">
        <f t="shared" si="21"/>
        <v>2370475.1796599999</v>
      </c>
      <c r="M102" s="591">
        <f t="shared" si="21"/>
        <v>2328050.6632900005</v>
      </c>
      <c r="N102" s="591">
        <f t="shared" si="21"/>
        <v>2297731.8746900004</v>
      </c>
      <c r="O102" s="591">
        <f t="shared" si="21"/>
        <v>2307644.7400000002</v>
      </c>
      <c r="P102" s="591">
        <f t="shared" si="21"/>
        <v>2286110.73</v>
      </c>
      <c r="Q102" s="591">
        <f t="shared" si="21"/>
        <v>2248733.2070700005</v>
      </c>
      <c r="R102" s="591">
        <f t="shared" si="21"/>
        <v>2315969.301</v>
      </c>
      <c r="S102" s="591">
        <f t="shared" si="21"/>
        <v>2304082.6081099999</v>
      </c>
      <c r="T102" s="591">
        <f t="shared" si="21"/>
        <v>2227958.6906900005</v>
      </c>
      <c r="U102" s="591">
        <f t="shared" si="21"/>
        <v>2185765.7489099996</v>
      </c>
      <c r="V102" s="591">
        <f t="shared" si="21"/>
        <v>2123218.3174000001</v>
      </c>
      <c r="W102" s="591">
        <f t="shared" si="21"/>
        <v>2137080.8497599997</v>
      </c>
      <c r="X102" s="591">
        <f>SUM(X93:X101)</f>
        <v>2286252.1012500003</v>
      </c>
      <c r="Y102" s="591">
        <f t="shared" ref="Y102" si="22">SUM(Y93:Y101)</f>
        <v>2176711.6316200001</v>
      </c>
      <c r="Z102" s="591">
        <f>SUM(Z93:Z101)</f>
        <v>2089862.1748000004</v>
      </c>
      <c r="AA102" s="591">
        <f>SUM(AA93:AA101)</f>
        <v>2094795.5599299993</v>
      </c>
      <c r="AB102" s="591">
        <f t="shared" ref="AB102:AD102" si="23">SUM(AB93:AB101)</f>
        <v>2080707.3130800002</v>
      </c>
      <c r="AC102" s="591">
        <f t="shared" si="23"/>
        <v>2100048.1042900002</v>
      </c>
      <c r="AD102" s="591">
        <f t="shared" si="23"/>
        <v>2195195.6032600007</v>
      </c>
      <c r="AE102" s="591">
        <f>SUM(AE93:AE101)</f>
        <v>2221920.4961600001</v>
      </c>
    </row>
    <row r="103" spans="1:31" ht="4.9000000000000004" customHeight="1">
      <c r="B103" s="36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459"/>
      <c r="P103" s="459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4.9000000000000004" customHeight="1">
      <c r="B104" s="36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459"/>
      <c r="P104" s="459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4.9000000000000004" customHeight="1"/>
    <row r="106" spans="1:31" s="387" customFormat="1" ht="25.35" customHeight="1">
      <c r="A106" s="625"/>
      <c r="B106" s="625" t="s">
        <v>925</v>
      </c>
      <c r="C106" s="626" t="s">
        <v>236</v>
      </c>
      <c r="D106" s="626" t="s">
        <v>237</v>
      </c>
      <c r="E106" s="626" t="s">
        <v>238</v>
      </c>
      <c r="F106" s="626" t="s">
        <v>239</v>
      </c>
      <c r="G106" s="626" t="s">
        <v>240</v>
      </c>
      <c r="H106" s="626" t="s">
        <v>241</v>
      </c>
      <c r="I106" s="626" t="s">
        <v>242</v>
      </c>
      <c r="J106" s="626" t="s">
        <v>243</v>
      </c>
      <c r="K106" s="626" t="s">
        <v>244</v>
      </c>
      <c r="L106" s="626" t="s">
        <v>245</v>
      </c>
      <c r="M106" s="626" t="s">
        <v>246</v>
      </c>
      <c r="N106" s="626" t="s">
        <v>247</v>
      </c>
      <c r="O106" s="626" t="s">
        <v>248</v>
      </c>
      <c r="P106" s="626" t="s">
        <v>249</v>
      </c>
      <c r="Q106" s="626" t="s">
        <v>250</v>
      </c>
      <c r="R106" s="626" t="s">
        <v>215</v>
      </c>
      <c r="S106" s="626" t="s">
        <v>252</v>
      </c>
      <c r="T106" s="626" t="s">
        <v>253</v>
      </c>
      <c r="U106" s="626" t="s">
        <v>254</v>
      </c>
      <c r="V106" s="626" t="s">
        <v>219</v>
      </c>
      <c r="W106" s="626" t="s">
        <v>223</v>
      </c>
      <c r="X106" s="626" t="s">
        <v>256</v>
      </c>
      <c r="Y106" s="626" t="s">
        <v>357</v>
      </c>
      <c r="Z106" s="626" t="s">
        <v>358</v>
      </c>
      <c r="AA106" s="626" t="s">
        <v>359</v>
      </c>
      <c r="AB106" s="626" t="s">
        <v>1115</v>
      </c>
      <c r="AC106" s="626" t="s">
        <v>1116</v>
      </c>
      <c r="AD106" s="675" t="s">
        <v>1117</v>
      </c>
      <c r="AE106" s="681" t="s">
        <v>1124</v>
      </c>
    </row>
    <row r="107" spans="1:31" s="30" customFormat="1" ht="25.35" customHeight="1">
      <c r="A107" s="225"/>
      <c r="B107" s="590" t="s">
        <v>105</v>
      </c>
      <c r="C107" s="591">
        <f t="shared" ref="C107:AD107" si="24">SUM(C108:C112)</f>
        <v>0</v>
      </c>
      <c r="D107" s="591">
        <f t="shared" si="24"/>
        <v>0</v>
      </c>
      <c r="E107" s="591">
        <f t="shared" si="24"/>
        <v>0</v>
      </c>
      <c r="F107" s="591">
        <f t="shared" si="24"/>
        <v>0</v>
      </c>
      <c r="G107" s="591">
        <f t="shared" si="24"/>
        <v>0</v>
      </c>
      <c r="H107" s="591">
        <f t="shared" si="24"/>
        <v>0</v>
      </c>
      <c r="I107" s="591">
        <f t="shared" si="24"/>
        <v>0</v>
      </c>
      <c r="J107" s="591">
        <f t="shared" si="24"/>
        <v>0</v>
      </c>
      <c r="K107" s="591">
        <f t="shared" si="24"/>
        <v>0</v>
      </c>
      <c r="L107" s="591">
        <f t="shared" si="24"/>
        <v>0.37961</v>
      </c>
      <c r="M107" s="591">
        <f t="shared" si="24"/>
        <v>33004.281619999994</v>
      </c>
      <c r="N107" s="591">
        <f t="shared" si="24"/>
        <v>21536.985230000002</v>
      </c>
      <c r="O107" s="591">
        <f t="shared" si="24"/>
        <v>180899.59703999999</v>
      </c>
      <c r="P107" s="591">
        <f t="shared" si="24"/>
        <v>303130.31624999997</v>
      </c>
      <c r="Q107" s="591">
        <f t="shared" si="24"/>
        <v>490268.69092999998</v>
      </c>
      <c r="R107" s="591">
        <f t="shared" si="24"/>
        <v>596034.25671999995</v>
      </c>
      <c r="S107" s="591">
        <f t="shared" si="24"/>
        <v>785053.69172</v>
      </c>
      <c r="T107" s="591">
        <f t="shared" si="24"/>
        <v>989192.32545999985</v>
      </c>
      <c r="U107" s="591">
        <f t="shared" si="24"/>
        <v>1261930.51</v>
      </c>
      <c r="V107" s="591">
        <f t="shared" si="24"/>
        <v>1514911.4457400001</v>
      </c>
      <c r="W107" s="591">
        <f t="shared" si="24"/>
        <v>1763544.7051200001</v>
      </c>
      <c r="X107" s="591">
        <f t="shared" si="24"/>
        <v>1954268.0502700002</v>
      </c>
      <c r="Y107" s="591">
        <f t="shared" si="24"/>
        <v>2158893.81586</v>
      </c>
      <c r="Z107" s="591">
        <f t="shared" si="24"/>
        <v>2375924.5730700004</v>
      </c>
      <c r="AA107" s="591">
        <f t="shared" si="24"/>
        <v>2616450.4561799997</v>
      </c>
      <c r="AB107" s="591">
        <f t="shared" si="24"/>
        <v>2863263.1443800004</v>
      </c>
      <c r="AC107" s="591">
        <f>SUM(AC108:AC112)</f>
        <v>3101623.62445</v>
      </c>
      <c r="AD107" s="591">
        <f t="shared" si="24"/>
        <v>3365952.159</v>
      </c>
      <c r="AE107" s="591">
        <f>SUM(AE108:AE112)</f>
        <v>3572001.6175700002</v>
      </c>
    </row>
    <row r="108" spans="1:31" s="30" customFormat="1" ht="18" customHeight="1">
      <c r="A108"/>
      <c r="B108" s="36" t="s">
        <v>926</v>
      </c>
      <c r="C108" s="592">
        <v>0</v>
      </c>
      <c r="D108" s="592">
        <v>0</v>
      </c>
      <c r="E108" s="592">
        <v>0</v>
      </c>
      <c r="F108" s="592">
        <v>0</v>
      </c>
      <c r="G108" s="593">
        <v>0</v>
      </c>
      <c r="H108" s="593">
        <v>0</v>
      </c>
      <c r="I108" s="593">
        <v>0</v>
      </c>
      <c r="J108" s="593">
        <v>0</v>
      </c>
      <c r="K108" s="593">
        <v>0</v>
      </c>
      <c r="L108" s="593">
        <v>0.36386000000000002</v>
      </c>
      <c r="M108" s="593">
        <v>32149.882829999999</v>
      </c>
      <c r="N108" s="593">
        <v>21080.072830000001</v>
      </c>
      <c r="O108" s="593">
        <v>175581.30765999999</v>
      </c>
      <c r="P108" s="593">
        <v>293605.47091999999</v>
      </c>
      <c r="Q108" s="593">
        <v>474161.02856999997</v>
      </c>
      <c r="R108" s="593">
        <v>572944.50870000001</v>
      </c>
      <c r="S108" s="593">
        <v>751120.59362000006</v>
      </c>
      <c r="T108" s="593">
        <v>940914.33136999991</v>
      </c>
      <c r="U108" s="593">
        <v>1195564.1264500001</v>
      </c>
      <c r="V108" s="593">
        <v>1428119.0857500001</v>
      </c>
      <c r="W108" s="593">
        <v>1654275.2901900001</v>
      </c>
      <c r="X108" s="593">
        <v>1821140.2736300002</v>
      </c>
      <c r="Y108" s="593">
        <v>2000137.8727500001</v>
      </c>
      <c r="Z108" s="593">
        <v>2187167.6575099998</v>
      </c>
      <c r="AA108" s="593">
        <v>2389691.6079299999</v>
      </c>
      <c r="AB108" s="593">
        <v>2606509.7553300001</v>
      </c>
      <c r="AC108" s="593">
        <v>2778849.1494</v>
      </c>
      <c r="AD108" s="593">
        <v>2986023.3650000002</v>
      </c>
      <c r="AE108" s="593">
        <v>3173098.1974599999</v>
      </c>
    </row>
    <row r="109" spans="1:31" s="30" customFormat="1" ht="18" customHeight="1">
      <c r="A109"/>
      <c r="B109" s="36" t="s">
        <v>927</v>
      </c>
      <c r="C109" s="592">
        <v>0</v>
      </c>
      <c r="D109" s="592">
        <v>0</v>
      </c>
      <c r="E109" s="592">
        <v>0</v>
      </c>
      <c r="F109" s="592">
        <v>0</v>
      </c>
      <c r="G109" s="593">
        <v>0</v>
      </c>
      <c r="H109" s="593">
        <v>0</v>
      </c>
      <c r="I109" s="593">
        <v>0</v>
      </c>
      <c r="J109" s="593">
        <v>0</v>
      </c>
      <c r="K109" s="593">
        <v>0</v>
      </c>
      <c r="L109" s="593">
        <v>0</v>
      </c>
      <c r="M109" s="593">
        <v>0</v>
      </c>
      <c r="N109" s="593">
        <v>9.0438999999999989</v>
      </c>
      <c r="O109" s="593">
        <v>491.91989000000001</v>
      </c>
      <c r="P109" s="593">
        <v>1309.4098300000001</v>
      </c>
      <c r="Q109" s="593">
        <v>3906.1391400000002</v>
      </c>
      <c r="R109" s="593">
        <v>8444.1047400000007</v>
      </c>
      <c r="S109" s="593">
        <v>15264.5604</v>
      </c>
      <c r="T109" s="593">
        <v>25586.363069999999</v>
      </c>
      <c r="U109" s="593">
        <v>38678.705740000005</v>
      </c>
      <c r="V109" s="593">
        <v>55178.040829999998</v>
      </c>
      <c r="W109" s="593">
        <v>74146.538150000008</v>
      </c>
      <c r="X109" s="593">
        <v>95046.060590000008</v>
      </c>
      <c r="Y109" s="593">
        <v>118309.89989</v>
      </c>
      <c r="Z109" s="593">
        <v>146518.87612</v>
      </c>
      <c r="AA109" s="593">
        <v>182401.65208</v>
      </c>
      <c r="AB109" s="593">
        <v>210163.57044000001</v>
      </c>
      <c r="AC109" s="593">
        <v>242273.42981</v>
      </c>
      <c r="AD109" s="593">
        <v>279921.09899999999</v>
      </c>
      <c r="AE109" s="593">
        <v>297530.78736000002</v>
      </c>
    </row>
    <row r="110" spans="1:31" s="30" customFormat="1" ht="18" customHeight="1">
      <c r="A110"/>
      <c r="B110" s="36" t="s">
        <v>928</v>
      </c>
      <c r="C110" s="592">
        <v>0</v>
      </c>
      <c r="D110" s="592">
        <v>0</v>
      </c>
      <c r="E110" s="592">
        <v>0</v>
      </c>
      <c r="F110" s="592">
        <v>0</v>
      </c>
      <c r="G110" s="593">
        <v>0</v>
      </c>
      <c r="H110" s="593">
        <v>0</v>
      </c>
      <c r="I110" s="593">
        <v>0</v>
      </c>
      <c r="J110" s="593">
        <v>0</v>
      </c>
      <c r="K110" s="593">
        <v>0</v>
      </c>
      <c r="L110" s="593">
        <v>0</v>
      </c>
      <c r="M110" s="593">
        <v>0</v>
      </c>
      <c r="N110" s="593">
        <v>0.44163000000000002</v>
      </c>
      <c r="O110" s="593">
        <v>2.7310599999999998</v>
      </c>
      <c r="P110" s="593">
        <v>4.5128199999999996</v>
      </c>
      <c r="Q110" s="593">
        <v>3.12059</v>
      </c>
      <c r="R110" s="593">
        <v>0.32967000000000002</v>
      </c>
      <c r="S110" s="593">
        <v>0.66983999999999999</v>
      </c>
      <c r="T110" s="593">
        <v>0.34788999999999998</v>
      </c>
      <c r="U110" s="593">
        <v>0.43835000000000002</v>
      </c>
      <c r="V110" s="593">
        <v>0.5884299999999999</v>
      </c>
      <c r="W110" s="593">
        <v>1.8625999999999998</v>
      </c>
      <c r="X110" s="593">
        <v>1.1807799999999999</v>
      </c>
      <c r="Y110" s="593">
        <v>1.4220899999999999</v>
      </c>
      <c r="Z110" s="593">
        <v>1.2103299999999999</v>
      </c>
      <c r="AA110" s="593">
        <v>1.2615399999999999</v>
      </c>
      <c r="AB110" s="593">
        <v>2.0099900000000002</v>
      </c>
      <c r="AC110" s="593">
        <v>32346.22956</v>
      </c>
      <c r="AD110" s="593">
        <v>50550.675000000003</v>
      </c>
      <c r="AE110" s="593">
        <v>50548.463380000001</v>
      </c>
    </row>
    <row r="111" spans="1:31" s="30" customFormat="1" ht="18" customHeight="1">
      <c r="A111"/>
      <c r="B111" s="36" t="s">
        <v>929</v>
      </c>
      <c r="C111" s="592">
        <v>0</v>
      </c>
      <c r="D111" s="592">
        <v>0</v>
      </c>
      <c r="E111" s="592">
        <v>0</v>
      </c>
      <c r="F111" s="592">
        <v>0</v>
      </c>
      <c r="G111" s="593">
        <v>0</v>
      </c>
      <c r="H111" s="593">
        <v>0</v>
      </c>
      <c r="I111" s="593">
        <v>0</v>
      </c>
      <c r="J111" s="593">
        <v>0</v>
      </c>
      <c r="K111" s="593">
        <v>0</v>
      </c>
      <c r="L111" s="593">
        <v>0</v>
      </c>
      <c r="M111" s="593">
        <v>25.885999999999999</v>
      </c>
      <c r="N111" s="593">
        <v>-102.2985</v>
      </c>
      <c r="O111" s="593">
        <v>73.298310000000001</v>
      </c>
      <c r="P111" s="593">
        <v>237.55999</v>
      </c>
      <c r="Q111" s="593">
        <v>255.07859999999999</v>
      </c>
      <c r="R111" s="593">
        <v>706.26227000000006</v>
      </c>
      <c r="S111" s="593">
        <v>555.02533999999991</v>
      </c>
      <c r="T111" s="593">
        <v>463.32650000000001</v>
      </c>
      <c r="U111" s="593">
        <v>993.36775999999998</v>
      </c>
      <c r="V111" s="593">
        <v>929.85958999999991</v>
      </c>
      <c r="W111" s="593">
        <v>696.91088999999999</v>
      </c>
      <c r="X111" s="593">
        <v>1128.38256</v>
      </c>
      <c r="Y111" s="593">
        <v>1196.51376</v>
      </c>
      <c r="Z111" s="593">
        <v>1545.4470700000002</v>
      </c>
      <c r="AA111" s="593">
        <v>1916.8918100000001</v>
      </c>
      <c r="AB111" s="593">
        <v>2019.0136</v>
      </c>
      <c r="AC111" s="593">
        <v>2250.13771</v>
      </c>
      <c r="AD111" s="593">
        <v>2754.627</v>
      </c>
      <c r="AE111" s="593">
        <v>3443.7606599999999</v>
      </c>
    </row>
    <row r="112" spans="1:31" s="30" customFormat="1" ht="18" customHeight="1">
      <c r="A112"/>
      <c r="B112" s="36" t="s">
        <v>930</v>
      </c>
      <c r="C112" s="592">
        <v>0</v>
      </c>
      <c r="D112" s="592">
        <v>0</v>
      </c>
      <c r="E112" s="592">
        <v>0</v>
      </c>
      <c r="F112" s="592">
        <v>0</v>
      </c>
      <c r="G112" s="593">
        <v>0</v>
      </c>
      <c r="H112" s="593">
        <v>0</v>
      </c>
      <c r="I112" s="593">
        <v>0</v>
      </c>
      <c r="J112" s="593">
        <v>0</v>
      </c>
      <c r="K112" s="593">
        <v>0</v>
      </c>
      <c r="L112" s="593">
        <v>1.575E-2</v>
      </c>
      <c r="M112" s="593">
        <v>828.51279</v>
      </c>
      <c r="N112" s="593">
        <v>549.72537</v>
      </c>
      <c r="O112" s="593">
        <v>4750.3401199999998</v>
      </c>
      <c r="P112" s="593">
        <v>7973.3626900000008</v>
      </c>
      <c r="Q112" s="593">
        <v>11943.324030000002</v>
      </c>
      <c r="R112" s="593">
        <v>13939.05134</v>
      </c>
      <c r="S112" s="593">
        <v>18112.842519999998</v>
      </c>
      <c r="T112" s="593">
        <v>22227.956630000004</v>
      </c>
      <c r="U112" s="593">
        <v>26693.8717</v>
      </c>
      <c r="V112" s="593">
        <v>30683.871139999999</v>
      </c>
      <c r="W112" s="593">
        <v>34424.103289999999</v>
      </c>
      <c r="X112" s="593">
        <v>36952.152710000002</v>
      </c>
      <c r="Y112" s="593">
        <v>39248.107369999998</v>
      </c>
      <c r="Z112" s="593">
        <v>40691.382039999997</v>
      </c>
      <c r="AA112" s="593">
        <v>42439.042820000002</v>
      </c>
      <c r="AB112" s="593">
        <v>44568.795019999998</v>
      </c>
      <c r="AC112" s="593">
        <v>45904.677969999997</v>
      </c>
      <c r="AD112" s="593">
        <v>46702.392999999996</v>
      </c>
      <c r="AE112" s="593">
        <v>47380.408709999996</v>
      </c>
    </row>
    <row r="113" spans="1:37" s="30" customFormat="1" ht="25.35" customHeight="1">
      <c r="A113" s="225"/>
      <c r="B113" s="590" t="s">
        <v>920</v>
      </c>
      <c r="C113" s="591">
        <f t="shared" ref="C113:X113" si="25">SUM(C108:C112)</f>
        <v>0</v>
      </c>
      <c r="D113" s="591">
        <f t="shared" si="25"/>
        <v>0</v>
      </c>
      <c r="E113" s="591">
        <f t="shared" si="25"/>
        <v>0</v>
      </c>
      <c r="F113" s="591">
        <f t="shared" si="25"/>
        <v>0</v>
      </c>
      <c r="G113" s="591">
        <f t="shared" si="25"/>
        <v>0</v>
      </c>
      <c r="H113" s="591">
        <f t="shared" si="25"/>
        <v>0</v>
      </c>
      <c r="I113" s="591">
        <f t="shared" si="25"/>
        <v>0</v>
      </c>
      <c r="J113" s="591">
        <f t="shared" si="25"/>
        <v>0</v>
      </c>
      <c r="K113" s="591">
        <f t="shared" si="25"/>
        <v>0</v>
      </c>
      <c r="L113" s="591">
        <f t="shared" si="25"/>
        <v>0.37961</v>
      </c>
      <c r="M113" s="591">
        <f t="shared" si="25"/>
        <v>33004.281619999994</v>
      </c>
      <c r="N113" s="591">
        <f t="shared" si="25"/>
        <v>21536.985230000002</v>
      </c>
      <c r="O113" s="591">
        <f t="shared" si="25"/>
        <v>180899.59703999999</v>
      </c>
      <c r="P113" s="591">
        <f t="shared" si="25"/>
        <v>303130.31624999997</v>
      </c>
      <c r="Q113" s="591">
        <f t="shared" si="25"/>
        <v>490268.69092999998</v>
      </c>
      <c r="R113" s="591">
        <f t="shared" si="25"/>
        <v>596034.25671999995</v>
      </c>
      <c r="S113" s="591">
        <f t="shared" si="25"/>
        <v>785053.69172</v>
      </c>
      <c r="T113" s="591">
        <f t="shared" si="25"/>
        <v>989192.32545999985</v>
      </c>
      <c r="U113" s="591">
        <f t="shared" si="25"/>
        <v>1261930.51</v>
      </c>
      <c r="V113" s="591">
        <f t="shared" si="25"/>
        <v>1514911.4457400001</v>
      </c>
      <c r="W113" s="591">
        <f t="shared" si="25"/>
        <v>1763544.7051200001</v>
      </c>
      <c r="X113" s="591">
        <f t="shared" si="25"/>
        <v>1954268.0502700002</v>
      </c>
      <c r="Y113" s="591">
        <f t="shared" ref="Y113:AD113" si="26">SUM(Y108:Y112)</f>
        <v>2158893.81586</v>
      </c>
      <c r="Z113" s="591">
        <f t="shared" si="26"/>
        <v>2375924.5730700004</v>
      </c>
      <c r="AA113" s="591">
        <f t="shared" si="26"/>
        <v>2616450.4561799997</v>
      </c>
      <c r="AB113" s="591">
        <f t="shared" si="26"/>
        <v>2863263.1443800004</v>
      </c>
      <c r="AC113" s="591">
        <f>SUM(AC108:AC112)</f>
        <v>3101623.62445</v>
      </c>
      <c r="AD113" s="591">
        <f t="shared" si="26"/>
        <v>3365952.159</v>
      </c>
      <c r="AE113" s="591">
        <f>SUM(AE108:AE112)</f>
        <v>3572001.6175700002</v>
      </c>
    </row>
    <row r="114" spans="1:37" ht="4.9000000000000004" customHeight="1">
      <c r="B114" s="36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571"/>
      <c r="N114" s="571"/>
      <c r="O114" s="459"/>
      <c r="P114" s="459"/>
      <c r="Q114" s="459"/>
      <c r="R114" s="459"/>
      <c r="S114" s="459"/>
      <c r="T114" s="459"/>
      <c r="U114" s="459"/>
      <c r="V114" s="460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7" ht="4.9000000000000004" customHeight="1">
      <c r="B115" s="36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571"/>
      <c r="N115" s="571"/>
      <c r="O115" s="459"/>
      <c r="P115" s="459"/>
      <c r="Q115" s="459"/>
      <c r="R115" s="459"/>
      <c r="S115" s="459"/>
      <c r="T115" s="459"/>
      <c r="U115" s="459"/>
      <c r="V115" s="460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7" ht="4.9000000000000004" customHeight="1">
      <c r="X116" s="8"/>
    </row>
    <row r="117" spans="1:37" ht="4.9000000000000004" customHeight="1"/>
    <row r="118" spans="1:37" s="387" customFormat="1" ht="25.35" customHeight="1">
      <c r="A118" s="625"/>
      <c r="B118" s="625" t="s">
        <v>931</v>
      </c>
      <c r="C118" s="626"/>
      <c r="D118" s="626"/>
      <c r="E118" s="626"/>
      <c r="F118" s="626"/>
      <c r="G118" s="626"/>
      <c r="H118" s="626"/>
      <c r="I118" s="626"/>
      <c r="J118" s="626"/>
      <c r="K118" s="626" t="s">
        <v>244</v>
      </c>
      <c r="L118" s="626" t="s">
        <v>245</v>
      </c>
      <c r="M118" s="626" t="s">
        <v>246</v>
      </c>
      <c r="N118" s="626" t="s">
        <v>247</v>
      </c>
      <c r="O118" s="626" t="s">
        <v>248</v>
      </c>
      <c r="P118" s="626" t="s">
        <v>249</v>
      </c>
      <c r="Q118" s="626" t="s">
        <v>250</v>
      </c>
      <c r="R118" s="626" t="s">
        <v>215</v>
      </c>
      <c r="S118" s="626" t="s">
        <v>252</v>
      </c>
      <c r="T118" s="626" t="s">
        <v>253</v>
      </c>
      <c r="U118" s="626" t="s">
        <v>254</v>
      </c>
      <c r="V118" s="626" t="s">
        <v>219</v>
      </c>
      <c r="W118" s="626" t="s">
        <v>223</v>
      </c>
      <c r="X118" s="626" t="s">
        <v>256</v>
      </c>
      <c r="Y118" s="626" t="s">
        <v>357</v>
      </c>
      <c r="Z118" s="626" t="s">
        <v>358</v>
      </c>
      <c r="AA118" s="626" t="s">
        <v>359</v>
      </c>
      <c r="AB118" s="626" t="s">
        <v>1115</v>
      </c>
      <c r="AC118" s="626" t="s">
        <v>1116</v>
      </c>
      <c r="AD118" s="733" t="s">
        <v>1117</v>
      </c>
      <c r="AE118" s="681" t="s">
        <v>1124</v>
      </c>
    </row>
    <row r="119" spans="1:37" s="2" customFormat="1">
      <c r="A119" s="9"/>
      <c r="B119" s="9" t="s">
        <v>932</v>
      </c>
      <c r="C119" s="9"/>
      <c r="D119" s="9"/>
      <c r="E119" s="9"/>
      <c r="F119" s="9"/>
      <c r="G119" s="9"/>
      <c r="H119" s="9"/>
      <c r="I119" s="9"/>
      <c r="J119" s="9"/>
      <c r="K119" s="76"/>
      <c r="L119" s="76"/>
      <c r="M119" s="76"/>
      <c r="N119" s="76"/>
      <c r="O119" s="312"/>
      <c r="P119" s="312"/>
      <c r="Q119" s="312"/>
      <c r="R119" s="312"/>
      <c r="S119" s="312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512"/>
      <c r="AG119" s="512"/>
      <c r="AH119" s="512"/>
      <c r="AI119" s="512"/>
      <c r="AJ119" s="512"/>
      <c r="AK119" s="512"/>
    </row>
    <row r="120" spans="1:37" s="2" customFormat="1">
      <c r="A120" s="9"/>
      <c r="B120" s="603" t="s">
        <v>933</v>
      </c>
      <c r="C120" s="9"/>
      <c r="D120" s="9"/>
      <c r="E120" s="9"/>
      <c r="F120" s="9"/>
      <c r="G120" s="9"/>
      <c r="H120" s="9"/>
      <c r="I120" s="9"/>
      <c r="J120" s="9"/>
      <c r="K120" s="76"/>
      <c r="L120" s="76"/>
      <c r="M120" s="76"/>
      <c r="N120" s="76"/>
      <c r="O120" s="312"/>
      <c r="P120" s="312"/>
      <c r="Q120" s="312"/>
      <c r="R120" s="312"/>
      <c r="S120" s="312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512"/>
      <c r="AG120" s="512"/>
      <c r="AH120" s="512"/>
      <c r="AI120" s="512"/>
      <c r="AJ120" s="512"/>
      <c r="AK120" s="512"/>
    </row>
    <row r="121" spans="1:37">
      <c r="B121" s="231" t="s">
        <v>934</v>
      </c>
      <c r="K121" s="110">
        <v>1648942191.7149529</v>
      </c>
      <c r="L121" s="110">
        <v>2062599740.8905458</v>
      </c>
      <c r="M121" s="110">
        <v>2252805262.2817822</v>
      </c>
      <c r="N121" s="572">
        <v>1696123803.1842999</v>
      </c>
      <c r="O121" s="572">
        <v>1979881985.59864</v>
      </c>
      <c r="P121" s="572">
        <v>2328898273.4299603</v>
      </c>
      <c r="Q121" s="572">
        <v>2246630863.1700001</v>
      </c>
      <c r="R121" s="572">
        <v>2140148638.9300001</v>
      </c>
      <c r="S121" s="110">
        <v>2392633741.1700001</v>
      </c>
      <c r="T121" s="507">
        <v>2790259329.75701</v>
      </c>
      <c r="U121" s="507">
        <v>2461189791.81214</v>
      </c>
      <c r="V121" s="507">
        <v>2593350410.1599998</v>
      </c>
      <c r="W121" s="507">
        <v>2551073229.0799999</v>
      </c>
      <c r="X121" s="507">
        <v>2290960865.1300001</v>
      </c>
      <c r="Y121" s="397">
        <v>4555328510.4023895</v>
      </c>
      <c r="Z121" s="397">
        <v>4204063025.8673196</v>
      </c>
      <c r="AA121" s="397">
        <v>4423985899.5278101</v>
      </c>
      <c r="AB121" s="397">
        <v>4698123940.75844</v>
      </c>
      <c r="AC121" s="397">
        <v>4831851000</v>
      </c>
      <c r="AD121" s="8">
        <v>4919042067.5143299</v>
      </c>
      <c r="AF121" s="512"/>
      <c r="AG121" s="512"/>
      <c r="AH121" s="512"/>
      <c r="AI121" s="512"/>
      <c r="AJ121" s="512"/>
      <c r="AK121" s="512"/>
    </row>
    <row r="122" spans="1:37">
      <c r="B122" s="231" t="s">
        <v>935</v>
      </c>
      <c r="K122" s="110">
        <v>945361260.17797863</v>
      </c>
      <c r="L122" s="110">
        <v>965937110.44096696</v>
      </c>
      <c r="M122" s="110">
        <v>965937110.44000006</v>
      </c>
      <c r="N122" s="572">
        <v>706758525.98260796</v>
      </c>
      <c r="O122" s="572">
        <v>705829144.17127502</v>
      </c>
      <c r="P122" s="572">
        <v>717364230.64551306</v>
      </c>
      <c r="Q122" s="572">
        <v>724154633.90999997</v>
      </c>
      <c r="R122" s="572">
        <v>671785805.00999999</v>
      </c>
      <c r="S122" s="110">
        <v>662460532.37573802</v>
      </c>
      <c r="T122" s="507">
        <v>655569366.21802998</v>
      </c>
      <c r="U122" s="507">
        <v>649557960.34828794</v>
      </c>
      <c r="V122" s="507">
        <v>694162635.14999998</v>
      </c>
      <c r="W122" s="507">
        <v>686101280.03999996</v>
      </c>
      <c r="X122" s="507">
        <v>663507172.44000006</v>
      </c>
      <c r="Y122" s="397">
        <v>1036030231.83175</v>
      </c>
      <c r="Z122" s="397">
        <v>1051406256.1506501</v>
      </c>
      <c r="AA122" s="397">
        <v>1043510786.11</v>
      </c>
      <c r="AB122" s="397">
        <v>1008806318.1544501</v>
      </c>
      <c r="AC122" s="397">
        <v>994027746.43366599</v>
      </c>
      <c r="AD122" s="8">
        <v>1013694949.26515</v>
      </c>
      <c r="AF122" s="512"/>
      <c r="AG122" s="512"/>
      <c r="AH122" s="512"/>
      <c r="AI122" s="512"/>
      <c r="AJ122" s="512"/>
      <c r="AK122" s="512"/>
    </row>
    <row r="123" spans="1:37" s="2" customFormat="1">
      <c r="B123" s="581" t="s">
        <v>936</v>
      </c>
      <c r="K123" s="500">
        <f t="shared" ref="K123:Z123" si="27">K121/K122</f>
        <v>1.744245571692365</v>
      </c>
      <c r="L123" s="500">
        <f t="shared" si="27"/>
        <v>2.1353354360191559</v>
      </c>
      <c r="M123" s="500">
        <f t="shared" si="27"/>
        <v>2.3322483813212154</v>
      </c>
      <c r="N123" s="500">
        <f t="shared" si="27"/>
        <v>2.3998632359279646</v>
      </c>
      <c r="O123" s="500">
        <f t="shared" si="27"/>
        <v>2.8050442546166754</v>
      </c>
      <c r="P123" s="500">
        <f t="shared" si="27"/>
        <v>3.24646556650075</v>
      </c>
      <c r="Q123" s="500">
        <f t="shared" si="27"/>
        <v>3.102418679612037</v>
      </c>
      <c r="R123" s="500">
        <f t="shared" si="27"/>
        <v>3.1857604357956664</v>
      </c>
      <c r="S123" s="500">
        <f t="shared" si="27"/>
        <v>3.6117377930266383</v>
      </c>
      <c r="T123" s="500">
        <f t="shared" si="27"/>
        <v>4.2562381245084326</v>
      </c>
      <c r="U123" s="500">
        <f t="shared" si="27"/>
        <v>3.7890226000655418</v>
      </c>
      <c r="V123" s="500">
        <f t="shared" si="27"/>
        <v>3.7359406554626911</v>
      </c>
      <c r="W123" s="500">
        <f t="shared" si="27"/>
        <v>3.7182166879666387</v>
      </c>
      <c r="X123" s="500">
        <f t="shared" si="27"/>
        <v>3.4528049737656277</v>
      </c>
      <c r="Y123" s="500">
        <f t="shared" si="27"/>
        <v>4.3969069342198202</v>
      </c>
      <c r="Z123" s="500">
        <f t="shared" si="27"/>
        <v>3.9985143718461411</v>
      </c>
      <c r="AA123" s="500">
        <f>AA121/AA122</f>
        <v>4.2395210077507173</v>
      </c>
      <c r="AB123" s="500">
        <f>AB121/AB122</f>
        <v>4.6571119314095624</v>
      </c>
      <c r="AC123" s="500">
        <f>AC121/AC122</f>
        <v>4.8608814163744691</v>
      </c>
      <c r="AD123" s="500">
        <f>AD121/AD122</f>
        <v>4.8525861464341444</v>
      </c>
      <c r="AF123" s="512"/>
      <c r="AG123" s="512"/>
      <c r="AH123" s="512"/>
      <c r="AI123" s="512"/>
      <c r="AJ123" s="512"/>
      <c r="AK123" s="512"/>
    </row>
    <row r="124" spans="1:37">
      <c r="B124" s="231" t="s">
        <v>937</v>
      </c>
      <c r="K124" s="110">
        <v>0</v>
      </c>
      <c r="L124" s="110">
        <v>0</v>
      </c>
      <c r="M124" s="110">
        <v>0</v>
      </c>
      <c r="N124" s="572">
        <v>0</v>
      </c>
      <c r="O124" s="572">
        <v>5401693252.1142197</v>
      </c>
      <c r="P124" s="572">
        <v>5582573487.9651394</v>
      </c>
      <c r="Q124" s="572">
        <v>5223781682.6240597</v>
      </c>
      <c r="R124" s="572">
        <v>5296018479.31633</v>
      </c>
      <c r="S124" s="110">
        <v>5856723298.9320297</v>
      </c>
      <c r="T124" s="507">
        <v>5427795371.4714403</v>
      </c>
      <c r="U124" s="507">
        <v>4926725527.3172503</v>
      </c>
      <c r="V124" s="507">
        <v>5258607076.64431</v>
      </c>
      <c r="W124" s="507">
        <v>5586448036.56882</v>
      </c>
      <c r="X124" s="507">
        <v>5056333989.1753998</v>
      </c>
      <c r="Y124" s="397">
        <v>11626143555.9552</v>
      </c>
      <c r="Z124" s="397">
        <v>11509885274.2875</v>
      </c>
      <c r="AA124" s="397">
        <v>11752197056.1749</v>
      </c>
      <c r="AB124" s="397">
        <v>11839494330.953001</v>
      </c>
      <c r="AC124" s="397">
        <v>11939028000</v>
      </c>
      <c r="AD124" s="8">
        <v>4919042067.5143299</v>
      </c>
      <c r="AF124" s="512"/>
      <c r="AG124" s="512"/>
      <c r="AH124" s="512"/>
      <c r="AI124" s="512"/>
      <c r="AJ124" s="512"/>
      <c r="AK124" s="512"/>
    </row>
    <row r="125" spans="1:37">
      <c r="B125" s="231" t="s">
        <v>938</v>
      </c>
      <c r="K125" s="110">
        <v>0</v>
      </c>
      <c r="L125" s="110">
        <v>0</v>
      </c>
      <c r="M125" s="110">
        <v>0</v>
      </c>
      <c r="N125" s="572">
        <v>0</v>
      </c>
      <c r="O125" s="572">
        <v>3933122018.9000096</v>
      </c>
      <c r="P125" s="572">
        <v>3678570326.4099803</v>
      </c>
      <c r="Q125" s="572">
        <v>3421464000.7799902</v>
      </c>
      <c r="R125" s="572">
        <v>3180210516.3800402</v>
      </c>
      <c r="S125" s="110">
        <v>3080344787.6299901</v>
      </c>
      <c r="T125" s="507">
        <v>2847867561.1400304</v>
      </c>
      <c r="U125" s="507">
        <v>2725801259.0900102</v>
      </c>
      <c r="V125" s="507">
        <v>2594255270.2599802</v>
      </c>
      <c r="W125" s="507">
        <v>2681288140.74999</v>
      </c>
      <c r="X125" s="507">
        <v>2788984444.2599998</v>
      </c>
      <c r="Y125" s="397">
        <v>7297384402.5199699</v>
      </c>
      <c r="Z125" s="397">
        <v>7273908500.6300201</v>
      </c>
      <c r="AA125" s="397">
        <v>7172203837.9099703</v>
      </c>
      <c r="AB125" s="397">
        <v>7198383794.8499899</v>
      </c>
      <c r="AC125" s="397">
        <v>7049742000</v>
      </c>
      <c r="AD125" s="8">
        <v>1013694949.26515</v>
      </c>
      <c r="AF125" s="512"/>
      <c r="AG125" s="512"/>
      <c r="AH125" s="512"/>
      <c r="AI125" s="512"/>
      <c r="AJ125" s="512"/>
      <c r="AK125" s="512"/>
    </row>
    <row r="126" spans="1:37" s="2" customFormat="1">
      <c r="B126" s="581" t="s">
        <v>939</v>
      </c>
      <c r="K126" s="500">
        <v>0</v>
      </c>
      <c r="L126" s="500">
        <v>0</v>
      </c>
      <c r="M126" s="500">
        <v>0</v>
      </c>
      <c r="N126" s="500">
        <v>0</v>
      </c>
      <c r="O126" s="500">
        <f t="shared" ref="O126:Z126" si="28">O124/O125</f>
        <v>1.3733856275389418</v>
      </c>
      <c r="P126" s="500">
        <f t="shared" si="28"/>
        <v>1.5175932475411797</v>
      </c>
      <c r="Q126" s="500">
        <f t="shared" si="28"/>
        <v>1.5267679804414707</v>
      </c>
      <c r="R126" s="500">
        <f t="shared" si="28"/>
        <v>1.6653043727887125</v>
      </c>
      <c r="S126" s="500">
        <f t="shared" si="28"/>
        <v>1.9013206971022807</v>
      </c>
      <c r="T126" s="500">
        <f t="shared" si="28"/>
        <v>1.905915656168589</v>
      </c>
      <c r="U126" s="500">
        <f t="shared" si="28"/>
        <v>1.8074412105018998</v>
      </c>
      <c r="V126" s="500">
        <f t="shared" si="28"/>
        <v>2.0270199069952453</v>
      </c>
      <c r="W126" s="500">
        <f t="shared" si="28"/>
        <v>2.0834941055630898</v>
      </c>
      <c r="X126" s="500">
        <f t="shared" si="28"/>
        <v>1.8129660061682398</v>
      </c>
      <c r="Y126" s="500">
        <f t="shared" si="28"/>
        <v>1.5931932476985042</v>
      </c>
      <c r="Z126" s="500">
        <f t="shared" si="28"/>
        <v>1.5823522214075949</v>
      </c>
      <c r="AA126" s="500">
        <f>AA124/AA125</f>
        <v>1.6385754395401528</v>
      </c>
      <c r="AB126" s="500">
        <f>AB124/AB125</f>
        <v>1.6447434130177174</v>
      </c>
      <c r="AC126" s="500">
        <f>AC124/AC125</f>
        <v>1.6935411253347994</v>
      </c>
      <c r="AD126" s="500">
        <f>AD124/AD125</f>
        <v>4.8525861464341444</v>
      </c>
      <c r="AE126" s="174"/>
      <c r="AF126" s="421"/>
      <c r="AG126" s="421"/>
      <c r="AH126" s="421"/>
    </row>
    <row r="127" spans="1:37" s="2" customFormat="1">
      <c r="A127" s="9"/>
      <c r="B127" s="603" t="s">
        <v>574</v>
      </c>
      <c r="C127" s="9"/>
      <c r="D127" s="9"/>
      <c r="E127" s="9"/>
      <c r="F127" s="9"/>
      <c r="G127" s="9"/>
      <c r="H127" s="9"/>
      <c r="I127" s="9"/>
      <c r="J127" s="9"/>
      <c r="K127" s="76"/>
      <c r="L127" s="76"/>
      <c r="M127" s="76"/>
      <c r="N127" s="76"/>
      <c r="O127" s="312"/>
      <c r="P127" s="312"/>
      <c r="Q127" s="312"/>
      <c r="R127" s="312"/>
      <c r="S127" s="312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512"/>
      <c r="AG127" s="512"/>
      <c r="AH127" s="512"/>
      <c r="AI127" s="512"/>
      <c r="AJ127" s="512"/>
      <c r="AK127" s="512"/>
    </row>
    <row r="128" spans="1:37" s="569" customFormat="1">
      <c r="B128" s="707" t="s">
        <v>934</v>
      </c>
      <c r="K128" s="568">
        <v>779975447.00999892</v>
      </c>
      <c r="L128" s="568">
        <v>829300298.87</v>
      </c>
      <c r="M128" s="568">
        <v>1097391737.2</v>
      </c>
      <c r="N128" s="708">
        <v>1170468247.05</v>
      </c>
      <c r="O128" s="708">
        <v>1280010515.1099999</v>
      </c>
      <c r="P128" s="708">
        <v>1401793125.8699999</v>
      </c>
      <c r="Q128" s="708">
        <v>1439372730.03</v>
      </c>
      <c r="R128" s="708">
        <v>1621475032.8099999</v>
      </c>
      <c r="S128" s="568">
        <v>1965442592</v>
      </c>
      <c r="T128" s="709">
        <v>1664360354.46</v>
      </c>
      <c r="U128" s="709">
        <v>2005363096.4400001</v>
      </c>
      <c r="V128" s="709">
        <v>2082809371.25</v>
      </c>
      <c r="W128" s="709">
        <v>1960036928.8299999</v>
      </c>
      <c r="X128" s="709">
        <v>1960036928.8262498</v>
      </c>
      <c r="Y128" s="710"/>
      <c r="Z128" s="710"/>
      <c r="AA128" s="710"/>
      <c r="AB128" s="710"/>
      <c r="AC128" s="710"/>
      <c r="AD128" s="711"/>
      <c r="AE128" s="750"/>
      <c r="AF128" s="711"/>
      <c r="AG128" s="711"/>
      <c r="AH128" s="711"/>
      <c r="AI128" s="711"/>
      <c r="AJ128" s="711"/>
      <c r="AK128" s="711"/>
    </row>
    <row r="129" spans="1:37" s="569" customFormat="1">
      <c r="B129" s="707" t="s">
        <v>935</v>
      </c>
      <c r="K129" s="568">
        <v>228049101.25298265</v>
      </c>
      <c r="L129" s="568">
        <v>186159102.88</v>
      </c>
      <c r="M129" s="568">
        <v>493539774.69</v>
      </c>
      <c r="N129" s="708">
        <v>536162179.81999999</v>
      </c>
      <c r="O129" s="708">
        <v>506898511.55000001</v>
      </c>
      <c r="P129" s="708">
        <v>519476640.98000002</v>
      </c>
      <c r="Q129" s="708">
        <v>491596888.76999998</v>
      </c>
      <c r="R129" s="708">
        <v>478350458.50999999</v>
      </c>
      <c r="S129" s="568">
        <v>463905344.02999997</v>
      </c>
      <c r="T129" s="709">
        <v>438141138.92000002</v>
      </c>
      <c r="U129" s="709">
        <v>458233243.10000002</v>
      </c>
      <c r="V129" s="709">
        <v>475797659.25</v>
      </c>
      <c r="W129" s="709">
        <v>489796587.67000002</v>
      </c>
      <c r="X129" s="709">
        <v>489796587.67249805</v>
      </c>
      <c r="Y129" s="710"/>
      <c r="Z129" s="710"/>
      <c r="AA129" s="710"/>
      <c r="AB129" s="710"/>
      <c r="AC129" s="710"/>
      <c r="AD129" s="711"/>
      <c r="AE129" s="750"/>
      <c r="AF129" s="711"/>
      <c r="AG129" s="711"/>
      <c r="AH129" s="711"/>
      <c r="AI129" s="711"/>
      <c r="AJ129" s="711"/>
      <c r="AK129" s="711"/>
    </row>
    <row r="130" spans="1:37" s="712" customFormat="1">
      <c r="B130" s="713" t="s">
        <v>936</v>
      </c>
      <c r="K130" s="714">
        <f t="shared" ref="K130:X130" si="29">K128/K129</f>
        <v>3.4202083793557492</v>
      </c>
      <c r="L130" s="714">
        <f t="shared" si="29"/>
        <v>4.4547931636981257</v>
      </c>
      <c r="M130" s="714">
        <f t="shared" si="29"/>
        <v>2.2235122546896831</v>
      </c>
      <c r="N130" s="714">
        <f t="shared" si="29"/>
        <v>2.1830488816703721</v>
      </c>
      <c r="O130" s="714">
        <f t="shared" si="29"/>
        <v>2.5251810489558735</v>
      </c>
      <c r="P130" s="714">
        <f t="shared" si="29"/>
        <v>2.6984719143973392</v>
      </c>
      <c r="Q130" s="714">
        <f t="shared" si="29"/>
        <v>2.9279532944795128</v>
      </c>
      <c r="R130" s="714">
        <f t="shared" si="29"/>
        <v>3.3897219161463452</v>
      </c>
      <c r="S130" s="714">
        <f t="shared" si="29"/>
        <v>4.2367319482159234</v>
      </c>
      <c r="T130" s="714">
        <f t="shared" si="29"/>
        <v>3.7986854157602736</v>
      </c>
      <c r="U130" s="714">
        <f t="shared" si="29"/>
        <v>4.3762933541737183</v>
      </c>
      <c r="V130" s="714">
        <f t="shared" si="29"/>
        <v>4.3775107564277072</v>
      </c>
      <c r="W130" s="714">
        <f t="shared" si="29"/>
        <v>4.0017365946832051</v>
      </c>
      <c r="X130" s="714">
        <f t="shared" si="29"/>
        <v>4.0017365946551395</v>
      </c>
      <c r="Y130" s="714"/>
      <c r="Z130" s="714"/>
      <c r="AA130" s="714"/>
      <c r="AB130" s="714"/>
      <c r="AC130" s="714"/>
      <c r="AD130" s="711"/>
      <c r="AE130" s="750"/>
      <c r="AF130" s="711"/>
      <c r="AG130" s="711"/>
      <c r="AH130" s="711"/>
      <c r="AI130" s="711"/>
      <c r="AJ130" s="711"/>
      <c r="AK130" s="711"/>
    </row>
    <row r="131" spans="1:37" s="569" customFormat="1">
      <c r="B131" s="707" t="s">
        <v>937</v>
      </c>
      <c r="K131" s="568">
        <v>0</v>
      </c>
      <c r="L131" s="568">
        <v>0</v>
      </c>
      <c r="M131" s="568">
        <v>0</v>
      </c>
      <c r="N131" s="708">
        <v>0</v>
      </c>
      <c r="O131" s="708">
        <v>3026931303.5773301</v>
      </c>
      <c r="P131" s="708">
        <v>3501483233.1199999</v>
      </c>
      <c r="Q131" s="708">
        <v>4262363839.9766402</v>
      </c>
      <c r="R131" s="708">
        <v>4644614051.6464596</v>
      </c>
      <c r="S131" s="568">
        <v>5064790416.5315495</v>
      </c>
      <c r="T131" s="709">
        <v>5505926058.5537596</v>
      </c>
      <c r="U131" s="709">
        <v>5422250858.3158197</v>
      </c>
      <c r="V131" s="709">
        <v>6041276587.9559708</v>
      </c>
      <c r="W131" s="709">
        <v>6264801032.9722099</v>
      </c>
      <c r="X131" s="709">
        <v>6544668070.6505194</v>
      </c>
      <c r="Y131" s="710"/>
      <c r="Z131" s="710"/>
      <c r="AA131" s="710"/>
      <c r="AB131" s="710"/>
      <c r="AC131" s="710"/>
      <c r="AD131" s="711"/>
      <c r="AE131" s="750"/>
      <c r="AF131" s="711"/>
      <c r="AG131" s="711"/>
      <c r="AH131" s="711"/>
      <c r="AI131" s="711"/>
      <c r="AJ131" s="711"/>
      <c r="AK131" s="711"/>
    </row>
    <row r="132" spans="1:37" s="569" customFormat="1">
      <c r="B132" s="707" t="s">
        <v>938</v>
      </c>
      <c r="K132" s="568">
        <v>0</v>
      </c>
      <c r="L132" s="568">
        <v>0</v>
      </c>
      <c r="M132" s="568">
        <v>0</v>
      </c>
      <c r="N132" s="708">
        <v>0</v>
      </c>
      <c r="O132" s="708">
        <v>1994223082.5899999</v>
      </c>
      <c r="P132" s="708">
        <v>2354397354.48</v>
      </c>
      <c r="Q132" s="708">
        <v>2918989624.6099997</v>
      </c>
      <c r="R132" s="708">
        <v>3095378368.6799998</v>
      </c>
      <c r="S132" s="568">
        <v>3539693595.5799999</v>
      </c>
      <c r="T132" s="709">
        <v>3420631768.5300002</v>
      </c>
      <c r="U132" s="709">
        <v>3598331660.9499998</v>
      </c>
      <c r="V132" s="709">
        <v>3767605234.5300002</v>
      </c>
      <c r="W132" s="709">
        <v>3963933024.3899999</v>
      </c>
      <c r="X132" s="709">
        <v>4210388286.5899997</v>
      </c>
      <c r="Y132" s="710"/>
      <c r="Z132" s="710"/>
      <c r="AA132" s="710"/>
      <c r="AB132" s="710"/>
      <c r="AC132" s="710"/>
      <c r="AD132" s="711"/>
      <c r="AE132" s="750"/>
      <c r="AF132" s="711"/>
      <c r="AG132" s="711"/>
      <c r="AH132" s="711"/>
      <c r="AI132" s="711"/>
      <c r="AJ132" s="711"/>
      <c r="AK132" s="711"/>
    </row>
    <row r="133" spans="1:37" s="712" customFormat="1">
      <c r="B133" s="713" t="s">
        <v>939</v>
      </c>
      <c r="K133" s="714">
        <v>0</v>
      </c>
      <c r="L133" s="714">
        <v>0</v>
      </c>
      <c r="M133" s="714">
        <v>0</v>
      </c>
      <c r="N133" s="714">
        <v>0</v>
      </c>
      <c r="O133" s="714">
        <f t="shared" ref="O133:X133" si="30">O131/O132</f>
        <v>1.5178498985409892</v>
      </c>
      <c r="P133" s="714">
        <f t="shared" si="30"/>
        <v>1.4872099760294495</v>
      </c>
      <c r="Q133" s="714">
        <f t="shared" si="30"/>
        <v>1.4602189072686842</v>
      </c>
      <c r="R133" s="714">
        <f t="shared" si="30"/>
        <v>1.5004996153756542</v>
      </c>
      <c r="S133" s="714">
        <f t="shared" si="30"/>
        <v>1.4308556036759599</v>
      </c>
      <c r="T133" s="714">
        <f t="shared" si="30"/>
        <v>1.609622558384852</v>
      </c>
      <c r="U133" s="714">
        <f t="shared" si="30"/>
        <v>1.5068791232224228</v>
      </c>
      <c r="V133" s="714">
        <f t="shared" si="30"/>
        <v>1.6034791895360569</v>
      </c>
      <c r="W133" s="714">
        <f t="shared" si="30"/>
        <v>1.5804507781602302</v>
      </c>
      <c r="X133" s="714">
        <f t="shared" si="30"/>
        <v>1.5544096233345397</v>
      </c>
      <c r="Y133" s="714"/>
      <c r="Z133" s="714"/>
      <c r="AA133" s="714"/>
      <c r="AB133" s="714"/>
      <c r="AC133" s="714"/>
      <c r="AF133" s="715"/>
      <c r="AG133" s="715"/>
      <c r="AH133" s="715"/>
    </row>
    <row r="134" spans="1:37" s="2" customFormat="1">
      <c r="A134" s="9"/>
      <c r="B134" s="9" t="s">
        <v>575</v>
      </c>
      <c r="C134" s="9"/>
      <c r="D134" s="9"/>
      <c r="E134" s="9"/>
      <c r="F134" s="9"/>
      <c r="G134" s="9"/>
      <c r="H134" s="9"/>
      <c r="I134" s="9"/>
      <c r="J134" s="9"/>
      <c r="K134" s="76"/>
      <c r="L134" s="76"/>
      <c r="M134" s="76"/>
      <c r="N134" s="76"/>
      <c r="O134" s="312"/>
      <c r="P134" s="312"/>
      <c r="Q134" s="312"/>
      <c r="R134" s="312"/>
      <c r="S134" s="312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512"/>
      <c r="AG134" s="512"/>
      <c r="AH134" s="512"/>
      <c r="AI134" s="512"/>
      <c r="AJ134" s="512"/>
      <c r="AK134" s="512"/>
    </row>
    <row r="135" spans="1:37">
      <c r="B135" s="231" t="s">
        <v>934</v>
      </c>
      <c r="K135" s="110"/>
      <c r="L135" s="110">
        <v>101330563.23999999</v>
      </c>
      <c r="M135" s="110">
        <v>120035307.20999999</v>
      </c>
      <c r="N135" s="572">
        <v>202857113.43000001</v>
      </c>
      <c r="O135" s="572">
        <v>270101941.38999999</v>
      </c>
      <c r="P135" s="572">
        <v>359349207.41000003</v>
      </c>
      <c r="Q135" s="572">
        <v>447011212.55000001</v>
      </c>
      <c r="R135" s="572">
        <v>387383777.75</v>
      </c>
      <c r="S135" s="110">
        <v>500491197.56999999</v>
      </c>
      <c r="T135" s="507">
        <v>608055686.75</v>
      </c>
      <c r="U135" s="507">
        <v>740893085.32000005</v>
      </c>
      <c r="V135" s="507">
        <v>632714961.79999995</v>
      </c>
      <c r="W135" s="507">
        <v>680663479.01999998</v>
      </c>
      <c r="X135" s="507">
        <v>743927109.70000005</v>
      </c>
      <c r="Y135" s="397">
        <v>805454140.77999997</v>
      </c>
      <c r="Z135" s="397">
        <v>704913171.58000004</v>
      </c>
      <c r="AA135" s="397">
        <v>782190430.61000001</v>
      </c>
      <c r="AB135" s="397">
        <v>984699023.59000003</v>
      </c>
      <c r="AC135" s="397">
        <v>869291758.57000005</v>
      </c>
      <c r="AD135" s="617">
        <v>890735510.45000005</v>
      </c>
      <c r="AE135" s="397"/>
      <c r="AF135" s="512"/>
      <c r="AG135" s="512"/>
      <c r="AH135" s="512"/>
      <c r="AI135" s="512"/>
      <c r="AJ135" s="512"/>
      <c r="AK135" s="512"/>
    </row>
    <row r="136" spans="1:37">
      <c r="B136" s="231" t="s">
        <v>935</v>
      </c>
      <c r="K136" s="110"/>
      <c r="L136" s="110">
        <v>51200966.549999997</v>
      </c>
      <c r="M136" s="110">
        <v>51200966.549999997</v>
      </c>
      <c r="N136" s="572">
        <v>120640495.26000001</v>
      </c>
      <c r="O136" s="572">
        <v>146138795.63120499</v>
      </c>
      <c r="P136" s="572">
        <v>163732920.53</v>
      </c>
      <c r="Q136" s="572">
        <v>176745351.1845476</v>
      </c>
      <c r="R136" s="572">
        <v>217646377</v>
      </c>
      <c r="S136" s="110">
        <v>225649683.28999999</v>
      </c>
      <c r="T136" s="507">
        <v>270962771.00191402</v>
      </c>
      <c r="U136" s="507">
        <v>278537305.51908475</v>
      </c>
      <c r="V136" s="507">
        <v>383716197.106103</v>
      </c>
      <c r="W136" s="507">
        <v>396436738.54506689</v>
      </c>
      <c r="X136" s="507">
        <v>274462306.77504998</v>
      </c>
      <c r="Y136" s="397">
        <v>296178180.92020667</v>
      </c>
      <c r="Z136" s="397">
        <v>330723173.073066</v>
      </c>
      <c r="AA136" s="397">
        <v>354409165.49000001</v>
      </c>
      <c r="AB136" s="397">
        <v>376503470.38999999</v>
      </c>
      <c r="AC136" s="397">
        <v>402204437</v>
      </c>
      <c r="AD136" s="617">
        <v>433802023.19063097</v>
      </c>
      <c r="AE136" s="397"/>
      <c r="AF136" s="512"/>
      <c r="AG136" s="512"/>
      <c r="AH136" s="512"/>
      <c r="AI136" s="512"/>
      <c r="AJ136" s="512"/>
      <c r="AK136" s="512"/>
    </row>
    <row r="137" spans="1:37" s="2" customFormat="1">
      <c r="B137" s="581" t="s">
        <v>936</v>
      </c>
      <c r="K137" s="500">
        <v>0</v>
      </c>
      <c r="L137" s="500">
        <f t="shared" ref="L137:Z137" si="31">L135/L136</f>
        <v>1.9790752024387321</v>
      </c>
      <c r="M137" s="500">
        <f t="shared" si="31"/>
        <v>2.3443953366149883</v>
      </c>
      <c r="N137" s="500">
        <f t="shared" si="31"/>
        <v>1.6815010000813553</v>
      </c>
      <c r="O137" s="500">
        <f t="shared" si="31"/>
        <v>1.8482562431377063</v>
      </c>
      <c r="P137" s="500">
        <f t="shared" si="31"/>
        <v>2.1947278912926871</v>
      </c>
      <c r="Q137" s="500">
        <f t="shared" si="31"/>
        <v>2.5291257142217898</v>
      </c>
      <c r="R137" s="500">
        <f t="shared" si="31"/>
        <v>1.7798769871092317</v>
      </c>
      <c r="S137" s="500">
        <f t="shared" si="31"/>
        <v>2.2180008864748983</v>
      </c>
      <c r="T137" s="500">
        <f t="shared" si="31"/>
        <v>2.244056201896846</v>
      </c>
      <c r="U137" s="500">
        <f t="shared" si="31"/>
        <v>2.6599420280140382</v>
      </c>
      <c r="V137" s="500">
        <f t="shared" si="31"/>
        <v>1.6489138758587385</v>
      </c>
      <c r="W137" s="500">
        <f t="shared" si="31"/>
        <v>1.7169535838632226</v>
      </c>
      <c r="X137" s="500">
        <f t="shared" si="31"/>
        <v>2.7104891685900045</v>
      </c>
      <c r="Y137" s="500">
        <f t="shared" si="31"/>
        <v>2.7194918217051152</v>
      </c>
      <c r="Z137" s="500">
        <f t="shared" si="31"/>
        <v>2.1314296335209177</v>
      </c>
      <c r="AA137" s="500">
        <f>AA135/AA136</f>
        <v>2.2070265297133527</v>
      </c>
      <c r="AB137" s="500">
        <f>AB135/AB136</f>
        <v>2.6153783458357038</v>
      </c>
      <c r="AC137" s="500">
        <f>AC135/AC136</f>
        <v>2.1613181720568639</v>
      </c>
      <c r="AD137" s="500">
        <f>AD135/AD136</f>
        <v>2.053322628369977</v>
      </c>
      <c r="AE137" s="174"/>
      <c r="AF137" s="512"/>
      <c r="AG137" s="512"/>
      <c r="AH137" s="512"/>
      <c r="AI137" s="512"/>
      <c r="AJ137" s="512"/>
      <c r="AK137" s="512"/>
    </row>
    <row r="138" spans="1:37">
      <c r="B138" s="231" t="s">
        <v>937</v>
      </c>
      <c r="K138" s="110">
        <v>0</v>
      </c>
      <c r="L138" s="110">
        <v>0</v>
      </c>
      <c r="M138" s="110">
        <v>0</v>
      </c>
      <c r="N138" s="572">
        <v>0</v>
      </c>
      <c r="O138" s="572">
        <v>407232801.28000003</v>
      </c>
      <c r="P138" s="572">
        <v>439351792.93000001</v>
      </c>
      <c r="Q138" s="572">
        <v>551592653.54999995</v>
      </c>
      <c r="R138" s="572">
        <v>598392677.86000001</v>
      </c>
      <c r="S138" s="110">
        <v>687896186.52999997</v>
      </c>
      <c r="T138" s="507">
        <v>732315860.94000006</v>
      </c>
      <c r="U138" s="507">
        <v>696533468.66999996</v>
      </c>
      <c r="V138" s="507">
        <v>735293779.60000002</v>
      </c>
      <c r="W138" s="507">
        <v>758008696.77999997</v>
      </c>
      <c r="X138" s="507">
        <v>875538742.40999997</v>
      </c>
      <c r="Y138" s="397">
        <v>901424847.99000001</v>
      </c>
      <c r="Z138" s="397">
        <v>948049888.27999997</v>
      </c>
      <c r="AA138" s="397">
        <v>987614150.44000006</v>
      </c>
      <c r="AB138" s="397">
        <v>1035774955.9400001</v>
      </c>
      <c r="AC138" s="397">
        <v>1124785489.8</v>
      </c>
      <c r="AD138" s="617">
        <v>1190075664</v>
      </c>
      <c r="AE138" s="397"/>
      <c r="AF138" s="512"/>
      <c r="AG138" s="512"/>
      <c r="AH138" s="512"/>
      <c r="AI138" s="512"/>
      <c r="AJ138" s="512"/>
      <c r="AK138" s="512"/>
    </row>
    <row r="139" spans="1:37">
      <c r="B139" s="231" t="s">
        <v>938</v>
      </c>
      <c r="K139" s="110">
        <v>0</v>
      </c>
      <c r="L139" s="110">
        <v>0</v>
      </c>
      <c r="M139" s="110">
        <v>0</v>
      </c>
      <c r="N139" s="572">
        <v>0</v>
      </c>
      <c r="O139" s="572">
        <v>321075786.80000001</v>
      </c>
      <c r="P139" s="572">
        <v>371625001.29000002</v>
      </c>
      <c r="Q139" s="572">
        <v>452320805.44</v>
      </c>
      <c r="R139" s="572">
        <v>501390089.89999998</v>
      </c>
      <c r="S139" s="110">
        <v>524079986.44</v>
      </c>
      <c r="T139" s="507">
        <v>558632440.10000002</v>
      </c>
      <c r="U139" s="507">
        <v>600254192.94000006</v>
      </c>
      <c r="V139" s="507">
        <v>638665822.85000002</v>
      </c>
      <c r="W139" s="507">
        <v>657159344.49000001</v>
      </c>
      <c r="X139" s="507">
        <v>739110047.02999997</v>
      </c>
      <c r="Y139" s="397">
        <v>778803217.38</v>
      </c>
      <c r="Z139" s="397">
        <v>817248706.71000004</v>
      </c>
      <c r="AA139" s="397">
        <v>864553855.5</v>
      </c>
      <c r="AB139" s="397">
        <v>928594938.23000002</v>
      </c>
      <c r="AC139" s="397">
        <v>991678430.49000001</v>
      </c>
      <c r="AD139" s="617">
        <v>1058882201.9</v>
      </c>
      <c r="AE139" s="397"/>
      <c r="AF139" s="512"/>
      <c r="AG139" s="512"/>
      <c r="AH139" s="512"/>
      <c r="AI139" s="512"/>
      <c r="AJ139" s="512"/>
      <c r="AK139" s="512"/>
    </row>
    <row r="140" spans="1:37" s="2" customFormat="1">
      <c r="B140" s="581" t="s">
        <v>939</v>
      </c>
      <c r="K140" s="500">
        <v>0</v>
      </c>
      <c r="L140" s="500">
        <v>0</v>
      </c>
      <c r="M140" s="500">
        <v>0</v>
      </c>
      <c r="N140" s="500">
        <v>0</v>
      </c>
      <c r="O140" s="500">
        <f t="shared" ref="O140:Z140" si="32">O138/O139</f>
        <v>1.2683385606204798</v>
      </c>
      <c r="P140" s="500">
        <f t="shared" si="32"/>
        <v>1.1822449819169969</v>
      </c>
      <c r="Q140" s="500">
        <f t="shared" si="32"/>
        <v>1.2194722128986133</v>
      </c>
      <c r="R140" s="500">
        <f t="shared" si="32"/>
        <v>1.193467302034922</v>
      </c>
      <c r="S140" s="500">
        <f t="shared" si="32"/>
        <v>1.3125786222114297</v>
      </c>
      <c r="T140" s="500">
        <f t="shared" si="32"/>
        <v>1.310908225825391</v>
      </c>
      <c r="U140" s="500">
        <f t="shared" si="32"/>
        <v>1.1603975063604823</v>
      </c>
      <c r="V140" s="500">
        <f t="shared" si="32"/>
        <v>1.1512965831157282</v>
      </c>
      <c r="W140" s="500">
        <f t="shared" si="32"/>
        <v>1.1534625553689202</v>
      </c>
      <c r="X140" s="500">
        <f t="shared" si="32"/>
        <v>1.1845850911217046</v>
      </c>
      <c r="Y140" s="500">
        <f t="shared" si="32"/>
        <v>1.1574487981990058</v>
      </c>
      <c r="Z140" s="500">
        <f t="shared" si="32"/>
        <v>1.1600506436976408</v>
      </c>
      <c r="AA140" s="500">
        <f>AA138/AA139</f>
        <v>1.1423396520148883</v>
      </c>
      <c r="AB140" s="500">
        <f>AB138/AB139</f>
        <v>1.1154217121991818</v>
      </c>
      <c r="AC140" s="500">
        <f>AC138/AC139</f>
        <v>1.1342240137705024</v>
      </c>
      <c r="AD140" s="500">
        <f>AD138/AD139</f>
        <v>1.1238980708756778</v>
      </c>
      <c r="AE140" s="174"/>
      <c r="AF140" s="421"/>
      <c r="AG140" s="421"/>
      <c r="AH140" s="421"/>
    </row>
    <row r="141" spans="1:37" s="2" customFormat="1">
      <c r="A141" s="9"/>
      <c r="B141" s="9" t="s">
        <v>940</v>
      </c>
      <c r="C141" s="9"/>
      <c r="D141" s="9"/>
      <c r="E141" s="9"/>
      <c r="F141" s="9"/>
      <c r="G141" s="9"/>
      <c r="H141" s="9"/>
      <c r="I141" s="9"/>
      <c r="J141" s="9"/>
      <c r="K141" s="76"/>
      <c r="L141" s="76"/>
      <c r="M141" s="76"/>
      <c r="N141" s="76"/>
      <c r="O141" s="312"/>
      <c r="P141" s="312"/>
      <c r="Q141" s="312"/>
      <c r="R141" s="312"/>
      <c r="S141" s="312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512"/>
      <c r="AG141" s="512"/>
      <c r="AH141" s="512"/>
      <c r="AI141" s="512"/>
      <c r="AJ141" s="512"/>
      <c r="AK141" s="512"/>
    </row>
    <row r="142" spans="1:37">
      <c r="B142" s="231" t="s">
        <v>934</v>
      </c>
      <c r="K142" s="110">
        <v>0</v>
      </c>
      <c r="L142" s="110">
        <v>67538948</v>
      </c>
      <c r="M142" s="110">
        <v>68914458</v>
      </c>
      <c r="N142" s="572">
        <v>80830099.650000006</v>
      </c>
      <c r="O142" s="572">
        <v>98605463.189999998</v>
      </c>
      <c r="P142" s="572">
        <v>126115103.58</v>
      </c>
      <c r="Q142" s="572">
        <v>162315897.91999999</v>
      </c>
      <c r="R142" s="572">
        <v>136473217.90000001</v>
      </c>
      <c r="S142" s="110">
        <v>159397318.99000001</v>
      </c>
      <c r="T142" s="507">
        <v>200664614.19999999</v>
      </c>
      <c r="U142" s="507">
        <v>167874764.33000001</v>
      </c>
      <c r="V142" s="507">
        <v>185254863</v>
      </c>
      <c r="W142" s="507">
        <v>184220883</v>
      </c>
      <c r="X142" s="507">
        <v>212346153</v>
      </c>
      <c r="Y142" s="397">
        <v>163719861</v>
      </c>
      <c r="Z142" s="397">
        <v>119028457</v>
      </c>
      <c r="AA142" s="397">
        <v>136414801</v>
      </c>
      <c r="AB142" s="397">
        <v>229904560</v>
      </c>
      <c r="AC142" s="397">
        <v>218889484</v>
      </c>
      <c r="AD142" s="617">
        <v>223599166</v>
      </c>
      <c r="AE142" s="397"/>
      <c r="AF142" s="512"/>
      <c r="AG142" s="512"/>
      <c r="AH142" s="512"/>
      <c r="AI142" s="512"/>
      <c r="AJ142" s="512"/>
      <c r="AK142" s="512"/>
    </row>
    <row r="143" spans="1:37">
      <c r="B143" s="231" t="s">
        <v>935</v>
      </c>
      <c r="K143" s="110">
        <v>0</v>
      </c>
      <c r="L143" s="110">
        <v>10800000</v>
      </c>
      <c r="M143" s="110">
        <v>10800000</v>
      </c>
      <c r="N143" s="572">
        <v>10800000</v>
      </c>
      <c r="O143" s="572">
        <v>10800000</v>
      </c>
      <c r="P143" s="572">
        <v>17498754.489999998</v>
      </c>
      <c r="Q143" s="572">
        <v>20448579</v>
      </c>
      <c r="R143" s="572">
        <v>41696458.850000001</v>
      </c>
      <c r="S143" s="110">
        <v>43257296.32</v>
      </c>
      <c r="T143" s="507">
        <v>47568536.969999999</v>
      </c>
      <c r="U143" s="507">
        <v>48659703.789999999</v>
      </c>
      <c r="V143" s="507">
        <v>64012034</v>
      </c>
      <c r="W143" s="507">
        <v>64223388</v>
      </c>
      <c r="X143" s="507">
        <v>59700137</v>
      </c>
      <c r="Y143" s="397">
        <v>59100804</v>
      </c>
      <c r="Z143" s="397">
        <v>60792293</v>
      </c>
      <c r="AA143" s="397">
        <v>61352086</v>
      </c>
      <c r="AB143" s="397">
        <v>77983574</v>
      </c>
      <c r="AC143" s="397">
        <v>79092827</v>
      </c>
      <c r="AD143" s="617">
        <v>123962084</v>
      </c>
      <c r="AE143" s="397"/>
      <c r="AF143" s="512"/>
      <c r="AG143" s="512"/>
      <c r="AH143" s="512"/>
      <c r="AI143" s="512"/>
      <c r="AJ143" s="512"/>
      <c r="AK143" s="512"/>
    </row>
    <row r="144" spans="1:37" s="2" customFormat="1">
      <c r="B144" s="581" t="s">
        <v>936</v>
      </c>
      <c r="K144" s="500">
        <v>0</v>
      </c>
      <c r="L144" s="500">
        <f t="shared" ref="L144:Z144" si="33">L142/L143</f>
        <v>6.2536062962962964</v>
      </c>
      <c r="M144" s="500">
        <f t="shared" si="33"/>
        <v>6.3809683333333336</v>
      </c>
      <c r="N144" s="500">
        <f t="shared" si="33"/>
        <v>7.4842684861111115</v>
      </c>
      <c r="O144" s="500">
        <f t="shared" si="33"/>
        <v>9.1301354805555555</v>
      </c>
      <c r="P144" s="500">
        <f t="shared" si="33"/>
        <v>7.2070902904587246</v>
      </c>
      <c r="Q144" s="500">
        <f t="shared" si="33"/>
        <v>7.9377592897775431</v>
      </c>
      <c r="R144" s="500">
        <f t="shared" si="33"/>
        <v>3.2730169818725505</v>
      </c>
      <c r="S144" s="500">
        <f t="shared" si="33"/>
        <v>3.6848655036330298</v>
      </c>
      <c r="T144" s="500">
        <f t="shared" si="33"/>
        <v>4.2184314881610288</v>
      </c>
      <c r="U144" s="500">
        <f t="shared" si="33"/>
        <v>3.4499750564552301</v>
      </c>
      <c r="V144" s="500">
        <f t="shared" si="33"/>
        <v>2.8940630600802342</v>
      </c>
      <c r="W144" s="500">
        <f t="shared" si="33"/>
        <v>2.868439189162677</v>
      </c>
      <c r="X144" s="500">
        <f t="shared" si="33"/>
        <v>3.556878822572886</v>
      </c>
      <c r="Y144" s="500">
        <f t="shared" si="33"/>
        <v>2.7701799285167086</v>
      </c>
      <c r="Z144" s="500">
        <f t="shared" si="33"/>
        <v>1.95795307474255</v>
      </c>
      <c r="AA144" s="500">
        <f>AA142/AA143</f>
        <v>2.2234745367908109</v>
      </c>
      <c r="AB144" s="500">
        <f>AB142/AB143</f>
        <v>2.9481152017987786</v>
      </c>
      <c r="AC144" s="500">
        <f>AC142/AC143</f>
        <v>2.7675010781951186</v>
      </c>
      <c r="AD144" s="500">
        <f>AD142/AD143</f>
        <v>1.8037706271540255</v>
      </c>
      <c r="AE144" s="174"/>
      <c r="AF144" s="512"/>
      <c r="AG144" s="512"/>
      <c r="AH144" s="512"/>
      <c r="AI144" s="512"/>
      <c r="AJ144" s="512"/>
      <c r="AK144" s="512"/>
    </row>
    <row r="145" spans="1:37">
      <c r="B145" s="231" t="s">
        <v>937</v>
      </c>
      <c r="K145" s="110">
        <v>0</v>
      </c>
      <c r="L145" s="110">
        <v>0</v>
      </c>
      <c r="M145" s="110">
        <v>0</v>
      </c>
      <c r="N145" s="572">
        <v>0</v>
      </c>
      <c r="O145" s="572">
        <v>278094357.19</v>
      </c>
      <c r="P145" s="572">
        <v>399617692.44999999</v>
      </c>
      <c r="Q145" s="572">
        <v>623350701</v>
      </c>
      <c r="R145" s="572">
        <v>734800889</v>
      </c>
      <c r="S145" s="110">
        <v>899483917</v>
      </c>
      <c r="T145" s="507">
        <v>1057592676</v>
      </c>
      <c r="U145" s="507">
        <v>1392368396</v>
      </c>
      <c r="V145" s="507">
        <v>1710559328</v>
      </c>
      <c r="W145" s="507">
        <v>1995548292</v>
      </c>
      <c r="X145" s="507">
        <v>2141931145</v>
      </c>
      <c r="Y145" s="397">
        <v>2301943829</v>
      </c>
      <c r="Z145" s="397">
        <v>2492045640</v>
      </c>
      <c r="AA145" s="397">
        <v>2782829371</v>
      </c>
      <c r="AB145" s="397">
        <v>3048102709</v>
      </c>
      <c r="AC145" s="397">
        <v>3292079285</v>
      </c>
      <c r="AD145" s="617">
        <v>3575171688</v>
      </c>
      <c r="AE145" s="397"/>
      <c r="AF145" s="512"/>
      <c r="AG145" s="512"/>
      <c r="AH145" s="512"/>
      <c r="AI145" s="512"/>
      <c r="AJ145" s="512"/>
      <c r="AK145" s="512"/>
    </row>
    <row r="146" spans="1:37">
      <c r="B146" s="231" t="s">
        <v>938</v>
      </c>
      <c r="K146" s="110">
        <v>0</v>
      </c>
      <c r="L146" s="110">
        <v>0</v>
      </c>
      <c r="M146" s="110">
        <v>0</v>
      </c>
      <c r="N146" s="572">
        <v>0</v>
      </c>
      <c r="O146" s="572">
        <v>180899593.15000001</v>
      </c>
      <c r="P146" s="572">
        <v>303130223.01999998</v>
      </c>
      <c r="Q146" s="572">
        <v>490268555</v>
      </c>
      <c r="R146" s="572">
        <v>596034250</v>
      </c>
      <c r="S146" s="110">
        <v>785053239</v>
      </c>
      <c r="T146" s="507">
        <v>989192097</v>
      </c>
      <c r="U146" s="507">
        <v>1261930669</v>
      </c>
      <c r="V146" s="507">
        <v>1514907880</v>
      </c>
      <c r="W146" s="507">
        <v>1763544811</v>
      </c>
      <c r="X146" s="507">
        <v>1954268566</v>
      </c>
      <c r="Y146" s="397">
        <v>2158893773</v>
      </c>
      <c r="Z146" s="397">
        <v>2375924959</v>
      </c>
      <c r="AA146" s="397">
        <v>2616451909</v>
      </c>
      <c r="AB146" s="397">
        <v>2863264880</v>
      </c>
      <c r="AC146" s="397">
        <v>3101623624</v>
      </c>
      <c r="AD146" s="617">
        <v>3365952162</v>
      </c>
      <c r="AE146" s="397"/>
      <c r="AF146" s="512"/>
      <c r="AG146" s="512"/>
      <c r="AH146" s="512"/>
      <c r="AI146" s="512"/>
      <c r="AJ146" s="512"/>
      <c r="AK146" s="512"/>
    </row>
    <row r="147" spans="1:37" s="2" customFormat="1">
      <c r="B147" s="581" t="s">
        <v>939</v>
      </c>
      <c r="K147" s="500">
        <v>0</v>
      </c>
      <c r="L147" s="500">
        <v>0</v>
      </c>
      <c r="M147" s="500">
        <v>0</v>
      </c>
      <c r="N147" s="500">
        <v>0</v>
      </c>
      <c r="O147" s="500">
        <f t="shared" ref="O147:Z147" si="34">O145/O146</f>
        <v>1.5372856972619453</v>
      </c>
      <c r="P147" s="500">
        <f t="shared" si="34"/>
        <v>1.3183036929433261</v>
      </c>
      <c r="Q147" s="500">
        <f t="shared" si="34"/>
        <v>1.271447443738259</v>
      </c>
      <c r="R147" s="500">
        <f t="shared" si="34"/>
        <v>1.2328165520689458</v>
      </c>
      <c r="S147" s="500">
        <f t="shared" si="34"/>
        <v>1.1457616787184544</v>
      </c>
      <c r="T147" s="500">
        <f t="shared" si="34"/>
        <v>1.069147923044921</v>
      </c>
      <c r="U147" s="500">
        <f t="shared" si="34"/>
        <v>1.1033636238537285</v>
      </c>
      <c r="V147" s="500">
        <f t="shared" si="34"/>
        <v>1.1291507230129398</v>
      </c>
      <c r="W147" s="500">
        <f t="shared" si="34"/>
        <v>1.1315551947151514</v>
      </c>
      <c r="X147" s="500">
        <f t="shared" si="34"/>
        <v>1.0960270160739003</v>
      </c>
      <c r="Y147" s="500">
        <f t="shared" si="34"/>
        <v>1.0662608127315212</v>
      </c>
      <c r="Z147" s="500">
        <f t="shared" si="34"/>
        <v>1.0488738840678176</v>
      </c>
      <c r="AA147" s="500">
        <f>AA145/AA146</f>
        <v>1.0635889623759944</v>
      </c>
      <c r="AB147" s="500">
        <f>AB145/AB146</f>
        <v>1.0645549178111666</v>
      </c>
      <c r="AC147" s="500">
        <f>AC145/AC146</f>
        <v>1.0614051490729812</v>
      </c>
      <c r="AD147" s="500">
        <f>AD145/AD146</f>
        <v>1.0621576053165547</v>
      </c>
      <c r="AE147" s="174"/>
      <c r="AF147" s="421"/>
      <c r="AG147" s="421"/>
      <c r="AH147" s="421"/>
    </row>
    <row r="148" spans="1:37" s="2" customFormat="1">
      <c r="A148" s="9"/>
      <c r="B148" s="9" t="s">
        <v>941</v>
      </c>
      <c r="C148" s="9"/>
      <c r="D148" s="9"/>
      <c r="E148" s="9"/>
      <c r="F148" s="9"/>
      <c r="G148" s="9"/>
      <c r="H148" s="9"/>
      <c r="I148" s="9"/>
      <c r="J148" s="9"/>
      <c r="K148" s="76"/>
      <c r="L148" s="76"/>
      <c r="M148" s="76"/>
      <c r="N148" s="76"/>
      <c r="O148" s="76"/>
      <c r="P148" s="76"/>
      <c r="Q148" s="76"/>
      <c r="R148" s="76"/>
      <c r="S148" s="76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5"/>
      <c r="AF148" s="582"/>
      <c r="AG148" s="582"/>
      <c r="AH148" s="582"/>
      <c r="AI148" s="582"/>
      <c r="AJ148" s="582"/>
      <c r="AK148" s="582"/>
    </row>
    <row r="149" spans="1:37">
      <c r="B149" s="231" t="s">
        <v>934</v>
      </c>
      <c r="K149" s="1">
        <v>1044640596.0784297</v>
      </c>
      <c r="L149" s="1">
        <v>1272891974.0784602</v>
      </c>
      <c r="M149" s="1">
        <v>1338555707.7229953</v>
      </c>
      <c r="N149" s="1">
        <v>1499335805.2245421</v>
      </c>
      <c r="O149" s="1">
        <v>1360028613.6763184</v>
      </c>
      <c r="P149" s="1">
        <v>1494092340.2153211</v>
      </c>
      <c r="Q149" s="1">
        <v>1766414238.5097537</v>
      </c>
      <c r="R149" s="1">
        <v>1752231430.1588318</v>
      </c>
      <c r="S149" s="1">
        <v>1784068910.9022057</v>
      </c>
      <c r="T149" s="397">
        <v>1933646400</v>
      </c>
      <c r="U149" s="397">
        <v>2192407402.472177</v>
      </c>
      <c r="V149" s="397">
        <v>2224527538.4418998</v>
      </c>
      <c r="W149" s="397">
        <v>2005896949.7481046</v>
      </c>
      <c r="X149" s="397">
        <v>2238739183.4706016</v>
      </c>
      <c r="Y149" s="397">
        <v>2445041217.8629122</v>
      </c>
      <c r="Z149" s="397">
        <v>2138970189.3647785</v>
      </c>
      <c r="AA149" s="397">
        <v>2101665948.8792729</v>
      </c>
      <c r="AB149" s="397">
        <v>2359548433.9572411</v>
      </c>
      <c r="AC149" s="397">
        <v>2318632931.8069725</v>
      </c>
      <c r="AD149" s="618">
        <v>2585032279.9734001</v>
      </c>
      <c r="AE149" s="397"/>
      <c r="AF149" s="582"/>
      <c r="AG149" s="582"/>
      <c r="AH149" s="582"/>
      <c r="AI149" s="582"/>
      <c r="AJ149" s="582"/>
      <c r="AK149" s="582"/>
    </row>
    <row r="150" spans="1:37">
      <c r="B150" s="231" t="s">
        <v>935</v>
      </c>
      <c r="K150" s="1">
        <v>637327425.57000005</v>
      </c>
      <c r="L150" s="1">
        <v>685401567.57355487</v>
      </c>
      <c r="M150" s="1">
        <v>687822623.40378737</v>
      </c>
      <c r="N150" s="1">
        <v>671931545.37694943</v>
      </c>
      <c r="O150" s="1">
        <v>665331370.53545642</v>
      </c>
      <c r="P150" s="1">
        <v>640115285.23050046</v>
      </c>
      <c r="Q150" s="1">
        <v>629521436.14869487</v>
      </c>
      <c r="R150" s="1">
        <v>624198734.07585514</v>
      </c>
      <c r="S150" s="1">
        <v>614728132.89834726</v>
      </c>
      <c r="T150" s="397">
        <v>610561820</v>
      </c>
      <c r="U150" s="397">
        <v>609419479.43692994</v>
      </c>
      <c r="V150" s="397">
        <v>688716730.78597498</v>
      </c>
      <c r="W150" s="397">
        <v>695921412.8273629</v>
      </c>
      <c r="X150" s="397">
        <v>667698342.72120237</v>
      </c>
      <c r="Y150" s="397">
        <v>664949594.70582509</v>
      </c>
      <c r="Z150" s="397">
        <v>650879447.91185522</v>
      </c>
      <c r="AA150" s="397">
        <v>655441388.54181826</v>
      </c>
      <c r="AB150" s="397">
        <v>697257909.99493909</v>
      </c>
      <c r="AC150" s="397">
        <v>812983979.79314935</v>
      </c>
      <c r="AD150" s="618">
        <v>640996689.34266734</v>
      </c>
      <c r="AE150" s="397"/>
      <c r="AF150" s="582"/>
      <c r="AG150" s="582"/>
      <c r="AH150" s="582"/>
      <c r="AI150" s="582"/>
      <c r="AJ150" s="582"/>
      <c r="AK150" s="582"/>
    </row>
    <row r="151" spans="1:37" s="2" customFormat="1">
      <c r="B151" s="581" t="s">
        <v>936</v>
      </c>
      <c r="K151" s="174">
        <f t="shared" ref="K151:Z151" si="35">K149/K150</f>
        <v>1.6390956267795083</v>
      </c>
      <c r="L151" s="174">
        <f t="shared" si="35"/>
        <v>1.8571477427236229</v>
      </c>
      <c r="M151" s="174">
        <f t="shared" si="35"/>
        <v>1.9460768840358338</v>
      </c>
      <c r="N151" s="174">
        <f t="shared" si="35"/>
        <v>2.2313817762245765</v>
      </c>
      <c r="O151" s="174">
        <f t="shared" si="35"/>
        <v>2.0441372132833178</v>
      </c>
      <c r="P151" s="174">
        <f t="shared" si="35"/>
        <v>2.3340988329583636</v>
      </c>
      <c r="Q151" s="174">
        <f t="shared" si="35"/>
        <v>2.8059636051734405</v>
      </c>
      <c r="R151" s="174">
        <f t="shared" si="35"/>
        <v>2.8071691506280652</v>
      </c>
      <c r="S151" s="174">
        <f t="shared" si="35"/>
        <v>2.9022080094018134</v>
      </c>
      <c r="T151" s="174">
        <f t="shared" si="35"/>
        <v>3.1669952765798555</v>
      </c>
      <c r="U151" s="174">
        <f t="shared" si="35"/>
        <v>3.5975341721893117</v>
      </c>
      <c r="V151" s="174">
        <f t="shared" si="35"/>
        <v>3.22996006776724</v>
      </c>
      <c r="W151" s="174">
        <f t="shared" si="35"/>
        <v>2.8823613022605858</v>
      </c>
      <c r="X151" s="174">
        <f t="shared" si="35"/>
        <v>3.3529200841605018</v>
      </c>
      <c r="Y151" s="174">
        <f t="shared" si="35"/>
        <v>3.6770324206973957</v>
      </c>
      <c r="Z151" s="174">
        <f t="shared" si="35"/>
        <v>3.2862770459675761</v>
      </c>
      <c r="AA151" s="174">
        <f>AA149/AA150</f>
        <v>3.2064895284609922</v>
      </c>
      <c r="AB151" s="174">
        <f>AB149/AB150</f>
        <v>3.3840396790541498</v>
      </c>
      <c r="AC151" s="174">
        <f>AC149/AC150</f>
        <v>2.8520032244631821</v>
      </c>
      <c r="AD151" s="174">
        <f>AD149/AD150</f>
        <v>4.0328324981277399</v>
      </c>
      <c r="AE151" s="174"/>
      <c r="AF151" s="582"/>
      <c r="AG151" s="582"/>
      <c r="AH151" s="582"/>
      <c r="AI151" s="582"/>
      <c r="AJ151" s="582"/>
      <c r="AK151" s="582"/>
    </row>
    <row r="152" spans="1:37">
      <c r="B152" s="231" t="s">
        <v>937</v>
      </c>
      <c r="K152" s="1">
        <v>0</v>
      </c>
      <c r="L152" s="1">
        <v>0</v>
      </c>
      <c r="M152" s="1">
        <v>0</v>
      </c>
      <c r="N152" s="1">
        <v>0</v>
      </c>
      <c r="O152" s="1">
        <v>3833549655.7599092</v>
      </c>
      <c r="P152" s="1">
        <v>3574486467.6494637</v>
      </c>
      <c r="Q152" s="1">
        <v>3954242373.120038</v>
      </c>
      <c r="R152" s="1">
        <v>3951116123.8649702</v>
      </c>
      <c r="S152" s="1">
        <v>4014795460.2219324</v>
      </c>
      <c r="T152" s="397">
        <v>4034978223</v>
      </c>
      <c r="U152" s="397">
        <v>4039233794.3863554</v>
      </c>
      <c r="V152" s="397">
        <v>4364212957.0110998</v>
      </c>
      <c r="W152" s="397">
        <v>2043731539.3599999</v>
      </c>
      <c r="X152" s="397">
        <v>2029837111.9544675</v>
      </c>
      <c r="Y152" s="397">
        <v>1980592903.6449983</v>
      </c>
      <c r="Z152" s="397">
        <v>1945807584.3840206</v>
      </c>
      <c r="AA152" s="397">
        <v>2041645089.480001</v>
      </c>
      <c r="AB152" s="397">
        <v>2130383395.0500007</v>
      </c>
      <c r="AC152" s="397">
        <v>1927861064.8500021</v>
      </c>
      <c r="AD152" s="618">
        <v>1922432076.6800017</v>
      </c>
      <c r="AE152" s="397"/>
      <c r="AF152" s="582"/>
      <c r="AG152" s="582"/>
      <c r="AH152" s="582"/>
      <c r="AI152" s="582"/>
      <c r="AJ152" s="582"/>
      <c r="AK152" s="582"/>
    </row>
    <row r="153" spans="1:37">
      <c r="B153" s="231" t="s">
        <v>938</v>
      </c>
      <c r="K153" s="1">
        <v>0</v>
      </c>
      <c r="L153" s="1">
        <v>0</v>
      </c>
      <c r="M153" s="1">
        <v>0</v>
      </c>
      <c r="N153" s="1">
        <v>0</v>
      </c>
      <c r="O153" s="1">
        <v>1706262273.6800003</v>
      </c>
      <c r="P153" s="1">
        <v>1703760871.0999999</v>
      </c>
      <c r="Q153" s="1">
        <v>1659118218.05</v>
      </c>
      <c r="R153" s="1">
        <v>1735326477.1900001</v>
      </c>
      <c r="S153" s="1">
        <v>1760724701.74</v>
      </c>
      <c r="T153" s="397">
        <v>1708966896</v>
      </c>
      <c r="U153" s="397">
        <v>1661039891.1700001</v>
      </c>
      <c r="V153" s="397">
        <v>1582417986.8800001</v>
      </c>
      <c r="W153" s="397">
        <v>1593119726.6700001</v>
      </c>
      <c r="X153" s="397">
        <v>1667272841.1400001</v>
      </c>
      <c r="Y153" s="397">
        <v>1652412780.97</v>
      </c>
      <c r="Z153" s="397">
        <v>1587973143.02</v>
      </c>
      <c r="AA153" s="397">
        <v>1619997493.5799999</v>
      </c>
      <c r="AB153" s="397">
        <v>1618162959.76</v>
      </c>
      <c r="AC153" s="397">
        <v>1611121216.8399999</v>
      </c>
      <c r="AD153" s="618">
        <v>1648713545.3699999</v>
      </c>
      <c r="AE153" s="397"/>
      <c r="AF153" s="582"/>
      <c r="AG153" s="582"/>
      <c r="AH153" s="582"/>
      <c r="AI153" s="582"/>
      <c r="AJ153" s="582"/>
      <c r="AK153" s="582"/>
    </row>
    <row r="154" spans="1:37" s="2" customFormat="1">
      <c r="B154" s="581" t="s">
        <v>939</v>
      </c>
      <c r="K154" s="174">
        <v>0</v>
      </c>
      <c r="L154" s="174">
        <v>0</v>
      </c>
      <c r="M154" s="174">
        <v>0</v>
      </c>
      <c r="N154" s="174">
        <v>0</v>
      </c>
      <c r="O154" s="174">
        <f t="shared" ref="O154:Z154" si="36">O152/O153</f>
        <v>2.2467528673020811</v>
      </c>
      <c r="P154" s="174">
        <f t="shared" si="36"/>
        <v>2.097997746210515</v>
      </c>
      <c r="Q154" s="174">
        <f t="shared" si="36"/>
        <v>2.3833397343846605</v>
      </c>
      <c r="R154" s="174">
        <f t="shared" si="36"/>
        <v>2.2768719176480152</v>
      </c>
      <c r="S154" s="174">
        <f t="shared" si="36"/>
        <v>2.280194885807187</v>
      </c>
      <c r="T154" s="174">
        <f t="shared" si="36"/>
        <v>2.3610628341861104</v>
      </c>
      <c r="U154" s="174">
        <f t="shared" si="36"/>
        <v>2.4317500234995606</v>
      </c>
      <c r="V154" s="174">
        <f t="shared" si="36"/>
        <v>2.7579394276324365</v>
      </c>
      <c r="W154" s="174">
        <f t="shared" si="36"/>
        <v>1.2828486805771251</v>
      </c>
      <c r="X154" s="174">
        <f t="shared" si="36"/>
        <v>1.2174594714603302</v>
      </c>
      <c r="Y154" s="174">
        <f t="shared" si="36"/>
        <v>1.1986066232690054</v>
      </c>
      <c r="Z154" s="174">
        <f t="shared" si="36"/>
        <v>1.2253403610362659</v>
      </c>
      <c r="AA154" s="174">
        <f>AA152/AA153</f>
        <v>1.2602766964584682</v>
      </c>
      <c r="AB154" s="174">
        <f>AB152/AB153</f>
        <v>1.3165444074717736</v>
      </c>
      <c r="AC154" s="174">
        <f>AC152/AC153</f>
        <v>1.196595913888618</v>
      </c>
      <c r="AD154" s="174">
        <f>AD152/AD153</f>
        <v>1.1660194592800381</v>
      </c>
      <c r="AE154" s="174"/>
      <c r="AF154" s="421"/>
      <c r="AG154" s="421"/>
      <c r="AH154" s="421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8DBD-80E8-4502-AEBD-A192AFEE5414}">
  <dimension ref="A1:AR23"/>
  <sheetViews>
    <sheetView showGridLines="0" zoomScale="75" zoomScaleNormal="75" workbookViewId="0">
      <pane xSplit="26" topLeftCell="AM1" activePane="topRight" state="frozen"/>
      <selection pane="topRight" activeCell="A3" sqref="A3"/>
    </sheetView>
  </sheetViews>
  <sheetFormatPr defaultColWidth="9.42578125" defaultRowHeight="15"/>
  <cols>
    <col min="1" max="1" width="4.28515625" customWidth="1"/>
    <col min="2" max="2" width="70.7109375" customWidth="1"/>
    <col min="3" max="26" width="2.28515625" hidden="1" customWidth="1"/>
    <col min="27" max="32" width="13.42578125" bestFit="1" customWidth="1"/>
    <col min="33" max="35" width="15.7109375" bestFit="1" customWidth="1"/>
    <col min="36" max="41" width="15.42578125" bestFit="1" customWidth="1"/>
    <col min="42" max="43" width="15.42578125" customWidth="1"/>
  </cols>
  <sheetData>
    <row r="1" spans="1:44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65"/>
      <c r="Y1" s="665"/>
      <c r="Z1" s="665"/>
      <c r="AA1" s="665"/>
      <c r="AB1" s="665"/>
      <c r="AC1" s="665"/>
      <c r="AD1" s="665"/>
      <c r="AE1" s="665"/>
      <c r="AF1" s="665"/>
      <c r="AG1" s="689"/>
      <c r="AH1" s="689"/>
      <c r="AI1" s="689"/>
      <c r="AJ1" s="689"/>
      <c r="AK1" s="689"/>
      <c r="AL1" s="689"/>
      <c r="AM1" s="689"/>
      <c r="AN1" s="689"/>
      <c r="AO1" s="689"/>
      <c r="AP1" s="631"/>
      <c r="AQ1" s="630"/>
      <c r="AR1" s="687"/>
    </row>
    <row r="2" spans="1:44" ht="1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90"/>
      <c r="AH2" s="690"/>
      <c r="AI2" s="690"/>
      <c r="AJ2" s="690"/>
      <c r="AK2" s="690"/>
      <c r="AL2" s="690"/>
      <c r="AM2" s="690"/>
      <c r="AN2" s="690"/>
      <c r="AO2" s="690"/>
      <c r="AP2" s="632"/>
      <c r="AQ2" s="630"/>
      <c r="AR2" s="688"/>
    </row>
    <row r="3" spans="1:44" ht="66" customHeight="1">
      <c r="A3" s="766"/>
      <c r="B3" s="766" t="s">
        <v>878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89"/>
      <c r="AH3" s="689"/>
      <c r="AI3" s="689"/>
      <c r="AJ3" s="689"/>
      <c r="AK3" s="689"/>
      <c r="AL3" s="689"/>
      <c r="AM3" s="689"/>
      <c r="AN3" s="689"/>
      <c r="AO3" s="689"/>
      <c r="AP3" s="631"/>
      <c r="AQ3" s="630"/>
      <c r="AR3" s="687"/>
    </row>
    <row r="4" spans="1:44" ht="7.5" customHeight="1"/>
    <row r="5" spans="1:44" s="30" customFormat="1" ht="7.5" customHeight="1">
      <c r="A5" s="455"/>
      <c r="B5" s="455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71"/>
      <c r="U5" s="171"/>
      <c r="V5" s="189"/>
      <c r="W5" s="65"/>
      <c r="X5" s="65"/>
      <c r="Y5" s="65"/>
      <c r="Z5" s="65"/>
      <c r="AA5" s="65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</row>
    <row r="6" spans="1:44" s="30" customFormat="1" ht="24.4" customHeight="1">
      <c r="A6" s="625"/>
      <c r="B6" s="625" t="s">
        <v>879</v>
      </c>
      <c r="C6" s="626" t="s">
        <v>224</v>
      </c>
      <c r="D6" s="626" t="s">
        <v>225</v>
      </c>
      <c r="E6" s="626" t="s">
        <v>226</v>
      </c>
      <c r="F6" s="626" t="s">
        <v>227</v>
      </c>
      <c r="G6" s="626" t="s">
        <v>228</v>
      </c>
      <c r="H6" s="626" t="s">
        <v>229</v>
      </c>
      <c r="I6" s="626" t="s">
        <v>230</v>
      </c>
      <c r="J6" s="626" t="s">
        <v>231</v>
      </c>
      <c r="K6" s="626" t="s">
        <v>232</v>
      </c>
      <c r="L6" s="626" t="s">
        <v>233</v>
      </c>
      <c r="M6" s="626" t="s">
        <v>234</v>
      </c>
      <c r="N6" s="626" t="s">
        <v>235</v>
      </c>
      <c r="O6" s="626" t="s">
        <v>236</v>
      </c>
      <c r="P6" s="626" t="s">
        <v>237</v>
      </c>
      <c r="Q6" s="626" t="s">
        <v>238</v>
      </c>
      <c r="R6" s="626" t="s">
        <v>239</v>
      </c>
      <c r="S6" s="626" t="s">
        <v>240</v>
      </c>
      <c r="T6" s="626" t="s">
        <v>241</v>
      </c>
      <c r="U6" s="626" t="s">
        <v>242</v>
      </c>
      <c r="V6" s="626" t="s">
        <v>243</v>
      </c>
      <c r="W6" s="626" t="s">
        <v>244</v>
      </c>
      <c r="X6" s="626" t="s">
        <v>245</v>
      </c>
      <c r="Y6" s="626" t="s">
        <v>246</v>
      </c>
      <c r="Z6" s="626" t="s">
        <v>247</v>
      </c>
      <c r="AA6" s="626" t="s">
        <v>248</v>
      </c>
      <c r="AB6" s="626" t="s">
        <v>249</v>
      </c>
      <c r="AC6" s="626" t="s">
        <v>250</v>
      </c>
      <c r="AD6" s="626" t="s">
        <v>215</v>
      </c>
      <c r="AE6" s="626" t="s">
        <v>252</v>
      </c>
      <c r="AF6" s="626" t="s">
        <v>253</v>
      </c>
      <c r="AG6" s="626" t="s">
        <v>254</v>
      </c>
      <c r="AH6" s="626" t="s">
        <v>219</v>
      </c>
      <c r="AI6" s="626" t="s">
        <v>223</v>
      </c>
      <c r="AJ6" s="626" t="s">
        <v>256</v>
      </c>
      <c r="AK6" s="626" t="s">
        <v>357</v>
      </c>
      <c r="AL6" s="626" t="s">
        <v>358</v>
      </c>
      <c r="AM6" s="626" t="s">
        <v>359</v>
      </c>
      <c r="AN6" s="626" t="s">
        <v>1115</v>
      </c>
      <c r="AO6" s="626" t="s">
        <v>1116</v>
      </c>
      <c r="AP6" s="675" t="s">
        <v>1117</v>
      </c>
      <c r="AQ6" s="645" t="s">
        <v>1124</v>
      </c>
    </row>
    <row r="7" spans="1:44" s="30" customFormat="1">
      <c r="A7" s="225"/>
      <c r="B7" s="225" t="s">
        <v>880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458"/>
    </row>
    <row r="8" spans="1:44" s="387" customFormat="1">
      <c r="A8" s="461"/>
      <c r="B8" s="461" t="s">
        <v>881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462">
        <v>132056777.23999999</v>
      </c>
      <c r="AB8" s="3">
        <f t="shared" ref="AB8:AI8" si="0">AA13</f>
        <v>175581282.46999997</v>
      </c>
      <c r="AC8" s="3">
        <f t="shared" si="0"/>
        <v>293605330.67999995</v>
      </c>
      <c r="AD8" s="3">
        <f t="shared" si="0"/>
        <v>474160826.43999994</v>
      </c>
      <c r="AE8" s="3">
        <f t="shared" si="0"/>
        <v>572944110.92999995</v>
      </c>
      <c r="AF8" s="3">
        <f t="shared" si="0"/>
        <v>751119942.24999988</v>
      </c>
      <c r="AG8" s="3">
        <f t="shared" si="0"/>
        <v>940913479.39999986</v>
      </c>
      <c r="AH8" s="3">
        <f t="shared" si="0"/>
        <v>1195563179.2299998</v>
      </c>
      <c r="AI8" s="3">
        <f t="shared" si="0"/>
        <v>1428118139.8124921</v>
      </c>
      <c r="AJ8" s="3">
        <f t="shared" ref="AJ8:AP8" si="1">AI13</f>
        <v>1654274344.4614954</v>
      </c>
      <c r="AK8" s="3">
        <f t="shared" si="1"/>
        <v>1821140272.9606793</v>
      </c>
      <c r="AL8" s="3">
        <f t="shared" si="1"/>
        <v>2000137872.0181923</v>
      </c>
      <c r="AM8" s="3">
        <f t="shared" si="1"/>
        <v>2187167656.770112</v>
      </c>
      <c r="AN8" s="3">
        <f t="shared" si="1"/>
        <v>2389691607.2244501</v>
      </c>
      <c r="AO8" s="3">
        <f>AN13</f>
        <v>2606509355.9064093</v>
      </c>
      <c r="AP8" s="3">
        <f t="shared" si="1"/>
        <v>2778849147.6090736</v>
      </c>
      <c r="AQ8" s="3">
        <f>AP13</f>
        <v>2986023363.6996274</v>
      </c>
    </row>
    <row r="9" spans="1:44" s="30" customFormat="1">
      <c r="A9" s="36"/>
      <c r="B9" s="36" t="s">
        <v>882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459">
        <v>43050458.68</v>
      </c>
      <c r="AB9" s="459">
        <v>118774748.77</v>
      </c>
      <c r="AC9" s="459">
        <v>181325067.37</v>
      </c>
      <c r="AD9" s="459">
        <v>102643861.40000001</v>
      </c>
      <c r="AE9" s="459">
        <v>187834496.13</v>
      </c>
      <c r="AF9" s="459">
        <v>204554692.53999999</v>
      </c>
      <c r="AG9" s="460">
        <v>273346477.76999998</v>
      </c>
      <c r="AH9" s="460">
        <v>260871762.383807</v>
      </c>
      <c r="AI9" s="460">
        <v>179910747.330163</v>
      </c>
      <c r="AJ9" s="460">
        <v>207622726.431615</v>
      </c>
      <c r="AK9" s="460">
        <v>225276786.18562797</v>
      </c>
      <c r="AL9" s="460">
        <v>238976493.75086999</v>
      </c>
      <c r="AM9" s="460">
        <v>271426761.24761599</v>
      </c>
      <c r="AN9" s="460">
        <v>284606291.38242102</v>
      </c>
      <c r="AO9" s="460">
        <v>322663903.03979403</v>
      </c>
      <c r="AP9" s="460">
        <v>355318604.46716094</v>
      </c>
      <c r="AQ9" s="460">
        <v>380887622.10671008</v>
      </c>
    </row>
    <row r="10" spans="1:44" s="30" customFormat="1">
      <c r="A10" s="36"/>
      <c r="B10" s="36" t="s">
        <v>883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459">
        <v>-641285.47</v>
      </c>
      <c r="AB10" s="459">
        <v>-841081.94</v>
      </c>
      <c r="AC10" s="459">
        <v>-1117373.94</v>
      </c>
      <c r="AD10" s="459">
        <v>-223354.27</v>
      </c>
      <c r="AE10" s="459">
        <v>-576698.97</v>
      </c>
      <c r="AF10" s="459">
        <v>-754645.33</v>
      </c>
      <c r="AG10" s="460">
        <v>-1121078.3899999999</v>
      </c>
      <c r="AH10" s="460">
        <v>-1029127.29</v>
      </c>
      <c r="AI10" s="460">
        <v>-638406.54</v>
      </c>
      <c r="AJ10" s="460">
        <v>-424457.3</v>
      </c>
      <c r="AK10" s="460">
        <v>-340722.99</v>
      </c>
      <c r="AL10" s="460">
        <v>-251395.23</v>
      </c>
      <c r="AM10" s="460">
        <v>-361874</v>
      </c>
      <c r="AN10" s="460">
        <v>-154429.07999999999</v>
      </c>
      <c r="AO10" s="460">
        <v>-303026.05</v>
      </c>
      <c r="AP10" s="460">
        <v>-1348331.72</v>
      </c>
      <c r="AQ10" s="460">
        <v>394959.81</v>
      </c>
    </row>
    <row r="11" spans="1:44" s="30" customFormat="1">
      <c r="A11" s="36"/>
      <c r="B11" s="36" t="s">
        <v>884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459">
        <v>-1334424.77</v>
      </c>
      <c r="AB11" s="459">
        <v>-3917819.95</v>
      </c>
      <c r="AC11" s="459">
        <v>-7186123.9500000002</v>
      </c>
      <c r="AD11" s="459">
        <v>-13550379.859999999</v>
      </c>
      <c r="AE11" s="459">
        <v>-21382845.120000001</v>
      </c>
      <c r="AF11" s="459">
        <v>-29322631.789999999</v>
      </c>
      <c r="AG11" s="460">
        <v>-36531476.469999999</v>
      </c>
      <c r="AH11" s="460">
        <v>-47347593.162469</v>
      </c>
      <c r="AI11" s="460">
        <v>-37914573.140375003</v>
      </c>
      <c r="AJ11" s="460">
        <v>-66080893.594342001</v>
      </c>
      <c r="AK11" s="460">
        <v>-73441718.127590001</v>
      </c>
      <c r="AL11" s="460">
        <v>-82061629.645334005</v>
      </c>
      <c r="AM11" s="460">
        <v>-103782003.096184</v>
      </c>
      <c r="AN11" s="460">
        <v>-108176700.17542</v>
      </c>
      <c r="AO11" s="460">
        <v>-175376880.83353499</v>
      </c>
      <c r="AP11" s="460">
        <v>-175630892.42582199</v>
      </c>
      <c r="AQ11" s="460">
        <v>224757027.34350598</v>
      </c>
    </row>
    <row r="12" spans="1:44" s="30" customFormat="1">
      <c r="A12" s="36"/>
      <c r="B12" s="36" t="s">
        <v>885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459">
        <v>2449756.79</v>
      </c>
      <c r="AB12" s="459">
        <v>4008201.33</v>
      </c>
      <c r="AC12" s="459">
        <v>7533926.2800000003</v>
      </c>
      <c r="AD12" s="459">
        <v>9913157.2200000007</v>
      </c>
      <c r="AE12" s="459">
        <v>12300879.279999999</v>
      </c>
      <c r="AF12" s="459">
        <v>15316121.73</v>
      </c>
      <c r="AG12" s="460">
        <v>18955776.920000002</v>
      </c>
      <c r="AH12" s="460">
        <v>20059917.281140983</v>
      </c>
      <c r="AI12" s="460">
        <v>84798436.999215007</v>
      </c>
      <c r="AJ12" s="460">
        <v>25748552.961910993</v>
      </c>
      <c r="AK12" s="460">
        <v>27503253.989475019</v>
      </c>
      <c r="AL12" s="460">
        <v>30366315.876384009</v>
      </c>
      <c r="AM12" s="460">
        <v>35241066.302906007</v>
      </c>
      <c r="AN12" s="460">
        <v>40542586.554958008</v>
      </c>
      <c r="AO12" s="460">
        <v>25355795.546405956</v>
      </c>
      <c r="AP12" s="460">
        <v>28834835.769214071</v>
      </c>
      <c r="AQ12" s="460">
        <v>31339198.129869014</v>
      </c>
    </row>
    <row r="13" spans="1:44" s="387" customFormat="1">
      <c r="A13" s="461"/>
      <c r="B13" s="461" t="s">
        <v>886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462">
        <f>SUM(AA8:AA12)</f>
        <v>175581282.46999997</v>
      </c>
      <c r="AB13" s="462">
        <f t="shared" ref="AB13:AG13" si="2">SUM(AB8:AB12)</f>
        <v>293605330.67999995</v>
      </c>
      <c r="AC13" s="462">
        <f t="shared" si="2"/>
        <v>474160826.43999994</v>
      </c>
      <c r="AD13" s="462">
        <f t="shared" si="2"/>
        <v>572944110.92999995</v>
      </c>
      <c r="AE13" s="462">
        <f t="shared" si="2"/>
        <v>751119942.24999988</v>
      </c>
      <c r="AF13" s="462">
        <f t="shared" si="2"/>
        <v>940913479.39999986</v>
      </c>
      <c r="AG13" s="462">
        <f t="shared" si="2"/>
        <v>1195563179.2299998</v>
      </c>
      <c r="AH13" s="3">
        <v>1428118139.8124921</v>
      </c>
      <c r="AI13" s="3">
        <f t="shared" ref="AI13:AM13" si="3">SUM(AI8:AI12)</f>
        <v>1654274344.4614954</v>
      </c>
      <c r="AJ13" s="3">
        <f t="shared" si="3"/>
        <v>1821140272.9606793</v>
      </c>
      <c r="AK13" s="3">
        <f t="shared" si="3"/>
        <v>2000137872.0181923</v>
      </c>
      <c r="AL13" s="3">
        <f t="shared" si="3"/>
        <v>2187167656.770112</v>
      </c>
      <c r="AM13" s="3">
        <f t="shared" si="3"/>
        <v>2389691607.2244501</v>
      </c>
      <c r="AN13" s="3">
        <f>SUM(AN8:AN12)</f>
        <v>2606509355.9064093</v>
      </c>
      <c r="AO13" s="3">
        <f>SUM(AO8:AO12)</f>
        <v>2778849147.6090736</v>
      </c>
      <c r="AP13" s="3">
        <f>SUM(AP8:AP12)</f>
        <v>2986023363.6996274</v>
      </c>
      <c r="AQ13" s="3">
        <f>SUM(AQ8:AQ12)</f>
        <v>3623402171.0897121</v>
      </c>
      <c r="AR13" s="3"/>
    </row>
    <row r="14" spans="1:44" s="30" customFormat="1">
      <c r="A14" s="461"/>
      <c r="B14" s="461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459"/>
      <c r="AB14" s="459"/>
      <c r="AC14" s="459"/>
      <c r="AD14" s="459"/>
      <c r="AE14" s="459"/>
      <c r="AF14" s="459"/>
      <c r="AG14" s="459"/>
      <c r="AH14" s="459"/>
      <c r="AI14" s="459"/>
      <c r="AJ14" s="459"/>
      <c r="AK14" s="459"/>
      <c r="AL14" s="459"/>
      <c r="AM14" s="459"/>
      <c r="AN14" s="459"/>
      <c r="AO14" s="459"/>
      <c r="AP14" s="459"/>
      <c r="AQ14" s="459"/>
    </row>
    <row r="15" spans="1:44" s="30" customFormat="1">
      <c r="A15" s="225"/>
      <c r="B15" s="225" t="s">
        <v>887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15"/>
    </row>
    <row r="16" spans="1:44" s="387" customFormat="1">
      <c r="A16" s="461"/>
      <c r="B16" s="461" t="s">
        <v>881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462">
        <v>11463.27</v>
      </c>
      <c r="AB16" s="462">
        <f t="shared" ref="AB16:AJ16" si="4">AA23</f>
        <v>494672.26000000007</v>
      </c>
      <c r="AC16" s="462">
        <f t="shared" si="4"/>
        <v>1313969.6899999997</v>
      </c>
      <c r="AD16" s="462">
        <f t="shared" si="4"/>
        <v>3909324.9799999995</v>
      </c>
      <c r="AE16" s="462">
        <f t="shared" si="4"/>
        <v>8444629.879999999</v>
      </c>
      <c r="AF16" s="462">
        <f t="shared" si="4"/>
        <v>15265427.940000003</v>
      </c>
      <c r="AG16" s="462">
        <f t="shared" si="4"/>
        <v>25587046.100000001</v>
      </c>
      <c r="AH16" s="462">
        <f t="shared" si="4"/>
        <v>38679553.649999999</v>
      </c>
      <c r="AI16" s="462">
        <f t="shared" si="4"/>
        <v>55179111.142292</v>
      </c>
      <c r="AJ16" s="462">
        <f t="shared" si="4"/>
        <v>74148953.267206013</v>
      </c>
      <c r="AK16" s="462">
        <f t="shared" ref="AK16:AP16" si="5">AJ23</f>
        <v>95047125.506384969</v>
      </c>
      <c r="AL16" s="462">
        <f t="shared" si="5"/>
        <v>118310228.37812896</v>
      </c>
      <c r="AM16" s="462">
        <f t="shared" si="5"/>
        <v>146519007.72387898</v>
      </c>
      <c r="AN16" s="462">
        <f t="shared" si="5"/>
        <v>182401983.162137</v>
      </c>
      <c r="AO16" s="462">
        <f t="shared" si="5"/>
        <v>210165355.68598506</v>
      </c>
      <c r="AP16" s="462">
        <f t="shared" si="5"/>
        <v>274619658.95087105</v>
      </c>
      <c r="AQ16" s="462">
        <f>AP23</f>
        <v>330471777.95140105</v>
      </c>
      <c r="AR16" s="470"/>
    </row>
    <row r="17" spans="1:44" s="30" customFormat="1">
      <c r="A17" s="36"/>
      <c r="B17" s="36" t="s">
        <v>882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459">
        <v>1447161.4</v>
      </c>
      <c r="AB17" s="459">
        <v>4316048.7699999996</v>
      </c>
      <c r="AC17" s="459">
        <v>7936883.6299999999</v>
      </c>
      <c r="AD17" s="459">
        <v>14778414.560000001</v>
      </c>
      <c r="AE17" s="459">
        <v>23529926.370000001</v>
      </c>
      <c r="AF17" s="459">
        <v>32287816.52</v>
      </c>
      <c r="AG17" s="460">
        <v>40000612.689999998</v>
      </c>
      <c r="AH17" s="460">
        <v>51570111.783840008</v>
      </c>
      <c r="AI17" s="460">
        <v>63616400.736253001</v>
      </c>
      <c r="AJ17" s="460">
        <v>72176903.947609991</v>
      </c>
      <c r="AK17" s="460">
        <v>80170032.539633989</v>
      </c>
      <c r="AL17" s="460">
        <v>89973871.41644001</v>
      </c>
      <c r="AM17" s="460">
        <v>114822957.66256499</v>
      </c>
      <c r="AN17" s="460">
        <v>121289550.42274201</v>
      </c>
      <c r="AO17" s="460">
        <v>208419612.49699003</v>
      </c>
      <c r="AP17" s="460">
        <v>208488230.128075</v>
      </c>
      <c r="AQ17" s="460">
        <v>260963077.55399507</v>
      </c>
    </row>
    <row r="18" spans="1:44" s="30" customFormat="1">
      <c r="A18" s="36"/>
      <c r="B18" s="36" t="s">
        <v>884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459">
        <v>-83107.39</v>
      </c>
      <c r="AB18" s="459">
        <v>-90553.46</v>
      </c>
      <c r="AC18" s="459">
        <v>-133548.9</v>
      </c>
      <c r="AD18" s="459">
        <v>-473707.68</v>
      </c>
      <c r="AE18" s="459">
        <v>-396311.23</v>
      </c>
      <c r="AF18" s="459">
        <v>-535537.86</v>
      </c>
      <c r="AG18" s="460">
        <v>-511174.6</v>
      </c>
      <c r="AH18" s="460">
        <v>-1176610.58</v>
      </c>
      <c r="AI18" s="460">
        <v>-936067.6</v>
      </c>
      <c r="AJ18" s="460">
        <v>-937012.27431400504</v>
      </c>
      <c r="AK18" s="460">
        <v>-1511572.75</v>
      </c>
      <c r="AL18" s="460">
        <v>-662794.87</v>
      </c>
      <c r="AM18" s="460">
        <v>-808155.31</v>
      </c>
      <c r="AN18" s="460">
        <v>-1275565.3899999999</v>
      </c>
      <c r="AO18" s="460">
        <v>-2257680.27</v>
      </c>
      <c r="AP18" s="460">
        <v>-1118344.42</v>
      </c>
      <c r="AQ18" s="460">
        <v>-8945411.9800000004</v>
      </c>
      <c r="AR18" s="458"/>
    </row>
    <row r="19" spans="1:44" s="30" customFormat="1">
      <c r="A19" s="36"/>
      <c r="B19" s="36" t="s">
        <v>888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459">
        <v>-776811.74</v>
      </c>
      <c r="AB19" s="459">
        <v>-3082854.78</v>
      </c>
      <c r="AC19" s="459">
        <v>-4724429.6100000003</v>
      </c>
      <c r="AD19" s="459">
        <v>-8879879.9800000004</v>
      </c>
      <c r="AE19" s="459">
        <v>-14775334.17</v>
      </c>
      <c r="AF19" s="459">
        <v>-19541559.300000001</v>
      </c>
      <c r="AG19" s="460">
        <v>-24004013.75</v>
      </c>
      <c r="AH19" s="460">
        <v>-30682696.547238</v>
      </c>
      <c r="AI19" s="460">
        <v>-39353129.691179</v>
      </c>
      <c r="AJ19" s="460">
        <v>-45502505.265934996</v>
      </c>
      <c r="AK19" s="460">
        <v>-50266120.866466001</v>
      </c>
      <c r="AL19" s="460">
        <v>-55986600.559373997</v>
      </c>
      <c r="AM19" s="460">
        <v>-72047931.389987007</v>
      </c>
      <c r="AN19" s="460">
        <v>-85839044.084361002</v>
      </c>
      <c r="AO19" s="460">
        <v>-134495388.06446201</v>
      </c>
      <c r="AP19" s="460">
        <v>-145041425.57264203</v>
      </c>
      <c r="AQ19" s="460">
        <v>-221572696.72532699</v>
      </c>
      <c r="AR19" s="458"/>
    </row>
    <row r="20" spans="1:44" s="30" customFormat="1">
      <c r="A20" s="36"/>
      <c r="B20" s="36" t="s">
        <v>885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459">
        <v>251.92</v>
      </c>
      <c r="AB20" s="459">
        <v>2467.59</v>
      </c>
      <c r="AC20" s="459">
        <v>12214.87</v>
      </c>
      <c r="AD20" s="459">
        <v>28918.41</v>
      </c>
      <c r="AE20" s="459">
        <v>57632.62</v>
      </c>
      <c r="AF20" s="459">
        <v>89442.86</v>
      </c>
      <c r="AG20" s="460">
        <v>143364.97</v>
      </c>
      <c r="AH20" s="460">
        <v>104856.75568999536</v>
      </c>
      <c r="AI20" s="460">
        <v>69191.909840002656</v>
      </c>
      <c r="AJ20" s="460">
        <v>177285.22181798518</v>
      </c>
      <c r="AK20" s="460">
        <v>208170.71857600525</v>
      </c>
      <c r="AL20" s="460">
        <v>328288.77868400887</v>
      </c>
      <c r="AM20" s="460">
        <v>605638.01568000391</v>
      </c>
      <c r="AN20" s="460">
        <v>919528.42546700314</v>
      </c>
      <c r="AO20" s="460">
        <v>1125851.0923579687</v>
      </c>
      <c r="AP20" s="460">
        <v>1382787.9650970586</v>
      </c>
      <c r="AQ20" s="460">
        <v>1138253.5134500265</v>
      </c>
    </row>
    <row r="21" spans="1:44" s="30" customFormat="1">
      <c r="A21" s="36"/>
      <c r="B21" s="36" t="s">
        <v>889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459">
        <v>-104285.2</v>
      </c>
      <c r="AB21" s="459">
        <v>-325810.69</v>
      </c>
      <c r="AC21" s="459">
        <v>-495764.7</v>
      </c>
      <c r="AD21" s="459">
        <v>-918440.41</v>
      </c>
      <c r="AE21" s="459">
        <v>-1595115.53</v>
      </c>
      <c r="AF21" s="459">
        <v>-1978544.06</v>
      </c>
      <c r="AG21" s="460">
        <v>-2536281.7599999998</v>
      </c>
      <c r="AH21" s="460">
        <v>-3316103.92</v>
      </c>
      <c r="AI21" s="460">
        <v>-4426553.2300000004</v>
      </c>
      <c r="AJ21" s="460">
        <v>-5016499.3899999997</v>
      </c>
      <c r="AK21" s="460">
        <v>-5337406.7699999996</v>
      </c>
      <c r="AL21" s="460">
        <v>-5443985.4199999999</v>
      </c>
      <c r="AM21" s="460">
        <v>-6689533.54</v>
      </c>
      <c r="AN21" s="460">
        <v>-7331096.8499999996</v>
      </c>
      <c r="AO21" s="460">
        <v>-8338091.9900000002</v>
      </c>
      <c r="AP21" s="460">
        <v>-7859129.1000000006</v>
      </c>
      <c r="AQ21" s="460">
        <v>-13979367.73</v>
      </c>
      <c r="AR21" s="458"/>
    </row>
    <row r="22" spans="1:44" s="30" customFormat="1">
      <c r="A22" s="36"/>
      <c r="B22" s="36" t="s">
        <v>890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459">
        <v>0</v>
      </c>
      <c r="AB22" s="459">
        <v>0</v>
      </c>
      <c r="AC22" s="459">
        <v>0</v>
      </c>
      <c r="AD22" s="459">
        <v>0</v>
      </c>
      <c r="AE22" s="459">
        <v>0</v>
      </c>
      <c r="AF22" s="459">
        <v>0</v>
      </c>
      <c r="AG22" s="459">
        <v>0</v>
      </c>
      <c r="AH22" s="462">
        <v>0</v>
      </c>
      <c r="AI22" s="462">
        <v>0</v>
      </c>
      <c r="AJ22" s="459">
        <v>0</v>
      </c>
      <c r="AK22" s="459">
        <v>0</v>
      </c>
      <c r="AL22" s="459">
        <v>0</v>
      </c>
      <c r="AM22" s="459">
        <v>0</v>
      </c>
      <c r="AN22" s="459">
        <v>0</v>
      </c>
      <c r="AO22" s="459">
        <v>0</v>
      </c>
      <c r="AP22" s="459">
        <v>0</v>
      </c>
      <c r="AQ22" s="460">
        <v>0</v>
      </c>
      <c r="AR22" s="457"/>
    </row>
    <row r="23" spans="1:44" s="2" customFormat="1">
      <c r="B23" s="2" t="s">
        <v>886</v>
      </c>
      <c r="AA23" s="3">
        <f t="shared" ref="AA23:AJ23" si="6">SUM(AA16:AA22)</f>
        <v>494672.26000000007</v>
      </c>
      <c r="AB23" s="3">
        <f t="shared" si="6"/>
        <v>1313969.6899999997</v>
      </c>
      <c r="AC23" s="3">
        <f t="shared" si="6"/>
        <v>3909324.9799999995</v>
      </c>
      <c r="AD23" s="3">
        <f t="shared" si="6"/>
        <v>8444629.879999999</v>
      </c>
      <c r="AE23" s="3">
        <f t="shared" si="6"/>
        <v>15265427.940000003</v>
      </c>
      <c r="AF23" s="3">
        <f t="shared" si="6"/>
        <v>25587046.100000001</v>
      </c>
      <c r="AG23" s="3">
        <f t="shared" si="6"/>
        <v>38679553.649999999</v>
      </c>
      <c r="AH23" s="3">
        <f t="shared" si="6"/>
        <v>55179111.142292</v>
      </c>
      <c r="AI23" s="3">
        <f t="shared" si="6"/>
        <v>74148953.267206013</v>
      </c>
      <c r="AJ23" s="3">
        <f t="shared" si="6"/>
        <v>95047125.506384969</v>
      </c>
      <c r="AK23" s="3">
        <f t="shared" ref="AK23:AO23" si="7">SUM(AK16:AK22)</f>
        <v>118310228.37812896</v>
      </c>
      <c r="AL23" s="3">
        <f t="shared" si="7"/>
        <v>146519007.72387898</v>
      </c>
      <c r="AM23" s="3">
        <f t="shared" si="7"/>
        <v>182401983.162137</v>
      </c>
      <c r="AN23" s="3">
        <f t="shared" si="7"/>
        <v>210165355.68598506</v>
      </c>
      <c r="AO23" s="3">
        <f t="shared" si="7"/>
        <v>274619658.95087105</v>
      </c>
      <c r="AP23" s="3">
        <f>SUM(AP16:AP22)</f>
        <v>330471777.95140105</v>
      </c>
      <c r="AQ23" s="3">
        <f>SUM(AQ16:AQ22)</f>
        <v>348075632.5835191</v>
      </c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D49AC-B9F1-4F17-BCF7-8029510A0CC5}">
  <sheetPr>
    <tabColor theme="9" tint="-0.499984740745262"/>
  </sheetPr>
  <dimension ref="A1:AU38"/>
  <sheetViews>
    <sheetView showGridLines="0" zoomScale="69" zoomScaleNormal="69" workbookViewId="0">
      <pane xSplit="3" ySplit="5" topLeftCell="AD12" activePane="bottomRight" state="frozen"/>
      <selection pane="topRight" activeCell="D1" sqref="D1"/>
      <selection pane="bottomLeft" activeCell="A6" sqref="A6"/>
      <selection pane="bottomRight" activeCell="C23" sqref="C23"/>
    </sheetView>
  </sheetViews>
  <sheetFormatPr defaultRowHeight="15"/>
  <cols>
    <col min="1" max="1" width="3.5703125" customWidth="1"/>
    <col min="2" max="2" width="36.42578125" customWidth="1"/>
    <col min="3" max="3" width="60.5703125" customWidth="1"/>
    <col min="4" max="4" width="13.42578125" customWidth="1"/>
    <col min="5" max="7" width="11.5703125" customWidth="1"/>
    <col min="8" max="8" width="11.5703125" bestFit="1" customWidth="1"/>
    <col min="9" max="12" width="11.5703125" customWidth="1"/>
    <col min="13" max="13" width="11.5703125" bestFit="1" customWidth="1"/>
    <col min="14" max="17" width="11.5703125" customWidth="1"/>
    <col min="18" max="18" width="13.42578125" bestFit="1" customWidth="1"/>
    <col min="19" max="19" width="13.42578125" customWidth="1"/>
    <col min="20" max="20" width="11.5703125" customWidth="1"/>
    <col min="21" max="21" width="12.5703125" customWidth="1"/>
    <col min="22" max="22" width="11.5703125" customWidth="1"/>
    <col min="23" max="23" width="13.42578125" bestFit="1" customWidth="1"/>
    <col min="24" max="25" width="11.5703125" customWidth="1"/>
    <col min="26" max="27" width="13.42578125" customWidth="1"/>
    <col min="28" max="28" width="13.42578125" bestFit="1" customWidth="1"/>
    <col min="29" max="32" width="13.42578125" customWidth="1"/>
    <col min="33" max="33" width="13.42578125" bestFit="1" customWidth="1"/>
    <col min="34" max="37" width="13.42578125" customWidth="1"/>
    <col min="38" max="38" width="13.42578125" bestFit="1" customWidth="1"/>
    <col min="39" max="41" width="13.42578125" customWidth="1"/>
    <col min="42" max="43" width="13.42578125" hidden="1" customWidth="1"/>
    <col min="45" max="45" width="15.42578125" bestFit="1" customWidth="1"/>
    <col min="46" max="46" width="14.42578125" customWidth="1"/>
    <col min="47" max="47" width="12.42578125" bestFit="1" customWidth="1"/>
  </cols>
  <sheetData>
    <row r="1" spans="1:47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</row>
    <row r="2" spans="1:47" ht="15.75">
      <c r="A2" s="27"/>
      <c r="B2" s="27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</row>
    <row r="3" spans="1:47" ht="60" customHeight="1">
      <c r="A3" s="27"/>
      <c r="B3" s="72" t="s">
        <v>891</v>
      </c>
      <c r="C3" s="72" t="s">
        <v>892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</row>
    <row r="5" spans="1:47" s="103" customFormat="1" ht="23.25">
      <c r="A5" s="74"/>
      <c r="B5" s="74"/>
      <c r="C5" s="74"/>
      <c r="D5" s="161" t="str">
        <f t="shared" ref="D5:AF5" si="0">D7</f>
        <v>1Q16</v>
      </c>
      <c r="E5" s="161" t="str">
        <f t="shared" si="0"/>
        <v>2Q16</v>
      </c>
      <c r="F5" s="161" t="str">
        <f t="shared" si="0"/>
        <v>3Q16</v>
      </c>
      <c r="G5" s="161" t="str">
        <f t="shared" si="0"/>
        <v>4Q16</v>
      </c>
      <c r="H5" s="161">
        <f t="shared" si="0"/>
        <v>2016</v>
      </c>
      <c r="I5" s="161" t="str">
        <f t="shared" si="0"/>
        <v>1Q17</v>
      </c>
      <c r="J5" s="161" t="str">
        <f t="shared" si="0"/>
        <v>2Q17</v>
      </c>
      <c r="K5" s="161" t="str">
        <f t="shared" si="0"/>
        <v>3Q17</v>
      </c>
      <c r="L5" s="161" t="str">
        <f t="shared" si="0"/>
        <v>4Q17</v>
      </c>
      <c r="M5" s="161">
        <f t="shared" si="0"/>
        <v>2017</v>
      </c>
      <c r="N5" s="161" t="str">
        <f t="shared" si="0"/>
        <v>1Q18</v>
      </c>
      <c r="O5" s="161" t="str">
        <f t="shared" si="0"/>
        <v>2Q18</v>
      </c>
      <c r="P5" s="161" t="str">
        <f t="shared" si="0"/>
        <v>3Q18</v>
      </c>
      <c r="Q5" s="161" t="str">
        <f t="shared" si="0"/>
        <v>4Q18</v>
      </c>
      <c r="R5" s="161">
        <f t="shared" si="0"/>
        <v>2018</v>
      </c>
      <c r="S5" s="161" t="str">
        <f t="shared" si="0"/>
        <v>1Q19</v>
      </c>
      <c r="T5" s="161" t="str">
        <f t="shared" si="0"/>
        <v>2Q19</v>
      </c>
      <c r="U5" s="161" t="str">
        <f t="shared" si="0"/>
        <v>3Q19</v>
      </c>
      <c r="V5" s="161" t="str">
        <f t="shared" si="0"/>
        <v>4Q19</v>
      </c>
      <c r="W5" s="161">
        <f t="shared" si="0"/>
        <v>2019</v>
      </c>
      <c r="X5" s="161" t="str">
        <f t="shared" si="0"/>
        <v>1Q20</v>
      </c>
      <c r="Y5" s="161" t="str">
        <f t="shared" si="0"/>
        <v>2Q20</v>
      </c>
      <c r="Z5" s="161" t="str">
        <f t="shared" si="0"/>
        <v>3Q20</v>
      </c>
      <c r="AA5" s="161" t="str">
        <f t="shared" si="0"/>
        <v>4Q20</v>
      </c>
      <c r="AB5" s="161">
        <f t="shared" si="0"/>
        <v>2020</v>
      </c>
      <c r="AC5" s="161" t="str">
        <f t="shared" si="0"/>
        <v>1Q21</v>
      </c>
      <c r="AD5" s="161" t="str">
        <f t="shared" si="0"/>
        <v>2Q21</v>
      </c>
      <c r="AE5" s="161" t="str">
        <f t="shared" si="0"/>
        <v>3Q21</v>
      </c>
      <c r="AF5" s="161" t="str">
        <f t="shared" si="0"/>
        <v>4Q21</v>
      </c>
      <c r="AG5" s="161">
        <v>2021</v>
      </c>
      <c r="AH5" s="161" t="s">
        <v>212</v>
      </c>
      <c r="AI5" s="161" t="s">
        <v>213</v>
      </c>
      <c r="AJ5" s="161" t="s">
        <v>214</v>
      </c>
      <c r="AK5" s="161" t="s">
        <v>251</v>
      </c>
      <c r="AL5" s="161">
        <v>2022</v>
      </c>
      <c r="AM5" s="161" t="s">
        <v>216</v>
      </c>
      <c r="AN5" s="161" t="s">
        <v>217</v>
      </c>
      <c r="AO5" s="161" t="s">
        <v>218</v>
      </c>
      <c r="AP5" s="161" t="s">
        <v>219</v>
      </c>
      <c r="AQ5" s="161">
        <v>2023</v>
      </c>
    </row>
    <row r="7" spans="1:47" s="2" customFormat="1">
      <c r="A7" s="28"/>
      <c r="B7" s="28" t="s">
        <v>544</v>
      </c>
      <c r="C7" s="28" t="s">
        <v>545</v>
      </c>
      <c r="D7" s="35" t="s">
        <v>188</v>
      </c>
      <c r="E7" s="35" t="s">
        <v>189</v>
      </c>
      <c r="F7" s="35" t="s">
        <v>190</v>
      </c>
      <c r="G7" s="35" t="s">
        <v>191</v>
      </c>
      <c r="H7" s="29">
        <v>2016</v>
      </c>
      <c r="I7" s="35" t="s">
        <v>192</v>
      </c>
      <c r="J7" s="35" t="s">
        <v>193</v>
      </c>
      <c r="K7" s="35" t="s">
        <v>194</v>
      </c>
      <c r="L7" s="35" t="s">
        <v>195</v>
      </c>
      <c r="M7" s="29">
        <v>2017</v>
      </c>
      <c r="N7" s="35" t="s">
        <v>196</v>
      </c>
      <c r="O7" s="35" t="s">
        <v>197</v>
      </c>
      <c r="P7" s="35" t="s">
        <v>198</v>
      </c>
      <c r="Q7" s="35" t="s">
        <v>199</v>
      </c>
      <c r="R7" s="29">
        <v>2018</v>
      </c>
      <c r="S7" s="35" t="s">
        <v>200</v>
      </c>
      <c r="T7" s="35" t="s">
        <v>201</v>
      </c>
      <c r="U7" s="35" t="s">
        <v>202</v>
      </c>
      <c r="V7" s="35" t="s">
        <v>203</v>
      </c>
      <c r="W7" s="29">
        <v>2019</v>
      </c>
      <c r="X7" s="35" t="s">
        <v>204</v>
      </c>
      <c r="Y7" s="35" t="s">
        <v>205</v>
      </c>
      <c r="Z7" s="35" t="s">
        <v>206</v>
      </c>
      <c r="AA7" s="35" t="s">
        <v>207</v>
      </c>
      <c r="AB7" s="29">
        <v>2020</v>
      </c>
      <c r="AC7" s="35" t="s">
        <v>208</v>
      </c>
      <c r="AD7" s="35" t="s">
        <v>209</v>
      </c>
      <c r="AE7" s="35" t="s">
        <v>210</v>
      </c>
      <c r="AF7" s="35" t="s">
        <v>211</v>
      </c>
      <c r="AG7" s="29">
        <v>2021</v>
      </c>
      <c r="AH7" s="35" t="s">
        <v>212</v>
      </c>
      <c r="AI7" s="35" t="s">
        <v>213</v>
      </c>
      <c r="AJ7" s="35" t="s">
        <v>214</v>
      </c>
      <c r="AK7" s="35" t="s">
        <v>251</v>
      </c>
      <c r="AL7" s="29">
        <v>2022</v>
      </c>
      <c r="AM7" s="35" t="s">
        <v>216</v>
      </c>
      <c r="AN7" s="35" t="s">
        <v>217</v>
      </c>
      <c r="AO7" s="35" t="s">
        <v>218</v>
      </c>
      <c r="AP7" s="35" t="s">
        <v>255</v>
      </c>
      <c r="AQ7" s="29">
        <v>2023</v>
      </c>
    </row>
    <row r="8" spans="1:47" s="2" customFormat="1">
      <c r="A8" s="28"/>
      <c r="B8" s="28" t="s">
        <v>544</v>
      </c>
      <c r="C8" s="28" t="s">
        <v>545</v>
      </c>
      <c r="D8" s="35" t="s">
        <v>224</v>
      </c>
      <c r="E8" s="35" t="s">
        <v>225</v>
      </c>
      <c r="F8" s="35" t="s">
        <v>226</v>
      </c>
      <c r="G8" s="35" t="s">
        <v>227</v>
      </c>
      <c r="H8" s="29">
        <v>2016</v>
      </c>
      <c r="I8" s="35" t="s">
        <v>228</v>
      </c>
      <c r="J8" s="35" t="s">
        <v>229</v>
      </c>
      <c r="K8" s="35" t="s">
        <v>230</v>
      </c>
      <c r="L8" s="35" t="s">
        <v>231</v>
      </c>
      <c r="M8" s="29">
        <v>2017</v>
      </c>
      <c r="N8" s="35" t="s">
        <v>232</v>
      </c>
      <c r="O8" s="35" t="s">
        <v>233</v>
      </c>
      <c r="P8" s="35" t="s">
        <v>234</v>
      </c>
      <c r="Q8" s="35" t="s">
        <v>235</v>
      </c>
      <c r="R8" s="29">
        <v>2018</v>
      </c>
      <c r="S8" s="35" t="s">
        <v>236</v>
      </c>
      <c r="T8" s="35" t="s">
        <v>237</v>
      </c>
      <c r="U8" s="35" t="s">
        <v>238</v>
      </c>
      <c r="V8" s="35" t="s">
        <v>239</v>
      </c>
      <c r="W8" s="29">
        <v>2019</v>
      </c>
      <c r="X8" s="35" t="s">
        <v>240</v>
      </c>
      <c r="Y8" s="35" t="s">
        <v>241</v>
      </c>
      <c r="Z8" s="35" t="s">
        <v>242</v>
      </c>
      <c r="AA8" s="35" t="s">
        <v>243</v>
      </c>
      <c r="AB8" s="29">
        <v>2020</v>
      </c>
      <c r="AC8" s="35" t="s">
        <v>244</v>
      </c>
      <c r="AD8" s="35" t="s">
        <v>245</v>
      </c>
      <c r="AE8" s="35" t="s">
        <v>246</v>
      </c>
      <c r="AF8" s="35" t="s">
        <v>247</v>
      </c>
      <c r="AG8" s="29">
        <v>2021</v>
      </c>
      <c r="AH8" s="35" t="s">
        <v>248</v>
      </c>
      <c r="AI8" s="35" t="s">
        <v>249</v>
      </c>
      <c r="AJ8" s="35" t="s">
        <v>250</v>
      </c>
      <c r="AK8" s="35" t="s">
        <v>215</v>
      </c>
      <c r="AL8" s="29">
        <v>2022</v>
      </c>
      <c r="AM8" s="35" t="s">
        <v>252</v>
      </c>
      <c r="AN8" s="35" t="s">
        <v>253</v>
      </c>
      <c r="AO8" s="35" t="s">
        <v>254</v>
      </c>
      <c r="AP8" s="35" t="s">
        <v>219</v>
      </c>
      <c r="AQ8" s="29">
        <v>2023</v>
      </c>
      <c r="AR8" s="3"/>
      <c r="AS8" s="2" t="s">
        <v>254</v>
      </c>
      <c r="AT8" s="2" t="s">
        <v>893</v>
      </c>
      <c r="AU8" s="2" t="s">
        <v>894</v>
      </c>
    </row>
    <row r="9" spans="1:47">
      <c r="A9" s="9"/>
      <c r="B9" s="9" t="s">
        <v>546</v>
      </c>
      <c r="C9" s="9" t="s">
        <v>547</v>
      </c>
      <c r="D9" s="309">
        <v>7.676739078917609E-2</v>
      </c>
      <c r="E9" s="309">
        <v>8.013851598731371E-2</v>
      </c>
      <c r="F9" s="309">
        <v>8.2048137377421046E-2</v>
      </c>
      <c r="G9" s="309">
        <v>0.10136449955484823</v>
      </c>
      <c r="H9" s="309">
        <v>8.5339148534447962E-2</v>
      </c>
      <c r="I9" s="309">
        <v>7.5798349391162229E-2</v>
      </c>
      <c r="J9" s="309">
        <v>8.2567746091148378E-2</v>
      </c>
      <c r="K9" s="309">
        <v>8.6281008029819611E-2</v>
      </c>
      <c r="L9" s="309">
        <v>0.11695737283045358</v>
      </c>
      <c r="M9" s="309">
        <v>9.0146127263812964E-2</v>
      </c>
      <c r="N9" s="309">
        <v>7.6176303154469105E-2</v>
      </c>
      <c r="O9" s="309">
        <v>9.0879677287176538E-2</v>
      </c>
      <c r="P9" s="309">
        <v>8.2310811513365265E-2</v>
      </c>
      <c r="Q9" s="309">
        <v>0.12763193143816617</v>
      </c>
      <c r="R9" s="309">
        <v>9.2379529931183868E-2</v>
      </c>
      <c r="S9" s="309">
        <v>8.6802307757207667E-2</v>
      </c>
      <c r="T9" s="309">
        <v>9.5090403564718609E-2</v>
      </c>
      <c r="U9" s="309">
        <v>9.1741317849521789E-2</v>
      </c>
      <c r="V9" s="309">
        <v>0.12218569180014459</v>
      </c>
      <c r="W9" s="309">
        <v>9.9039022076130495E-2</v>
      </c>
      <c r="X9" s="309">
        <v>8.5681399417927018E-2</v>
      </c>
      <c r="Y9" s="309">
        <v>9.4376578814921577E-2</v>
      </c>
      <c r="Z9" s="309">
        <v>8.4993177449740484E-2</v>
      </c>
      <c r="AA9" s="309">
        <v>9.5586537002618738E-2</v>
      </c>
      <c r="AB9" s="309">
        <v>9.0110842181220965E-2</v>
      </c>
      <c r="AC9" s="309">
        <v>0.11424331614218769</v>
      </c>
      <c r="AD9" s="309">
        <v>0.13205820416284578</v>
      </c>
      <c r="AE9" s="309">
        <v>0.11720338399866533</v>
      </c>
      <c r="AF9" s="309">
        <v>0.12070093508626777</v>
      </c>
      <c r="AG9" s="309">
        <v>0.12095151055759483</v>
      </c>
      <c r="AH9" s="309" t="str">
        <f>IFERROR(-#REF!/(#REF!+#REF!+#REF!),"")</f>
        <v/>
      </c>
      <c r="AI9" s="309" t="str">
        <f>IFERROR(-#REF!/(#REF!+#REF!+#REF!),"")</f>
        <v/>
      </c>
      <c r="AJ9" s="309" t="str">
        <f>IFERROR(-#REF!/(#REF!+#REF!+#REF!),"")</f>
        <v/>
      </c>
      <c r="AK9" s="309" t="str">
        <f>IFERROR(-#REF!/(#REF!+#REF!+#REF!),"")</f>
        <v/>
      </c>
      <c r="AL9" s="309" t="str">
        <f>IFERROR(-#REF!/(#REF!+#REF!+#REF!),"")</f>
        <v/>
      </c>
      <c r="AM9" s="309" t="str">
        <f>IFERROR(-#REF!/(#REF!+#REF!+#REF!),"")</f>
        <v/>
      </c>
      <c r="AN9" s="167" t="str">
        <f>IFERROR(-#REF!/(#REF!+#REF!+#REF!),"")</f>
        <v/>
      </c>
      <c r="AO9" s="167" t="str">
        <f>IFERROR(-#REF!/(#REF!+#REF!+#REF!),"")</f>
        <v/>
      </c>
      <c r="AP9" s="167" t="str">
        <f>IFERROR(-#REF!/(#REF!+#REF!+#REF!),"")</f>
        <v/>
      </c>
      <c r="AQ9" s="167"/>
      <c r="AR9" s="1"/>
    </row>
    <row r="10" spans="1:47" s="2" customFormat="1" ht="27.75">
      <c r="B10" s="2" t="s">
        <v>548</v>
      </c>
      <c r="C10" s="2" t="s">
        <v>549</v>
      </c>
      <c r="D10" s="310">
        <v>6.9960299377324925E-2</v>
      </c>
      <c r="E10" s="310">
        <v>7.6282611635643024E-2</v>
      </c>
      <c r="F10" s="310">
        <v>8.1093804986482845E-2</v>
      </c>
      <c r="G10" s="310">
        <v>8.908616163114752E-2</v>
      </c>
      <c r="H10" s="310">
        <v>7.9284919355571429E-2</v>
      </c>
      <c r="I10" s="310">
        <v>7.3461355167998801E-2</v>
      </c>
      <c r="J10" s="310">
        <v>8.104775533784038E-2</v>
      </c>
      <c r="K10" s="310">
        <v>8.2174986037005654E-2</v>
      </c>
      <c r="L10" s="310">
        <v>0.11455770925108627</v>
      </c>
      <c r="M10" s="310">
        <v>8.7746942526790439E-2</v>
      </c>
      <c r="N10" s="310">
        <v>6.9671181045449879E-2</v>
      </c>
      <c r="O10" s="310">
        <v>8.5851914184689224E-2</v>
      </c>
      <c r="P10" s="310">
        <v>7.6486293261475269E-2</v>
      </c>
      <c r="Q10" s="310">
        <v>0.12508941484731087</v>
      </c>
      <c r="R10" s="310">
        <v>8.7048260382911982E-2</v>
      </c>
      <c r="S10" s="310">
        <v>7.9432296819888101E-2</v>
      </c>
      <c r="T10" s="310">
        <v>9.0494798094339149E-2</v>
      </c>
      <c r="U10" s="310">
        <v>8.3651707824672419E-2</v>
      </c>
      <c r="V10" s="310">
        <v>0.11690403332253106</v>
      </c>
      <c r="W10" s="310">
        <v>9.2614157498774441E-2</v>
      </c>
      <c r="X10" s="310">
        <v>8.0455486422738073E-2</v>
      </c>
      <c r="Y10" s="310">
        <v>9.0110124569523789E-2</v>
      </c>
      <c r="Z10" s="310">
        <v>7.9644624469040762E-2</v>
      </c>
      <c r="AA10" s="310">
        <v>8.7737539295573139E-2</v>
      </c>
      <c r="AB10" s="310">
        <v>8.4403984506516469E-2</v>
      </c>
      <c r="AC10" s="310">
        <v>0.11328415866498621</v>
      </c>
      <c r="AD10" s="310">
        <v>0.13212243862258913</v>
      </c>
      <c r="AE10" s="310">
        <v>0.11365257675668228</v>
      </c>
      <c r="AF10" s="310">
        <v>0.11726201581687039</v>
      </c>
      <c r="AG10" s="310">
        <v>0.11890242121108879</v>
      </c>
      <c r="AH10" s="310" t="str">
        <f>IFERROR(-#REF!/(#REF!+#REF!+#REF!),"")</f>
        <v/>
      </c>
      <c r="AI10" s="310" t="str">
        <f>IFERROR(-#REF!/(#REF!+#REF!+#REF!),"")</f>
        <v/>
      </c>
      <c r="AJ10" s="310" t="str">
        <f>IFERROR(-#REF!/(#REF!+#REF!+#REF!),"")</f>
        <v/>
      </c>
      <c r="AK10" s="310" t="str">
        <f>IFERROR(-#REF!/(#REF!+#REF!+#REF!),"")</f>
        <v/>
      </c>
      <c r="AL10" s="310" t="str">
        <f>IFERROR(-#REF!/(#REF!+#REF!+#REF!),"")</f>
        <v/>
      </c>
      <c r="AM10" s="310" t="str">
        <f>IFERROR(-#REF!/(#REF!+#REF!+#REF!),"")</f>
        <v/>
      </c>
      <c r="AN10" s="352" t="str">
        <f>IFERROR(-#REF!/(#REF!+#REF!+#REF!),"")</f>
        <v/>
      </c>
      <c r="AO10" s="352" t="str">
        <f>IFERROR(-#REF!/(#REF!+#REF!+#REF!),"")</f>
        <v/>
      </c>
      <c r="AP10" s="352" t="str">
        <f>IFERROR(-#REF!/(#REF!+#REF!+#REF!),"")</f>
        <v/>
      </c>
      <c r="AQ10" s="352" t="str">
        <f>IFERROR(-#REF!/(#REF!+#REF!+#REF!),"")</f>
        <v/>
      </c>
      <c r="AR10" s="168"/>
      <c r="AS10" s="263" t="str">
        <f>AO10</f>
        <v/>
      </c>
      <c r="AT10" s="264" t="e">
        <f>(AO10-AJ10)*100</f>
        <v>#VALUE!</v>
      </c>
      <c r="AU10" s="264" t="e">
        <f>(AO10-AN10)*100</f>
        <v>#VALUE!</v>
      </c>
    </row>
    <row r="11" spans="1:47" ht="27.75">
      <c r="B11" s="11" t="s">
        <v>550</v>
      </c>
      <c r="C11" s="11" t="s">
        <v>462</v>
      </c>
      <c r="D11" s="311">
        <v>7.26796380084445E-2</v>
      </c>
      <c r="E11" s="311">
        <v>7.7065876942587208E-2</v>
      </c>
      <c r="F11" s="311">
        <v>8.1238167861894126E-2</v>
      </c>
      <c r="G11" s="311">
        <v>8.8208313408723218E-2</v>
      </c>
      <c r="H11" s="311">
        <v>7.9948514679082719E-2</v>
      </c>
      <c r="I11" s="311">
        <v>7.5561375246236143E-2</v>
      </c>
      <c r="J11" s="311">
        <v>8.2720050184810837E-2</v>
      </c>
      <c r="K11" s="311">
        <v>8.3349391941017772E-2</v>
      </c>
      <c r="L11" s="311">
        <v>0.11267592253310701</v>
      </c>
      <c r="M11" s="311">
        <v>8.8604412095543497E-2</v>
      </c>
      <c r="N11" s="311">
        <v>7.2921536759397734E-2</v>
      </c>
      <c r="O11" s="311">
        <v>8.7202541815118148E-2</v>
      </c>
      <c r="P11" s="311">
        <v>7.5455901293999705E-2</v>
      </c>
      <c r="Q11" s="311">
        <v>0.12889068863042527</v>
      </c>
      <c r="R11" s="311">
        <v>8.8463213812681768E-2</v>
      </c>
      <c r="S11" s="311">
        <v>8.1500319194508272E-2</v>
      </c>
      <c r="T11" s="311">
        <v>9.3652257703084732E-2</v>
      </c>
      <c r="U11" s="311">
        <v>8.5609203312808177E-2</v>
      </c>
      <c r="V11" s="311">
        <v>0.11610311216601124</v>
      </c>
      <c r="W11" s="311">
        <v>9.4446123879480315E-2</v>
      </c>
      <c r="X11" s="311">
        <v>7.908568988534169E-2</v>
      </c>
      <c r="Y11" s="311">
        <v>9.1231977498448705E-2</v>
      </c>
      <c r="Z11" s="311">
        <v>8.5869267821337192E-2</v>
      </c>
      <c r="AA11" s="311">
        <v>9.0686675231344785E-2</v>
      </c>
      <c r="AB11" s="311">
        <v>8.6754203232883867E-2</v>
      </c>
      <c r="AC11" s="311">
        <v>9.595804919387739E-2</v>
      </c>
      <c r="AD11" s="311">
        <v>0.11948429923137853</v>
      </c>
      <c r="AE11" s="311">
        <v>0.10645134716982078</v>
      </c>
      <c r="AF11" s="311">
        <v>8.5704359942523511E-2</v>
      </c>
      <c r="AG11" s="311">
        <v>0.10235183880369381</v>
      </c>
      <c r="AH11" s="311" t="str">
        <f>IFERROR(-#REF!/(#REF!+#REF!),"")</f>
        <v/>
      </c>
      <c r="AI11" s="311" t="str">
        <f>IFERROR(-#REF!/(#REF!+#REF!),"")</f>
        <v/>
      </c>
      <c r="AJ11" s="311" t="str">
        <f>IFERROR(-#REF!/(#REF!+#REF!),"")</f>
        <v/>
      </c>
      <c r="AK11" s="311" t="str">
        <f>IFERROR(-#REF!/(#REF!+#REF!),"")</f>
        <v/>
      </c>
      <c r="AL11" s="311" t="str">
        <f>IFERROR(-#REF!/(#REF!+#REF!),"")</f>
        <v/>
      </c>
      <c r="AM11" s="311" t="str">
        <f>IFERROR(-#REF!/(#REF!+#REF!),"")</f>
        <v/>
      </c>
      <c r="AN11" s="353" t="str">
        <f>IFERROR(-#REF!/(#REF!+#REF!),"")</f>
        <v/>
      </c>
      <c r="AO11" s="353" t="str">
        <f>IFERROR(-#REF!/(#REF!+#REF!),"")</f>
        <v/>
      </c>
      <c r="AP11" s="353" t="str">
        <f>IFERROR(-#REF!/(#REF!+#REF!),"")</f>
        <v/>
      </c>
      <c r="AQ11" s="353" t="str">
        <f>IFERROR(-#REF!/(#REF!+#REF!),"")</f>
        <v/>
      </c>
      <c r="AR11" s="168"/>
      <c r="AS11" s="265" t="str">
        <f>AO11</f>
        <v/>
      </c>
      <c r="AT11" s="266" t="e">
        <f>(AO11-AJ11)*100</f>
        <v>#VALUE!</v>
      </c>
      <c r="AU11" s="266" t="e">
        <f>(AO11-AN11)*100</f>
        <v>#VALUE!</v>
      </c>
    </row>
    <row r="12" spans="1:47" ht="27.75">
      <c r="B12" s="11" t="s">
        <v>551</v>
      </c>
      <c r="C12" s="11" t="s">
        <v>446</v>
      </c>
      <c r="D12" s="311" t="s">
        <v>552</v>
      </c>
      <c r="E12" s="311" t="s">
        <v>552</v>
      </c>
      <c r="F12" s="311" t="s">
        <v>552</v>
      </c>
      <c r="G12" s="311" t="s">
        <v>552</v>
      </c>
      <c r="H12" s="311" t="s">
        <v>552</v>
      </c>
      <c r="I12" s="311" t="s">
        <v>552</v>
      </c>
      <c r="J12" s="311" t="s">
        <v>552</v>
      </c>
      <c r="K12" s="311" t="s">
        <v>552</v>
      </c>
      <c r="L12" s="311" t="s">
        <v>552</v>
      </c>
      <c r="M12" s="311" t="s">
        <v>552</v>
      </c>
      <c r="N12" s="311" t="s">
        <v>552</v>
      </c>
      <c r="O12" s="311" t="s">
        <v>552</v>
      </c>
      <c r="P12" s="311" t="s">
        <v>552</v>
      </c>
      <c r="Q12" s="311" t="s">
        <v>552</v>
      </c>
      <c r="R12" s="311" t="s">
        <v>552</v>
      </c>
      <c r="S12" s="311" t="s">
        <v>552</v>
      </c>
      <c r="T12" s="311" t="s">
        <v>552</v>
      </c>
      <c r="U12" s="311" t="s">
        <v>552</v>
      </c>
      <c r="V12" s="311" t="s">
        <v>552</v>
      </c>
      <c r="W12" s="311" t="s">
        <v>552</v>
      </c>
      <c r="X12" s="311" t="s">
        <v>552</v>
      </c>
      <c r="Y12" s="311" t="s">
        <v>552</v>
      </c>
      <c r="Z12" s="311" t="s">
        <v>552</v>
      </c>
      <c r="AA12" s="311">
        <v>0.32967792307692306</v>
      </c>
      <c r="AB12" s="311">
        <v>0.32967792307692306</v>
      </c>
      <c r="AC12" s="311">
        <v>0.13646257262460582</v>
      </c>
      <c r="AD12" s="311">
        <v>0.15021302685460966</v>
      </c>
      <c r="AE12" s="311">
        <v>0.13619444241976131</v>
      </c>
      <c r="AF12" s="311">
        <v>0.15259170577929673</v>
      </c>
      <c r="AG12" s="311">
        <v>0.14403177334331635</v>
      </c>
      <c r="AH12" s="311" t="str">
        <f>IFERROR(-#REF!/(#REF!+#REF!),"")</f>
        <v/>
      </c>
      <c r="AI12" s="311" t="str">
        <f>IFERROR(-#REF!/(#REF!+#REF!),"")</f>
        <v/>
      </c>
      <c r="AJ12" s="311" t="str">
        <f>IFERROR(-#REF!/(#REF!+#REF!),"")</f>
        <v/>
      </c>
      <c r="AK12" s="311" t="str">
        <f>IFERROR(-#REF!/(#REF!+#REF!),"")</f>
        <v/>
      </c>
      <c r="AL12" s="311" t="str">
        <f>IFERROR(-#REF!/(#REF!+#REF!),"")</f>
        <v/>
      </c>
      <c r="AM12" s="311" t="str">
        <f>IFERROR(-#REF!/(#REF!+#REF!),"")</f>
        <v/>
      </c>
      <c r="AN12" s="285" t="str">
        <f>IFERROR(-#REF!/(#REF!+#REF!),"")</f>
        <v/>
      </c>
      <c r="AO12" s="114" t="str">
        <f>IFERROR(-#REF!/(#REF!+#REF!),"")</f>
        <v/>
      </c>
      <c r="AP12" s="114" t="str">
        <f>IFERROR(-#REF!/(#REF!+#REF!),"")</f>
        <v/>
      </c>
      <c r="AQ12" s="114"/>
      <c r="AR12" s="168"/>
      <c r="AS12" s="265" t="str">
        <f>AO12</f>
        <v/>
      </c>
      <c r="AT12" s="266" t="e">
        <f>(AO12-AJ12)*100</f>
        <v>#VALUE!</v>
      </c>
      <c r="AU12" s="266" t="e">
        <f>(AO12-AN12)*100</f>
        <v>#VALUE!</v>
      </c>
    </row>
    <row r="13" spans="1:47" ht="27.75">
      <c r="B13" s="11" t="s">
        <v>554</v>
      </c>
      <c r="C13" s="11" t="s">
        <v>554</v>
      </c>
      <c r="D13" s="311">
        <v>2.5027984683383651E-2</v>
      </c>
      <c r="E13" s="311">
        <v>5.9480745631688529E-2</v>
      </c>
      <c r="F13" s="311">
        <v>7.8389385635394909E-2</v>
      </c>
      <c r="G13" s="311">
        <v>0.10442030968575208</v>
      </c>
      <c r="H13" s="311">
        <v>6.7097503545465356E-2</v>
      </c>
      <c r="I13" s="311">
        <v>4.8463935798681225E-2</v>
      </c>
      <c r="J13" s="311">
        <v>5.8960105855020942E-2</v>
      </c>
      <c r="K13" s="311">
        <v>6.6970098413478688E-2</v>
      </c>
      <c r="L13" s="311">
        <v>0.14342770779931049</v>
      </c>
      <c r="M13" s="311">
        <v>7.6390411116765616E-2</v>
      </c>
      <c r="N13" s="311">
        <v>4.0221281721493564E-2</v>
      </c>
      <c r="O13" s="311">
        <v>7.0116365484126641E-2</v>
      </c>
      <c r="P13" s="311">
        <v>9.4648361696277675E-2</v>
      </c>
      <c r="Q13" s="311">
        <v>8.4974759022885121E-2</v>
      </c>
      <c r="R13" s="311">
        <v>7.0099723104693507E-2</v>
      </c>
      <c r="S13" s="311">
        <v>5.7505788774886657E-2</v>
      </c>
      <c r="T13" s="311">
        <v>6.0248606142457417E-2</v>
      </c>
      <c r="U13" s="311">
        <v>6.254609803513686E-2</v>
      </c>
      <c r="V13" s="311">
        <v>0.13576320419083854</v>
      </c>
      <c r="W13" s="311">
        <v>7.0409222045325251E-2</v>
      </c>
      <c r="X13" s="311">
        <v>9.7131317339357578E-2</v>
      </c>
      <c r="Y13" s="311">
        <v>7.5165477006058065E-2</v>
      </c>
      <c r="Z13" s="311">
        <v>3.7704471052216235E-2</v>
      </c>
      <c r="AA13" s="311">
        <v>5.9767360569748483E-2</v>
      </c>
      <c r="AB13" s="311">
        <v>6.1642009399566398E-2</v>
      </c>
      <c r="AC13" s="311">
        <v>6.96561332916113E-2</v>
      </c>
      <c r="AD13" s="311">
        <v>9.1776400521462687E-2</v>
      </c>
      <c r="AE13" s="311">
        <v>4.5115508291025876E-2</v>
      </c>
      <c r="AF13" s="311">
        <v>5.6413514440090365E-2</v>
      </c>
      <c r="AG13" s="311">
        <v>6.1894828258975049E-2</v>
      </c>
      <c r="AH13" s="311" t="str">
        <f>IFERROR(-#REF!/#REF!,"")</f>
        <v/>
      </c>
      <c r="AI13" s="311" t="str">
        <f>IFERROR(-#REF!/#REF!,"")</f>
        <v/>
      </c>
      <c r="AJ13" s="311" t="str">
        <f>IFERROR(-#REF!/#REF!,"")</f>
        <v/>
      </c>
      <c r="AK13" s="311" t="str">
        <f>IFERROR(-#REF!/#REF!,"")</f>
        <v/>
      </c>
      <c r="AL13" s="311" t="str">
        <f>IFERROR(-#REF!/#REF!,"")</f>
        <v/>
      </c>
      <c r="AM13" s="311" t="str">
        <f>IFERROR(-#REF!/#REF!,"")</f>
        <v/>
      </c>
      <c r="AN13" s="285" t="str">
        <f>IFERROR(-#REF!/#REF!,"")</f>
        <v/>
      </c>
      <c r="AO13" s="114" t="str">
        <f>IFERROR(-#REF!/#REF!,"")</f>
        <v/>
      </c>
      <c r="AP13" s="114" t="str">
        <f>IFERROR(-#REF!/#REF!,"")</f>
        <v/>
      </c>
      <c r="AQ13" s="114"/>
      <c r="AR13" s="168"/>
      <c r="AS13" s="265" t="str">
        <f>AO13</f>
        <v/>
      </c>
      <c r="AT13" s="266" t="e">
        <f>(AO13-AJ13)*100</f>
        <v>#VALUE!</v>
      </c>
      <c r="AU13" s="266" t="e">
        <f>(AO13-AN13)*100</f>
        <v>#VALUE!</v>
      </c>
    </row>
    <row r="14" spans="1:47" s="2" customFormat="1" ht="27.75">
      <c r="B14" s="2" t="s">
        <v>895</v>
      </c>
      <c r="C14" s="2" t="s">
        <v>896</v>
      </c>
      <c r="D14" s="310">
        <v>0.11886950200190773</v>
      </c>
      <c r="E14" s="310">
        <v>0.10016693727032457</v>
      </c>
      <c r="F14" s="310">
        <v>8.6775982193871629E-2</v>
      </c>
      <c r="G14" s="310">
        <v>0.16825758488392686</v>
      </c>
      <c r="H14" s="310">
        <v>0.11806752964915673</v>
      </c>
      <c r="I14" s="310">
        <v>8.8656363861516457E-2</v>
      </c>
      <c r="J14" s="310">
        <v>9.1442699078142287E-2</v>
      </c>
      <c r="K14" s="310">
        <v>0.11210867960157198</v>
      </c>
      <c r="L14" s="310">
        <v>0.13417111522177913</v>
      </c>
      <c r="M14" s="310">
        <v>0.10488114168872407</v>
      </c>
      <c r="N14" s="310">
        <v>0.10944136169325443</v>
      </c>
      <c r="O14" s="310">
        <v>0.1203161973085447</v>
      </c>
      <c r="P14" s="310">
        <v>0.13259906794412432</v>
      </c>
      <c r="Q14" s="310">
        <v>0.14109922855173748</v>
      </c>
      <c r="R14" s="310">
        <v>0.12523558379501415</v>
      </c>
      <c r="S14" s="310">
        <v>0.1325652421475505</v>
      </c>
      <c r="T14" s="310">
        <v>0.12245364726417857</v>
      </c>
      <c r="U14" s="310">
        <v>0.15051353573246956</v>
      </c>
      <c r="V14" s="310">
        <v>0.15529507353704533</v>
      </c>
      <c r="W14" s="310">
        <v>0.14022529652970714</v>
      </c>
      <c r="X14" s="310">
        <v>0.12227834228409755</v>
      </c>
      <c r="Y14" s="310">
        <v>0.12690644949478075</v>
      </c>
      <c r="Z14" s="310">
        <v>0.12979428918156516</v>
      </c>
      <c r="AA14" s="310">
        <v>0.15831431347901501</v>
      </c>
      <c r="AB14" s="310">
        <v>0.13426150534546463</v>
      </c>
      <c r="AC14" s="310">
        <v>0.12140870548736568</v>
      </c>
      <c r="AD14" s="310">
        <v>0.13153085452295935</v>
      </c>
      <c r="AE14" s="310">
        <v>0.14892166184751982</v>
      </c>
      <c r="AF14" s="310">
        <v>0.14923952840523308</v>
      </c>
      <c r="AG14" s="310">
        <v>0.13778389533718727</v>
      </c>
      <c r="AH14" s="310" t="str">
        <f>IFERROR(-#REF!/#REF!,"")</f>
        <v/>
      </c>
      <c r="AI14" s="310" t="str">
        <f>IFERROR(-#REF!/#REF!,"")</f>
        <v/>
      </c>
      <c r="AJ14" s="310" t="str">
        <f>IFERROR(-#REF!/#REF!,"")</f>
        <v/>
      </c>
      <c r="AK14" s="310" t="str">
        <f>IFERROR(-#REF!/#REF!,"")</f>
        <v/>
      </c>
      <c r="AL14" s="310" t="str">
        <f>IFERROR(-#REF!/#REF!,"")</f>
        <v/>
      </c>
      <c r="AM14" s="310" t="str">
        <f>IFERROR(-#REF!/#REF!,"")</f>
        <v/>
      </c>
      <c r="AN14" s="336" t="str">
        <f>IFERROR(-#REF!/#REF!,"")</f>
        <v/>
      </c>
      <c r="AO14" s="168" t="str">
        <f>IFERROR(-#REF!/#REF!,"")</f>
        <v/>
      </c>
      <c r="AP14" s="168" t="str">
        <f>IFERROR(-#REF!/#REF!,"")</f>
        <v/>
      </c>
      <c r="AQ14" s="168"/>
      <c r="AR14" s="168"/>
      <c r="AS14" s="265" t="str">
        <f>AO14</f>
        <v/>
      </c>
      <c r="AT14" s="266" t="e">
        <f>(AO14-AJ14)*100</f>
        <v>#VALUE!</v>
      </c>
      <c r="AU14" s="266" t="e">
        <f>(AO14-AN14)*100</f>
        <v>#VALUE!</v>
      </c>
    </row>
    <row r="15" spans="1:47" ht="27.75">
      <c r="B15" s="11" t="s">
        <v>555</v>
      </c>
      <c r="C15" s="11" t="s">
        <v>555</v>
      </c>
      <c r="D15" s="311">
        <v>0.12897131419213903</v>
      </c>
      <c r="E15" s="311">
        <v>0.13296676713337596</v>
      </c>
      <c r="F15" s="311">
        <v>0.12941110551446069</v>
      </c>
      <c r="G15" s="311">
        <v>0.26962678612216434</v>
      </c>
      <c r="H15" s="311">
        <v>0.16830518237686301</v>
      </c>
      <c r="I15" s="311">
        <v>0.11958893900345091</v>
      </c>
      <c r="J15" s="311">
        <v>0.11520074086164762</v>
      </c>
      <c r="K15" s="311">
        <v>0.13417336881601999</v>
      </c>
      <c r="L15" s="311">
        <v>0.16275290800389322</v>
      </c>
      <c r="M15" s="311">
        <v>0.13209512967135012</v>
      </c>
      <c r="N15" s="311">
        <v>9.7945132028651655E-2</v>
      </c>
      <c r="O15" s="311">
        <v>0.12349070734573757</v>
      </c>
      <c r="P15" s="311">
        <v>0.11545833999083173</v>
      </c>
      <c r="Q15" s="311">
        <v>0.13584523651564373</v>
      </c>
      <c r="R15" s="311">
        <v>0.11783012388278129</v>
      </c>
      <c r="S15" s="311">
        <v>0.126376303757124</v>
      </c>
      <c r="T15" s="311">
        <v>9.1848744859269513E-2</v>
      </c>
      <c r="U15" s="311">
        <v>0.11588714268958165</v>
      </c>
      <c r="V15" s="311">
        <v>0.10834623460057781</v>
      </c>
      <c r="W15" s="311">
        <v>0.11017251536824872</v>
      </c>
      <c r="X15" s="311">
        <v>9.5914077596201214E-2</v>
      </c>
      <c r="Y15" s="311">
        <v>9.504050191224156E-2</v>
      </c>
      <c r="Z15" s="311">
        <v>9.3119465140135874E-2</v>
      </c>
      <c r="AA15" s="311">
        <v>0.10676321324051814</v>
      </c>
      <c r="AB15" s="311">
        <v>9.8108460550249882E-2</v>
      </c>
      <c r="AC15" s="311">
        <v>7.3593670185094079E-2</v>
      </c>
      <c r="AD15" s="311">
        <v>8.4678233541700135E-2</v>
      </c>
      <c r="AE15" s="311">
        <v>0.1111702457840517</v>
      </c>
      <c r="AF15" s="311">
        <v>0.12242133311636801</v>
      </c>
      <c r="AG15" s="311">
        <v>9.726794661864277E-2</v>
      </c>
      <c r="AH15" s="311" t="str">
        <f>IFERROR(-#REF!/#REF!,"")</f>
        <v/>
      </c>
      <c r="AI15" s="311" t="str">
        <f>IFERROR(-#REF!/#REF!,"")</f>
        <v/>
      </c>
      <c r="AJ15" s="311" t="str">
        <f>IFERROR(-#REF!/#REF!,"")</f>
        <v/>
      </c>
      <c r="AK15" s="311" t="str">
        <f>IFERROR(-#REF!/#REF!,"")</f>
        <v/>
      </c>
      <c r="AL15" s="311" t="str">
        <f>IFERROR(-#REF!/#REF!,"")</f>
        <v/>
      </c>
      <c r="AM15" s="311" t="str">
        <f>IFERROR(-#REF!/#REF!,"")</f>
        <v/>
      </c>
      <c r="AN15" s="285" t="str">
        <f>IFERROR(-#REF!/#REF!,"")</f>
        <v/>
      </c>
      <c r="AO15" s="114" t="str">
        <f>IFERROR(-#REF!/#REF!,"")</f>
        <v/>
      </c>
      <c r="AP15" s="114" t="str">
        <f>IFERROR(-#REF!/#REF!,"")</f>
        <v/>
      </c>
      <c r="AQ15" s="114"/>
      <c r="AR15" s="168"/>
      <c r="AS15" s="267" t="str">
        <f>AO9</f>
        <v/>
      </c>
      <c r="AT15" s="268" t="e">
        <f>(AO9-AJ9)*100</f>
        <v>#VALUE!</v>
      </c>
      <c r="AU15" s="268" t="e">
        <f>(AO9-AN9)*100</f>
        <v>#VALUE!</v>
      </c>
    </row>
    <row r="16" spans="1:47">
      <c r="B16" s="11" t="s">
        <v>897</v>
      </c>
      <c r="C16" s="11" t="s">
        <v>582</v>
      </c>
      <c r="D16" s="311">
        <v>0.10802240498828082</v>
      </c>
      <c r="E16" s="311">
        <v>7.5424115348701193E-2</v>
      </c>
      <c r="F16" s="311">
        <v>5.4870639964793633E-2</v>
      </c>
      <c r="G16" s="311">
        <v>7.187309662065694E-2</v>
      </c>
      <c r="H16" s="311">
        <v>7.4745633589507851E-2</v>
      </c>
      <c r="I16" s="311">
        <v>6.1890283601569049E-2</v>
      </c>
      <c r="J16" s="311">
        <v>6.7858676424440226E-2</v>
      </c>
      <c r="K16" s="311">
        <v>8.4920919781701604E-2</v>
      </c>
      <c r="L16" s="311">
        <v>0.10022495546213976</v>
      </c>
      <c r="M16" s="311">
        <v>7.6361073690663958E-2</v>
      </c>
      <c r="N16" s="311">
        <v>0.11886394714219158</v>
      </c>
      <c r="O16" s="311">
        <v>0.11778929008642321</v>
      </c>
      <c r="P16" s="311">
        <v>0.15163371416678798</v>
      </c>
      <c r="Q16" s="311">
        <v>0.14670007995009798</v>
      </c>
      <c r="R16" s="311">
        <v>0.13213388403864815</v>
      </c>
      <c r="S16" s="311">
        <v>0.13977225475621716</v>
      </c>
      <c r="T16" s="311">
        <v>0.17188741831287888</v>
      </c>
      <c r="U16" s="311">
        <v>0.21854030442622083</v>
      </c>
      <c r="V16" s="311">
        <v>0.26219007211199119</v>
      </c>
      <c r="W16" s="311">
        <v>0.19092334246078208</v>
      </c>
      <c r="X16" s="311">
        <v>0.18161010270787906</v>
      </c>
      <c r="Y16" s="311">
        <v>0.20573643852335577</v>
      </c>
      <c r="Z16" s="311">
        <v>0.22811170461504968</v>
      </c>
      <c r="AA16" s="311">
        <v>0.42614613423378561</v>
      </c>
      <c r="AB16" s="311">
        <v>0.23852416698665665</v>
      </c>
      <c r="AC16" s="311">
        <v>0.28845844204461324</v>
      </c>
      <c r="AD16" s="311">
        <v>0.28916141372877607</v>
      </c>
      <c r="AE16" s="311">
        <v>0.24501191190963653</v>
      </c>
      <c r="AF16" s="311">
        <v>0.22226918352563044</v>
      </c>
      <c r="AG16" s="311">
        <v>0.25909733017615799</v>
      </c>
      <c r="AH16" s="311" t="str">
        <f>IFERROR(-#REF!/#REF!,"")</f>
        <v/>
      </c>
      <c r="AI16" s="311" t="str">
        <f>IFERROR(-#REF!/#REF!,"")</f>
        <v/>
      </c>
      <c r="AJ16" s="311" t="str">
        <f>IFERROR(-#REF!/#REF!,"")</f>
        <v/>
      </c>
      <c r="AK16" s="311" t="str">
        <f>IFERROR(-#REF!/#REF!,"")</f>
        <v/>
      </c>
      <c r="AL16" s="311" t="str">
        <f>IFERROR(-#REF!/#REF!,"")</f>
        <v/>
      </c>
      <c r="AM16" s="311" t="str">
        <f>IFERROR(-#REF!/#REF!,"")</f>
        <v/>
      </c>
      <c r="AN16" s="285" t="str">
        <f>IFERROR(-#REF!/#REF!,"")</f>
        <v/>
      </c>
      <c r="AO16" s="114" t="str">
        <f>IFERROR(-#REF!/#REF!,"")</f>
        <v/>
      </c>
      <c r="AP16" s="114" t="str">
        <f>IFERROR(-#REF!/#REF!,"")</f>
        <v/>
      </c>
      <c r="AQ16" s="114"/>
      <c r="AR16" s="168"/>
    </row>
    <row r="18" spans="1:47" s="2" customFormat="1">
      <c r="A18" s="28"/>
      <c r="B18" s="28" t="s">
        <v>556</v>
      </c>
      <c r="C18" s="28" t="s">
        <v>557</v>
      </c>
      <c r="D18" s="35" t="s">
        <v>188</v>
      </c>
      <c r="E18" s="35" t="s">
        <v>189</v>
      </c>
      <c r="F18" s="35" t="s">
        <v>190</v>
      </c>
      <c r="G18" s="35" t="s">
        <v>191</v>
      </c>
      <c r="H18" s="29">
        <v>2016</v>
      </c>
      <c r="I18" s="35" t="s">
        <v>192</v>
      </c>
      <c r="J18" s="35" t="s">
        <v>193</v>
      </c>
      <c r="K18" s="35" t="s">
        <v>194</v>
      </c>
      <c r="L18" s="35" t="s">
        <v>195</v>
      </c>
      <c r="M18" s="29">
        <v>2017</v>
      </c>
      <c r="N18" s="35" t="s">
        <v>196</v>
      </c>
      <c r="O18" s="35" t="s">
        <v>197</v>
      </c>
      <c r="P18" s="35" t="s">
        <v>198</v>
      </c>
      <c r="Q18" s="35" t="s">
        <v>199</v>
      </c>
      <c r="R18" s="29">
        <v>2018</v>
      </c>
      <c r="S18" s="35" t="s">
        <v>200</v>
      </c>
      <c r="T18" s="35" t="s">
        <v>201</v>
      </c>
      <c r="U18" s="35" t="s">
        <v>202</v>
      </c>
      <c r="V18" s="35" t="s">
        <v>203</v>
      </c>
      <c r="W18" s="29">
        <v>2019</v>
      </c>
      <c r="X18" s="35" t="s">
        <v>204</v>
      </c>
      <c r="Y18" s="35" t="s">
        <v>205</v>
      </c>
      <c r="Z18" s="35" t="s">
        <v>206</v>
      </c>
      <c r="AA18" s="35" t="s">
        <v>207</v>
      </c>
      <c r="AB18" s="29">
        <v>2020</v>
      </c>
      <c r="AC18" s="35" t="s">
        <v>208</v>
      </c>
      <c r="AD18" s="35" t="s">
        <v>209</v>
      </c>
      <c r="AE18" s="35" t="s">
        <v>210</v>
      </c>
      <c r="AF18" s="35" t="s">
        <v>211</v>
      </c>
      <c r="AG18" s="29">
        <v>2021</v>
      </c>
      <c r="AH18" s="35" t="s">
        <v>212</v>
      </c>
      <c r="AI18" s="35" t="s">
        <v>213</v>
      </c>
      <c r="AJ18" s="35" t="s">
        <v>214</v>
      </c>
      <c r="AK18" s="35" t="s">
        <v>251</v>
      </c>
      <c r="AL18" s="29">
        <v>2022</v>
      </c>
      <c r="AM18" s="35" t="s">
        <v>216</v>
      </c>
      <c r="AN18" s="35" t="s">
        <v>217</v>
      </c>
      <c r="AO18" s="35" t="s">
        <v>218</v>
      </c>
      <c r="AP18" s="35" t="s">
        <v>255</v>
      </c>
      <c r="AQ18" s="29">
        <v>2023</v>
      </c>
      <c r="AS18" s="168"/>
    </row>
    <row r="19" spans="1:47" s="2" customFormat="1">
      <c r="A19" s="28"/>
      <c r="B19" s="28" t="s">
        <v>556</v>
      </c>
      <c r="C19" s="28" t="s">
        <v>557</v>
      </c>
      <c r="D19" s="35" t="s">
        <v>224</v>
      </c>
      <c r="E19" s="35" t="s">
        <v>225</v>
      </c>
      <c r="F19" s="35" t="s">
        <v>226</v>
      </c>
      <c r="G19" s="35" t="s">
        <v>227</v>
      </c>
      <c r="H19" s="29">
        <v>2016</v>
      </c>
      <c r="I19" s="35" t="s">
        <v>228</v>
      </c>
      <c r="J19" s="35" t="s">
        <v>229</v>
      </c>
      <c r="K19" s="35" t="s">
        <v>230</v>
      </c>
      <c r="L19" s="35" t="s">
        <v>231</v>
      </c>
      <c r="M19" s="29">
        <v>2017</v>
      </c>
      <c r="N19" s="35" t="s">
        <v>232</v>
      </c>
      <c r="O19" s="35" t="s">
        <v>233</v>
      </c>
      <c r="P19" s="35" t="s">
        <v>234</v>
      </c>
      <c r="Q19" s="35" t="s">
        <v>235</v>
      </c>
      <c r="R19" s="29">
        <v>2018</v>
      </c>
      <c r="S19" s="35" t="s">
        <v>236</v>
      </c>
      <c r="T19" s="35" t="s">
        <v>237</v>
      </c>
      <c r="U19" s="35" t="s">
        <v>238</v>
      </c>
      <c r="V19" s="35" t="s">
        <v>239</v>
      </c>
      <c r="W19" s="29">
        <v>2019</v>
      </c>
      <c r="X19" s="35" t="s">
        <v>240</v>
      </c>
      <c r="Y19" s="35" t="s">
        <v>241</v>
      </c>
      <c r="Z19" s="35" t="s">
        <v>242</v>
      </c>
      <c r="AA19" s="35" t="s">
        <v>243</v>
      </c>
      <c r="AB19" s="29">
        <v>2020</v>
      </c>
      <c r="AC19" s="35" t="s">
        <v>244</v>
      </c>
      <c r="AD19" s="35" t="s">
        <v>245</v>
      </c>
      <c r="AE19" s="35" t="s">
        <v>246</v>
      </c>
      <c r="AF19" s="35" t="s">
        <v>247</v>
      </c>
      <c r="AG19" s="29">
        <v>2021</v>
      </c>
      <c r="AH19" s="35" t="s">
        <v>248</v>
      </c>
      <c r="AI19" s="35" t="s">
        <v>249</v>
      </c>
      <c r="AJ19" s="35" t="s">
        <v>250</v>
      </c>
      <c r="AK19" s="35" t="s">
        <v>215</v>
      </c>
      <c r="AL19" s="29">
        <v>2022</v>
      </c>
      <c r="AM19" s="35" t="s">
        <v>252</v>
      </c>
      <c r="AN19" s="35" t="s">
        <v>253</v>
      </c>
      <c r="AO19" s="35" t="s">
        <v>254</v>
      </c>
      <c r="AP19" s="35" t="s">
        <v>219</v>
      </c>
      <c r="AQ19" s="29">
        <v>2023</v>
      </c>
    </row>
    <row r="20" spans="1:47">
      <c r="A20" s="9"/>
      <c r="B20" s="9" t="s">
        <v>546</v>
      </c>
      <c r="C20" s="9" t="s">
        <v>547</v>
      </c>
      <c r="D20" s="309">
        <v>0.6170741982997805</v>
      </c>
      <c r="E20" s="309">
        <v>0.668556067399936</v>
      </c>
      <c r="F20" s="309">
        <v>0.63480886395885694</v>
      </c>
      <c r="G20" s="309">
        <v>0.67215591871885227</v>
      </c>
      <c r="H20" s="309">
        <v>0.6486071698059328</v>
      </c>
      <c r="I20" s="309">
        <v>0.66056104753950717</v>
      </c>
      <c r="J20" s="309">
        <v>0.64911911171949688</v>
      </c>
      <c r="K20" s="309">
        <v>0.70110687284065176</v>
      </c>
      <c r="L20" s="309">
        <v>0.62061137199275973</v>
      </c>
      <c r="M20" s="309">
        <v>0.65840175435867798</v>
      </c>
      <c r="N20" s="309">
        <v>0.58661473373801865</v>
      </c>
      <c r="O20" s="309">
        <v>0.61398355888015455</v>
      </c>
      <c r="P20" s="309">
        <v>0.56611121641523732</v>
      </c>
      <c r="Q20" s="309">
        <v>0.62518216154735762</v>
      </c>
      <c r="R20" s="309">
        <v>0.59458230131791601</v>
      </c>
      <c r="S20" s="309">
        <v>0.59444397045014585</v>
      </c>
      <c r="T20" s="309">
        <v>0.58662525168995028</v>
      </c>
      <c r="U20" s="309">
        <v>0.56684656007240297</v>
      </c>
      <c r="V20" s="309">
        <v>0.56116987962343468</v>
      </c>
      <c r="W20" s="309">
        <v>0.57689655662061434</v>
      </c>
      <c r="X20" s="309">
        <v>0.58640847964153497</v>
      </c>
      <c r="Y20" s="309">
        <v>0.57040047649157821</v>
      </c>
      <c r="Z20" s="309">
        <v>0.58195131772681574</v>
      </c>
      <c r="AA20" s="309">
        <v>0.61545943222398725</v>
      </c>
      <c r="AB20" s="309">
        <v>0.58893171902452979</v>
      </c>
      <c r="AC20" s="309">
        <v>0.63401486207268853</v>
      </c>
      <c r="AD20" s="309">
        <v>0.66192184319885417</v>
      </c>
      <c r="AE20" s="309">
        <v>0.61959145712514463</v>
      </c>
      <c r="AF20" s="309">
        <v>0.60924087181326114</v>
      </c>
      <c r="AG20" s="309">
        <v>0.63051171274674067</v>
      </c>
      <c r="AH20" s="309" t="str">
        <f>IFERROR(-#REF!/(#REF!+#REF!+#REF!),"")</f>
        <v/>
      </c>
      <c r="AI20" s="309" t="str">
        <f>IFERROR(-#REF!/(#REF!+#REF!+#REF!),"")</f>
        <v/>
      </c>
      <c r="AJ20" s="309" t="str">
        <f>IFERROR(-#REF!/(#REF!+#REF!+#REF!),"")</f>
        <v/>
      </c>
      <c r="AK20" s="309" t="str">
        <f>IFERROR(-#REF!/(#REF!+#REF!+#REF!),"")</f>
        <v/>
      </c>
      <c r="AL20" s="309" t="str">
        <f>IFERROR(-#REF!/(#REF!+#REF!+#REF!),"")</f>
        <v/>
      </c>
      <c r="AM20" s="309" t="str">
        <f>IFERROR(-#REF!/(#REF!+#REF!+#REF!),"")</f>
        <v/>
      </c>
      <c r="AN20" s="167" t="str">
        <f>IFERROR(-#REF!/(#REF!+#REF!+#REF!),"")</f>
        <v/>
      </c>
      <c r="AO20" s="167" t="str">
        <f>IFERROR(-#REF!/(#REF!+#REF!+#REF!),"")</f>
        <v/>
      </c>
      <c r="AP20" s="167" t="str">
        <f>IFERROR(-#REF!/(#REF!+#REF!+#REF!),"")</f>
        <v/>
      </c>
      <c r="AQ20" s="167"/>
    </row>
    <row r="21" spans="1:47" s="2" customFormat="1" ht="27.75">
      <c r="B21" s="2" t="s">
        <v>548</v>
      </c>
      <c r="C21" s="2" t="s">
        <v>549</v>
      </c>
      <c r="D21" s="310">
        <v>0.54897152011301387</v>
      </c>
      <c r="E21" s="310">
        <v>0.57743026791653496</v>
      </c>
      <c r="F21" s="310">
        <v>0.52122588974388684</v>
      </c>
      <c r="G21" s="310">
        <v>0.59418240042889159</v>
      </c>
      <c r="H21" s="310">
        <v>0.56080363242472475</v>
      </c>
      <c r="I21" s="310">
        <v>0.60301508978035245</v>
      </c>
      <c r="J21" s="310">
        <v>0.59275212693686952</v>
      </c>
      <c r="K21" s="310">
        <v>0.65513658472186909</v>
      </c>
      <c r="L21" s="310">
        <v>0.57594928424360614</v>
      </c>
      <c r="M21" s="310">
        <v>0.60716607098299691</v>
      </c>
      <c r="N21" s="310">
        <v>0.56442940427164823</v>
      </c>
      <c r="O21" s="310">
        <v>0.57434543744685418</v>
      </c>
      <c r="P21" s="310">
        <v>0.52838771551181019</v>
      </c>
      <c r="Q21" s="310">
        <v>0.58796374474387569</v>
      </c>
      <c r="R21" s="310">
        <v>0.559677595300478</v>
      </c>
      <c r="S21" s="310">
        <v>0.5655855407886079</v>
      </c>
      <c r="T21" s="310">
        <v>0.56216734459835016</v>
      </c>
      <c r="U21" s="310">
        <v>0.5406831653749975</v>
      </c>
      <c r="V21" s="310">
        <v>0.52826519847693798</v>
      </c>
      <c r="W21" s="310">
        <v>0.54866640420772383</v>
      </c>
      <c r="X21" s="310">
        <v>0.56964548357568612</v>
      </c>
      <c r="Y21" s="310">
        <v>0.54357019318662236</v>
      </c>
      <c r="Z21" s="310">
        <v>0.55616133734714046</v>
      </c>
      <c r="AA21" s="310">
        <v>0.58613521096069543</v>
      </c>
      <c r="AB21" s="310">
        <v>0.56416898024231033</v>
      </c>
      <c r="AC21" s="310">
        <v>0.61685132713744384</v>
      </c>
      <c r="AD21" s="310">
        <v>0.64245595627785002</v>
      </c>
      <c r="AE21" s="310">
        <v>0.60055860209826484</v>
      </c>
      <c r="AF21" s="310">
        <v>0.59356150197309587</v>
      </c>
      <c r="AG21" s="310">
        <v>0.61263826279345379</v>
      </c>
      <c r="AH21" s="310" t="str">
        <f>IFERROR(-#REF!/(#REF!+#REF!+#REF!),"")</f>
        <v/>
      </c>
      <c r="AI21" s="310" t="str">
        <f>IFERROR(-#REF!/(#REF!+#REF!+#REF!),"")</f>
        <v/>
      </c>
      <c r="AJ21" s="310" t="str">
        <f>IFERROR(-#REF!/(#REF!+#REF!+#REF!),"")</f>
        <v/>
      </c>
      <c r="AK21" s="310" t="str">
        <f>IFERROR(-#REF!/(#REF!+#REF!+#REF!),"")</f>
        <v/>
      </c>
      <c r="AL21" s="310" t="str">
        <f>IFERROR(-#REF!/(#REF!+#REF!+#REF!),"")</f>
        <v/>
      </c>
      <c r="AM21" s="310" t="str">
        <f>IFERROR(-#REF!/(#REF!+#REF!+#REF!),"")</f>
        <v/>
      </c>
      <c r="AN21" s="336" t="str">
        <f>IFERROR(-#REF!/(#REF!+#REF!+#REF!),"")</f>
        <v/>
      </c>
      <c r="AO21" s="168" t="str">
        <f>IFERROR(-#REF!/(#REF!+#REF!+#REF!),"")</f>
        <v/>
      </c>
      <c r="AP21" s="168" t="str">
        <f>IFERROR(-#REF!/(#REF!+#REF!+#REF!),"")</f>
        <v/>
      </c>
      <c r="AQ21" s="168"/>
      <c r="AR21" s="168"/>
      <c r="AS21" s="263" t="str">
        <f>AO21</f>
        <v/>
      </c>
      <c r="AT21" s="264" t="e">
        <f>(AO21-AJ21)*100</f>
        <v>#VALUE!</v>
      </c>
      <c r="AU21" s="264" t="e">
        <f>(AO21-AN21)*100</f>
        <v>#VALUE!</v>
      </c>
    </row>
    <row r="22" spans="1:47" ht="27.75">
      <c r="B22" s="11" t="s">
        <v>550</v>
      </c>
      <c r="C22" s="11" t="s">
        <v>462</v>
      </c>
      <c r="D22" s="311">
        <v>0.5727175474868601</v>
      </c>
      <c r="E22" s="311">
        <v>0.59719173874718823</v>
      </c>
      <c r="F22" s="311">
        <v>0.54124417297898098</v>
      </c>
      <c r="G22" s="311">
        <v>0.61944190779270625</v>
      </c>
      <c r="H22" s="311">
        <v>0.58304047567259154</v>
      </c>
      <c r="I22" s="311">
        <v>0.64342204442163342</v>
      </c>
      <c r="J22" s="311">
        <v>0.62953122536439354</v>
      </c>
      <c r="K22" s="311">
        <v>0.69641162164157699</v>
      </c>
      <c r="L22" s="311">
        <v>0.59967928766299849</v>
      </c>
      <c r="M22" s="311">
        <v>0.64264585692530141</v>
      </c>
      <c r="N22" s="311">
        <v>0.61290311387504559</v>
      </c>
      <c r="O22" s="311">
        <v>0.61273608098845778</v>
      </c>
      <c r="P22" s="311">
        <v>0.5497253352832705</v>
      </c>
      <c r="Q22" s="311">
        <v>0.62801271066276376</v>
      </c>
      <c r="R22" s="311">
        <v>0.59461557880831306</v>
      </c>
      <c r="S22" s="311">
        <v>0.60605193711185523</v>
      </c>
      <c r="T22" s="311">
        <v>0.61054396957078627</v>
      </c>
      <c r="U22" s="311">
        <v>0.58087388547351015</v>
      </c>
      <c r="V22" s="311">
        <v>0.54091420345006436</v>
      </c>
      <c r="W22" s="311">
        <v>0.58322279907812968</v>
      </c>
      <c r="X22" s="311">
        <v>0.60356370510304314</v>
      </c>
      <c r="Y22" s="311">
        <v>0.57322816231345641</v>
      </c>
      <c r="Z22" s="311">
        <v>0.62018199443305655</v>
      </c>
      <c r="AA22" s="311">
        <v>0.63453237879759006</v>
      </c>
      <c r="AB22" s="311">
        <v>0.6084318093239186</v>
      </c>
      <c r="AC22" s="311">
        <v>0.64045840865684411</v>
      </c>
      <c r="AD22" s="311">
        <v>0.66985017934128765</v>
      </c>
      <c r="AE22" s="311">
        <v>0.68189462547028568</v>
      </c>
      <c r="AF22" s="311">
        <v>0.62173584043411212</v>
      </c>
      <c r="AG22" s="311">
        <v>0.65423696169417256</v>
      </c>
      <c r="AH22" s="311" t="str">
        <f>IFERROR(-#REF!/(#REF!+#REF!),"")</f>
        <v/>
      </c>
      <c r="AI22" s="311" t="str">
        <f>IFERROR(-#REF!/(#REF!+#REF!),"")</f>
        <v/>
      </c>
      <c r="AJ22" s="311" t="str">
        <f>IFERROR(-#REF!/(#REF!+#REF!),"")</f>
        <v/>
      </c>
      <c r="AK22" s="311" t="str">
        <f>IFERROR(-#REF!/(#REF!+#REF!),"")</f>
        <v/>
      </c>
      <c r="AL22" s="311" t="str">
        <f>IFERROR(-#REF!/(#REF!+#REF!),"")</f>
        <v/>
      </c>
      <c r="AM22" s="311" t="str">
        <f>IFERROR(-#REF!/(#REF!+#REF!),"")</f>
        <v/>
      </c>
      <c r="AN22" s="285" t="str">
        <f>IFERROR(-#REF!/(#REF!+#REF!),"")</f>
        <v/>
      </c>
      <c r="AO22" s="114" t="str">
        <f>IFERROR(-#REF!/(#REF!+#REF!),"")</f>
        <v/>
      </c>
      <c r="AP22" s="114" t="str">
        <f>IFERROR(-#REF!/(#REF!+#REF!),"")</f>
        <v/>
      </c>
      <c r="AQ22" s="114"/>
      <c r="AR22" s="168"/>
      <c r="AS22" s="265" t="str">
        <f>AO22</f>
        <v/>
      </c>
      <c r="AT22" s="266" t="e">
        <f>(AO22-AJ22)*100</f>
        <v>#VALUE!</v>
      </c>
      <c r="AU22" s="266" t="e">
        <f>(AO22-AN22)*100</f>
        <v>#VALUE!</v>
      </c>
    </row>
    <row r="23" spans="1:47" ht="27.75">
      <c r="B23" s="11" t="s">
        <v>551</v>
      </c>
      <c r="C23" s="11" t="s">
        <v>446</v>
      </c>
      <c r="D23" s="311" t="s">
        <v>552</v>
      </c>
      <c r="E23" s="311" t="s">
        <v>552</v>
      </c>
      <c r="F23" s="311" t="s">
        <v>552</v>
      </c>
      <c r="G23" s="311" t="s">
        <v>552</v>
      </c>
      <c r="H23" s="311" t="s">
        <v>552</v>
      </c>
      <c r="I23" s="311" t="s">
        <v>552</v>
      </c>
      <c r="J23" s="311" t="s">
        <v>552</v>
      </c>
      <c r="K23" s="311" t="s">
        <v>552</v>
      </c>
      <c r="L23" s="311" t="s">
        <v>552</v>
      </c>
      <c r="M23" s="311" t="s">
        <v>552</v>
      </c>
      <c r="N23" s="311" t="s">
        <v>552</v>
      </c>
      <c r="O23" s="311" t="s">
        <v>552</v>
      </c>
      <c r="P23" s="311" t="s">
        <v>552</v>
      </c>
      <c r="Q23" s="311" t="s">
        <v>552</v>
      </c>
      <c r="R23" s="311" t="s">
        <v>552</v>
      </c>
      <c r="S23" s="311" t="s">
        <v>552</v>
      </c>
      <c r="T23" s="311" t="s">
        <v>552</v>
      </c>
      <c r="U23" s="311" t="s">
        <v>552</v>
      </c>
      <c r="V23" s="311" t="s">
        <v>552</v>
      </c>
      <c r="W23" s="311" t="s">
        <v>552</v>
      </c>
      <c r="X23" s="311" t="s">
        <v>552</v>
      </c>
      <c r="Y23" s="311" t="s">
        <v>552</v>
      </c>
      <c r="Z23" s="311" t="s">
        <v>552</v>
      </c>
      <c r="AA23" s="311">
        <v>0.48716948717948722</v>
      </c>
      <c r="AB23" s="311">
        <v>0.48716948717948722</v>
      </c>
      <c r="AC23" s="311">
        <v>0.66309740187271171</v>
      </c>
      <c r="AD23" s="311">
        <v>0.67680965380636249</v>
      </c>
      <c r="AE23" s="311">
        <v>0.63376454155608453</v>
      </c>
      <c r="AF23" s="311">
        <v>0.66011299023905401</v>
      </c>
      <c r="AG23" s="311">
        <v>0.65773131373005567</v>
      </c>
      <c r="AH23" s="311" t="str">
        <f>IFERROR(-#REF!/(#REF!+#REF!),"")</f>
        <v/>
      </c>
      <c r="AI23" s="311" t="str">
        <f>IFERROR(-#REF!/(#REF!+#REF!),"")</f>
        <v/>
      </c>
      <c r="AJ23" s="311" t="str">
        <f>IFERROR(-#REF!/(#REF!+#REF!),"")</f>
        <v/>
      </c>
      <c r="AK23" s="311" t="str">
        <f>IFERROR(-#REF!/(#REF!+#REF!),"")</f>
        <v/>
      </c>
      <c r="AL23" s="311" t="str">
        <f>IFERROR(-#REF!/(#REF!+#REF!),"")</f>
        <v/>
      </c>
      <c r="AM23" s="311" t="str">
        <f>IFERROR(-#REF!/(#REF!+#REF!),"")</f>
        <v/>
      </c>
      <c r="AN23" s="285" t="str">
        <f>IFERROR(-#REF!/(#REF!+#REF!),"")</f>
        <v/>
      </c>
      <c r="AO23" s="114" t="str">
        <f>IFERROR(-#REF!/(#REF!+#REF!),"")</f>
        <v/>
      </c>
      <c r="AP23" s="114" t="str">
        <f>IFERROR(-#REF!/(#REF!+#REF!),"")</f>
        <v/>
      </c>
      <c r="AQ23" s="114"/>
      <c r="AR23" s="168"/>
      <c r="AS23" s="265" t="str">
        <f>AO23</f>
        <v/>
      </c>
      <c r="AT23" s="266" t="e">
        <f>(AO23-AJ23)*100</f>
        <v>#VALUE!</v>
      </c>
      <c r="AU23" s="266" t="e">
        <f>(AO23-AN23)*100</f>
        <v>#VALUE!</v>
      </c>
    </row>
    <row r="24" spans="1:47" ht="27.75">
      <c r="B24" s="11" t="s">
        <v>554</v>
      </c>
      <c r="C24" s="11" t="s">
        <v>554</v>
      </c>
      <c r="D24" s="311">
        <v>0.15660995010386919</v>
      </c>
      <c r="E24" s="311">
        <v>0.15352589988947832</v>
      </c>
      <c r="F24" s="311">
        <v>0.14621373788479466</v>
      </c>
      <c r="G24" s="311">
        <v>0.15295233831925592</v>
      </c>
      <c r="H24" s="311">
        <v>0.15240766373118578</v>
      </c>
      <c r="I24" s="311">
        <v>0.12203416913463225</v>
      </c>
      <c r="J24" s="311">
        <v>0.10697425359536555</v>
      </c>
      <c r="K24" s="311">
        <v>0.12075379945395093</v>
      </c>
      <c r="L24" s="311">
        <v>0.21188827896513027</v>
      </c>
      <c r="M24" s="311">
        <v>0.13726332672504493</v>
      </c>
      <c r="N24" s="311">
        <v>0.12523259219569655</v>
      </c>
      <c r="O24" s="311">
        <v>0.12707349699129109</v>
      </c>
      <c r="P24" s="311">
        <v>0.15228296823344278</v>
      </c>
      <c r="Q24" s="311">
        <v>0.16532897134323296</v>
      </c>
      <c r="R24" s="311">
        <v>0.14118487076983866</v>
      </c>
      <c r="S24" s="311">
        <v>0.13653468745978098</v>
      </c>
      <c r="T24" s="311">
        <v>9.875407373728208E-2</v>
      </c>
      <c r="U24" s="311">
        <v>0.10734900920409424</v>
      </c>
      <c r="V24" s="311">
        <v>0.23042096729342168</v>
      </c>
      <c r="W24" s="311">
        <v>0.12981454880106852</v>
      </c>
      <c r="X24" s="311">
        <v>0.15672684074006496</v>
      </c>
      <c r="Y24" s="311">
        <v>0.14848463016773822</v>
      </c>
      <c r="Z24" s="311">
        <v>0.12480551050468346</v>
      </c>
      <c r="AA24" s="311">
        <v>0.13379977304291818</v>
      </c>
      <c r="AB24" s="311">
        <v>0.13752864018854136</v>
      </c>
      <c r="AC24" s="311">
        <v>0.18832793655516286</v>
      </c>
      <c r="AD24" s="311">
        <v>0.29972171730770952</v>
      </c>
      <c r="AE24" s="311">
        <v>0.22185266527854866</v>
      </c>
      <c r="AF24" s="311">
        <v>0.24713651146873511</v>
      </c>
      <c r="AG24" s="311">
        <v>0.23899952715813144</v>
      </c>
      <c r="AH24" s="311" t="str">
        <f>IFERROR(-#REF!/#REF!,"")</f>
        <v/>
      </c>
      <c r="AI24" s="311" t="str">
        <f>IFERROR(-#REF!/#REF!,"")</f>
        <v/>
      </c>
      <c r="AJ24" s="311" t="str">
        <f>IFERROR(-#REF!/#REF!,"")</f>
        <v/>
      </c>
      <c r="AK24" s="311" t="str">
        <f>IFERROR(-#REF!/#REF!,"")</f>
        <v/>
      </c>
      <c r="AL24" s="311" t="str">
        <f>IFERROR(-#REF!/#REF!,"")</f>
        <v/>
      </c>
      <c r="AM24" s="311" t="str">
        <f>IFERROR(-#REF!/#REF!,"")</f>
        <v/>
      </c>
      <c r="AN24" s="285" t="str">
        <f>IFERROR(-#REF!/#REF!,"")</f>
        <v/>
      </c>
      <c r="AO24" s="114" t="str">
        <f>IFERROR(-#REF!/#REF!,"")</f>
        <v/>
      </c>
      <c r="AP24" s="114" t="str">
        <f>IFERROR(-#REF!/#REF!,"")</f>
        <v/>
      </c>
      <c r="AQ24" s="114"/>
      <c r="AR24" s="168"/>
      <c r="AS24" s="265" t="str">
        <f>AO24</f>
        <v/>
      </c>
      <c r="AT24" s="266" t="e">
        <f>(AO24-AJ24)*100</f>
        <v>#VALUE!</v>
      </c>
      <c r="AU24" s="266" t="e">
        <f>(AO24-AN24)*100</f>
        <v>#VALUE!</v>
      </c>
    </row>
    <row r="25" spans="1:47" s="2" customFormat="1" ht="27.75">
      <c r="B25" s="2" t="s">
        <v>895</v>
      </c>
      <c r="C25" s="2" t="s">
        <v>896</v>
      </c>
      <c r="D25" s="310">
        <v>1.0382917723597087</v>
      </c>
      <c r="E25" s="310">
        <v>1.1418836542250488</v>
      </c>
      <c r="F25" s="310">
        <v>1.1975086957767356</v>
      </c>
      <c r="G25" s="310">
        <v>1.0969600937457229</v>
      </c>
      <c r="H25" s="310">
        <v>1.123261754184419</v>
      </c>
      <c r="I25" s="310">
        <v>0.97717576153568431</v>
      </c>
      <c r="J25" s="310">
        <v>0.97823581119657965</v>
      </c>
      <c r="K25" s="310">
        <v>0.99026886604689324</v>
      </c>
      <c r="L25" s="310">
        <v>0.94099031168371405</v>
      </c>
      <c r="M25" s="310">
        <v>0.97307470219835857</v>
      </c>
      <c r="N25" s="310">
        <v>0.70006322417877909</v>
      </c>
      <c r="O25" s="310">
        <v>0.84605661630076534</v>
      </c>
      <c r="P25" s="310">
        <v>0.89181181599391324</v>
      </c>
      <c r="Q25" s="310">
        <v>0.8223220657635244</v>
      </c>
      <c r="R25" s="310">
        <v>0.80969633571931809</v>
      </c>
      <c r="S25" s="310">
        <v>0.77363589220455187</v>
      </c>
      <c r="T25" s="310">
        <v>0.7322529989889246</v>
      </c>
      <c r="U25" s="310">
        <v>0.75692750698950806</v>
      </c>
      <c r="V25" s="310">
        <v>0.76744100707857754</v>
      </c>
      <c r="W25" s="310">
        <v>0.75786454297186534</v>
      </c>
      <c r="X25" s="310">
        <v>0.70379933744044754</v>
      </c>
      <c r="Y25" s="310">
        <v>0.77496979705927638</v>
      </c>
      <c r="Z25" s="310">
        <v>0.79797606249810893</v>
      </c>
      <c r="AA25" s="310">
        <v>0.84981332878545379</v>
      </c>
      <c r="AB25" s="310">
        <v>0.78050673303686613</v>
      </c>
      <c r="AC25" s="310">
        <v>0.76223511085750983</v>
      </c>
      <c r="AD25" s="310">
        <v>0.82173214593782617</v>
      </c>
      <c r="AE25" s="310">
        <v>0.78960614473245894</v>
      </c>
      <c r="AF25" s="310">
        <v>0.73935941322483156</v>
      </c>
      <c r="AG25" s="310">
        <v>0.77733439154574191</v>
      </c>
      <c r="AH25" s="310" t="str">
        <f>IFERROR(-#REF!/#REF!,"")</f>
        <v/>
      </c>
      <c r="AI25" s="310" t="str">
        <f>IFERROR(-#REF!/#REF!,"")</f>
        <v/>
      </c>
      <c r="AJ25" s="310" t="str">
        <f>IFERROR(-#REF!/#REF!,"")</f>
        <v/>
      </c>
      <c r="AK25" s="310" t="str">
        <f>IFERROR(-#REF!/#REF!,"")</f>
        <v/>
      </c>
      <c r="AL25" s="310" t="str">
        <f>IFERROR(-#REF!/#REF!,"")</f>
        <v/>
      </c>
      <c r="AM25" s="310" t="str">
        <f>IFERROR(-#REF!/#REF!,"")</f>
        <v/>
      </c>
      <c r="AN25" s="336" t="str">
        <f>IFERROR(-#REF!/#REF!,"")</f>
        <v/>
      </c>
      <c r="AO25" s="168" t="str">
        <f>IFERROR(-#REF!/#REF!,"")</f>
        <v/>
      </c>
      <c r="AP25" s="168" t="str">
        <f>IFERROR(-#REF!/#REF!,"")</f>
        <v/>
      </c>
      <c r="AQ25" s="168"/>
      <c r="AR25" s="168"/>
      <c r="AS25" s="265" t="str">
        <f>AO25</f>
        <v/>
      </c>
      <c r="AT25" s="266" t="e">
        <f>(AO25-AJ25)*100</f>
        <v>#VALUE!</v>
      </c>
      <c r="AU25" s="266" t="e">
        <f>(AO25-AN25)*100</f>
        <v>#VALUE!</v>
      </c>
    </row>
    <row r="26" spans="1:47" ht="27.75">
      <c r="B26" s="11" t="s">
        <v>555</v>
      </c>
      <c r="C26" s="11" t="s">
        <v>555</v>
      </c>
      <c r="D26" s="311">
        <v>0.84222531293976965</v>
      </c>
      <c r="E26" s="311">
        <v>0.84193693820358273</v>
      </c>
      <c r="F26" s="311">
        <v>0.92824863515766232</v>
      </c>
      <c r="G26" s="311">
        <v>1.2103466954248152</v>
      </c>
      <c r="H26" s="311">
        <v>0.96402694591128912</v>
      </c>
      <c r="I26" s="311">
        <v>0.93606256910649333</v>
      </c>
      <c r="J26" s="311">
        <v>0.89411108092657621</v>
      </c>
      <c r="K26" s="311">
        <v>0.91452183126471687</v>
      </c>
      <c r="L26" s="311">
        <v>0.89685263508013069</v>
      </c>
      <c r="M26" s="311">
        <v>0.91070028673158432</v>
      </c>
      <c r="N26" s="311">
        <v>0.68545336109698152</v>
      </c>
      <c r="O26" s="311">
        <v>0.95816735772843709</v>
      </c>
      <c r="P26" s="311">
        <v>0.84739582473502351</v>
      </c>
      <c r="Q26" s="311">
        <v>0.92793207797451815</v>
      </c>
      <c r="R26" s="311">
        <v>0.84957756662812312</v>
      </c>
      <c r="S26" s="311">
        <v>0.89267417934376525</v>
      </c>
      <c r="T26" s="311">
        <v>0.80130443195192713</v>
      </c>
      <c r="U26" s="311">
        <v>0.81893046905063605</v>
      </c>
      <c r="V26" s="311">
        <v>0.77947896797946647</v>
      </c>
      <c r="W26" s="311">
        <v>0.81953560301190487</v>
      </c>
      <c r="X26" s="311">
        <v>0.79038673518776636</v>
      </c>
      <c r="Y26" s="311">
        <v>0.81428254183313686</v>
      </c>
      <c r="Z26" s="311">
        <v>0.84363900606062681</v>
      </c>
      <c r="AA26" s="311">
        <v>0.8099808233047453</v>
      </c>
      <c r="AB26" s="311">
        <v>0.81423329534329825</v>
      </c>
      <c r="AC26" s="311">
        <v>0.80605626913201422</v>
      </c>
      <c r="AD26" s="311">
        <v>0.8767981797159875</v>
      </c>
      <c r="AE26" s="311">
        <v>0.89823615562548287</v>
      </c>
      <c r="AF26" s="311">
        <v>0.81641885157537175</v>
      </c>
      <c r="AG26" s="311">
        <v>0.84748272291060245</v>
      </c>
      <c r="AH26" s="311" t="str">
        <f>IFERROR(-#REF!/#REF!,"")</f>
        <v/>
      </c>
      <c r="AI26" s="311" t="str">
        <f>IFERROR(-#REF!/#REF!,"")</f>
        <v/>
      </c>
      <c r="AJ26" s="311" t="str">
        <f>IFERROR(-#REF!/#REF!,"")</f>
        <v/>
      </c>
      <c r="AK26" s="311" t="str">
        <f>IFERROR(-#REF!/#REF!,"")</f>
        <v/>
      </c>
      <c r="AL26" s="311" t="str">
        <f>IFERROR(-#REF!/#REF!,"")</f>
        <v/>
      </c>
      <c r="AM26" s="311" t="str">
        <f>IFERROR(-#REF!/#REF!,"")</f>
        <v/>
      </c>
      <c r="AN26" s="189" t="str">
        <f>IFERROR(-#REF!/#REF!,"")</f>
        <v/>
      </c>
      <c r="AO26" s="114" t="str">
        <f>IFERROR(-#REF!/#REF!,"")</f>
        <v/>
      </c>
      <c r="AP26" s="114" t="str">
        <f>IFERROR(-#REF!/#REF!,"")</f>
        <v/>
      </c>
      <c r="AQ26" s="114"/>
      <c r="AR26" s="168"/>
      <c r="AS26" s="267" t="str">
        <f>AO20</f>
        <v/>
      </c>
      <c r="AT26" s="268" t="e">
        <f>(AO20-AJ20)*100</f>
        <v>#VALUE!</v>
      </c>
      <c r="AU26" s="268" t="e">
        <f>(AO20-AN20)*100</f>
        <v>#VALUE!</v>
      </c>
    </row>
    <row r="27" spans="1:47">
      <c r="B27" s="11" t="s">
        <v>897</v>
      </c>
      <c r="C27" s="11" t="s">
        <v>582</v>
      </c>
      <c r="D27" s="311">
        <v>1.2488234934407081</v>
      </c>
      <c r="E27" s="311">
        <v>1.3681509309603814</v>
      </c>
      <c r="F27" s="311">
        <v>1.3990053425221005</v>
      </c>
      <c r="G27" s="311">
        <v>0.9891491467790412</v>
      </c>
      <c r="H27" s="311">
        <v>1.2605761675483653</v>
      </c>
      <c r="I27" s="311">
        <v>1.012751170412993</v>
      </c>
      <c r="J27" s="311">
        <v>1.0617443580079495</v>
      </c>
      <c r="K27" s="311">
        <v>1.0836031599818687</v>
      </c>
      <c r="L27" s="311">
        <v>0.9934119576184699</v>
      </c>
      <c r="M27" s="311">
        <v>1.0384426509013329</v>
      </c>
      <c r="N27" s="311">
        <v>0.71203781822410994</v>
      </c>
      <c r="O27" s="311">
        <v>0.75681656386058216</v>
      </c>
      <c r="P27" s="311">
        <v>0.94113543180216042</v>
      </c>
      <c r="Q27" s="311">
        <v>0.70973986531302868</v>
      </c>
      <c r="R27" s="311">
        <v>0.77254635338801381</v>
      </c>
      <c r="S27" s="311">
        <v>0.63501592506229199</v>
      </c>
      <c r="T27" s="311">
        <v>0.6207194713691726</v>
      </c>
      <c r="U27" s="311">
        <v>0.63511692298684896</v>
      </c>
      <c r="V27" s="311">
        <v>0.74003249512182601</v>
      </c>
      <c r="W27" s="311">
        <v>0.65382750833835357</v>
      </c>
      <c r="X27" s="311">
        <v>0.50893773975586865</v>
      </c>
      <c r="Y27" s="311">
        <v>0.67771791929290837</v>
      </c>
      <c r="Z27" s="311">
        <v>0.67556340723682196</v>
      </c>
      <c r="AA27" s="311">
        <v>1.0567616270519511</v>
      </c>
      <c r="AB27" s="311">
        <v>0.68324186436551293</v>
      </c>
      <c r="AC27" s="311">
        <v>0.60913864446126664</v>
      </c>
      <c r="AD27" s="311">
        <v>0.63646845063313973</v>
      </c>
      <c r="AE27" s="311">
        <v>0.51310565814376596</v>
      </c>
      <c r="AF27" s="311">
        <v>0.5295159041484373</v>
      </c>
      <c r="AG27" s="311">
        <v>0.56729525152189075</v>
      </c>
      <c r="AH27" s="311" t="str">
        <f>IFERROR(-#REF!/#REF!,"")</f>
        <v/>
      </c>
      <c r="AI27" s="311" t="str">
        <f>IFERROR(-#REF!/#REF!,"")</f>
        <v/>
      </c>
      <c r="AJ27" s="311" t="str">
        <f>IFERROR(-#REF!/#REF!,"")</f>
        <v/>
      </c>
      <c r="AK27" s="311" t="str">
        <f>IFERROR(-#REF!/#REF!,"")</f>
        <v/>
      </c>
      <c r="AL27" s="311" t="str">
        <f>IFERROR(-#REF!/#REF!,"")</f>
        <v/>
      </c>
      <c r="AM27" s="311" t="str">
        <f>IFERROR(-#REF!/#REF!,"")</f>
        <v/>
      </c>
      <c r="AN27" s="189" t="str">
        <f>IFERROR(-#REF!/#REF!,"")</f>
        <v/>
      </c>
      <c r="AO27" s="114" t="str">
        <f>IFERROR(-#REF!/#REF!,"")</f>
        <v/>
      </c>
      <c r="AP27" s="114" t="str">
        <f>IFERROR(-#REF!/#REF!,"")</f>
        <v/>
      </c>
      <c r="AQ27" s="114"/>
      <c r="AR27" s="168"/>
    </row>
    <row r="29" spans="1:47" s="2" customFormat="1">
      <c r="A29" s="28"/>
      <c r="B29" s="28" t="s">
        <v>558</v>
      </c>
      <c r="C29" s="28" t="s">
        <v>559</v>
      </c>
      <c r="D29" s="35" t="s">
        <v>188</v>
      </c>
      <c r="E29" s="35" t="s">
        <v>189</v>
      </c>
      <c r="F29" s="35" t="s">
        <v>190</v>
      </c>
      <c r="G29" s="35" t="s">
        <v>191</v>
      </c>
      <c r="H29" s="29">
        <v>2016</v>
      </c>
      <c r="I29" s="35" t="s">
        <v>192</v>
      </c>
      <c r="J29" s="35" t="s">
        <v>193</v>
      </c>
      <c r="K29" s="35" t="s">
        <v>194</v>
      </c>
      <c r="L29" s="35" t="s">
        <v>195</v>
      </c>
      <c r="M29" s="29">
        <v>2017</v>
      </c>
      <c r="N29" s="35" t="s">
        <v>196</v>
      </c>
      <c r="O29" s="35" t="s">
        <v>197</v>
      </c>
      <c r="P29" s="35" t="s">
        <v>198</v>
      </c>
      <c r="Q29" s="35" t="s">
        <v>199</v>
      </c>
      <c r="R29" s="29">
        <v>2018</v>
      </c>
      <c r="S29" s="35" t="s">
        <v>200</v>
      </c>
      <c r="T29" s="35" t="s">
        <v>201</v>
      </c>
      <c r="U29" s="35" t="s">
        <v>202</v>
      </c>
      <c r="V29" s="35" t="s">
        <v>203</v>
      </c>
      <c r="W29" s="29">
        <v>2019</v>
      </c>
      <c r="X29" s="35" t="s">
        <v>204</v>
      </c>
      <c r="Y29" s="35" t="s">
        <v>205</v>
      </c>
      <c r="Z29" s="35" t="s">
        <v>206</v>
      </c>
      <c r="AA29" s="35" t="s">
        <v>207</v>
      </c>
      <c r="AB29" s="29">
        <v>2020</v>
      </c>
      <c r="AC29" s="35" t="s">
        <v>208</v>
      </c>
      <c r="AD29" s="35" t="s">
        <v>209</v>
      </c>
      <c r="AE29" s="35" t="s">
        <v>210</v>
      </c>
      <c r="AF29" s="35" t="s">
        <v>211</v>
      </c>
      <c r="AG29" s="29">
        <v>2021</v>
      </c>
      <c r="AH29" s="35" t="s">
        <v>212</v>
      </c>
      <c r="AI29" s="35" t="s">
        <v>213</v>
      </c>
      <c r="AJ29" s="35" t="s">
        <v>214</v>
      </c>
      <c r="AK29" s="35" t="s">
        <v>251</v>
      </c>
      <c r="AL29" s="29">
        <v>2022</v>
      </c>
      <c r="AM29" s="35" t="s">
        <v>216</v>
      </c>
      <c r="AN29" s="35" t="s">
        <v>217</v>
      </c>
      <c r="AO29" s="35" t="s">
        <v>218</v>
      </c>
      <c r="AP29" s="35" t="s">
        <v>255</v>
      </c>
      <c r="AQ29" s="29">
        <v>2023</v>
      </c>
    </row>
    <row r="30" spans="1:47" s="2" customFormat="1">
      <c r="A30" s="28"/>
      <c r="B30" s="28" t="s">
        <v>558</v>
      </c>
      <c r="C30" s="28" t="s">
        <v>559</v>
      </c>
      <c r="D30" s="35" t="s">
        <v>224</v>
      </c>
      <c r="E30" s="35" t="s">
        <v>225</v>
      </c>
      <c r="F30" s="35" t="s">
        <v>226</v>
      </c>
      <c r="G30" s="35" t="s">
        <v>227</v>
      </c>
      <c r="H30" s="29">
        <v>2016</v>
      </c>
      <c r="I30" s="35" t="s">
        <v>228</v>
      </c>
      <c r="J30" s="35" t="s">
        <v>229</v>
      </c>
      <c r="K30" s="35" t="s">
        <v>230</v>
      </c>
      <c r="L30" s="35" t="s">
        <v>231</v>
      </c>
      <c r="M30" s="29">
        <v>2017</v>
      </c>
      <c r="N30" s="35" t="s">
        <v>232</v>
      </c>
      <c r="O30" s="35" t="s">
        <v>233</v>
      </c>
      <c r="P30" s="35" t="s">
        <v>234</v>
      </c>
      <c r="Q30" s="35" t="s">
        <v>235</v>
      </c>
      <c r="R30" s="29">
        <v>2018</v>
      </c>
      <c r="S30" s="35" t="s">
        <v>236</v>
      </c>
      <c r="T30" s="35" t="s">
        <v>237</v>
      </c>
      <c r="U30" s="35" t="s">
        <v>238</v>
      </c>
      <c r="V30" s="35" t="s">
        <v>239</v>
      </c>
      <c r="W30" s="29">
        <v>2019</v>
      </c>
      <c r="X30" s="35" t="s">
        <v>240</v>
      </c>
      <c r="Y30" s="35" t="s">
        <v>241</v>
      </c>
      <c r="Z30" s="35" t="s">
        <v>242</v>
      </c>
      <c r="AA30" s="35" t="s">
        <v>243</v>
      </c>
      <c r="AB30" s="29">
        <v>2020</v>
      </c>
      <c r="AC30" s="35" t="s">
        <v>244</v>
      </c>
      <c r="AD30" s="35" t="s">
        <v>245</v>
      </c>
      <c r="AE30" s="35" t="s">
        <v>246</v>
      </c>
      <c r="AF30" s="35" t="s">
        <v>247</v>
      </c>
      <c r="AG30" s="29">
        <v>2021</v>
      </c>
      <c r="AH30" s="35" t="s">
        <v>248</v>
      </c>
      <c r="AI30" s="35" t="s">
        <v>249</v>
      </c>
      <c r="AJ30" s="35" t="s">
        <v>250</v>
      </c>
      <c r="AK30" s="35" t="s">
        <v>215</v>
      </c>
      <c r="AL30" s="29">
        <v>2022</v>
      </c>
      <c r="AM30" s="35" t="s">
        <v>252</v>
      </c>
      <c r="AN30" s="35" t="s">
        <v>253</v>
      </c>
      <c r="AO30" s="35" t="s">
        <v>254</v>
      </c>
      <c r="AP30" s="35" t="s">
        <v>219</v>
      </c>
      <c r="AQ30" s="29">
        <v>2023</v>
      </c>
    </row>
    <row r="31" spans="1:47">
      <c r="A31" s="9"/>
      <c r="B31" s="9" t="s">
        <v>546</v>
      </c>
      <c r="C31" s="9" t="s">
        <v>547</v>
      </c>
      <c r="D31" s="309">
        <v>0.5397537939730267</v>
      </c>
      <c r="E31" s="309">
        <v>0.58130483345070205</v>
      </c>
      <c r="F31" s="309">
        <v>0.55816006628648995</v>
      </c>
      <c r="G31" s="309">
        <v>0.5952206093478668</v>
      </c>
      <c r="H31" s="309">
        <v>0.56905615406971466</v>
      </c>
      <c r="I31" s="309">
        <v>0.57499514566138477</v>
      </c>
      <c r="J31" s="309">
        <v>0.59232835236736114</v>
      </c>
      <c r="K31" s="309">
        <v>0.62272386929641022</v>
      </c>
      <c r="L31" s="309">
        <v>0.53310866375220101</v>
      </c>
      <c r="M31" s="309">
        <v>0.58095127944757285</v>
      </c>
      <c r="N31" s="309">
        <v>0.5399358618147877</v>
      </c>
      <c r="O31" s="309">
        <v>0.57276850807689117</v>
      </c>
      <c r="P31" s="309">
        <v>0.53823847171399897</v>
      </c>
      <c r="Q31" s="309">
        <v>0.57269897392199287</v>
      </c>
      <c r="R31" s="309">
        <v>0.55399477537202757</v>
      </c>
      <c r="S31" s="309">
        <v>0.54502736742531799</v>
      </c>
      <c r="T31" s="309">
        <v>0.53622022983533169</v>
      </c>
      <c r="U31" s="309">
        <v>0.52440399157933426</v>
      </c>
      <c r="V31" s="309">
        <v>0.51052935269496102</v>
      </c>
      <c r="W31" s="309">
        <v>0.52875123273084979</v>
      </c>
      <c r="X31" s="309">
        <v>0.54405942788902728</v>
      </c>
      <c r="Y31" s="309">
        <v>0.51848235853383373</v>
      </c>
      <c r="Z31" s="309">
        <v>0.53862104980647985</v>
      </c>
      <c r="AA31" s="309">
        <v>0.57427513247093132</v>
      </c>
      <c r="AB31" s="309">
        <v>0.54418593530474302</v>
      </c>
      <c r="AC31" s="309">
        <v>0.59429397075926749</v>
      </c>
      <c r="AD31" s="309">
        <v>0.62125393924180128</v>
      </c>
      <c r="AE31" s="309">
        <v>0.59518156964567004</v>
      </c>
      <c r="AF31" s="309">
        <v>0.5706084895963397</v>
      </c>
      <c r="AG31" s="309">
        <v>0.59483409670555942</v>
      </c>
      <c r="AH31" s="309" t="str">
        <f>IFERROR(-#REF!/(#REF!+#REF!),"")</f>
        <v/>
      </c>
      <c r="AI31" s="309" t="str">
        <f>IFERROR(-#REF!/(#REF!+#REF!),"")</f>
        <v/>
      </c>
      <c r="AJ31" s="309" t="str">
        <f>IFERROR(-#REF!/(#REF!+#REF!),"")</f>
        <v/>
      </c>
      <c r="AK31" s="309" t="str">
        <f>IFERROR(-#REF!/(#REF!+#REF!),"")</f>
        <v/>
      </c>
      <c r="AL31" s="309" t="str">
        <f>IFERROR(-#REF!/(#REF!+#REF!),"")</f>
        <v/>
      </c>
      <c r="AM31" s="309" t="str">
        <f>IFERROR(-#REF!/(#REF!+#REF!),"")</f>
        <v/>
      </c>
      <c r="AN31" s="340" t="str">
        <f>IFERROR(-#REF!/(#REF!+#REF!),"")</f>
        <v/>
      </c>
      <c r="AO31" s="340" t="str">
        <f>IFERROR(-#REF!/(#REF!+#REF!),"")</f>
        <v/>
      </c>
      <c r="AP31" s="167" t="str">
        <f>IFERROR(-#REF!/(#REF!+#REF!),"")</f>
        <v/>
      </c>
      <c r="AQ31" s="167"/>
    </row>
    <row r="32" spans="1:47" s="2" customFormat="1" ht="27.75">
      <c r="B32" s="2" t="s">
        <v>548</v>
      </c>
      <c r="C32" s="2" t="s">
        <v>549</v>
      </c>
      <c r="D32" s="310">
        <v>0.47700566389031246</v>
      </c>
      <c r="E32" s="310">
        <v>0.49581256475629348</v>
      </c>
      <c r="F32" s="310">
        <v>0.45429661757096851</v>
      </c>
      <c r="G32" s="310">
        <v>0.52152256930469354</v>
      </c>
      <c r="H32" s="310">
        <v>0.48749244710512901</v>
      </c>
      <c r="I32" s="310">
        <v>0.52529009086825096</v>
      </c>
      <c r="J32" s="310">
        <v>0.54590582031297918</v>
      </c>
      <c r="K32" s="310">
        <v>0.58554412747472329</v>
      </c>
      <c r="L32" s="310">
        <v>0.49397520904023351</v>
      </c>
      <c r="M32" s="310">
        <v>0.53756426632665721</v>
      </c>
      <c r="N32" s="310">
        <v>0.52094962790483157</v>
      </c>
      <c r="O32" s="310">
        <v>0.53688537642208201</v>
      </c>
      <c r="P32" s="310">
        <v>0.50492108365546895</v>
      </c>
      <c r="Q32" s="310">
        <v>0.54011317163697348</v>
      </c>
      <c r="R32" s="310">
        <v>0.52344641669413405</v>
      </c>
      <c r="S32" s="310">
        <v>0.51968544993616717</v>
      </c>
      <c r="T32" s="310">
        <v>0.51543580418899326</v>
      </c>
      <c r="U32" s="310">
        <v>0.50288861860471368</v>
      </c>
      <c r="V32" s="310">
        <v>0.48082420519036945</v>
      </c>
      <c r="W32" s="310">
        <v>0.50429939180869354</v>
      </c>
      <c r="X32" s="310">
        <v>0.52639540363851189</v>
      </c>
      <c r="Y32" s="310">
        <v>0.501564915100014</v>
      </c>
      <c r="Z32" s="310">
        <v>0.51615171622658418</v>
      </c>
      <c r="AA32" s="310">
        <v>0.54703346846023038</v>
      </c>
      <c r="AB32" s="310">
        <v>0.5230170332122337</v>
      </c>
      <c r="AC32" s="310">
        <v>0.57585254304731048</v>
      </c>
      <c r="AD32" s="310">
        <v>0.60312173800883251</v>
      </c>
      <c r="AE32" s="310">
        <v>0.57668875654178708</v>
      </c>
      <c r="AF32" s="310">
        <v>0.55554328236354755</v>
      </c>
      <c r="AG32" s="310">
        <v>0.57730837714462457</v>
      </c>
      <c r="AH32" s="310" t="str">
        <f>IFERROR(-#REF!/(#REF!+#REF!),"")</f>
        <v/>
      </c>
      <c r="AI32" s="310" t="str">
        <f>IFERROR(-#REF!/(#REF!+#REF!),"")</f>
        <v/>
      </c>
      <c r="AJ32" s="310" t="str">
        <f>IFERROR(-#REF!/(#REF!+#REF!),"")</f>
        <v/>
      </c>
      <c r="AK32" s="310" t="str">
        <f>IFERROR(-#REF!/(#REF!+#REF!),"")</f>
        <v/>
      </c>
      <c r="AL32" s="310" t="str">
        <f>IFERROR(-#REF!/(#REF!+#REF!),"")</f>
        <v/>
      </c>
      <c r="AM32" s="310" t="str">
        <f>IFERROR(-#REF!/(#REF!+#REF!),"")</f>
        <v/>
      </c>
      <c r="AN32" s="341" t="str">
        <f>IFERROR(-#REF!/(#REF!+#REF!),"")</f>
        <v/>
      </c>
      <c r="AO32" s="168" t="str">
        <f>IFERROR(-#REF!/(#REF!+#REF!),"")</f>
        <v/>
      </c>
      <c r="AP32" s="168" t="str">
        <f>IFERROR(-#REF!/(#REF!+#REF!),"")</f>
        <v/>
      </c>
      <c r="AQ32" s="168"/>
      <c r="AR32" s="168"/>
      <c r="AS32" s="263" t="str">
        <f>AO32</f>
        <v/>
      </c>
      <c r="AT32" s="264" t="e">
        <f>(AO32-AJ32)*100</f>
        <v>#VALUE!</v>
      </c>
      <c r="AU32" s="264" t="e">
        <f>(AO32-AN32)*100</f>
        <v>#VALUE!</v>
      </c>
    </row>
    <row r="33" spans="2:47" ht="27.75">
      <c r="B33" s="11" t="s">
        <v>550</v>
      </c>
      <c r="C33" s="11" t="s">
        <v>462</v>
      </c>
      <c r="D33" s="311">
        <v>0.49330962221745706</v>
      </c>
      <c r="E33" s="311">
        <v>0.5102066355331718</v>
      </c>
      <c r="F33" s="311">
        <v>0.47010840879124682</v>
      </c>
      <c r="G33" s="311">
        <v>0.54202792226715335</v>
      </c>
      <c r="H33" s="311">
        <v>0.50425913972716085</v>
      </c>
      <c r="I33" s="311">
        <v>0.5557175214134954</v>
      </c>
      <c r="J33" s="311">
        <v>0.57854386332198615</v>
      </c>
      <c r="K33" s="311">
        <v>0.61946761601799549</v>
      </c>
      <c r="L33" s="311">
        <v>0.5112749350339254</v>
      </c>
      <c r="M33" s="311">
        <v>0.56588996359833688</v>
      </c>
      <c r="N33" s="311">
        <v>0.5616853292423406</v>
      </c>
      <c r="O33" s="311">
        <v>0.57152200835026701</v>
      </c>
      <c r="P33" s="311">
        <v>0.52526777554080073</v>
      </c>
      <c r="Q33" s="311">
        <v>0.57494467874485711</v>
      </c>
      <c r="R33" s="311">
        <v>0.55467785598485164</v>
      </c>
      <c r="S33" s="311">
        <v>0.55372160181325336</v>
      </c>
      <c r="T33" s="311">
        <v>0.55878121129317815</v>
      </c>
      <c r="U33" s="311">
        <v>0.53972870742007717</v>
      </c>
      <c r="V33" s="311">
        <v>0.49162113694390902</v>
      </c>
      <c r="W33" s="311">
        <v>0.53468639505156557</v>
      </c>
      <c r="X33" s="311">
        <v>0.55540652677753599</v>
      </c>
      <c r="Y33" s="311">
        <v>0.52724699858543922</v>
      </c>
      <c r="Z33" s="311">
        <v>0.57038868061663639</v>
      </c>
      <c r="AA33" s="311">
        <v>0.58963230794848775</v>
      </c>
      <c r="AB33" s="311">
        <v>0.56107000335120705</v>
      </c>
      <c r="AC33" s="311">
        <v>0.60301043605074012</v>
      </c>
      <c r="AD33" s="311">
        <v>0.63945964071779926</v>
      </c>
      <c r="AE33" s="311">
        <v>0.66682830335608367</v>
      </c>
      <c r="AF33" s="311">
        <v>0.60086368368449816</v>
      </c>
      <c r="AG33" s="311">
        <v>0.62764717081063481</v>
      </c>
      <c r="AH33" s="311" t="str">
        <f>IFERROR(-#REF!/(#REF!+#REF!),"")</f>
        <v/>
      </c>
      <c r="AI33" s="311" t="str">
        <f>IFERROR(-#REF!/(#REF!+#REF!),"")</f>
        <v/>
      </c>
      <c r="AJ33" s="311" t="str">
        <f>IFERROR(-#REF!/(#REF!+#REF!),"")</f>
        <v/>
      </c>
      <c r="AK33" s="311" t="str">
        <f>IFERROR(-#REF!/(#REF!+#REF!),"")</f>
        <v/>
      </c>
      <c r="AL33" s="311" t="str">
        <f>IFERROR(-#REF!/(#REF!+#REF!),"")</f>
        <v/>
      </c>
      <c r="AM33" s="311" t="str">
        <f>IFERROR(-#REF!/(#REF!+#REF!),"")</f>
        <v/>
      </c>
      <c r="AN33" s="339" t="str">
        <f>IFERROR(-#REF!/(#REF!+#REF!),"")</f>
        <v/>
      </c>
      <c r="AO33" s="339" t="str">
        <f>IFERROR(-#REF!/(#REF!+#REF!),"")</f>
        <v/>
      </c>
      <c r="AP33" s="339" t="str">
        <f>IFERROR(-#REF!/(#REF!+#REF!),"")</f>
        <v/>
      </c>
      <c r="AQ33" s="339" t="str">
        <f>IFERROR(-#REF!/(#REF!+#REF!),"")</f>
        <v/>
      </c>
      <c r="AR33" s="168"/>
      <c r="AS33" s="265" t="str">
        <f>AO33</f>
        <v/>
      </c>
      <c r="AT33" s="266" t="e">
        <f>(AO33-AJ33)*100</f>
        <v>#VALUE!</v>
      </c>
      <c r="AU33" s="266" t="e">
        <f>(AO33-AN33)*100</f>
        <v>#VALUE!</v>
      </c>
    </row>
    <row r="34" spans="2:47" ht="27.75">
      <c r="B34" s="11" t="s">
        <v>551</v>
      </c>
      <c r="C34" s="11" t="s">
        <v>446</v>
      </c>
      <c r="D34" s="311" t="s">
        <v>552</v>
      </c>
      <c r="E34" s="311" t="s">
        <v>552</v>
      </c>
      <c r="F34" s="311" t="s">
        <v>552</v>
      </c>
      <c r="G34" s="311" t="s">
        <v>552</v>
      </c>
      <c r="H34" s="311" t="s">
        <v>552</v>
      </c>
      <c r="I34" s="311" t="s">
        <v>552</v>
      </c>
      <c r="J34" s="311" t="s">
        <v>552</v>
      </c>
      <c r="K34" s="311" t="s">
        <v>552</v>
      </c>
      <c r="L34" s="311" t="s">
        <v>552</v>
      </c>
      <c r="M34" s="311" t="s">
        <v>552</v>
      </c>
      <c r="N34" s="311" t="s">
        <v>552</v>
      </c>
      <c r="O34" s="311" t="s">
        <v>552</v>
      </c>
      <c r="P34" s="311" t="s">
        <v>552</v>
      </c>
      <c r="Q34" s="311" t="s">
        <v>552</v>
      </c>
      <c r="R34" s="311" t="s">
        <v>552</v>
      </c>
      <c r="S34" s="311" t="s">
        <v>552</v>
      </c>
      <c r="T34" s="311" t="s">
        <v>552</v>
      </c>
      <c r="U34" s="311" t="s">
        <v>552</v>
      </c>
      <c r="V34" s="311" t="s">
        <v>552</v>
      </c>
      <c r="W34" s="311" t="s">
        <v>552</v>
      </c>
      <c r="X34" s="311" t="s">
        <v>552</v>
      </c>
      <c r="Y34" s="311" t="s">
        <v>552</v>
      </c>
      <c r="Z34" s="311" t="s">
        <v>552</v>
      </c>
      <c r="AA34" s="311">
        <v>0.18205787943847176</v>
      </c>
      <c r="AB34" s="311">
        <v>0.18205787943847176</v>
      </c>
      <c r="AC34" s="311">
        <v>0.60766963924916395</v>
      </c>
      <c r="AD34" s="311">
        <v>0.62087782532586477</v>
      </c>
      <c r="AE34" s="311">
        <v>0.59655917574101258</v>
      </c>
      <c r="AF34" s="311">
        <v>0.59751182511685696</v>
      </c>
      <c r="AG34" s="311">
        <v>0.60505871158732494</v>
      </c>
      <c r="AH34" s="311" t="str">
        <f>IFERROR(-#REF!/(#REF!+#REF!),"")</f>
        <v/>
      </c>
      <c r="AI34" s="311" t="str">
        <f>IFERROR(-#REF!/(#REF!+#REF!),"")</f>
        <v/>
      </c>
      <c r="AJ34" s="311" t="str">
        <f>IFERROR(-#REF!/(#REF!+#REF!),"")</f>
        <v/>
      </c>
      <c r="AK34" s="311" t="str">
        <f>IFERROR(-#REF!/(#REF!+#REF!),"")</f>
        <v/>
      </c>
      <c r="AL34" s="311" t="str">
        <f>IFERROR(-#REF!/(#REF!+#REF!),"")</f>
        <v/>
      </c>
      <c r="AM34" s="311" t="str">
        <f>IFERROR(-#REF!/(#REF!+#REF!),"")</f>
        <v/>
      </c>
      <c r="AN34" s="353" t="str">
        <f>IFERROR(-#REF!/(#REF!+#REF!),"")</f>
        <v/>
      </c>
      <c r="AO34" s="353" t="str">
        <f>IFERROR(-#REF!/(#REF!+#REF!),"")</f>
        <v/>
      </c>
      <c r="AP34" s="353" t="str">
        <f>IFERROR(-#REF!/(#REF!+#REF!),"")</f>
        <v/>
      </c>
      <c r="AQ34" s="353" t="str">
        <f>IFERROR(-#REF!/(#REF!+#REF!),"")</f>
        <v/>
      </c>
      <c r="AR34" s="168"/>
      <c r="AS34" s="265" t="str">
        <f>AO34</f>
        <v/>
      </c>
      <c r="AT34" s="266" t="e">
        <f>(AO34-AJ34)*100</f>
        <v>#VALUE!</v>
      </c>
      <c r="AU34" s="266" t="e">
        <f>(AO34-AN34)*100</f>
        <v>#VALUE!</v>
      </c>
    </row>
    <row r="35" spans="2:47" ht="27.75">
      <c r="B35" s="11" t="s">
        <v>554</v>
      </c>
      <c r="C35" s="11" t="s">
        <v>554</v>
      </c>
      <c r="D35" s="311">
        <v>0.1591581081104847</v>
      </c>
      <c r="E35" s="311">
        <v>0.14782441237629387</v>
      </c>
      <c r="F35" s="311">
        <v>0.1363263694147043</v>
      </c>
      <c r="G35" s="311">
        <v>0.14186179679915878</v>
      </c>
      <c r="H35" s="311">
        <v>0.14612588230606416</v>
      </c>
      <c r="I35" s="311">
        <v>0.11840591399274611</v>
      </c>
      <c r="J35" s="311">
        <v>0.10137662118397503</v>
      </c>
      <c r="K35" s="311">
        <v>0.11506181226489748</v>
      </c>
      <c r="L35" s="311">
        <v>0.20005687384297205</v>
      </c>
      <c r="M35" s="311">
        <v>0.1309920405188342</v>
      </c>
      <c r="N35" s="311">
        <v>0.12356632226780856</v>
      </c>
      <c r="O35" s="311">
        <v>0.12189168159559316</v>
      </c>
      <c r="P35" s="311">
        <v>0.14573149657044679</v>
      </c>
      <c r="Q35" s="311">
        <v>0.15753590765486616</v>
      </c>
      <c r="R35" s="311">
        <v>0.13629768292046485</v>
      </c>
      <c r="S35" s="311">
        <v>0.13349647592605071</v>
      </c>
      <c r="T35" s="311">
        <v>9.2139936890904051E-2</v>
      </c>
      <c r="U35" s="311">
        <v>0.10093649699655229</v>
      </c>
      <c r="V35" s="311">
        <v>0.21717708592577459</v>
      </c>
      <c r="W35" s="311">
        <v>0.12315620162192102</v>
      </c>
      <c r="X35" s="311">
        <v>0.15262862170519001</v>
      </c>
      <c r="Y35" s="311">
        <v>0.14309884976581788</v>
      </c>
      <c r="Z35" s="311">
        <v>0.12337352119956001</v>
      </c>
      <c r="AA35" s="311">
        <v>0.13051229678946899</v>
      </c>
      <c r="AB35" s="311">
        <v>0.13447125204305441</v>
      </c>
      <c r="AC35" s="311">
        <v>0.1885019910557042</v>
      </c>
      <c r="AD35" s="311">
        <v>0.29633911666984486</v>
      </c>
      <c r="AE35" s="311">
        <v>0.21875555353927351</v>
      </c>
      <c r="AF35" s="311">
        <v>0.24489871533101518</v>
      </c>
      <c r="AG35" s="311">
        <v>0.23677211535690801</v>
      </c>
      <c r="AH35" s="311" t="str">
        <f>IFERROR(-#REF!/(#REF!+#REF!),"")</f>
        <v/>
      </c>
      <c r="AI35" s="311" t="str">
        <f>IFERROR(-#REF!/(#REF!+#REF!),"")</f>
        <v/>
      </c>
      <c r="AJ35" s="311" t="str">
        <f>IFERROR(-#REF!/(#REF!+#REF!),"")</f>
        <v/>
      </c>
      <c r="AK35" s="311" t="str">
        <f>IFERROR(-#REF!/(#REF!+#REF!),"")</f>
        <v/>
      </c>
      <c r="AL35" s="311" t="str">
        <f>IFERROR(-#REF!/(#REF!+#REF!),"")</f>
        <v/>
      </c>
      <c r="AM35" s="311" t="str">
        <f>IFERROR(-#REF!/(#REF!+#REF!),"")</f>
        <v/>
      </c>
      <c r="AN35" s="339" t="str">
        <f>IFERROR(-#REF!/(#REF!+#REF!),"")</f>
        <v/>
      </c>
      <c r="AO35" s="339" t="str">
        <f>IFERROR(-#REF!/(#REF!+#REF!),"")</f>
        <v/>
      </c>
      <c r="AP35" s="339" t="str">
        <f>IFERROR(-#REF!/(#REF!+#REF!),"")</f>
        <v/>
      </c>
      <c r="AQ35" s="339" t="str">
        <f>IFERROR(-#REF!/(#REF!+#REF!),"")</f>
        <v/>
      </c>
      <c r="AR35" s="168"/>
      <c r="AS35" s="265" t="str">
        <f>AO35</f>
        <v/>
      </c>
      <c r="AT35" s="266" t="e">
        <f>(AO35-AJ35)*100</f>
        <v>#VALUE!</v>
      </c>
      <c r="AU35" s="266" t="e">
        <f>(AO35-AN35)*100</f>
        <v>#VALUE!</v>
      </c>
    </row>
    <row r="36" spans="2:47" s="2" customFormat="1" ht="27.75">
      <c r="B36" s="2" t="s">
        <v>895</v>
      </c>
      <c r="C36" s="2" t="s">
        <v>896</v>
      </c>
      <c r="D36" s="310">
        <v>0.94723516371591976</v>
      </c>
      <c r="E36" s="310">
        <v>1.0625306837806667</v>
      </c>
      <c r="F36" s="310">
        <v>1.1008758014939566</v>
      </c>
      <c r="G36" s="310">
        <v>1.0209908138612058</v>
      </c>
      <c r="H36" s="310">
        <v>1.0376084634672149</v>
      </c>
      <c r="I36" s="310">
        <v>0.84716601385384727</v>
      </c>
      <c r="J36" s="310">
        <v>0.84722535062514659</v>
      </c>
      <c r="K36" s="310">
        <v>0.84636182774206292</v>
      </c>
      <c r="L36" s="310">
        <v>0.81743821806371342</v>
      </c>
      <c r="M36" s="310">
        <v>0.84110302501426104</v>
      </c>
      <c r="N36" s="310">
        <v>0.63541429443528619</v>
      </c>
      <c r="O36" s="310">
        <v>0.77995648281130669</v>
      </c>
      <c r="P36" s="310">
        <v>0.81249235200601422</v>
      </c>
      <c r="Q36" s="310">
        <v>0.74231006508925534</v>
      </c>
      <c r="R36" s="310">
        <v>0.73729188273409441</v>
      </c>
      <c r="S36" s="310">
        <v>0.6999767956671461</v>
      </c>
      <c r="T36" s="310">
        <v>0.65739737149870925</v>
      </c>
      <c r="U36" s="310">
        <v>0.67406643351831674</v>
      </c>
      <c r="V36" s="310">
        <v>0.69609737658024007</v>
      </c>
      <c r="W36" s="310">
        <v>0.68228059569025834</v>
      </c>
      <c r="X36" s="310">
        <v>0.67184618790697637</v>
      </c>
      <c r="Y36" s="310">
        <v>0.63259040972674552</v>
      </c>
      <c r="Z36" s="310">
        <v>0.72214947381627204</v>
      </c>
      <c r="AA36" s="310">
        <v>0.79155590137045106</v>
      </c>
      <c r="AB36" s="310">
        <v>0.70338871065381192</v>
      </c>
      <c r="AC36" s="310">
        <v>0.73697956482469695</v>
      </c>
      <c r="AD36" s="310">
        <v>0.76980253318777481</v>
      </c>
      <c r="AE36" s="310">
        <v>0.76097106746606169</v>
      </c>
      <c r="AF36" s="310">
        <v>0.69643017216738468</v>
      </c>
      <c r="AG36" s="310">
        <v>0.74033982890569761</v>
      </c>
      <c r="AH36" s="310" t="str">
        <f>IFERROR(-#REF!/(#REF!+#REF!),"")</f>
        <v/>
      </c>
      <c r="AI36" s="310" t="str">
        <f>IFERROR(-#REF!/(#REF!+#REF!),"")</f>
        <v/>
      </c>
      <c r="AJ36" s="310" t="str">
        <f>IFERROR(-#REF!/(#REF!+#REF!),"")</f>
        <v/>
      </c>
      <c r="AK36" s="310" t="str">
        <f>IFERROR(-#REF!/(#REF!+#REF!),"")</f>
        <v/>
      </c>
      <c r="AL36" s="310" t="str">
        <f>IFERROR(-#REF!/(#REF!+#REF!),"")</f>
        <v/>
      </c>
      <c r="AM36" s="310" t="str">
        <f>IFERROR(-#REF!/(#REF!+#REF!),"")</f>
        <v/>
      </c>
      <c r="AN36" s="341" t="str">
        <f>IFERROR(-#REF!/(#REF!+#REF!),"")</f>
        <v/>
      </c>
      <c r="AO36" s="341" t="str">
        <f>IFERROR(-#REF!/(#REF!+#REF!),"")</f>
        <v/>
      </c>
      <c r="AP36" s="341" t="str">
        <f>IFERROR(-#REF!/(#REF!+#REF!),"")</f>
        <v/>
      </c>
      <c r="AQ36" s="341" t="str">
        <f>IFERROR(-#REF!/(#REF!+#REF!),"")</f>
        <v/>
      </c>
      <c r="AR36" s="168"/>
      <c r="AS36" s="265" t="str">
        <f>AO36</f>
        <v/>
      </c>
      <c r="AT36" s="266" t="e">
        <f>(AO36-AJ36)*100</f>
        <v>#VALUE!</v>
      </c>
      <c r="AU36" s="266" t="e">
        <f>(AO36-AN36)*100</f>
        <v>#VALUE!</v>
      </c>
    </row>
    <row r="37" spans="2:47" ht="27.75">
      <c r="B37" s="11" t="s">
        <v>555</v>
      </c>
      <c r="C37" s="11" t="s">
        <v>555</v>
      </c>
      <c r="D37" s="311">
        <v>0.73974772995812532</v>
      </c>
      <c r="E37" s="311">
        <v>0.75137532990345735</v>
      </c>
      <c r="F37" s="311">
        <v>0.82742818481709701</v>
      </c>
      <c r="G37" s="311">
        <v>1.1476031960289832</v>
      </c>
      <c r="H37" s="311">
        <v>0.87065924546132223</v>
      </c>
      <c r="I37" s="311">
        <v>0.83582509542455008</v>
      </c>
      <c r="J37" s="311">
        <v>0.80039094628390184</v>
      </c>
      <c r="K37" s="311">
        <v>0.82525280721892036</v>
      </c>
      <c r="L37" s="311">
        <v>0.81182735597873767</v>
      </c>
      <c r="M37" s="311">
        <v>0.81852499865541029</v>
      </c>
      <c r="N37" s="311">
        <v>0.62920871330638439</v>
      </c>
      <c r="O37" s="311">
        <v>0.91274364867521185</v>
      </c>
      <c r="P37" s="311">
        <v>0.80147245753759866</v>
      </c>
      <c r="Q37" s="311">
        <v>0.85811517133396631</v>
      </c>
      <c r="R37" s="311">
        <v>0.79373637200456404</v>
      </c>
      <c r="S37" s="311">
        <v>0.83360269453894198</v>
      </c>
      <c r="T37" s="311">
        <v>0.75369864904061612</v>
      </c>
      <c r="U37" s="311">
        <v>0.77282305285622532</v>
      </c>
      <c r="V37" s="311">
        <v>0.74797588842207552</v>
      </c>
      <c r="W37" s="311">
        <v>0.77465267760167189</v>
      </c>
      <c r="X37" s="311">
        <v>0.82560715833535758</v>
      </c>
      <c r="Y37" s="311">
        <v>0.78220856830628471</v>
      </c>
      <c r="Z37" s="311">
        <v>0.81865878387679292</v>
      </c>
      <c r="AA37" s="311">
        <v>0.76715926918189137</v>
      </c>
      <c r="AB37" s="311">
        <v>0.79668365640302152</v>
      </c>
      <c r="AC37" s="311">
        <v>0.78751549870255699</v>
      </c>
      <c r="AD37" s="311">
        <v>0.83839890009179829</v>
      </c>
      <c r="AE37" s="311">
        <v>0.87981344771853343</v>
      </c>
      <c r="AF37" s="311">
        <v>0.77525225211304605</v>
      </c>
      <c r="AG37" s="311">
        <v>0.81818136208981407</v>
      </c>
      <c r="AH37" s="311" t="str">
        <f>IFERROR(-#REF!/(#REF!+#REF!),"")</f>
        <v/>
      </c>
      <c r="AI37" s="311" t="str">
        <f>IFERROR(-#REF!/(#REF!+#REF!),"")</f>
        <v/>
      </c>
      <c r="AJ37" s="311" t="str">
        <f>IFERROR(-#REF!/(#REF!+#REF!),"")</f>
        <v/>
      </c>
      <c r="AK37" s="311" t="str">
        <f>IFERROR(-#REF!/(#REF!+#REF!),"")</f>
        <v/>
      </c>
      <c r="AL37" s="311" t="str">
        <f>IFERROR(-#REF!/(#REF!+#REF!),"")</f>
        <v/>
      </c>
      <c r="AM37" s="311" t="str">
        <f>IFERROR(-#REF!/(#REF!+#REF!),"")</f>
        <v/>
      </c>
      <c r="AN37" s="339" t="str">
        <f>IFERROR(-#REF!/(#REF!+#REF!),"")</f>
        <v/>
      </c>
      <c r="AO37" s="114" t="str">
        <f>IFERROR(-#REF!/(#REF!+#REF!),"")</f>
        <v/>
      </c>
      <c r="AP37" s="114" t="str">
        <f>IFERROR(-#REF!/(#REF!+#REF!),"")</f>
        <v/>
      </c>
      <c r="AQ37" s="114"/>
      <c r="AR37" s="168"/>
      <c r="AS37" s="267" t="str">
        <f>AO31</f>
        <v/>
      </c>
      <c r="AT37" s="268" t="e">
        <f>(AO31-AJ31)*100</f>
        <v>#VALUE!</v>
      </c>
      <c r="AU37" s="268" t="e">
        <f>(AO31-AN31)*100</f>
        <v>#VALUE!</v>
      </c>
    </row>
    <row r="38" spans="2:47">
      <c r="B38" s="11" t="s">
        <v>897</v>
      </c>
      <c r="C38" s="11" t="s">
        <v>582</v>
      </c>
      <c r="D38" s="311">
        <v>1.1886776671379271</v>
      </c>
      <c r="E38" s="311">
        <v>1.3154037782886012</v>
      </c>
      <c r="F38" s="311">
        <v>1.3169803795998727</v>
      </c>
      <c r="G38" s="311">
        <v>0.90484400694979505</v>
      </c>
      <c r="H38" s="311">
        <v>1.1878127605411974</v>
      </c>
      <c r="I38" s="311">
        <v>0.85646018841364413</v>
      </c>
      <c r="J38" s="311">
        <v>0.89079872328856946</v>
      </c>
      <c r="K38" s="311">
        <v>0.86949020650341968</v>
      </c>
      <c r="L38" s="311">
        <v>0.82354122900078075</v>
      </c>
      <c r="M38" s="311">
        <v>0.86298097233222348</v>
      </c>
      <c r="N38" s="311">
        <v>0.64039770882495395</v>
      </c>
      <c r="O38" s="311">
        <v>0.68022681645296434</v>
      </c>
      <c r="P38" s="311">
        <v>0.82381817963537585</v>
      </c>
      <c r="Q38" s="311">
        <v>0.62479323322048663</v>
      </c>
      <c r="R38" s="311">
        <v>0.68722906050674937</v>
      </c>
      <c r="S38" s="311">
        <v>0.55447695722290691</v>
      </c>
      <c r="T38" s="311">
        <v>0.519098407460722</v>
      </c>
      <c r="U38" s="311">
        <v>0.50922631521445705</v>
      </c>
      <c r="V38" s="311">
        <v>0.59682409067969178</v>
      </c>
      <c r="W38" s="311">
        <v>0.54489082739939743</v>
      </c>
      <c r="X38" s="311">
        <v>0.40695570312425838</v>
      </c>
      <c r="Y38" s="311">
        <v>0.40330173290223481</v>
      </c>
      <c r="Z38" s="311">
        <v>0.51779738337743531</v>
      </c>
      <c r="AA38" s="311">
        <v>0.90633264586866868</v>
      </c>
      <c r="AB38" s="311">
        <v>0.50153664583874424</v>
      </c>
      <c r="AC38" s="311">
        <v>0.56836381788363333</v>
      </c>
      <c r="AD38" s="311">
        <v>0.55814747093705652</v>
      </c>
      <c r="AE38" s="311">
        <v>0.47504847237174613</v>
      </c>
      <c r="AF38" s="311">
        <v>0.48807807722885355</v>
      </c>
      <c r="AG38" s="311">
        <v>0.51933063777368127</v>
      </c>
      <c r="AH38" s="311" t="str">
        <f>IFERROR(-#REF!/(#REF!+#REF!),"")</f>
        <v/>
      </c>
      <c r="AI38" s="311" t="str">
        <f>IFERROR(-#REF!/(#REF!+#REF!),"")</f>
        <v/>
      </c>
      <c r="AJ38" s="311" t="str">
        <f>IFERROR(-#REF!/(#REF!+#REF!),"")</f>
        <v/>
      </c>
      <c r="AK38" s="311" t="str">
        <f>IFERROR(-#REF!/(#REF!+#REF!),"")</f>
        <v/>
      </c>
      <c r="AL38" s="311" t="str">
        <f>IFERROR(-#REF!/(#REF!+#REF!),"")</f>
        <v/>
      </c>
      <c r="AM38" s="311" t="str">
        <f>IFERROR(-#REF!/(#REF!+#REF!),"")</f>
        <v/>
      </c>
      <c r="AN38" s="441" t="str">
        <f>IFERROR(-#REF!/(#REF!+#REF!),"")</f>
        <v/>
      </c>
      <c r="AO38" s="114" t="str">
        <f>IFERROR(-#REF!/(#REF!+#REF!),"")</f>
        <v/>
      </c>
      <c r="AP38" s="114" t="str">
        <f>IFERROR(-#REF!/(#REF!+#REF!),"")</f>
        <v/>
      </c>
      <c r="AQ38" s="114"/>
      <c r="AR38" s="168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A578E-D325-47E6-85C2-8F22C6C862D1}">
  <dimension ref="A1:AF117"/>
  <sheetViews>
    <sheetView showGridLines="0" showRowColHeaders="0" topLeftCell="A4" zoomScale="85" zoomScaleNormal="85" workbookViewId="0">
      <selection activeCell="M8" sqref="M8"/>
    </sheetView>
  </sheetViews>
  <sheetFormatPr defaultRowHeight="15"/>
  <cols>
    <col min="1" max="1" width="42.28515625" style="20" bestFit="1" customWidth="1"/>
    <col min="2" max="2" width="36.28515625" style="20" bestFit="1" customWidth="1"/>
    <col min="3" max="3" width="38" style="20" bestFit="1" customWidth="1"/>
    <col min="4" max="4" width="30.7109375" style="20" bestFit="1" customWidth="1"/>
    <col min="5" max="5" width="38" style="20" bestFit="1" customWidth="1"/>
    <col min="6" max="6" width="29.5703125" style="20" bestFit="1" customWidth="1"/>
    <col min="7" max="7" width="42.5703125" style="20" bestFit="1" customWidth="1"/>
  </cols>
  <sheetData>
    <row r="1" spans="1:32" ht="15" customHeight="1">
      <c r="A1" s="619"/>
      <c r="B1" s="619"/>
      <c r="C1" s="619"/>
      <c r="D1" s="619"/>
      <c r="E1" s="619"/>
      <c r="F1" s="631"/>
      <c r="G1" s="630"/>
    </row>
    <row r="2" spans="1:32" ht="15" customHeight="1">
      <c r="A2" s="619"/>
      <c r="B2" s="621"/>
      <c r="C2" s="621"/>
      <c r="D2" s="621"/>
      <c r="E2" s="621"/>
      <c r="F2" s="632"/>
      <c r="G2" s="630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</row>
    <row r="3" spans="1:32" ht="23.25">
      <c r="A3" s="635"/>
      <c r="B3" s="635"/>
      <c r="C3" s="619"/>
      <c r="D3" s="619"/>
      <c r="E3" s="619"/>
      <c r="F3" s="631"/>
      <c r="G3" s="630"/>
    </row>
    <row r="4" spans="1:32">
      <c r="A4" s="619"/>
      <c r="B4" s="619"/>
      <c r="C4" s="619"/>
      <c r="D4" s="619"/>
      <c r="E4" s="619"/>
      <c r="F4" s="631"/>
      <c r="G4" s="630"/>
    </row>
    <row r="5" spans="1:32" ht="15.75">
      <c r="A5" s="619"/>
      <c r="B5" s="621"/>
      <c r="C5" s="621"/>
      <c r="D5" s="621"/>
      <c r="E5" s="621"/>
      <c r="F5" s="632"/>
      <c r="G5" s="630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  <c r="U5" s="693"/>
      <c r="V5" s="693"/>
      <c r="W5" s="693"/>
      <c r="X5" s="693"/>
      <c r="Y5" s="693"/>
      <c r="Z5" s="693"/>
      <c r="AA5" s="693"/>
      <c r="AB5" s="693"/>
      <c r="AC5" s="693"/>
      <c r="AD5" s="693"/>
      <c r="AE5" s="693"/>
      <c r="AF5" s="693"/>
    </row>
    <row r="6" spans="1:32" ht="41.1" customHeight="1">
      <c r="A6" s="635" t="s">
        <v>942</v>
      </c>
      <c r="B6" s="635"/>
      <c r="C6" s="619"/>
      <c r="D6" s="619"/>
      <c r="E6" s="619"/>
      <c r="F6" s="631"/>
      <c r="G6" s="630"/>
    </row>
    <row r="7" spans="1:32" s="20" customFormat="1" ht="23.25">
      <c r="A7" s="50"/>
      <c r="B7" s="50"/>
    </row>
    <row r="8" spans="1:32" s="2" customFormat="1" hidden="1">
      <c r="A8" s="28" t="s">
        <v>293</v>
      </c>
      <c r="B8" s="28" t="s">
        <v>943</v>
      </c>
      <c r="C8" s="28" t="s">
        <v>944</v>
      </c>
      <c r="D8" s="28" t="s">
        <v>945</v>
      </c>
      <c r="E8" s="28" t="s">
        <v>300</v>
      </c>
      <c r="F8" s="28" t="s">
        <v>946</v>
      </c>
      <c r="G8" s="28" t="s">
        <v>947</v>
      </c>
    </row>
    <row r="9" spans="1:32" s="2" customFormat="1">
      <c r="A9" s="625" t="s">
        <v>294</v>
      </c>
      <c r="B9" s="625" t="s">
        <v>292</v>
      </c>
      <c r="C9" s="625" t="s">
        <v>290</v>
      </c>
      <c r="D9" s="625" t="s">
        <v>296</v>
      </c>
      <c r="E9" s="625" t="s">
        <v>300</v>
      </c>
      <c r="F9" s="675" t="s">
        <v>948</v>
      </c>
      <c r="G9" s="645" t="s">
        <v>381</v>
      </c>
    </row>
    <row r="10" spans="1:32" s="2" customFormat="1">
      <c r="A10" s="100"/>
      <c r="B10" s="100"/>
      <c r="C10" s="100"/>
      <c r="D10" s="100"/>
      <c r="E10" s="100"/>
      <c r="F10" s="100"/>
      <c r="G10" s="100"/>
    </row>
    <row r="11" spans="1:32" ht="30">
      <c r="A11" s="101" t="s">
        <v>949</v>
      </c>
      <c r="B11" s="101" t="s">
        <v>950</v>
      </c>
      <c r="C11" s="20" t="s">
        <v>951</v>
      </c>
      <c r="D11" s="793" t="s">
        <v>952</v>
      </c>
      <c r="E11" s="101" t="s">
        <v>953</v>
      </c>
      <c r="F11" s="101" t="s">
        <v>954</v>
      </c>
      <c r="G11" s="101" t="s">
        <v>955</v>
      </c>
    </row>
    <row r="12" spans="1:32" ht="30">
      <c r="A12" s="101" t="s">
        <v>956</v>
      </c>
      <c r="B12" s="101" t="s">
        <v>957</v>
      </c>
      <c r="C12" s="20" t="s">
        <v>958</v>
      </c>
      <c r="E12" s="101" t="s">
        <v>959</v>
      </c>
      <c r="G12" s="101" t="s">
        <v>960</v>
      </c>
    </row>
    <row r="13" spans="1:32">
      <c r="A13" s="20" t="s">
        <v>961</v>
      </c>
      <c r="B13" s="20" t="s">
        <v>962</v>
      </c>
      <c r="C13" s="20" t="s">
        <v>963</v>
      </c>
      <c r="E13" s="101" t="s">
        <v>964</v>
      </c>
      <c r="G13" s="101" t="s">
        <v>965</v>
      </c>
    </row>
    <row r="14" spans="1:32" ht="30">
      <c r="C14" s="20" t="s">
        <v>966</v>
      </c>
      <c r="E14" s="101" t="s">
        <v>967</v>
      </c>
      <c r="G14" s="101" t="s">
        <v>968</v>
      </c>
    </row>
    <row r="15" spans="1:32">
      <c r="C15" s="20" t="s">
        <v>969</v>
      </c>
      <c r="E15" s="101" t="s">
        <v>970</v>
      </c>
      <c r="G15" s="101" t="s">
        <v>971</v>
      </c>
    </row>
    <row r="16" spans="1:32" ht="30">
      <c r="C16" s="20" t="s">
        <v>972</v>
      </c>
      <c r="E16" s="101" t="s">
        <v>973</v>
      </c>
      <c r="G16" s="101" t="s">
        <v>974</v>
      </c>
    </row>
    <row r="17" spans="3:7">
      <c r="C17" s="20" t="s">
        <v>975</v>
      </c>
      <c r="E17" s="101" t="s">
        <v>976</v>
      </c>
      <c r="G17" s="101" t="s">
        <v>977</v>
      </c>
    </row>
    <row r="18" spans="3:7" ht="30">
      <c r="C18" s="20" t="s">
        <v>978</v>
      </c>
      <c r="E18" s="20" t="s">
        <v>979</v>
      </c>
      <c r="G18" s="101" t="s">
        <v>980</v>
      </c>
    </row>
    <row r="19" spans="3:7">
      <c r="C19" s="20" t="s">
        <v>981</v>
      </c>
      <c r="G19" s="101" t="s">
        <v>982</v>
      </c>
    </row>
    <row r="20" spans="3:7">
      <c r="C20" s="20" t="s">
        <v>983</v>
      </c>
      <c r="G20" s="101" t="s">
        <v>984</v>
      </c>
    </row>
    <row r="21" spans="3:7">
      <c r="C21" s="20" t="s">
        <v>985</v>
      </c>
      <c r="G21" s="101" t="s">
        <v>986</v>
      </c>
    </row>
    <row r="22" spans="3:7">
      <c r="C22" s="20" t="s">
        <v>987</v>
      </c>
      <c r="G22" s="101" t="s">
        <v>988</v>
      </c>
    </row>
    <row r="23" spans="3:7" ht="30">
      <c r="C23" s="20" t="s">
        <v>989</v>
      </c>
      <c r="G23" s="101" t="s">
        <v>990</v>
      </c>
    </row>
    <row r="24" spans="3:7">
      <c r="C24" s="20" t="s">
        <v>991</v>
      </c>
      <c r="G24" s="101" t="s">
        <v>992</v>
      </c>
    </row>
    <row r="25" spans="3:7">
      <c r="C25" s="20" t="s">
        <v>993</v>
      </c>
      <c r="G25" s="101" t="s">
        <v>994</v>
      </c>
    </row>
    <row r="26" spans="3:7">
      <c r="C26" s="20" t="s">
        <v>995</v>
      </c>
      <c r="G26" s="101" t="s">
        <v>996</v>
      </c>
    </row>
    <row r="27" spans="3:7">
      <c r="C27" s="20" t="s">
        <v>997</v>
      </c>
      <c r="G27" s="101" t="s">
        <v>998</v>
      </c>
    </row>
    <row r="28" spans="3:7">
      <c r="C28" s="20" t="s">
        <v>999</v>
      </c>
      <c r="G28" s="101" t="s">
        <v>1000</v>
      </c>
    </row>
    <row r="29" spans="3:7">
      <c r="C29" s="20" t="s">
        <v>1001</v>
      </c>
      <c r="G29" s="101" t="s">
        <v>1002</v>
      </c>
    </row>
    <row r="30" spans="3:7">
      <c r="C30" s="20" t="s">
        <v>1003</v>
      </c>
      <c r="G30" s="101" t="s">
        <v>1004</v>
      </c>
    </row>
    <row r="31" spans="3:7">
      <c r="C31" s="20" t="s">
        <v>1005</v>
      </c>
      <c r="G31" s="101" t="s">
        <v>1006</v>
      </c>
    </row>
    <row r="32" spans="3:7">
      <c r="C32" s="20" t="s">
        <v>1007</v>
      </c>
      <c r="G32" s="101" t="s">
        <v>1008</v>
      </c>
    </row>
    <row r="33" spans="3:7">
      <c r="C33" s="20" t="s">
        <v>1009</v>
      </c>
      <c r="G33" s="101" t="s">
        <v>1010</v>
      </c>
    </row>
    <row r="34" spans="3:7">
      <c r="C34" s="20" t="s">
        <v>1011</v>
      </c>
      <c r="G34" s="101" t="s">
        <v>1012</v>
      </c>
    </row>
    <row r="35" spans="3:7">
      <c r="C35" s="101" t="s">
        <v>1013</v>
      </c>
      <c r="G35" s="101" t="s">
        <v>1014</v>
      </c>
    </row>
    <row r="36" spans="3:7">
      <c r="C36" s="101" t="s">
        <v>1015</v>
      </c>
      <c r="G36" s="101" t="s">
        <v>1016</v>
      </c>
    </row>
    <row r="37" spans="3:7">
      <c r="C37" s="20" t="s">
        <v>1017</v>
      </c>
      <c r="G37" s="101" t="s">
        <v>1018</v>
      </c>
    </row>
    <row r="38" spans="3:7">
      <c r="G38" s="101" t="s">
        <v>1019</v>
      </c>
    </row>
    <row r="39" spans="3:7">
      <c r="G39" s="101" t="s">
        <v>1020</v>
      </c>
    </row>
    <row r="40" spans="3:7">
      <c r="G40" s="101" t="s">
        <v>1021</v>
      </c>
    </row>
    <row r="41" spans="3:7">
      <c r="G41" s="101" t="s">
        <v>1022</v>
      </c>
    </row>
    <row r="42" spans="3:7">
      <c r="G42" s="101" t="s">
        <v>1023</v>
      </c>
    </row>
    <row r="43" spans="3:7">
      <c r="G43" s="101" t="s">
        <v>1024</v>
      </c>
    </row>
    <row r="44" spans="3:7">
      <c r="G44" s="20" t="s">
        <v>1025</v>
      </c>
    </row>
    <row r="45" spans="3:7">
      <c r="G45" s="20" t="s">
        <v>1026</v>
      </c>
    </row>
    <row r="46" spans="3:7">
      <c r="G46" s="20" t="s">
        <v>1027</v>
      </c>
    </row>
    <row r="47" spans="3:7">
      <c r="G47" s="101" t="s">
        <v>1028</v>
      </c>
    </row>
    <row r="48" spans="3:7">
      <c r="G48" s="101" t="s">
        <v>1029</v>
      </c>
    </row>
    <row r="49" spans="7:7">
      <c r="G49" s="101" t="s">
        <v>1030</v>
      </c>
    </row>
    <row r="50" spans="7:7">
      <c r="G50" s="101" t="s">
        <v>1031</v>
      </c>
    </row>
    <row r="51" spans="7:7">
      <c r="G51" s="101" t="s">
        <v>1032</v>
      </c>
    </row>
    <row r="52" spans="7:7">
      <c r="G52" s="101" t="s">
        <v>1033</v>
      </c>
    </row>
    <row r="53" spans="7:7">
      <c r="G53" s="101" t="s">
        <v>1034</v>
      </c>
    </row>
    <row r="54" spans="7:7">
      <c r="G54" s="101" t="s">
        <v>1035</v>
      </c>
    </row>
    <row r="55" spans="7:7">
      <c r="G55" s="101" t="s">
        <v>1036</v>
      </c>
    </row>
    <row r="56" spans="7:7">
      <c r="G56" s="101" t="s">
        <v>1037</v>
      </c>
    </row>
    <row r="57" spans="7:7">
      <c r="G57" s="101" t="s">
        <v>1038</v>
      </c>
    </row>
    <row r="58" spans="7:7">
      <c r="G58" s="101" t="s">
        <v>1039</v>
      </c>
    </row>
    <row r="59" spans="7:7">
      <c r="G59" s="101" t="s">
        <v>1040</v>
      </c>
    </row>
    <row r="60" spans="7:7">
      <c r="G60" s="20" t="s">
        <v>1041</v>
      </c>
    </row>
    <row r="61" spans="7:7">
      <c r="G61" s="101" t="s">
        <v>1042</v>
      </c>
    </row>
    <row r="62" spans="7:7">
      <c r="G62" s="20" t="s">
        <v>1043</v>
      </c>
    </row>
    <row r="63" spans="7:7">
      <c r="G63" s="101" t="s">
        <v>1044</v>
      </c>
    </row>
    <row r="64" spans="7:7">
      <c r="G64" s="20" t="s">
        <v>1045</v>
      </c>
    </row>
    <row r="65" spans="7:7">
      <c r="G65" s="101" t="s">
        <v>1046</v>
      </c>
    </row>
    <row r="66" spans="7:7">
      <c r="G66" s="101" t="s">
        <v>1047</v>
      </c>
    </row>
    <row r="67" spans="7:7">
      <c r="G67" s="101" t="s">
        <v>1048</v>
      </c>
    </row>
    <row r="68" spans="7:7">
      <c r="G68" s="101" t="s">
        <v>1049</v>
      </c>
    </row>
    <row r="69" spans="7:7">
      <c r="G69" s="101" t="s">
        <v>1050</v>
      </c>
    </row>
    <row r="70" spans="7:7">
      <c r="G70" s="101" t="s">
        <v>1051</v>
      </c>
    </row>
    <row r="71" spans="7:7">
      <c r="G71" s="101" t="s">
        <v>1052</v>
      </c>
    </row>
    <row r="72" spans="7:7">
      <c r="G72" s="101" t="s">
        <v>1053</v>
      </c>
    </row>
    <row r="73" spans="7:7">
      <c r="G73" s="101" t="s">
        <v>1054</v>
      </c>
    </row>
    <row r="74" spans="7:7">
      <c r="G74" s="101" t="s">
        <v>1055</v>
      </c>
    </row>
    <row r="75" spans="7:7">
      <c r="G75" s="101" t="s">
        <v>1056</v>
      </c>
    </row>
    <row r="76" spans="7:7">
      <c r="G76" s="101" t="s">
        <v>1057</v>
      </c>
    </row>
    <row r="77" spans="7:7">
      <c r="G77" s="101" t="s">
        <v>1058</v>
      </c>
    </row>
    <row r="78" spans="7:7">
      <c r="G78" s="101" t="s">
        <v>1059</v>
      </c>
    </row>
    <row r="79" spans="7:7">
      <c r="G79" s="101" t="s">
        <v>1060</v>
      </c>
    </row>
    <row r="80" spans="7:7">
      <c r="G80" s="101" t="s">
        <v>1061</v>
      </c>
    </row>
    <row r="81" spans="7:7">
      <c r="G81" s="101" t="s">
        <v>1062</v>
      </c>
    </row>
    <row r="82" spans="7:7">
      <c r="G82" s="20" t="s">
        <v>1063</v>
      </c>
    </row>
    <row r="83" spans="7:7">
      <c r="G83" s="20" t="s">
        <v>1064</v>
      </c>
    </row>
    <row r="84" spans="7:7">
      <c r="G84" s="20" t="s">
        <v>1065</v>
      </c>
    </row>
    <row r="85" spans="7:7">
      <c r="G85" s="20" t="s">
        <v>1066</v>
      </c>
    </row>
    <row r="86" spans="7:7">
      <c r="G86" s="20" t="s">
        <v>1067</v>
      </c>
    </row>
    <row r="87" spans="7:7">
      <c r="G87" s="20" t="s">
        <v>1068</v>
      </c>
    </row>
    <row r="88" spans="7:7">
      <c r="G88" s="20" t="s">
        <v>1069</v>
      </c>
    </row>
    <row r="89" spans="7:7">
      <c r="G89" s="20" t="s">
        <v>1070</v>
      </c>
    </row>
    <row r="90" spans="7:7">
      <c r="G90" s="20" t="s">
        <v>1071</v>
      </c>
    </row>
    <row r="91" spans="7:7">
      <c r="G91" s="20" t="s">
        <v>1072</v>
      </c>
    </row>
    <row r="92" spans="7:7">
      <c r="G92" s="20" t="s">
        <v>1073</v>
      </c>
    </row>
    <row r="93" spans="7:7">
      <c r="G93" s="20" t="s">
        <v>1074</v>
      </c>
    </row>
    <row r="94" spans="7:7">
      <c r="G94" s="20" t="s">
        <v>1075</v>
      </c>
    </row>
    <row r="95" spans="7:7">
      <c r="G95" s="20" t="s">
        <v>1076</v>
      </c>
    </row>
    <row r="96" spans="7:7">
      <c r="G96" s="20" t="s">
        <v>1077</v>
      </c>
    </row>
    <row r="97" spans="7:7">
      <c r="G97" s="20" t="s">
        <v>1078</v>
      </c>
    </row>
    <row r="98" spans="7:7">
      <c r="G98" s="20" t="s">
        <v>1079</v>
      </c>
    </row>
    <row r="99" spans="7:7">
      <c r="G99" s="20" t="s">
        <v>1080</v>
      </c>
    </row>
    <row r="100" spans="7:7">
      <c r="G100" s="20" t="s">
        <v>1081</v>
      </c>
    </row>
    <row r="101" spans="7:7">
      <c r="G101" s="20" t="s">
        <v>1082</v>
      </c>
    </row>
    <row r="102" spans="7:7">
      <c r="G102" s="20" t="s">
        <v>1083</v>
      </c>
    </row>
    <row r="103" spans="7:7">
      <c r="G103" s="20" t="s">
        <v>1084</v>
      </c>
    </row>
    <row r="104" spans="7:7">
      <c r="G104" s="20" t="s">
        <v>1085</v>
      </c>
    </row>
    <row r="105" spans="7:7">
      <c r="G105" s="20" t="s">
        <v>1086</v>
      </c>
    </row>
    <row r="106" spans="7:7">
      <c r="G106" s="20" t="s">
        <v>1087</v>
      </c>
    </row>
    <row r="107" spans="7:7">
      <c r="G107" s="20" t="s">
        <v>1088</v>
      </c>
    </row>
    <row r="108" spans="7:7">
      <c r="G108" s="20" t="s">
        <v>1089</v>
      </c>
    </row>
    <row r="109" spans="7:7">
      <c r="G109" s="20" t="s">
        <v>1090</v>
      </c>
    </row>
    <row r="110" spans="7:7">
      <c r="G110" s="20" t="s">
        <v>1091</v>
      </c>
    </row>
    <row r="111" spans="7:7">
      <c r="G111" s="20" t="s">
        <v>1092</v>
      </c>
    </row>
    <row r="112" spans="7:7">
      <c r="G112" s="20" t="s">
        <v>1093</v>
      </c>
    </row>
    <row r="113" spans="7:7">
      <c r="G113" s="20" t="s">
        <v>1094</v>
      </c>
    </row>
    <row r="114" spans="7:7">
      <c r="G114" s="20" t="s">
        <v>1095</v>
      </c>
    </row>
    <row r="115" spans="7:7">
      <c r="G115" s="20" t="s">
        <v>1096</v>
      </c>
    </row>
    <row r="116" spans="7:7">
      <c r="G116" s="20" t="s">
        <v>1097</v>
      </c>
    </row>
    <row r="117" spans="7:7">
      <c r="G117" s="20" t="s">
        <v>1098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9BC6C-077C-4A71-8E56-7C4158F65B50}">
  <dimension ref="A1:AC241"/>
  <sheetViews>
    <sheetView showGridLines="0" showRowColHeaders="0" zoomScale="75" zoomScaleNormal="75" workbookViewId="0">
      <pane xSplit="1" ySplit="3" topLeftCell="S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70.7109375" style="243" customWidth="1"/>
    <col min="2" max="2" width="15.5703125" bestFit="1" customWidth="1"/>
    <col min="3" max="5" width="16.5703125" style="52" customWidth="1"/>
    <col min="6" max="6" width="15.42578125" bestFit="1" customWidth="1"/>
    <col min="7" max="23" width="15.42578125" customWidth="1"/>
    <col min="24" max="26" width="13.42578125" bestFit="1" customWidth="1"/>
  </cols>
  <sheetData>
    <row r="1" spans="1:29" ht="15" customHeight="1">
      <c r="A1" s="800"/>
      <c r="B1" s="619"/>
      <c r="C1" s="620"/>
      <c r="D1" s="620"/>
      <c r="E1" s="620"/>
      <c r="F1" s="620"/>
      <c r="G1" s="620"/>
      <c r="H1" s="620"/>
      <c r="I1" s="620"/>
      <c r="J1" s="620" t="s">
        <v>36</v>
      </c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31"/>
      <c r="W1" s="630"/>
    </row>
    <row r="2" spans="1:29" ht="15" customHeight="1">
      <c r="A2" s="801"/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32"/>
      <c r="W2" s="630"/>
      <c r="X2" s="104"/>
      <c r="Y2" s="104"/>
      <c r="Z2" s="104"/>
      <c r="AA2" s="104"/>
      <c r="AB2" s="104"/>
      <c r="AC2" s="104"/>
    </row>
    <row r="3" spans="1:29" ht="50.1" customHeight="1">
      <c r="A3" s="795" t="s">
        <v>37</v>
      </c>
      <c r="B3" s="635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31"/>
      <c r="W3" s="630"/>
    </row>
    <row r="4" spans="1:29" ht="10.35" customHeight="1">
      <c r="B4" s="52"/>
      <c r="F4" s="52"/>
      <c r="G4" s="52"/>
      <c r="H4" s="52"/>
      <c r="I4" s="52"/>
      <c r="J4" s="52"/>
      <c r="K4" s="52"/>
      <c r="L4" s="52"/>
      <c r="M4" s="52"/>
      <c r="N4" s="52"/>
    </row>
    <row r="5" spans="1:29" ht="23.25">
      <c r="A5" s="802" t="s">
        <v>38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05"/>
      <c r="Y5" s="105"/>
      <c r="Z5" s="105"/>
      <c r="AA5" s="105"/>
      <c r="AB5" s="105"/>
      <c r="AC5" s="105"/>
    </row>
    <row r="6" spans="1:29" ht="10.35" customHeight="1">
      <c r="B6" s="52"/>
      <c r="F6" s="52"/>
      <c r="G6" s="52"/>
      <c r="H6" s="52"/>
      <c r="I6" s="52"/>
      <c r="J6" s="52"/>
      <c r="K6" s="52"/>
      <c r="L6" s="52"/>
      <c r="M6" s="52"/>
      <c r="N6" s="52"/>
    </row>
    <row r="7" spans="1:29" ht="25.35" customHeight="1">
      <c r="A7" s="803" t="s">
        <v>39</v>
      </c>
      <c r="B7" s="643">
        <v>44196</v>
      </c>
      <c r="C7" s="643">
        <v>44286</v>
      </c>
      <c r="D7" s="643">
        <v>44377</v>
      </c>
      <c r="E7" s="643">
        <v>44469</v>
      </c>
      <c r="F7" s="643">
        <v>44561</v>
      </c>
      <c r="G7" s="643">
        <v>44621</v>
      </c>
      <c r="H7" s="643">
        <v>44713</v>
      </c>
      <c r="I7" s="643">
        <v>44805</v>
      </c>
      <c r="J7" s="643">
        <v>44896</v>
      </c>
      <c r="K7" s="643">
        <v>44986</v>
      </c>
      <c r="L7" s="643">
        <v>45078</v>
      </c>
      <c r="M7" s="643">
        <v>45170</v>
      </c>
      <c r="N7" s="643">
        <v>45261</v>
      </c>
      <c r="O7" s="643">
        <v>45352</v>
      </c>
      <c r="P7" s="643">
        <v>45444</v>
      </c>
      <c r="Q7" s="643">
        <v>45537</v>
      </c>
      <c r="R7" s="643">
        <v>45627</v>
      </c>
      <c r="S7" s="643">
        <v>45717</v>
      </c>
      <c r="T7" s="643">
        <v>45809</v>
      </c>
      <c r="U7" s="643">
        <v>45901</v>
      </c>
      <c r="V7" s="748">
        <v>45992</v>
      </c>
      <c r="W7" s="749">
        <v>46082</v>
      </c>
    </row>
    <row r="8" spans="1:29">
      <c r="A8" s="804" t="s">
        <v>5</v>
      </c>
      <c r="B8" s="634">
        <v>109868102.39094</v>
      </c>
      <c r="C8" s="638">
        <v>114207866.05253001</v>
      </c>
      <c r="D8" s="638">
        <v>118805333.14177001</v>
      </c>
      <c r="E8" s="639">
        <v>122663633.92274001</v>
      </c>
      <c r="F8" s="639">
        <v>128881452.04528999</v>
      </c>
      <c r="G8" s="639">
        <v>135190046</v>
      </c>
      <c r="H8" s="639">
        <v>142133347</v>
      </c>
      <c r="I8" s="639">
        <v>149658208</v>
      </c>
      <c r="J8" s="639">
        <v>153660546</v>
      </c>
      <c r="K8" s="639">
        <v>159025756</v>
      </c>
      <c r="L8" s="639">
        <v>165112615</v>
      </c>
      <c r="M8" s="639">
        <v>170217586</v>
      </c>
      <c r="N8" s="639">
        <v>176011419</v>
      </c>
      <c r="O8" s="639">
        <v>181102133</v>
      </c>
      <c r="P8" s="639">
        <v>184229050</v>
      </c>
      <c r="Q8" s="639">
        <v>188924180</v>
      </c>
      <c r="R8" s="639">
        <v>193409442</v>
      </c>
      <c r="S8" s="639">
        <f>S9+S18</f>
        <v>199585088</v>
      </c>
      <c r="T8" s="639">
        <f>T9+T18</f>
        <v>205501506</v>
      </c>
      <c r="U8" s="639">
        <f>U9+U18</f>
        <v>212497233</v>
      </c>
      <c r="V8" s="639">
        <f>V9+V18</f>
        <v>219203821</v>
      </c>
      <c r="W8" s="639">
        <f>W9+W18</f>
        <v>227610538</v>
      </c>
      <c r="X8" s="52"/>
      <c r="Y8" s="52"/>
      <c r="Z8" s="52"/>
    </row>
    <row r="9" spans="1:29">
      <c r="A9" s="805" t="s">
        <v>40</v>
      </c>
      <c r="B9" s="85">
        <v>96454095.731260002</v>
      </c>
      <c r="C9" s="85">
        <v>100351728.03817998</v>
      </c>
      <c r="D9" s="85">
        <v>102419275.25995989</v>
      </c>
      <c r="E9" s="80">
        <v>106435698.38779005</v>
      </c>
      <c r="F9" s="80">
        <v>112494024.76061001</v>
      </c>
      <c r="G9" s="80">
        <v>122513027</v>
      </c>
      <c r="H9" s="80">
        <v>129075739</v>
      </c>
      <c r="I9" s="80">
        <v>137878458</v>
      </c>
      <c r="J9" s="80">
        <v>140365214</v>
      </c>
      <c r="K9" s="80">
        <v>144461038</v>
      </c>
      <c r="L9" s="80">
        <v>149208801</v>
      </c>
      <c r="M9" s="80">
        <v>153691358</v>
      </c>
      <c r="N9" s="80">
        <v>159218493</v>
      </c>
      <c r="O9" s="80">
        <v>164790396</v>
      </c>
      <c r="P9" s="80">
        <v>167358513</v>
      </c>
      <c r="Q9" s="80">
        <v>172388547</v>
      </c>
      <c r="R9" s="80">
        <v>177368369</v>
      </c>
      <c r="S9" s="80">
        <f>SUM(S10:S17)</f>
        <v>182657767</v>
      </c>
      <c r="T9" s="80">
        <f t="shared" ref="T9:U9" si="0">SUM(T10:T17)</f>
        <v>189409708</v>
      </c>
      <c r="U9" s="80">
        <f t="shared" si="0"/>
        <v>197621912</v>
      </c>
      <c r="V9" s="80">
        <f>SUM(V10:V17)</f>
        <v>205666663</v>
      </c>
      <c r="W9" s="80">
        <f>SUM(W10:W17)</f>
        <v>213464641</v>
      </c>
      <c r="X9" s="52"/>
      <c r="Y9" s="52"/>
      <c r="Z9" s="52"/>
    </row>
    <row r="10" spans="1:29">
      <c r="A10" s="806" t="s">
        <v>7</v>
      </c>
      <c r="B10" s="81">
        <v>389119.2907999999</v>
      </c>
      <c r="C10" s="81">
        <v>222566.36987000011</v>
      </c>
      <c r="D10" s="81">
        <v>355366.71897999983</v>
      </c>
      <c r="E10" s="81">
        <v>390597.0970199997</v>
      </c>
      <c r="F10" s="81">
        <v>330832.36920999963</v>
      </c>
      <c r="G10" s="81">
        <v>302054</v>
      </c>
      <c r="H10" s="81">
        <v>301858</v>
      </c>
      <c r="I10" s="81">
        <v>233763</v>
      </c>
      <c r="J10" s="81">
        <v>189283</v>
      </c>
      <c r="K10" s="81">
        <v>173705</v>
      </c>
      <c r="L10" s="81">
        <v>246206</v>
      </c>
      <c r="M10" s="81">
        <v>278640</v>
      </c>
      <c r="N10" s="81">
        <v>205230</v>
      </c>
      <c r="O10" s="81">
        <v>182633</v>
      </c>
      <c r="P10" s="81">
        <v>212334</v>
      </c>
      <c r="Q10" s="81">
        <v>188642</v>
      </c>
      <c r="R10" s="81">
        <v>174132</v>
      </c>
      <c r="S10" s="81">
        <v>140160</v>
      </c>
      <c r="T10" s="81">
        <v>110488</v>
      </c>
      <c r="U10" s="81">
        <v>145658</v>
      </c>
      <c r="V10" s="81">
        <v>117772</v>
      </c>
      <c r="W10" s="81">
        <v>160191</v>
      </c>
      <c r="X10" s="52"/>
      <c r="Y10" s="52"/>
      <c r="Z10" s="52"/>
    </row>
    <row r="11" spans="1:29">
      <c r="A11" s="807" t="s">
        <v>41</v>
      </c>
      <c r="B11" s="81">
        <v>94609627.99036999</v>
      </c>
      <c r="C11" s="81">
        <v>98032056.88511999</v>
      </c>
      <c r="D11" s="81">
        <v>100584758.53141995</v>
      </c>
      <c r="E11" s="81">
        <v>104692315.06204006</v>
      </c>
      <c r="F11" s="81">
        <v>110934664.03686002</v>
      </c>
      <c r="G11" s="81">
        <v>120827585</v>
      </c>
      <c r="H11" s="81">
        <v>127491384</v>
      </c>
      <c r="I11" s="81">
        <v>136372860</v>
      </c>
      <c r="J11" s="81">
        <v>136777994</v>
      </c>
      <c r="K11" s="81">
        <v>142948383</v>
      </c>
      <c r="L11" s="81">
        <v>147669465</v>
      </c>
      <c r="M11" s="81">
        <v>152121058</v>
      </c>
      <c r="N11" s="81">
        <v>157753843</v>
      </c>
      <c r="O11" s="81">
        <v>163311880</v>
      </c>
      <c r="P11" s="81">
        <v>165707970</v>
      </c>
      <c r="Q11" s="81">
        <v>170790477</v>
      </c>
      <c r="R11" s="81">
        <v>175783271</v>
      </c>
      <c r="S11" s="81">
        <v>181284029</v>
      </c>
      <c r="T11" s="81">
        <v>187964600</v>
      </c>
      <c r="U11" s="81">
        <v>196219672</v>
      </c>
      <c r="V11" s="81">
        <v>204284326</v>
      </c>
      <c r="W11" s="81">
        <v>211677818</v>
      </c>
      <c r="X11" s="52"/>
      <c r="Y11" s="52"/>
      <c r="Z11" s="52"/>
    </row>
    <row r="12" spans="1:29">
      <c r="A12" s="808" t="s">
        <v>42</v>
      </c>
      <c r="B12" s="81">
        <v>426427.43372000265</v>
      </c>
      <c r="C12" s="81">
        <v>652646.79833000537</v>
      </c>
      <c r="D12" s="81">
        <v>661302.39206993463</v>
      </c>
      <c r="E12" s="81">
        <v>558693.40113999939</v>
      </c>
      <c r="F12" s="81">
        <v>415935.72186999908</v>
      </c>
      <c r="G12" s="81">
        <v>587600</v>
      </c>
      <c r="H12" s="81">
        <v>472671</v>
      </c>
      <c r="I12" s="81">
        <v>437338</v>
      </c>
      <c r="J12" s="81">
        <v>2586751</v>
      </c>
      <c r="K12" s="81">
        <v>520127</v>
      </c>
      <c r="L12" s="81">
        <v>466180</v>
      </c>
      <c r="M12" s="81">
        <v>458444</v>
      </c>
      <c r="N12" s="81">
        <v>413837</v>
      </c>
      <c r="O12" s="81">
        <v>443593</v>
      </c>
      <c r="P12" s="81">
        <v>587094</v>
      </c>
      <c r="Q12" s="81">
        <v>554715</v>
      </c>
      <c r="R12" s="81">
        <v>488147</v>
      </c>
      <c r="S12" s="81">
        <v>377140</v>
      </c>
      <c r="T12" s="81">
        <v>440058</v>
      </c>
      <c r="U12" s="81">
        <v>425212</v>
      </c>
      <c r="V12" s="81">
        <v>434684</v>
      </c>
      <c r="W12" s="81">
        <v>804054</v>
      </c>
      <c r="X12" s="52"/>
      <c r="Y12" s="52"/>
      <c r="Z12" s="52"/>
    </row>
    <row r="13" spans="1:29">
      <c r="A13" s="231" t="s">
        <v>43</v>
      </c>
      <c r="B13" s="81">
        <v>5046.7884099999947</v>
      </c>
      <c r="C13" s="81">
        <v>14469.100789999995</v>
      </c>
      <c r="D13" s="81">
        <v>12944.008679999997</v>
      </c>
      <c r="E13" s="81">
        <v>7710.5712200000025</v>
      </c>
      <c r="F13" s="81">
        <v>1498.587</v>
      </c>
      <c r="G13" s="81">
        <v>6159</v>
      </c>
      <c r="H13" s="81">
        <v>5874</v>
      </c>
      <c r="I13" s="81">
        <v>2019</v>
      </c>
      <c r="J13" s="81">
        <v>398</v>
      </c>
      <c r="K13" s="81">
        <v>4572</v>
      </c>
      <c r="L13" s="81">
        <v>3576</v>
      </c>
      <c r="M13" s="81">
        <v>1719</v>
      </c>
      <c r="N13" s="81">
        <v>5089</v>
      </c>
      <c r="O13" s="81">
        <v>5089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52"/>
      <c r="Y13" s="52"/>
      <c r="Z13" s="52"/>
    </row>
    <row r="14" spans="1:29">
      <c r="A14" s="231" t="s">
        <v>44</v>
      </c>
      <c r="B14" s="81">
        <v>343300.15362000006</v>
      </c>
      <c r="C14" s="81">
        <v>720131.85823000013</v>
      </c>
      <c r="D14" s="81">
        <v>80578.019140000019</v>
      </c>
      <c r="E14" s="81">
        <v>7559.1206300000013</v>
      </c>
      <c r="F14" s="81">
        <v>19676.340749999999</v>
      </c>
      <c r="G14" s="81">
        <v>15834</v>
      </c>
      <c r="H14" s="81">
        <v>16798</v>
      </c>
      <c r="I14" s="81">
        <v>8170</v>
      </c>
      <c r="J14" s="81">
        <v>9165</v>
      </c>
      <c r="K14" s="81">
        <v>9674</v>
      </c>
      <c r="L14" s="81">
        <v>7275</v>
      </c>
      <c r="M14" s="81">
        <v>5969</v>
      </c>
      <c r="N14" s="81">
        <v>4234</v>
      </c>
      <c r="O14" s="81">
        <v>4325</v>
      </c>
      <c r="P14" s="81">
        <v>3332</v>
      </c>
      <c r="Q14" s="81">
        <v>1368</v>
      </c>
      <c r="R14" s="81">
        <v>59626</v>
      </c>
      <c r="S14" s="81">
        <v>2429</v>
      </c>
      <c r="T14" s="81">
        <v>54237</v>
      </c>
      <c r="U14" s="81">
        <v>985</v>
      </c>
      <c r="V14" s="81">
        <v>1179</v>
      </c>
      <c r="W14" s="81">
        <v>1483</v>
      </c>
      <c r="X14" s="52"/>
      <c r="Y14" s="52"/>
      <c r="Z14" s="52"/>
    </row>
    <row r="15" spans="1:29">
      <c r="A15" s="806" t="s">
        <v>45</v>
      </c>
      <c r="B15" s="81">
        <v>678494.85106000048</v>
      </c>
      <c r="C15" s="81">
        <v>699965.38135999837</v>
      </c>
      <c r="D15" s="81">
        <v>722135.8268499996</v>
      </c>
      <c r="E15" s="81">
        <v>765370.86414999969</v>
      </c>
      <c r="F15" s="81">
        <v>778004.05178999924</v>
      </c>
      <c r="G15" s="81">
        <v>769986</v>
      </c>
      <c r="H15" s="81">
        <v>779836</v>
      </c>
      <c r="I15" s="81">
        <v>813012</v>
      </c>
      <c r="J15" s="81">
        <v>794373</v>
      </c>
      <c r="K15" s="81">
        <v>799011</v>
      </c>
      <c r="L15" s="81">
        <v>809561</v>
      </c>
      <c r="M15" s="81">
        <v>820195</v>
      </c>
      <c r="N15" s="81">
        <v>832860</v>
      </c>
      <c r="O15" s="81">
        <v>836347</v>
      </c>
      <c r="P15" s="81">
        <v>843923</v>
      </c>
      <c r="Q15" s="81">
        <v>850144</v>
      </c>
      <c r="R15" s="81">
        <v>853546</v>
      </c>
      <c r="S15" s="81">
        <v>841312</v>
      </c>
      <c r="T15" s="81">
        <v>824650</v>
      </c>
      <c r="U15" s="81">
        <v>823035</v>
      </c>
      <c r="V15" s="81">
        <v>805528</v>
      </c>
      <c r="W15" s="81">
        <v>787175</v>
      </c>
      <c r="X15" s="52"/>
      <c r="Y15" s="52"/>
      <c r="Z15" s="52"/>
    </row>
    <row r="16" spans="1:29">
      <c r="A16" s="806" t="s">
        <v>13</v>
      </c>
      <c r="B16" s="81">
        <v>2079.2232800000234</v>
      </c>
      <c r="C16" s="81">
        <v>2084.0255099999736</v>
      </c>
      <c r="D16" s="81">
        <v>2189.7628199999622</v>
      </c>
      <c r="E16" s="81">
        <v>13452.271589999989</v>
      </c>
      <c r="F16" s="81">
        <v>13413.653129999982</v>
      </c>
      <c r="G16" s="81">
        <v>3809</v>
      </c>
      <c r="H16" s="81">
        <v>7318</v>
      </c>
      <c r="I16" s="81">
        <v>11296</v>
      </c>
      <c r="J16" s="81">
        <v>7250</v>
      </c>
      <c r="K16" s="81">
        <v>5566</v>
      </c>
      <c r="L16" s="81">
        <v>6538</v>
      </c>
      <c r="M16" s="81">
        <v>5333</v>
      </c>
      <c r="N16" s="81">
        <v>3400</v>
      </c>
      <c r="O16" s="81">
        <v>6529</v>
      </c>
      <c r="P16" s="81">
        <v>3860</v>
      </c>
      <c r="Q16" s="81">
        <v>3201</v>
      </c>
      <c r="R16" s="81">
        <v>9647</v>
      </c>
      <c r="S16" s="81">
        <v>12697</v>
      </c>
      <c r="T16" s="81">
        <v>15675</v>
      </c>
      <c r="U16" s="81">
        <v>7350</v>
      </c>
      <c r="V16" s="81">
        <v>23174</v>
      </c>
      <c r="W16" s="81">
        <v>33920</v>
      </c>
      <c r="X16" s="52"/>
      <c r="Y16" s="52"/>
      <c r="Z16" s="52"/>
    </row>
    <row r="17" spans="1:26">
      <c r="A17" s="806" t="s">
        <v>46</v>
      </c>
      <c r="B17" s="81">
        <v>0</v>
      </c>
      <c r="C17" s="81">
        <v>7807.6189699999995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52"/>
      <c r="Y17" s="52"/>
      <c r="Z17" s="52"/>
    </row>
    <row r="18" spans="1:26">
      <c r="A18" s="805" t="s">
        <v>47</v>
      </c>
      <c r="B18" s="85">
        <v>13414006.659680001</v>
      </c>
      <c r="C18" s="85">
        <v>13856138.014350001</v>
      </c>
      <c r="D18" s="85">
        <v>16386057.88181</v>
      </c>
      <c r="E18" s="80">
        <v>16227935.534949999</v>
      </c>
      <c r="F18" s="80">
        <v>16387427.284679996</v>
      </c>
      <c r="G18" s="80">
        <v>12677019</v>
      </c>
      <c r="H18" s="80">
        <v>13057608</v>
      </c>
      <c r="I18" s="80">
        <v>11779750</v>
      </c>
      <c r="J18" s="80">
        <v>13295332</v>
      </c>
      <c r="K18" s="80">
        <v>14564718</v>
      </c>
      <c r="L18" s="80">
        <v>15903814</v>
      </c>
      <c r="M18" s="80">
        <v>16526228</v>
      </c>
      <c r="N18" s="80">
        <v>16792926</v>
      </c>
      <c r="O18" s="80">
        <v>16311737</v>
      </c>
      <c r="P18" s="80">
        <v>16870536</v>
      </c>
      <c r="Q18" s="80">
        <v>16535633</v>
      </c>
      <c r="R18" s="80">
        <v>16041073</v>
      </c>
      <c r="S18" s="80">
        <f>SUM(S19:S26)</f>
        <v>16927321</v>
      </c>
      <c r="T18" s="80">
        <f>SUM(T19:T26)</f>
        <v>16091798</v>
      </c>
      <c r="U18" s="80">
        <f>SUM(U19:U26)</f>
        <v>14875321</v>
      </c>
      <c r="V18" s="80">
        <f>SUM(V19:V26)</f>
        <v>13537158</v>
      </c>
      <c r="W18" s="80">
        <f>SUM(W19:W26)</f>
        <v>14145897</v>
      </c>
      <c r="X18" s="52"/>
      <c r="Y18" s="52"/>
      <c r="Z18" s="52"/>
    </row>
    <row r="19" spans="1:26">
      <c r="A19" s="807" t="s">
        <v>41</v>
      </c>
      <c r="B19" s="81">
        <v>4236912.0712600006</v>
      </c>
      <c r="C19" s="81">
        <v>4586414.4161100015</v>
      </c>
      <c r="D19" s="81">
        <v>7145959.6387600005</v>
      </c>
      <c r="E19" s="81">
        <v>6829381.9338099994</v>
      </c>
      <c r="F19" s="81">
        <v>6989459.4620399978</v>
      </c>
      <c r="G19" s="81">
        <v>3303160</v>
      </c>
      <c r="H19" s="81">
        <v>3694381</v>
      </c>
      <c r="I19" s="81">
        <v>2418212</v>
      </c>
      <c r="J19" s="81">
        <v>4064526</v>
      </c>
      <c r="K19" s="81">
        <v>5391796</v>
      </c>
      <c r="L19" s="81">
        <v>6885887</v>
      </c>
      <c r="M19" s="81">
        <v>7293682</v>
      </c>
      <c r="N19" s="81">
        <v>7675577</v>
      </c>
      <c r="O19" s="81">
        <v>7198572</v>
      </c>
      <c r="P19" s="81">
        <v>7685975</v>
      </c>
      <c r="Q19" s="81">
        <v>7445620</v>
      </c>
      <c r="R19" s="81">
        <v>7572816</v>
      </c>
      <c r="S19" s="81">
        <v>8556670</v>
      </c>
      <c r="T19" s="81">
        <v>7951185</v>
      </c>
      <c r="U19" s="81">
        <v>6761392</v>
      </c>
      <c r="V19" s="81">
        <v>5605887</v>
      </c>
      <c r="W19" s="81">
        <v>6232765</v>
      </c>
      <c r="X19" s="52"/>
      <c r="Y19" s="52"/>
      <c r="Z19" s="52"/>
    </row>
    <row r="20" spans="1:26">
      <c r="A20" s="231" t="s">
        <v>48</v>
      </c>
      <c r="B20" s="81">
        <v>497400.35492000007</v>
      </c>
      <c r="C20" s="81">
        <v>572859.22839999967</v>
      </c>
      <c r="D20" s="81">
        <v>586523.5644899999</v>
      </c>
      <c r="E20" s="81">
        <v>589460.82202999992</v>
      </c>
      <c r="F20" s="81">
        <v>595558.76175999991</v>
      </c>
      <c r="G20" s="81">
        <v>595809</v>
      </c>
      <c r="H20" s="81">
        <v>592968</v>
      </c>
      <c r="I20" s="81">
        <v>592183</v>
      </c>
      <c r="J20" s="81">
        <v>591734</v>
      </c>
      <c r="K20" s="81">
        <v>591260</v>
      </c>
      <c r="L20" s="81">
        <v>597230</v>
      </c>
      <c r="M20" s="81">
        <v>865185</v>
      </c>
      <c r="N20" s="81">
        <v>866641</v>
      </c>
      <c r="O20" s="81">
        <v>877680</v>
      </c>
      <c r="P20" s="81">
        <v>887942</v>
      </c>
      <c r="Q20" s="81">
        <v>898994</v>
      </c>
      <c r="R20" s="81">
        <v>180505</v>
      </c>
      <c r="S20" s="81">
        <v>180468</v>
      </c>
      <c r="T20" s="81">
        <v>183458</v>
      </c>
      <c r="U20" s="81">
        <v>189247</v>
      </c>
      <c r="V20" s="81">
        <v>195469</v>
      </c>
      <c r="W20" s="81">
        <v>204031</v>
      </c>
      <c r="X20" s="52"/>
      <c r="Y20" s="52"/>
      <c r="Z20" s="52"/>
    </row>
    <row r="21" spans="1:26">
      <c r="A21" s="231" t="s">
        <v>43</v>
      </c>
      <c r="B21" s="81"/>
      <c r="C21" s="81"/>
      <c r="D21" s="81"/>
      <c r="E21" s="81"/>
      <c r="F21" s="81"/>
      <c r="G21" s="81">
        <v>409</v>
      </c>
      <c r="H21" s="81">
        <v>408</v>
      </c>
      <c r="I21" s="81">
        <v>408</v>
      </c>
      <c r="J21" s="81">
        <v>408</v>
      </c>
      <c r="K21" s="81">
        <v>617</v>
      </c>
      <c r="L21" s="81">
        <v>617</v>
      </c>
      <c r="M21" s="81">
        <v>617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52"/>
      <c r="Y21" s="52"/>
      <c r="Z21" s="52"/>
    </row>
    <row r="22" spans="1:26">
      <c r="A22" s="806" t="s">
        <v>44</v>
      </c>
      <c r="B22" s="81">
        <v>110639.02912000001</v>
      </c>
      <c r="C22" s="81">
        <v>145008.883</v>
      </c>
      <c r="D22" s="81">
        <v>143048.70637</v>
      </c>
      <c r="E22" s="81">
        <v>286535.77319000004</v>
      </c>
      <c r="F22" s="81">
        <v>314832.92346000002</v>
      </c>
      <c r="G22" s="81">
        <v>335500</v>
      </c>
      <c r="H22" s="81">
        <v>362154</v>
      </c>
      <c r="I22" s="81">
        <v>346185</v>
      </c>
      <c r="J22" s="81">
        <v>331312</v>
      </c>
      <c r="K22" s="81">
        <v>311848</v>
      </c>
      <c r="L22" s="81">
        <v>236441</v>
      </c>
      <c r="M22" s="81">
        <v>240001</v>
      </c>
      <c r="N22" s="81">
        <v>167331</v>
      </c>
      <c r="O22" s="81">
        <v>195262</v>
      </c>
      <c r="P22" s="81">
        <v>291801</v>
      </c>
      <c r="Q22" s="81">
        <v>227938</v>
      </c>
      <c r="R22" s="81">
        <v>356552</v>
      </c>
      <c r="S22" s="81">
        <v>360715</v>
      </c>
      <c r="T22" s="81">
        <v>237424</v>
      </c>
      <c r="U22" s="81">
        <v>281840</v>
      </c>
      <c r="V22" s="81">
        <v>213285</v>
      </c>
      <c r="W22" s="81">
        <v>271189</v>
      </c>
      <c r="X22" s="52"/>
      <c r="Y22" s="52"/>
      <c r="Z22" s="52"/>
    </row>
    <row r="23" spans="1:26">
      <c r="A23" s="806" t="s">
        <v>13</v>
      </c>
      <c r="B23" s="81"/>
      <c r="C23" s="81"/>
      <c r="D23" s="81"/>
      <c r="E23" s="81"/>
      <c r="F23" s="81"/>
      <c r="G23" s="81">
        <v>122</v>
      </c>
      <c r="H23" s="81">
        <v>122</v>
      </c>
      <c r="I23" s="81">
        <v>918</v>
      </c>
      <c r="J23" s="81">
        <v>918</v>
      </c>
      <c r="K23" s="81">
        <v>918</v>
      </c>
      <c r="L23" s="81">
        <v>1040</v>
      </c>
      <c r="M23" s="81">
        <v>1040</v>
      </c>
      <c r="N23" s="81">
        <v>2297</v>
      </c>
      <c r="O23" s="81">
        <v>2297</v>
      </c>
      <c r="P23" s="81">
        <v>1502</v>
      </c>
      <c r="Q23" s="81">
        <v>1502</v>
      </c>
      <c r="R23" s="81">
        <v>1502</v>
      </c>
      <c r="S23" s="81">
        <v>1502</v>
      </c>
      <c r="T23" s="81">
        <v>1502</v>
      </c>
      <c r="U23" s="81">
        <v>1502</v>
      </c>
      <c r="V23" s="81">
        <v>1502</v>
      </c>
      <c r="W23" s="81">
        <v>1502</v>
      </c>
      <c r="X23" s="52"/>
      <c r="Y23" s="52"/>
      <c r="Z23" s="52"/>
    </row>
    <row r="24" spans="1:26">
      <c r="A24" s="806" t="s">
        <v>45</v>
      </c>
      <c r="B24" s="81">
        <v>1543378.0299100005</v>
      </c>
      <c r="C24" s="81">
        <v>1596266.5670699985</v>
      </c>
      <c r="D24" s="81">
        <v>1618524.8990400005</v>
      </c>
      <c r="E24" s="81">
        <v>1701805.63047</v>
      </c>
      <c r="F24" s="81">
        <v>1736419.533539999</v>
      </c>
      <c r="G24" s="81">
        <v>1736703</v>
      </c>
      <c r="H24" s="81">
        <v>1776877</v>
      </c>
      <c r="I24" s="81">
        <v>1864122</v>
      </c>
      <c r="J24" s="81">
        <v>1817785</v>
      </c>
      <c r="K24" s="81">
        <v>1847133</v>
      </c>
      <c r="L24" s="81">
        <v>1825815</v>
      </c>
      <c r="M24" s="81">
        <v>1832783</v>
      </c>
      <c r="N24" s="81">
        <v>1854884</v>
      </c>
      <c r="O24" s="81">
        <v>1876759</v>
      </c>
      <c r="P24" s="81">
        <v>1899929</v>
      </c>
      <c r="Q24" s="81">
        <v>1924438</v>
      </c>
      <c r="R24" s="81">
        <v>1939993</v>
      </c>
      <c r="S24" s="81">
        <v>1906541</v>
      </c>
      <c r="T24" s="81">
        <v>1862856</v>
      </c>
      <c r="U24" s="81">
        <v>1849268</v>
      </c>
      <c r="V24" s="81">
        <v>1785896</v>
      </c>
      <c r="W24" s="81">
        <v>1770553</v>
      </c>
      <c r="X24" s="52"/>
      <c r="Y24" s="52"/>
      <c r="Z24" s="52"/>
    </row>
    <row r="25" spans="1:26">
      <c r="A25" s="807" t="s">
        <v>49</v>
      </c>
      <c r="B25" s="81">
        <v>7025515.0517799994</v>
      </c>
      <c r="C25" s="81">
        <v>7025419.2551699998</v>
      </c>
      <c r="D25" s="81">
        <v>7024298.6993999993</v>
      </c>
      <c r="E25" s="81">
        <v>6812663.4475200009</v>
      </c>
      <c r="F25" s="81">
        <v>6742180.0883999998</v>
      </c>
      <c r="G25" s="81">
        <v>6672451</v>
      </c>
      <c r="H25" s="81">
        <v>6601277</v>
      </c>
      <c r="I25" s="81">
        <v>6528615</v>
      </c>
      <c r="J25" s="81">
        <v>6461355</v>
      </c>
      <c r="K25" s="81">
        <v>6392770</v>
      </c>
      <c r="L25" s="81">
        <v>6326272</v>
      </c>
      <c r="M25" s="81">
        <v>6263324</v>
      </c>
      <c r="N25" s="81">
        <v>6201505</v>
      </c>
      <c r="O25" s="81">
        <v>6132876</v>
      </c>
      <c r="P25" s="81">
        <v>6065121</v>
      </c>
      <c r="Q25" s="81">
        <v>5998931</v>
      </c>
      <c r="R25" s="81">
        <v>5950920</v>
      </c>
      <c r="S25" s="81">
        <v>5884800</v>
      </c>
      <c r="T25" s="81">
        <v>5819690</v>
      </c>
      <c r="U25" s="81">
        <v>5756374</v>
      </c>
      <c r="V25" s="81">
        <v>5701246</v>
      </c>
      <c r="W25" s="81">
        <v>5633773</v>
      </c>
      <c r="X25" s="52"/>
      <c r="Y25" s="52"/>
      <c r="Z25" s="52"/>
    </row>
    <row r="26" spans="1:26">
      <c r="A26" s="806" t="s">
        <v>50</v>
      </c>
      <c r="B26" s="81">
        <v>162.12269000000003</v>
      </c>
      <c r="C26" s="81">
        <v>-69830.335399999996</v>
      </c>
      <c r="D26" s="81">
        <v>-132297.62625</v>
      </c>
      <c r="E26" s="81">
        <v>7662.6433299999999</v>
      </c>
      <c r="F26" s="81">
        <v>8567.7614400000002</v>
      </c>
      <c r="G26" s="81">
        <v>32865</v>
      </c>
      <c r="H26" s="81">
        <v>29421</v>
      </c>
      <c r="I26" s="81">
        <v>29107</v>
      </c>
      <c r="J26" s="81">
        <v>27294</v>
      </c>
      <c r="K26" s="81">
        <v>28376</v>
      </c>
      <c r="L26" s="81">
        <v>30512</v>
      </c>
      <c r="M26" s="81">
        <v>29596</v>
      </c>
      <c r="N26" s="81">
        <v>24691</v>
      </c>
      <c r="O26" s="81">
        <v>28291</v>
      </c>
      <c r="P26" s="81">
        <v>38266</v>
      </c>
      <c r="Q26" s="81">
        <v>38210</v>
      </c>
      <c r="R26" s="81">
        <v>38785</v>
      </c>
      <c r="S26" s="81">
        <v>36625</v>
      </c>
      <c r="T26" s="81">
        <v>35683</v>
      </c>
      <c r="U26" s="81">
        <v>35698</v>
      </c>
      <c r="V26" s="81">
        <v>33873</v>
      </c>
      <c r="W26" s="81">
        <v>32084</v>
      </c>
      <c r="X26" s="52"/>
      <c r="Y26" s="52"/>
      <c r="Z26" s="52"/>
    </row>
    <row r="27" spans="1:26">
      <c r="A27" s="809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X27" s="52"/>
      <c r="Y27" s="52"/>
      <c r="Z27" s="52"/>
    </row>
    <row r="28" spans="1:26">
      <c r="A28" s="804" t="s">
        <v>17</v>
      </c>
      <c r="B28" s="633">
        <v>100193765.98298</v>
      </c>
      <c r="C28" s="638">
        <v>104323213.0308</v>
      </c>
      <c r="D28" s="638">
        <v>108602395.15493003</v>
      </c>
      <c r="E28" s="639">
        <v>112245285.61605994</v>
      </c>
      <c r="F28" s="639">
        <v>119149739.67863992</v>
      </c>
      <c r="G28" s="639">
        <v>125274962</v>
      </c>
      <c r="H28" s="639">
        <v>131804746</v>
      </c>
      <c r="I28" s="639">
        <v>139388838</v>
      </c>
      <c r="J28" s="639">
        <v>143520941</v>
      </c>
      <c r="K28" s="639">
        <v>148534406</v>
      </c>
      <c r="L28" s="639">
        <v>153948325</v>
      </c>
      <c r="M28" s="639">
        <v>159733458</v>
      </c>
      <c r="N28" s="639">
        <v>165220618</v>
      </c>
      <c r="O28" s="639">
        <v>170325996</v>
      </c>
      <c r="P28" s="639">
        <v>173784287</v>
      </c>
      <c r="Q28" s="639">
        <v>178252575</v>
      </c>
      <c r="R28" s="639">
        <v>182952521</v>
      </c>
      <c r="S28" s="639">
        <f>S29+S36</f>
        <v>189026128</v>
      </c>
      <c r="T28" s="639">
        <f>T29+T36</f>
        <v>194803053</v>
      </c>
      <c r="U28" s="639">
        <f>U29+U36</f>
        <v>201703035</v>
      </c>
      <c r="V28" s="639">
        <f>V29+V36</f>
        <v>208367219</v>
      </c>
      <c r="W28" s="639">
        <f>W29+W36</f>
        <v>216755137</v>
      </c>
      <c r="X28" s="52"/>
      <c r="Y28" s="52"/>
      <c r="Z28" s="52"/>
    </row>
    <row r="29" spans="1:26">
      <c r="A29" s="805" t="s">
        <v>51</v>
      </c>
      <c r="B29" s="85">
        <v>95812075.629359871</v>
      </c>
      <c r="C29" s="85">
        <v>99821740.383810088</v>
      </c>
      <c r="D29" s="85">
        <v>103939231.67989002</v>
      </c>
      <c r="E29" s="80">
        <v>107203092.69650994</v>
      </c>
      <c r="F29" s="80">
        <v>114130542.40228991</v>
      </c>
      <c r="G29" s="80">
        <v>120257705</v>
      </c>
      <c r="H29" s="80">
        <v>126738911</v>
      </c>
      <c r="I29" s="80">
        <v>134106372</v>
      </c>
      <c r="J29" s="80">
        <v>138305228</v>
      </c>
      <c r="K29" s="80">
        <v>143239115</v>
      </c>
      <c r="L29" s="80">
        <v>148613071</v>
      </c>
      <c r="M29" s="80">
        <v>154107884</v>
      </c>
      <c r="N29" s="80">
        <v>159532140</v>
      </c>
      <c r="O29" s="80">
        <v>164566589</v>
      </c>
      <c r="P29" s="80">
        <v>167946079</v>
      </c>
      <c r="Q29" s="80">
        <v>172314599</v>
      </c>
      <c r="R29" s="80">
        <v>177629239</v>
      </c>
      <c r="S29" s="80">
        <f>SUM(S30:S35)</f>
        <v>183774969</v>
      </c>
      <c r="T29" s="80">
        <f>SUM(T30:T35)</f>
        <v>189647431</v>
      </c>
      <c r="U29" s="80">
        <f>SUM(U30:U35)</f>
        <v>196619433</v>
      </c>
      <c r="V29" s="80">
        <f>SUM(V30:V35)</f>
        <v>203448453</v>
      </c>
      <c r="W29" s="80">
        <f>SUM(W30:W35)</f>
        <v>211960303</v>
      </c>
      <c r="X29" s="52"/>
      <c r="Y29" s="52"/>
      <c r="Z29" s="52"/>
    </row>
    <row r="30" spans="1:26">
      <c r="A30" s="806" t="s">
        <v>52</v>
      </c>
      <c r="B30" s="52">
        <v>94477508.788839892</v>
      </c>
      <c r="C30" s="52">
        <v>98179806.98879011</v>
      </c>
      <c r="D30" s="52">
        <v>102785870.01062004</v>
      </c>
      <c r="E30" s="52">
        <v>105942359.76258996</v>
      </c>
      <c r="F30" s="52">
        <v>112167575.01174997</v>
      </c>
      <c r="G30" s="52">
        <v>119110263</v>
      </c>
      <c r="H30" s="52">
        <v>125504990</v>
      </c>
      <c r="I30" s="52">
        <v>132707872</v>
      </c>
      <c r="J30" s="52">
        <v>136359190</v>
      </c>
      <c r="K30" s="52">
        <v>141008553</v>
      </c>
      <c r="L30" s="52">
        <v>147055272</v>
      </c>
      <c r="M30" s="52">
        <v>152558395</v>
      </c>
      <c r="N30" s="52">
        <v>157835182</v>
      </c>
      <c r="O30" s="52">
        <v>162538777</v>
      </c>
      <c r="P30" s="52">
        <v>166198795</v>
      </c>
      <c r="Q30" s="52">
        <v>171082183</v>
      </c>
      <c r="R30" s="52">
        <v>176215208</v>
      </c>
      <c r="S30" s="52">
        <v>182269343</v>
      </c>
      <c r="T30" s="52">
        <v>187986066</v>
      </c>
      <c r="U30" s="52">
        <v>195162300</v>
      </c>
      <c r="V30" s="52">
        <v>202622982</v>
      </c>
      <c r="W30" s="52">
        <v>210030086</v>
      </c>
      <c r="X30" s="52"/>
      <c r="Y30" s="52"/>
      <c r="Z30" s="52"/>
    </row>
    <row r="31" spans="1:26">
      <c r="A31" s="806" t="s">
        <v>53</v>
      </c>
      <c r="B31" s="52">
        <v>236125.03039999996</v>
      </c>
      <c r="C31" s="52">
        <v>297577.3028799998</v>
      </c>
      <c r="D31" s="52">
        <v>273960.10807999969</v>
      </c>
      <c r="E31" s="52">
        <v>238987.44696000023</v>
      </c>
      <c r="F31" s="52">
        <v>246376.49546999967</v>
      </c>
      <c r="G31" s="52">
        <v>293302</v>
      </c>
      <c r="H31" s="52">
        <v>385954</v>
      </c>
      <c r="I31" s="52">
        <v>470627</v>
      </c>
      <c r="J31" s="52">
        <v>411128</v>
      </c>
      <c r="K31" s="52">
        <v>455284</v>
      </c>
      <c r="L31" s="52">
        <v>423830</v>
      </c>
      <c r="M31" s="52">
        <v>367074</v>
      </c>
      <c r="N31" s="52">
        <v>387570</v>
      </c>
      <c r="O31" s="52">
        <v>378086</v>
      </c>
      <c r="P31" s="52">
        <v>399296</v>
      </c>
      <c r="Q31" s="52">
        <v>205778</v>
      </c>
      <c r="R31" s="52">
        <v>193167</v>
      </c>
      <c r="S31" s="52">
        <v>140115</v>
      </c>
      <c r="T31" s="52">
        <v>133488</v>
      </c>
      <c r="U31" s="52">
        <v>171027</v>
      </c>
      <c r="V31" s="52">
        <v>155239</v>
      </c>
      <c r="W31" s="52">
        <v>168539</v>
      </c>
      <c r="X31" s="52"/>
      <c r="Y31" s="52"/>
      <c r="Z31" s="52"/>
    </row>
    <row r="32" spans="1:26">
      <c r="A32" s="806" t="s">
        <v>54</v>
      </c>
      <c r="B32" s="52">
        <v>7111.0083100001621</v>
      </c>
      <c r="C32" s="52">
        <v>9515.6207000000104</v>
      </c>
      <c r="D32" s="52">
        <v>6424.348759999848</v>
      </c>
      <c r="E32" s="52">
        <v>10394.949509999806</v>
      </c>
      <c r="F32" s="52">
        <v>6828.2096099997443</v>
      </c>
      <c r="G32" s="52">
        <v>7600</v>
      </c>
      <c r="H32" s="52">
        <v>15324</v>
      </c>
      <c r="I32" s="52">
        <v>10261</v>
      </c>
      <c r="J32" s="52">
        <v>11256</v>
      </c>
      <c r="K32" s="52">
        <v>13663</v>
      </c>
      <c r="L32" s="52">
        <v>13172</v>
      </c>
      <c r="M32" s="52">
        <v>14405</v>
      </c>
      <c r="N32" s="52">
        <v>17591</v>
      </c>
      <c r="O32" s="52">
        <v>17906</v>
      </c>
      <c r="P32" s="52">
        <v>17589</v>
      </c>
      <c r="Q32" s="52">
        <v>18724</v>
      </c>
      <c r="R32" s="52">
        <v>19787</v>
      </c>
      <c r="S32" s="52">
        <v>14640</v>
      </c>
      <c r="T32" s="52">
        <v>16223</v>
      </c>
      <c r="U32" s="52">
        <v>19838</v>
      </c>
      <c r="V32" s="52">
        <v>20652</v>
      </c>
      <c r="W32" s="52">
        <v>21777</v>
      </c>
      <c r="X32" s="52"/>
      <c r="Y32" s="52"/>
      <c r="Z32" s="52"/>
    </row>
    <row r="33" spans="1:26">
      <c r="A33" s="806" t="s">
        <v>55</v>
      </c>
      <c r="B33" s="52">
        <v>40.282069999992849</v>
      </c>
      <c r="C33" s="52">
        <v>53.713109999999403</v>
      </c>
      <c r="D33" s="52">
        <v>0</v>
      </c>
      <c r="E33" s="52">
        <v>0</v>
      </c>
      <c r="F33" s="52">
        <v>503497.87222000002</v>
      </c>
      <c r="G33" s="52">
        <v>0</v>
      </c>
      <c r="H33" s="52">
        <v>0</v>
      </c>
      <c r="I33" s="52">
        <v>0</v>
      </c>
      <c r="J33" s="52">
        <v>645060</v>
      </c>
      <c r="K33" s="52">
        <v>885333</v>
      </c>
      <c r="L33" s="52">
        <v>0</v>
      </c>
      <c r="M33" s="52">
        <v>0</v>
      </c>
      <c r="N33" s="52">
        <v>366284</v>
      </c>
      <c r="O33" s="52">
        <v>918474</v>
      </c>
      <c r="P33" s="52">
        <v>566131</v>
      </c>
      <c r="Q33" s="52">
        <v>339196</v>
      </c>
      <c r="R33" s="52">
        <v>307950</v>
      </c>
      <c r="S33" s="52">
        <v>593154</v>
      </c>
      <c r="T33" s="52">
        <v>565846</v>
      </c>
      <c r="U33" s="52">
        <v>565756</v>
      </c>
      <c r="V33" s="52">
        <v>17390</v>
      </c>
      <c r="W33" s="52">
        <v>634331</v>
      </c>
      <c r="X33" s="52"/>
      <c r="Y33" s="52"/>
      <c r="Z33" s="52"/>
    </row>
    <row r="34" spans="1:26">
      <c r="A34" s="806" t="s">
        <v>44</v>
      </c>
      <c r="B34" s="52">
        <v>653886.31872999994</v>
      </c>
      <c r="C34" s="52">
        <v>893707.5409100001</v>
      </c>
      <c r="D34" s="52">
        <v>315134.38955999992</v>
      </c>
      <c r="E34" s="52">
        <v>455111.59907</v>
      </c>
      <c r="F34" s="52">
        <v>634190.72518000018</v>
      </c>
      <c r="G34" s="52">
        <v>181333</v>
      </c>
      <c r="H34" s="52">
        <v>206246</v>
      </c>
      <c r="I34" s="52">
        <v>243065</v>
      </c>
      <c r="J34" s="52">
        <v>321498</v>
      </c>
      <c r="K34" s="52">
        <v>277994</v>
      </c>
      <c r="L34" s="52">
        <v>335715</v>
      </c>
      <c r="M34" s="52">
        <v>419122</v>
      </c>
      <c r="N34" s="52">
        <v>490315</v>
      </c>
      <c r="O34" s="52">
        <v>299172</v>
      </c>
      <c r="P34" s="52">
        <v>326045</v>
      </c>
      <c r="Q34" s="52">
        <v>235498</v>
      </c>
      <c r="R34" s="52">
        <v>311749</v>
      </c>
      <c r="S34" s="52">
        <v>242618</v>
      </c>
      <c r="T34" s="52">
        <v>229441</v>
      </c>
      <c r="U34" s="52">
        <v>263947</v>
      </c>
      <c r="V34" s="52">
        <v>221184</v>
      </c>
      <c r="W34" s="52">
        <v>281519</v>
      </c>
      <c r="X34" s="52"/>
      <c r="Y34" s="52"/>
      <c r="Z34" s="52"/>
    </row>
    <row r="35" spans="1:26">
      <c r="A35" s="806" t="s">
        <v>33</v>
      </c>
      <c r="B35" s="52">
        <v>437404.20101000025</v>
      </c>
      <c r="C35" s="52">
        <v>441079.21741997352</v>
      </c>
      <c r="D35" s="52">
        <v>557842.82286997268</v>
      </c>
      <c r="E35" s="52">
        <v>556238.93837997864</v>
      </c>
      <c r="F35" s="52">
        <v>572074.08805995574</v>
      </c>
      <c r="G35" s="52">
        <v>665207</v>
      </c>
      <c r="H35" s="52">
        <v>626397</v>
      </c>
      <c r="I35" s="52">
        <v>674547</v>
      </c>
      <c r="J35" s="52">
        <v>557096</v>
      </c>
      <c r="K35" s="52">
        <v>598288</v>
      </c>
      <c r="L35" s="52">
        <v>785082</v>
      </c>
      <c r="M35" s="52">
        <v>748888</v>
      </c>
      <c r="N35" s="52">
        <v>435198</v>
      </c>
      <c r="O35" s="52">
        <v>414174</v>
      </c>
      <c r="P35" s="52">
        <v>438223</v>
      </c>
      <c r="Q35" s="52">
        <v>433220</v>
      </c>
      <c r="R35" s="52">
        <v>581378</v>
      </c>
      <c r="S35" s="52">
        <v>515099</v>
      </c>
      <c r="T35" s="52">
        <v>716367</v>
      </c>
      <c r="U35" s="52">
        <v>436565</v>
      </c>
      <c r="V35" s="52">
        <v>411006</v>
      </c>
      <c r="W35" s="52">
        <v>824051</v>
      </c>
      <c r="X35" s="52"/>
      <c r="Y35" s="52"/>
      <c r="Z35" s="52"/>
    </row>
    <row r="36" spans="1:26">
      <c r="A36" s="805" t="s">
        <v>56</v>
      </c>
      <c r="B36" s="85">
        <v>4381690.3536200011</v>
      </c>
      <c r="C36" s="85">
        <v>4501472.6469900003</v>
      </c>
      <c r="D36" s="85">
        <v>4663163.4750399999</v>
      </c>
      <c r="E36" s="80">
        <v>5042192.9195499998</v>
      </c>
      <c r="F36" s="80">
        <v>5019197.2763500027</v>
      </c>
      <c r="G36" s="80">
        <v>5017257</v>
      </c>
      <c r="H36" s="80">
        <v>5065835</v>
      </c>
      <c r="I36" s="80">
        <v>5282466</v>
      </c>
      <c r="J36" s="80">
        <v>5215713</v>
      </c>
      <c r="K36" s="80">
        <v>5295291</v>
      </c>
      <c r="L36" s="80">
        <v>5335254</v>
      </c>
      <c r="M36" s="80">
        <v>5625574</v>
      </c>
      <c r="N36" s="80">
        <v>5688478</v>
      </c>
      <c r="O36" s="80">
        <v>5759407</v>
      </c>
      <c r="P36" s="80">
        <v>5838208</v>
      </c>
      <c r="Q36" s="80">
        <v>5937976</v>
      </c>
      <c r="R36" s="80">
        <v>5323282</v>
      </c>
      <c r="S36" s="80">
        <f>SUM(S37:S40)</f>
        <v>5251159</v>
      </c>
      <c r="T36" s="80">
        <f t="shared" ref="T36:U36" si="1">SUM(T37:T40)</f>
        <v>5155622</v>
      </c>
      <c r="U36" s="80">
        <f t="shared" si="1"/>
        <v>5083602</v>
      </c>
      <c r="V36" s="80">
        <f>SUM(V37:V40)</f>
        <v>4918766</v>
      </c>
      <c r="W36" s="80">
        <f>SUM(W37:W40)</f>
        <v>4794834</v>
      </c>
      <c r="X36" s="52"/>
      <c r="Y36" s="52"/>
      <c r="Z36" s="52"/>
    </row>
    <row r="37" spans="1:26">
      <c r="A37" s="806" t="s">
        <v>52</v>
      </c>
      <c r="B37" s="52">
        <v>3762180.3694700003</v>
      </c>
      <c r="C37" s="52">
        <v>3905647.4907900007</v>
      </c>
      <c r="D37" s="52">
        <v>4035471.7807</v>
      </c>
      <c r="E37" s="52">
        <v>4386496.4260100005</v>
      </c>
      <c r="F37" s="52">
        <v>4420532.361920001</v>
      </c>
      <c r="G37" s="52">
        <v>4396587</v>
      </c>
      <c r="H37" s="52">
        <v>4449248</v>
      </c>
      <c r="I37" s="52">
        <v>4665865</v>
      </c>
      <c r="J37" s="52">
        <v>4590091</v>
      </c>
      <c r="K37" s="52">
        <v>4658885</v>
      </c>
      <c r="L37" s="52">
        <v>4684729</v>
      </c>
      <c r="M37" s="52">
        <v>4712066</v>
      </c>
      <c r="N37" s="52">
        <v>4786451</v>
      </c>
      <c r="O37" s="52">
        <v>4846139</v>
      </c>
      <c r="P37" s="52">
        <v>4916242</v>
      </c>
      <c r="Q37" s="52">
        <v>5004088</v>
      </c>
      <c r="R37" s="52">
        <v>5097453</v>
      </c>
      <c r="S37" s="52">
        <v>5016201</v>
      </c>
      <c r="T37" s="52">
        <v>4930242</v>
      </c>
      <c r="U37" s="52">
        <v>4861433</v>
      </c>
      <c r="V37" s="52">
        <v>4697402</v>
      </c>
      <c r="W37" s="52">
        <v>4575418</v>
      </c>
      <c r="X37" s="52"/>
      <c r="Y37" s="52"/>
      <c r="Z37" s="52"/>
    </row>
    <row r="38" spans="1:26">
      <c r="A38" s="806" t="s">
        <v>44</v>
      </c>
      <c r="B38" s="52">
        <v>80887.238689999984</v>
      </c>
      <c r="C38" s="52">
        <v>2597.7218600000006</v>
      </c>
      <c r="D38" s="52">
        <v>1256.12977</v>
      </c>
      <c r="E38" s="52">
        <v>21.108830000000001</v>
      </c>
      <c r="F38" s="52">
        <v>0</v>
      </c>
      <c r="G38" s="52">
        <v>779</v>
      </c>
      <c r="H38" s="52">
        <v>1447</v>
      </c>
      <c r="I38" s="52">
        <v>5429</v>
      </c>
      <c r="J38" s="52">
        <v>8000</v>
      </c>
      <c r="K38" s="52">
        <v>11678</v>
      </c>
      <c r="L38" s="52">
        <v>18140</v>
      </c>
      <c r="M38" s="52">
        <v>6171</v>
      </c>
      <c r="N38" s="52">
        <v>16229</v>
      </c>
      <c r="O38" s="52">
        <v>9188</v>
      </c>
      <c r="P38" s="52">
        <v>1068</v>
      </c>
      <c r="Q38" s="52">
        <v>3361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/>
      <c r="Y38" s="52"/>
      <c r="Z38" s="52"/>
    </row>
    <row r="39" spans="1:26">
      <c r="A39" s="806" t="s">
        <v>57</v>
      </c>
      <c r="B39" s="52">
        <v>538622.74546000001</v>
      </c>
      <c r="C39" s="52">
        <v>586175.96775000007</v>
      </c>
      <c r="D39" s="52">
        <v>619597.50479000004</v>
      </c>
      <c r="E39" s="52">
        <v>649054.44310000003</v>
      </c>
      <c r="F39" s="52">
        <v>592264.86691000056</v>
      </c>
      <c r="G39" s="52">
        <v>592293</v>
      </c>
      <c r="H39" s="52">
        <v>590688</v>
      </c>
      <c r="I39" s="52">
        <v>587176</v>
      </c>
      <c r="J39" s="52">
        <v>593956</v>
      </c>
      <c r="K39" s="52">
        <v>600234</v>
      </c>
      <c r="L39" s="52">
        <v>605830</v>
      </c>
      <c r="M39" s="52">
        <v>881094</v>
      </c>
      <c r="N39" s="52">
        <v>870635</v>
      </c>
      <c r="O39" s="52">
        <v>887682</v>
      </c>
      <c r="P39" s="52">
        <v>904506</v>
      </c>
      <c r="Q39" s="52">
        <v>917446</v>
      </c>
      <c r="R39" s="52">
        <v>212737</v>
      </c>
      <c r="S39" s="52">
        <v>222846</v>
      </c>
      <c r="T39" s="52">
        <v>213869</v>
      </c>
      <c r="U39" s="52">
        <v>211598</v>
      </c>
      <c r="V39" s="52">
        <v>211329</v>
      </c>
      <c r="W39" s="52">
        <v>210029</v>
      </c>
      <c r="X39" s="52"/>
      <c r="Y39" s="52"/>
      <c r="Z39" s="52"/>
    </row>
    <row r="40" spans="1:26">
      <c r="A40" s="806" t="s">
        <v>33</v>
      </c>
      <c r="B40" s="52">
        <v>0</v>
      </c>
      <c r="C40" s="52">
        <v>7051.46659</v>
      </c>
      <c r="D40" s="52">
        <v>6838.0597800000005</v>
      </c>
      <c r="E40" s="52">
        <v>6620.9416100000008</v>
      </c>
      <c r="F40" s="52">
        <v>6400.0475200000001</v>
      </c>
      <c r="G40" s="52">
        <v>27598</v>
      </c>
      <c r="H40" s="52">
        <v>24452</v>
      </c>
      <c r="I40" s="52">
        <v>23996</v>
      </c>
      <c r="J40" s="52">
        <v>23666</v>
      </c>
      <c r="K40" s="52">
        <v>24494</v>
      </c>
      <c r="L40" s="52">
        <v>26555</v>
      </c>
      <c r="M40" s="52">
        <v>26243</v>
      </c>
      <c r="N40" s="52">
        <v>15163</v>
      </c>
      <c r="O40" s="52">
        <v>16398</v>
      </c>
      <c r="P40" s="52">
        <v>16392</v>
      </c>
      <c r="Q40" s="52">
        <v>13081</v>
      </c>
      <c r="R40" s="52">
        <v>13092</v>
      </c>
      <c r="S40" s="52">
        <v>12112</v>
      </c>
      <c r="T40" s="52">
        <v>11511</v>
      </c>
      <c r="U40" s="52">
        <v>10571</v>
      </c>
      <c r="V40" s="52">
        <v>10035</v>
      </c>
      <c r="W40" s="52">
        <v>9387</v>
      </c>
      <c r="X40" s="52"/>
      <c r="Y40" s="52"/>
      <c r="Z40" s="52"/>
    </row>
    <row r="41" spans="1:26">
      <c r="A41" s="804" t="s">
        <v>25</v>
      </c>
      <c r="B41" s="633">
        <v>9674336.4079600014</v>
      </c>
      <c r="C41" s="638">
        <v>9884653.0217300002</v>
      </c>
      <c r="D41" s="638">
        <v>10202937.986839999</v>
      </c>
      <c r="E41" s="639">
        <v>10418348.306679998</v>
      </c>
      <c r="F41" s="639">
        <v>9731712.3666500002</v>
      </c>
      <c r="G41" s="639">
        <v>9915084</v>
      </c>
      <c r="H41" s="639">
        <v>10328601</v>
      </c>
      <c r="I41" s="639">
        <v>10269370</v>
      </c>
      <c r="J41" s="639">
        <v>10139604</v>
      </c>
      <c r="K41" s="639">
        <v>10491350</v>
      </c>
      <c r="L41" s="639">
        <v>11164290</v>
      </c>
      <c r="M41" s="639">
        <v>10484128</v>
      </c>
      <c r="N41" s="639">
        <v>10790801</v>
      </c>
      <c r="O41" s="639">
        <v>10776137</v>
      </c>
      <c r="P41" s="639">
        <v>10444762</v>
      </c>
      <c r="Q41" s="639">
        <v>10671601</v>
      </c>
      <c r="R41" s="639">
        <v>10456919</v>
      </c>
      <c r="S41" s="639">
        <v>10558962</v>
      </c>
      <c r="T41" s="639">
        <v>10698450.514669999</v>
      </c>
      <c r="U41" s="639">
        <v>10794197.49148</v>
      </c>
      <c r="V41" s="639">
        <v>10836601</v>
      </c>
      <c r="W41" s="639">
        <v>10855398</v>
      </c>
      <c r="X41" s="52"/>
      <c r="Y41" s="52"/>
      <c r="Z41" s="52"/>
    </row>
    <row r="42" spans="1:26">
      <c r="D42" s="660"/>
      <c r="E42" s="660"/>
      <c r="F42" s="660"/>
      <c r="S42" s="1"/>
      <c r="T42" s="1"/>
      <c r="U42" s="1"/>
      <c r="V42" s="1"/>
      <c r="W42" s="1"/>
    </row>
    <row r="43" spans="1:26">
      <c r="C43" s="52" t="s">
        <v>58</v>
      </c>
      <c r="D43" s="52">
        <v>-755239.76350001991</v>
      </c>
      <c r="E43" s="52">
        <v>-245800.59061999619</v>
      </c>
      <c r="F43" s="52">
        <v>-407152.48791001737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</row>
    <row r="44" spans="1:26" ht="25.35" customHeight="1">
      <c r="A44" s="803" t="s">
        <v>59</v>
      </c>
      <c r="B44" s="643"/>
      <c r="C44" s="643">
        <v>44286</v>
      </c>
      <c r="D44" s="661">
        <v>44377</v>
      </c>
      <c r="E44" s="661">
        <v>44469</v>
      </c>
      <c r="F44" s="661">
        <v>44531</v>
      </c>
      <c r="G44" s="643">
        <v>44621</v>
      </c>
      <c r="H44" s="643">
        <v>44713</v>
      </c>
      <c r="I44" s="643">
        <v>44805</v>
      </c>
      <c r="J44" s="643">
        <v>44896</v>
      </c>
      <c r="K44" s="643">
        <v>44986</v>
      </c>
      <c r="L44" s="643">
        <v>45078</v>
      </c>
      <c r="M44" s="643">
        <v>45170</v>
      </c>
      <c r="N44" s="643">
        <v>45261</v>
      </c>
      <c r="O44" s="643">
        <v>45352</v>
      </c>
      <c r="P44" s="643">
        <v>45444</v>
      </c>
      <c r="Q44" s="643">
        <v>45537</v>
      </c>
      <c r="R44" s="643">
        <v>45627</v>
      </c>
      <c r="S44" s="643">
        <v>45717</v>
      </c>
      <c r="T44" s="643">
        <v>45809</v>
      </c>
      <c r="U44" s="643">
        <v>45901</v>
      </c>
      <c r="V44" s="748">
        <v>45992</v>
      </c>
      <c r="W44" s="749">
        <v>46082</v>
      </c>
    </row>
    <row r="45" spans="1:26">
      <c r="A45" s="804" t="s">
        <v>5</v>
      </c>
      <c r="B45" s="633"/>
      <c r="C45" s="638">
        <v>105592836.13466001</v>
      </c>
      <c r="D45" s="638">
        <v>110220799.30454001</v>
      </c>
      <c r="E45" s="639">
        <v>112869896.97923999</v>
      </c>
      <c r="F45" s="639">
        <v>118588040.69543003</v>
      </c>
      <c r="G45" s="639">
        <v>124007563</v>
      </c>
      <c r="H45" s="639">
        <v>130366679</v>
      </c>
      <c r="I45" s="639">
        <v>136916856</v>
      </c>
      <c r="J45" s="639">
        <v>140708953</v>
      </c>
      <c r="K45" s="639">
        <v>145504316</v>
      </c>
      <c r="L45" s="639">
        <v>151057431</v>
      </c>
      <c r="M45" s="639">
        <v>156228116</v>
      </c>
      <c r="N45" s="639">
        <v>161648697</v>
      </c>
      <c r="O45" s="639">
        <v>166493498</v>
      </c>
      <c r="P45" s="639">
        <v>169282773</v>
      </c>
      <c r="Q45" s="639">
        <v>188854990</v>
      </c>
      <c r="R45" s="639">
        <v>193335275</v>
      </c>
      <c r="S45" s="639">
        <f>S46+S57</f>
        <v>199403152</v>
      </c>
      <c r="T45" s="639">
        <f>T46+T57</f>
        <v>205021186.73899999</v>
      </c>
      <c r="U45" s="639">
        <f>U46+U57</f>
        <v>212338191</v>
      </c>
      <c r="V45" s="639">
        <f>V46+V57</f>
        <v>219080524</v>
      </c>
      <c r="W45" s="639">
        <f>W46+W57</f>
        <v>227037928</v>
      </c>
      <c r="X45" s="52"/>
      <c r="Y45" s="52"/>
      <c r="Z45" s="52"/>
    </row>
    <row r="46" spans="1:26">
      <c r="A46" s="805" t="s">
        <v>40</v>
      </c>
      <c r="B46" s="218"/>
      <c r="C46" s="218">
        <v>99678133.229800001</v>
      </c>
      <c r="D46" s="218">
        <v>102920426.19033001</v>
      </c>
      <c r="E46" s="219">
        <v>105828267.08704999</v>
      </c>
      <c r="F46" s="219">
        <v>111630731.30147001</v>
      </c>
      <c r="G46" s="219">
        <v>119661895</v>
      </c>
      <c r="H46" s="219">
        <v>126053266</v>
      </c>
      <c r="I46" s="219">
        <v>133933385</v>
      </c>
      <c r="J46" s="219">
        <v>137628317</v>
      </c>
      <c r="K46" s="219">
        <v>142603269</v>
      </c>
      <c r="L46" s="219">
        <v>147493608</v>
      </c>
      <c r="M46" s="219">
        <v>151963463</v>
      </c>
      <c r="N46" s="219">
        <v>157380812</v>
      </c>
      <c r="O46" s="219">
        <v>162313154</v>
      </c>
      <c r="P46" s="219">
        <v>165056680</v>
      </c>
      <c r="Q46" s="219">
        <v>172818270</v>
      </c>
      <c r="R46" s="219">
        <v>177884334</v>
      </c>
      <c r="S46" s="219">
        <f>SUM(S47:S56)</f>
        <v>183071301</v>
      </c>
      <c r="T46" s="219">
        <f>SUM(T47:T56)</f>
        <v>189540323</v>
      </c>
      <c r="U46" s="219">
        <f>SUM(U47:U56)</f>
        <v>198101257</v>
      </c>
      <c r="V46" s="219">
        <f>SUM(V47:V56)</f>
        <v>206227288</v>
      </c>
      <c r="W46" s="219">
        <f>SUM(W47:W56)</f>
        <v>213586133</v>
      </c>
      <c r="X46" s="52"/>
      <c r="Y46" s="52"/>
      <c r="Z46" s="52"/>
    </row>
    <row r="47" spans="1:26">
      <c r="A47" s="810" t="s">
        <v>60</v>
      </c>
      <c r="B47" s="1"/>
      <c r="C47" s="1">
        <v>209536.36829999997</v>
      </c>
      <c r="D47" s="1">
        <v>340406.46907000017</v>
      </c>
      <c r="E47" s="1">
        <v>376122.00742999977</v>
      </c>
      <c r="F47" s="1">
        <v>293809.64725999977</v>
      </c>
      <c r="G47" s="1">
        <v>285235</v>
      </c>
      <c r="H47" s="1">
        <v>286197</v>
      </c>
      <c r="I47" s="1">
        <v>210691</v>
      </c>
      <c r="J47" s="1">
        <v>179894</v>
      </c>
      <c r="K47" s="1">
        <v>166230</v>
      </c>
      <c r="L47" s="1">
        <v>235474</v>
      </c>
      <c r="M47" s="1">
        <v>259091</v>
      </c>
      <c r="N47" s="1">
        <v>195083</v>
      </c>
      <c r="O47" s="1">
        <v>170298</v>
      </c>
      <c r="P47" s="1">
        <v>199843</v>
      </c>
      <c r="Q47" s="1">
        <v>188500</v>
      </c>
      <c r="R47" s="1">
        <v>173903</v>
      </c>
      <c r="S47" s="1">
        <v>139859</v>
      </c>
      <c r="T47" s="1">
        <v>110259</v>
      </c>
      <c r="U47" s="1">
        <v>145425</v>
      </c>
      <c r="V47" s="1">
        <v>117557</v>
      </c>
      <c r="W47" s="1">
        <v>160011</v>
      </c>
      <c r="X47" s="52"/>
      <c r="Y47" s="52"/>
      <c r="Z47" s="52"/>
    </row>
    <row r="48" spans="1:26">
      <c r="A48" s="810" t="s">
        <v>61</v>
      </c>
      <c r="B48" s="1"/>
      <c r="C48" s="1">
        <v>97612135.663409993</v>
      </c>
      <c r="D48" s="1">
        <v>100769728.71530002</v>
      </c>
      <c r="E48" s="1">
        <v>104269520.41146</v>
      </c>
      <c r="F48" s="1">
        <v>110068835.33544002</v>
      </c>
      <c r="G48" s="1">
        <v>118564283</v>
      </c>
      <c r="H48" s="1">
        <v>125005174</v>
      </c>
      <c r="I48" s="1">
        <v>132988016</v>
      </c>
      <c r="J48" s="1">
        <v>136732669</v>
      </c>
      <c r="K48" s="1">
        <v>141774227</v>
      </c>
      <c r="L48" s="1">
        <v>146655394</v>
      </c>
      <c r="M48" s="1">
        <v>151103966</v>
      </c>
      <c r="N48" s="1">
        <v>156592497</v>
      </c>
      <c r="O48" s="1">
        <v>161494359</v>
      </c>
      <c r="P48" s="1">
        <v>164260566</v>
      </c>
      <c r="Q48" s="1">
        <v>171190801</v>
      </c>
      <c r="R48" s="1">
        <v>176287004</v>
      </c>
      <c r="S48" s="1">
        <v>181606618</v>
      </c>
      <c r="T48" s="1">
        <v>187997690</v>
      </c>
      <c r="U48" s="1">
        <v>196569174</v>
      </c>
      <c r="V48" s="1">
        <v>204710880</v>
      </c>
      <c r="W48" s="1">
        <v>212103701</v>
      </c>
      <c r="X48" s="52"/>
      <c r="Y48" s="52"/>
      <c r="Z48" s="52"/>
    </row>
    <row r="49" spans="1:27">
      <c r="A49" s="810" t="s">
        <v>62</v>
      </c>
      <c r="B49" s="1"/>
      <c r="C49" s="1">
        <v>111097.39393999999</v>
      </c>
      <c r="D49" s="1">
        <v>134292.10661999998</v>
      </c>
      <c r="E49" s="1">
        <v>100699.76722999998</v>
      </c>
      <c r="F49" s="1">
        <v>71242.768179999955</v>
      </c>
      <c r="G49" s="1">
        <v>68777</v>
      </c>
      <c r="H49" s="1">
        <v>46296</v>
      </c>
      <c r="I49" s="1">
        <v>37915</v>
      </c>
      <c r="J49" s="1">
        <v>26560</v>
      </c>
      <c r="K49" s="1">
        <v>29031</v>
      </c>
      <c r="L49" s="1">
        <v>26300</v>
      </c>
      <c r="M49" s="1">
        <v>55292</v>
      </c>
      <c r="N49" s="1">
        <v>82453</v>
      </c>
      <c r="O49" s="1">
        <v>79921</v>
      </c>
      <c r="P49" s="1">
        <v>85683</v>
      </c>
      <c r="Q49" s="1">
        <v>250969</v>
      </c>
      <c r="R49" s="1">
        <v>208999</v>
      </c>
      <c r="S49" s="1">
        <v>194903</v>
      </c>
      <c r="T49" s="1">
        <v>192720</v>
      </c>
      <c r="U49" s="1">
        <v>209026</v>
      </c>
      <c r="V49" s="1">
        <v>204553</v>
      </c>
      <c r="W49" s="1">
        <v>195554</v>
      </c>
      <c r="X49" s="52"/>
      <c r="Y49" s="52"/>
      <c r="Z49" s="52"/>
      <c r="AA49" s="8"/>
    </row>
    <row r="50" spans="1:27">
      <c r="A50" s="811" t="s">
        <v>63</v>
      </c>
      <c r="B50" s="110"/>
      <c r="C50" s="110">
        <v>252.89499000000001</v>
      </c>
      <c r="D50" s="110">
        <v>244.16739999999999</v>
      </c>
      <c r="E50" s="110">
        <v>242.57335</v>
      </c>
      <c r="F50" s="110">
        <v>285.92795000000007</v>
      </c>
      <c r="G50" s="110">
        <v>257</v>
      </c>
      <c r="H50" s="110">
        <v>625</v>
      </c>
      <c r="I50" s="110">
        <v>626</v>
      </c>
      <c r="J50" s="110">
        <v>606</v>
      </c>
      <c r="K50" s="110">
        <v>607</v>
      </c>
      <c r="L50" s="110">
        <v>268</v>
      </c>
      <c r="M50" s="110">
        <v>242</v>
      </c>
      <c r="N50" s="110">
        <v>217</v>
      </c>
      <c r="O50" s="110">
        <v>218</v>
      </c>
      <c r="P50" s="110">
        <v>107</v>
      </c>
      <c r="Q50" s="110">
        <v>122</v>
      </c>
      <c r="R50" s="110">
        <v>143</v>
      </c>
      <c r="S50" s="110">
        <v>162</v>
      </c>
      <c r="T50" s="110">
        <v>143</v>
      </c>
      <c r="U50" s="110">
        <v>150</v>
      </c>
      <c r="V50" s="110">
        <v>152</v>
      </c>
      <c r="W50" s="1">
        <v>150</v>
      </c>
      <c r="X50" s="52"/>
      <c r="Y50" s="52"/>
      <c r="Z50" s="52"/>
    </row>
    <row r="51" spans="1:27">
      <c r="A51" s="810" t="s">
        <v>64</v>
      </c>
      <c r="B51" s="1"/>
      <c r="C51" s="1"/>
      <c r="D51" s="1"/>
      <c r="E51" s="1"/>
      <c r="F51" s="1"/>
      <c r="G51" s="1">
        <v>18</v>
      </c>
      <c r="H51" s="1">
        <v>18</v>
      </c>
      <c r="I51" s="1">
        <v>116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710</v>
      </c>
      <c r="P51" s="1">
        <v>544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52"/>
      <c r="Y51" s="52"/>
      <c r="Z51" s="52"/>
    </row>
    <row r="52" spans="1:27">
      <c r="A52" s="810" t="s">
        <v>65</v>
      </c>
      <c r="B52" s="1"/>
      <c r="C52" s="1">
        <v>13353.705660000001</v>
      </c>
      <c r="D52" s="1">
        <v>12079.856270000002</v>
      </c>
      <c r="E52" s="1">
        <v>7350.8959000000013</v>
      </c>
      <c r="F52" s="1">
        <v>1507.37435</v>
      </c>
      <c r="G52" s="1">
        <v>3893</v>
      </c>
      <c r="H52" s="1">
        <v>3465</v>
      </c>
      <c r="I52" s="1">
        <v>784</v>
      </c>
      <c r="J52" s="1">
        <v>24</v>
      </c>
      <c r="K52" s="1">
        <v>1124</v>
      </c>
      <c r="L52" s="1">
        <v>859</v>
      </c>
      <c r="M52" s="1">
        <v>430</v>
      </c>
      <c r="N52" s="1">
        <v>408</v>
      </c>
      <c r="O52" s="1">
        <v>408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52"/>
      <c r="Y52" s="52"/>
      <c r="Z52" s="52"/>
    </row>
    <row r="53" spans="1:27">
      <c r="A53" s="810" t="s">
        <v>66</v>
      </c>
      <c r="B53" s="1"/>
      <c r="C53" s="1">
        <v>1087338.4741199969</v>
      </c>
      <c r="D53" s="662">
        <v>1065047.5389199927</v>
      </c>
      <c r="E53" s="662">
        <v>505336.08380000998</v>
      </c>
      <c r="F53" s="662">
        <v>667583.6621399991</v>
      </c>
      <c r="G53" s="1">
        <v>254907</v>
      </c>
      <c r="H53" s="1">
        <v>254837</v>
      </c>
      <c r="I53" s="1">
        <v>265261</v>
      </c>
      <c r="J53" s="1">
        <v>300843</v>
      </c>
      <c r="K53" s="1">
        <v>282064</v>
      </c>
      <c r="L53" s="1">
        <v>263694</v>
      </c>
      <c r="M53" s="1">
        <v>259282</v>
      </c>
      <c r="N53" s="1">
        <v>247941</v>
      </c>
      <c r="O53" s="1">
        <v>322462</v>
      </c>
      <c r="P53" s="1">
        <v>286082</v>
      </c>
      <c r="Q53" s="1">
        <v>334595</v>
      </c>
      <c r="R53" s="1">
        <v>351124</v>
      </c>
      <c r="S53" s="1">
        <v>278527</v>
      </c>
      <c r="T53" s="1">
        <v>405910</v>
      </c>
      <c r="U53" s="1">
        <v>347239</v>
      </c>
      <c r="V53" s="1">
        <v>365526</v>
      </c>
      <c r="W53" s="1">
        <v>305655</v>
      </c>
      <c r="X53" s="52"/>
      <c r="Y53" s="52"/>
      <c r="Z53" s="52"/>
    </row>
    <row r="54" spans="1:27">
      <c r="A54" s="810" t="s">
        <v>67</v>
      </c>
      <c r="B54" s="1"/>
      <c r="C54" s="1">
        <v>401.71168999999998</v>
      </c>
      <c r="D54" s="1">
        <v>398.65914000000004</v>
      </c>
      <c r="E54" s="1">
        <v>398.24849999999998</v>
      </c>
      <c r="F54" s="1">
        <v>441.57844999999998</v>
      </c>
      <c r="G54" s="1">
        <v>464</v>
      </c>
      <c r="H54" s="1">
        <v>457</v>
      </c>
      <c r="I54" s="1">
        <v>459</v>
      </c>
      <c r="J54" s="1">
        <v>459</v>
      </c>
      <c r="K54" s="1">
        <v>429</v>
      </c>
      <c r="L54" s="1">
        <v>429</v>
      </c>
      <c r="M54" s="1">
        <v>429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52"/>
      <c r="Y54" s="52"/>
      <c r="Z54" s="52"/>
    </row>
    <row r="55" spans="1:27">
      <c r="A55" s="810" t="s">
        <v>68</v>
      </c>
      <c r="B55" s="1"/>
      <c r="C55" s="1">
        <v>1492.3131399999777</v>
      </c>
      <c r="D55" s="1">
        <v>1652.9213699999821</v>
      </c>
      <c r="E55" s="1">
        <v>12917.686519999965</v>
      </c>
      <c r="F55" s="1">
        <v>12917.540069999985</v>
      </c>
      <c r="G55" s="1">
        <v>3216</v>
      </c>
      <c r="H55" s="1">
        <v>6554</v>
      </c>
      <c r="I55" s="1">
        <v>10640</v>
      </c>
      <c r="J55" s="1">
        <v>6644</v>
      </c>
      <c r="K55" s="1">
        <v>5053</v>
      </c>
      <c r="L55" s="1">
        <v>5872</v>
      </c>
      <c r="M55" s="1">
        <v>4605</v>
      </c>
      <c r="N55" s="1">
        <v>3246</v>
      </c>
      <c r="O55" s="1">
        <v>6441</v>
      </c>
      <c r="P55" s="1">
        <v>3742</v>
      </c>
      <c r="Q55" s="1">
        <v>3139</v>
      </c>
      <c r="R55" s="1">
        <v>9615</v>
      </c>
      <c r="S55" s="1">
        <v>9920</v>
      </c>
      <c r="T55" s="1">
        <v>8951</v>
      </c>
      <c r="U55" s="1">
        <v>7208</v>
      </c>
      <c r="V55" s="1">
        <v>23092</v>
      </c>
      <c r="W55" s="1">
        <v>33887</v>
      </c>
      <c r="X55" s="52"/>
      <c r="Y55" s="52"/>
      <c r="Z55" s="52"/>
    </row>
    <row r="56" spans="1:27">
      <c r="A56" s="810" t="s">
        <v>69</v>
      </c>
      <c r="B56" s="1"/>
      <c r="C56" s="1">
        <v>642524.70454999991</v>
      </c>
      <c r="D56" s="1">
        <v>596575.75624000002</v>
      </c>
      <c r="E56" s="1">
        <v>555679.41285999981</v>
      </c>
      <c r="F56" s="1">
        <v>514107.4676300002</v>
      </c>
      <c r="G56" s="1">
        <v>480845</v>
      </c>
      <c r="H56" s="1">
        <v>449643</v>
      </c>
      <c r="I56" s="1">
        <v>418877</v>
      </c>
      <c r="J56" s="1">
        <v>380618</v>
      </c>
      <c r="K56" s="1">
        <v>344504</v>
      </c>
      <c r="L56" s="1">
        <v>305318</v>
      </c>
      <c r="M56" s="1">
        <v>280126</v>
      </c>
      <c r="N56" s="1">
        <v>258967</v>
      </c>
      <c r="O56" s="1">
        <v>238338</v>
      </c>
      <c r="P56" s="1">
        <v>220111</v>
      </c>
      <c r="Q56" s="1">
        <v>850144</v>
      </c>
      <c r="R56" s="1">
        <v>853546</v>
      </c>
      <c r="S56" s="1">
        <v>841312</v>
      </c>
      <c r="T56" s="1">
        <v>824650</v>
      </c>
      <c r="U56" s="1">
        <v>823035</v>
      </c>
      <c r="V56" s="1">
        <v>805528</v>
      </c>
      <c r="W56" s="1">
        <v>787175</v>
      </c>
      <c r="X56" s="52"/>
      <c r="Y56" s="52"/>
      <c r="Z56" s="52"/>
    </row>
    <row r="57" spans="1:27">
      <c r="A57" s="805" t="s">
        <v>47</v>
      </c>
      <c r="B57" s="218"/>
      <c r="C57" s="218">
        <v>5914702.9048599992</v>
      </c>
      <c r="D57" s="218">
        <v>7300373.1142099993</v>
      </c>
      <c r="E57" s="219">
        <v>7041629.8921900019</v>
      </c>
      <c r="F57" s="219">
        <v>6957309.39396</v>
      </c>
      <c r="G57" s="219">
        <v>4345668</v>
      </c>
      <c r="H57" s="219">
        <v>4313413</v>
      </c>
      <c r="I57" s="219">
        <v>2983471</v>
      </c>
      <c r="J57" s="219">
        <v>3080636</v>
      </c>
      <c r="K57" s="219">
        <v>2901047</v>
      </c>
      <c r="L57" s="219">
        <v>3563823</v>
      </c>
      <c r="M57" s="219">
        <v>4264653</v>
      </c>
      <c r="N57" s="219">
        <v>4267885</v>
      </c>
      <c r="O57" s="219">
        <v>4180344</v>
      </c>
      <c r="P57" s="219">
        <v>4226093</v>
      </c>
      <c r="Q57" s="219">
        <v>16036720</v>
      </c>
      <c r="R57" s="219">
        <v>15450941</v>
      </c>
      <c r="S57" s="219">
        <v>16331851</v>
      </c>
      <c r="T57" s="219">
        <v>15480863.739</v>
      </c>
      <c r="U57" s="219">
        <v>14236934</v>
      </c>
      <c r="V57" s="219">
        <v>12853236</v>
      </c>
      <c r="W57" s="219">
        <v>13451795</v>
      </c>
      <c r="X57" s="52"/>
      <c r="Y57" s="52"/>
      <c r="Z57" s="52"/>
    </row>
    <row r="58" spans="1:27">
      <c r="A58" s="812" t="s">
        <v>70</v>
      </c>
      <c r="B58" s="224"/>
      <c r="C58" s="224">
        <v>5881408.1374699995</v>
      </c>
      <c r="D58" s="224">
        <v>7268467.0533299996</v>
      </c>
      <c r="E58" s="224">
        <v>7011599.5845300015</v>
      </c>
      <c r="F58" s="224">
        <v>6927059.7470700005</v>
      </c>
      <c r="G58" s="224">
        <v>4320694</v>
      </c>
      <c r="H58" s="224">
        <v>4286144</v>
      </c>
      <c r="I58" s="224">
        <v>2959249</v>
      </c>
      <c r="J58" s="224">
        <v>3055211</v>
      </c>
      <c r="K58" s="224">
        <v>2874699</v>
      </c>
      <c r="L58" s="224">
        <v>3535160</v>
      </c>
      <c r="M58" s="224">
        <v>4232441</v>
      </c>
      <c r="N58" s="224">
        <v>4224270</v>
      </c>
      <c r="O58" s="224">
        <v>4132269</v>
      </c>
      <c r="P58" s="224">
        <v>4165168</v>
      </c>
      <c r="Q58" s="224">
        <v>10011323</v>
      </c>
      <c r="R58" s="224">
        <v>9472666</v>
      </c>
      <c r="S58" s="224">
        <f>SUM(S59:S63)</f>
        <v>10421239</v>
      </c>
      <c r="T58" s="224">
        <v>9636291.3200000003</v>
      </c>
      <c r="U58" s="224">
        <v>8455065</v>
      </c>
      <c r="V58" s="224">
        <v>7126954</v>
      </c>
      <c r="W58" s="224">
        <v>7794767</v>
      </c>
      <c r="X58" s="52"/>
      <c r="Y58" s="52"/>
      <c r="Z58" s="52"/>
    </row>
    <row r="59" spans="1:27">
      <c r="A59" s="243" t="s">
        <v>71</v>
      </c>
      <c r="B59" s="1"/>
      <c r="C59" s="1">
        <v>3713818.8787000002</v>
      </c>
      <c r="D59" s="1">
        <v>5204380.5359700006</v>
      </c>
      <c r="E59" s="1">
        <v>4951092.3586900011</v>
      </c>
      <c r="F59" s="1">
        <v>4961443.1784800002</v>
      </c>
      <c r="G59" s="1">
        <v>2451858</v>
      </c>
      <c r="H59" s="1">
        <v>2499344</v>
      </c>
      <c r="I59" s="1">
        <v>1268742</v>
      </c>
      <c r="J59" s="1">
        <v>1455663</v>
      </c>
      <c r="K59" s="1">
        <v>1351008</v>
      </c>
      <c r="L59" s="1">
        <v>2098335</v>
      </c>
      <c r="M59" s="1">
        <v>2589894</v>
      </c>
      <c r="N59" s="1">
        <v>2662351</v>
      </c>
      <c r="O59" s="1">
        <v>2574353</v>
      </c>
      <c r="P59" s="1">
        <v>2590772</v>
      </c>
      <c r="Q59" s="1">
        <v>6946708</v>
      </c>
      <c r="R59" s="1">
        <v>6982684</v>
      </c>
      <c r="S59" s="1">
        <v>7963617</v>
      </c>
      <c r="T59" s="1">
        <v>7342641.7879999997</v>
      </c>
      <c r="U59" s="1">
        <v>6125485</v>
      </c>
      <c r="V59" s="1">
        <v>4924518</v>
      </c>
      <c r="W59" s="1">
        <v>5538663</v>
      </c>
      <c r="X59" s="52"/>
      <c r="Y59" s="52"/>
      <c r="Z59" s="52"/>
    </row>
    <row r="60" spans="1:27">
      <c r="A60" s="243" t="s">
        <v>72</v>
      </c>
      <c r="B60" s="1"/>
      <c r="C60" s="1">
        <v>711735.40725999989</v>
      </c>
      <c r="D60" s="1">
        <v>718227.08123999974</v>
      </c>
      <c r="E60" s="1">
        <v>825540.22255999991</v>
      </c>
      <c r="F60" s="1">
        <v>863690.63789000001</v>
      </c>
      <c r="G60" s="1">
        <v>858205</v>
      </c>
      <c r="H60" s="1">
        <v>879447</v>
      </c>
      <c r="I60" s="1">
        <v>865912</v>
      </c>
      <c r="J60" s="1">
        <v>854851</v>
      </c>
      <c r="K60" s="1">
        <v>842392</v>
      </c>
      <c r="L60" s="1">
        <v>813640</v>
      </c>
      <c r="M60" s="1">
        <v>1073357</v>
      </c>
      <c r="N60" s="1">
        <v>1032427</v>
      </c>
      <c r="O60" s="1">
        <v>1065792</v>
      </c>
      <c r="P60" s="1">
        <v>1122108</v>
      </c>
      <c r="Q60" s="1">
        <v>1126931</v>
      </c>
      <c r="R60" s="1">
        <v>537057</v>
      </c>
      <c r="S60" s="1">
        <v>538766</v>
      </c>
      <c r="T60" s="1">
        <v>418492.75400000002</v>
      </c>
      <c r="U60" s="1">
        <v>468607</v>
      </c>
      <c r="V60" s="1">
        <v>406201</v>
      </c>
      <c r="W60" s="1">
        <v>475220</v>
      </c>
      <c r="X60" s="52"/>
      <c r="Y60" s="52"/>
      <c r="Z60" s="52"/>
    </row>
    <row r="61" spans="1:27">
      <c r="A61" s="243" t="s">
        <v>73</v>
      </c>
      <c r="B61" s="1"/>
      <c r="C61" s="1"/>
      <c r="D61" s="1"/>
      <c r="E61" s="1"/>
      <c r="F61" s="1">
        <v>409</v>
      </c>
      <c r="G61" s="1">
        <v>409</v>
      </c>
      <c r="H61" s="1">
        <v>408</v>
      </c>
      <c r="I61" s="1">
        <v>408</v>
      </c>
      <c r="J61" s="1">
        <v>408</v>
      </c>
      <c r="K61" s="1">
        <v>617</v>
      </c>
      <c r="L61" s="1">
        <v>617</v>
      </c>
      <c r="M61" s="1">
        <v>617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52"/>
      <c r="Y61" s="52"/>
      <c r="Z61" s="52"/>
    </row>
    <row r="62" spans="1:27">
      <c r="A62" s="243" t="s">
        <v>74</v>
      </c>
      <c r="B62" s="1"/>
      <c r="C62" s="1"/>
      <c r="D62" s="1"/>
      <c r="E62" s="1"/>
      <c r="F62" s="1"/>
      <c r="G62" s="1">
        <v>8283</v>
      </c>
      <c r="H62" s="1">
        <v>1466</v>
      </c>
      <c r="I62" s="1">
        <v>1428</v>
      </c>
      <c r="J62" s="1">
        <v>1258</v>
      </c>
      <c r="K62" s="1">
        <v>1223</v>
      </c>
      <c r="L62" s="1">
        <v>2458</v>
      </c>
      <c r="M62" s="1">
        <v>2487</v>
      </c>
      <c r="N62" s="1">
        <v>10532</v>
      </c>
      <c r="O62" s="1">
        <v>11907</v>
      </c>
      <c r="P62" s="1">
        <v>11504</v>
      </c>
      <c r="Q62" s="1">
        <v>13246</v>
      </c>
      <c r="R62" s="1">
        <v>12932</v>
      </c>
      <c r="S62" s="1">
        <v>12315</v>
      </c>
      <c r="T62" s="1">
        <v>12301</v>
      </c>
      <c r="U62" s="1">
        <v>11705</v>
      </c>
      <c r="V62" s="1">
        <v>10339</v>
      </c>
      <c r="W62" s="1">
        <v>10331</v>
      </c>
      <c r="X62" s="52"/>
      <c r="Y62" s="52"/>
      <c r="Z62" s="52"/>
    </row>
    <row r="63" spans="1:27">
      <c r="A63" s="812" t="s">
        <v>75</v>
      </c>
      <c r="B63" s="224"/>
      <c r="C63" s="224">
        <v>1455853.8515099997</v>
      </c>
      <c r="D63" s="224">
        <v>1345859.43612</v>
      </c>
      <c r="E63" s="224">
        <v>1234541.7186799997</v>
      </c>
      <c r="F63" s="224">
        <v>1101517.1766599999</v>
      </c>
      <c r="G63" s="224">
        <v>1001939</v>
      </c>
      <c r="H63" s="224">
        <v>905479</v>
      </c>
      <c r="I63" s="224">
        <v>822759</v>
      </c>
      <c r="J63" s="224">
        <v>743031</v>
      </c>
      <c r="K63" s="224">
        <v>679459</v>
      </c>
      <c r="L63" s="224">
        <v>620110</v>
      </c>
      <c r="M63" s="224">
        <v>566086</v>
      </c>
      <c r="N63" s="224">
        <v>518960</v>
      </c>
      <c r="O63" s="224">
        <v>480217</v>
      </c>
      <c r="P63" s="224">
        <v>440785</v>
      </c>
      <c r="Q63" s="224">
        <v>1924438</v>
      </c>
      <c r="R63" s="224">
        <v>1939993</v>
      </c>
      <c r="S63" s="224">
        <v>1906541</v>
      </c>
      <c r="T63" s="224">
        <v>1862855.5249999999</v>
      </c>
      <c r="U63" s="224">
        <v>1849268</v>
      </c>
      <c r="V63" s="224">
        <v>1785896</v>
      </c>
      <c r="W63" s="224">
        <v>1770553</v>
      </c>
      <c r="X63" s="52"/>
      <c r="Y63" s="52"/>
      <c r="Z63" s="52"/>
    </row>
    <row r="64" spans="1:27">
      <c r="A64" s="813" t="s">
        <v>76</v>
      </c>
      <c r="B64" s="1"/>
      <c r="C64" s="1">
        <v>7807.6189699999995</v>
      </c>
      <c r="D64" s="1">
        <v>7550.2249400000001</v>
      </c>
      <c r="E64" s="1">
        <v>7292.8309100000006</v>
      </c>
      <c r="F64" s="1">
        <v>7035.4368800000002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52"/>
      <c r="Y64" s="52"/>
      <c r="Z64" s="52"/>
    </row>
    <row r="65" spans="1:26">
      <c r="A65" s="813" t="s">
        <v>77</v>
      </c>
      <c r="B65" s="1"/>
      <c r="C65" s="1">
        <v>147.39108999999996</v>
      </c>
      <c r="D65" s="1">
        <v>132.65948999999998</v>
      </c>
      <c r="E65" s="1">
        <v>145.57732000000007</v>
      </c>
      <c r="F65" s="1">
        <v>1336.81486</v>
      </c>
      <c r="G65" s="1">
        <v>3232</v>
      </c>
      <c r="H65" s="1">
        <v>7207</v>
      </c>
      <c r="I65" s="1">
        <v>7503</v>
      </c>
      <c r="J65" s="1">
        <v>7527</v>
      </c>
      <c r="K65" s="1">
        <v>7550</v>
      </c>
      <c r="L65" s="1">
        <v>8013</v>
      </c>
      <c r="M65" s="1">
        <v>7570</v>
      </c>
      <c r="N65" s="1">
        <v>11698</v>
      </c>
      <c r="O65" s="1">
        <v>14718</v>
      </c>
      <c r="P65" s="1">
        <v>25759</v>
      </c>
      <c r="Q65" s="1">
        <v>26466</v>
      </c>
      <c r="R65" s="1">
        <v>27355</v>
      </c>
      <c r="S65" s="1">
        <v>25812</v>
      </c>
      <c r="T65" s="1">
        <v>24883</v>
      </c>
      <c r="U65" s="1">
        <v>25495</v>
      </c>
      <c r="V65" s="1">
        <v>25036</v>
      </c>
      <c r="W65" s="1">
        <v>23255</v>
      </c>
      <c r="X65" s="52"/>
      <c r="Y65" s="52"/>
      <c r="Z65" s="52"/>
    </row>
    <row r="66" spans="1:26">
      <c r="A66" s="813" t="s">
        <v>78</v>
      </c>
      <c r="B66" s="1"/>
      <c r="C66" s="1">
        <v>25339.757330000004</v>
      </c>
      <c r="D66" s="1">
        <v>24223.176449999999</v>
      </c>
      <c r="E66" s="1">
        <v>22591.899430000001</v>
      </c>
      <c r="F66" s="1">
        <v>21877.395150000004</v>
      </c>
      <c r="G66" s="1">
        <v>21742</v>
      </c>
      <c r="H66" s="1">
        <v>20062</v>
      </c>
      <c r="I66" s="1">
        <v>16719</v>
      </c>
      <c r="J66" s="1">
        <v>17898</v>
      </c>
      <c r="K66" s="1">
        <v>18798</v>
      </c>
      <c r="L66" s="1">
        <v>20650</v>
      </c>
      <c r="M66" s="1">
        <v>24642</v>
      </c>
      <c r="N66" s="1">
        <v>31917</v>
      </c>
      <c r="O66" s="1">
        <v>33357</v>
      </c>
      <c r="P66" s="1">
        <v>35166</v>
      </c>
      <c r="Q66" s="1">
        <v>5998931</v>
      </c>
      <c r="R66" s="1">
        <v>5950920</v>
      </c>
      <c r="S66" s="1">
        <v>5884800</v>
      </c>
      <c r="T66" s="1">
        <v>5819690</v>
      </c>
      <c r="U66" s="1">
        <v>5756374</v>
      </c>
      <c r="V66" s="1">
        <v>5701246</v>
      </c>
      <c r="W66" s="1">
        <v>5633773</v>
      </c>
      <c r="X66" s="52"/>
      <c r="Y66" s="52"/>
      <c r="Z66" s="52"/>
    </row>
    <row r="67" spans="1:26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6">
      <c r="A68" s="804" t="s">
        <v>17</v>
      </c>
      <c r="B68" s="633"/>
      <c r="C68" s="638">
        <v>103561983.41786997</v>
      </c>
      <c r="D68" s="638">
        <v>107852434.73804986</v>
      </c>
      <c r="E68" s="639">
        <v>110273219.57403994</v>
      </c>
      <c r="F68" s="639">
        <v>116701948.74446994</v>
      </c>
      <c r="G68" s="639">
        <v>121877093</v>
      </c>
      <c r="H68" s="639">
        <v>127888449</v>
      </c>
      <c r="I68" s="639">
        <v>134551108</v>
      </c>
      <c r="J68" s="639">
        <v>138459442</v>
      </c>
      <c r="K68" s="639">
        <v>143028058</v>
      </c>
      <c r="L68" s="639">
        <v>148138799</v>
      </c>
      <c r="M68" s="639">
        <v>153653039</v>
      </c>
      <c r="N68" s="639">
        <v>159008339</v>
      </c>
      <c r="O68" s="639">
        <v>163874790</v>
      </c>
      <c r="P68" s="639">
        <v>166880680</v>
      </c>
      <c r="Q68" s="639">
        <v>178230851</v>
      </c>
      <c r="R68" s="639">
        <v>182983260</v>
      </c>
      <c r="S68" s="639">
        <f>S69+S77</f>
        <v>188892946.921</v>
      </c>
      <c r="T68" s="639">
        <f>T69+T77</f>
        <v>194370836.685</v>
      </c>
      <c r="U68" s="639">
        <f>U69+U77</f>
        <v>201592151</v>
      </c>
      <c r="V68" s="639">
        <f>V69+V77</f>
        <v>208313562</v>
      </c>
      <c r="W68" s="639">
        <f>W69+W77</f>
        <v>216231401</v>
      </c>
      <c r="X68" s="52"/>
      <c r="Y68" s="52"/>
      <c r="Z68" s="52"/>
    </row>
    <row r="69" spans="1:26">
      <c r="A69" s="805" t="s">
        <v>51</v>
      </c>
      <c r="B69" s="218"/>
      <c r="C69" s="218">
        <v>99457986.353749976</v>
      </c>
      <c r="D69" s="218">
        <v>103993281.72379987</v>
      </c>
      <c r="E69" s="219">
        <v>106563360.84877993</v>
      </c>
      <c r="F69" s="219">
        <v>113427054.39966995</v>
      </c>
      <c r="G69" s="219">
        <v>118884324</v>
      </c>
      <c r="H69" s="219">
        <v>125182464</v>
      </c>
      <c r="I69" s="219">
        <v>132072131</v>
      </c>
      <c r="J69" s="219">
        <v>136131957</v>
      </c>
      <c r="K69" s="219">
        <v>140851898</v>
      </c>
      <c r="L69" s="219">
        <v>146107405</v>
      </c>
      <c r="M69" s="219">
        <v>151497523</v>
      </c>
      <c r="N69" s="219">
        <v>156977383</v>
      </c>
      <c r="O69" s="219">
        <v>161933704</v>
      </c>
      <c r="P69" s="219">
        <v>165034630</v>
      </c>
      <c r="Q69" s="219">
        <v>172292875</v>
      </c>
      <c r="R69" s="219">
        <v>177659978</v>
      </c>
      <c r="S69" s="219">
        <f>SUM(S70:S76)</f>
        <v>183641787.921</v>
      </c>
      <c r="T69" s="219">
        <v>189215214.685</v>
      </c>
      <c r="U69" s="219">
        <v>196508548</v>
      </c>
      <c r="V69" s="219">
        <v>203394795</v>
      </c>
      <c r="W69" s="219">
        <f>SUM(W70:W76)</f>
        <v>211436567</v>
      </c>
      <c r="X69" s="52"/>
      <c r="Y69" s="52"/>
      <c r="Z69" s="52"/>
    </row>
    <row r="70" spans="1:26">
      <c r="A70" s="11" t="s">
        <v>79</v>
      </c>
      <c r="B70" s="1"/>
      <c r="C70" s="1">
        <v>1073984.5356300001</v>
      </c>
      <c r="D70" s="1">
        <v>1192371.7162800001</v>
      </c>
      <c r="E70" s="1">
        <v>832252.85828999965</v>
      </c>
      <c r="F70" s="1">
        <v>1671722.9867399996</v>
      </c>
      <c r="G70" s="1">
        <v>283914</v>
      </c>
      <c r="H70" s="1">
        <v>193060</v>
      </c>
      <c r="I70" s="1">
        <v>190781</v>
      </c>
      <c r="J70" s="1">
        <v>741418</v>
      </c>
      <c r="K70" s="1">
        <v>952204</v>
      </c>
      <c r="L70" s="1">
        <v>264112</v>
      </c>
      <c r="M70" s="1">
        <v>272308</v>
      </c>
      <c r="N70" s="1">
        <v>673026</v>
      </c>
      <c r="O70" s="1">
        <v>1034134</v>
      </c>
      <c r="P70" s="1">
        <v>618734</v>
      </c>
      <c r="Q70" s="1">
        <v>762296</v>
      </c>
      <c r="R70" s="1">
        <v>1094201</v>
      </c>
      <c r="S70" s="1">
        <v>978822</v>
      </c>
      <c r="T70" s="1">
        <v>887054</v>
      </c>
      <c r="U70" s="1">
        <v>932424</v>
      </c>
      <c r="V70" s="1">
        <v>372320</v>
      </c>
      <c r="W70" s="1">
        <v>995587</v>
      </c>
      <c r="X70" s="52"/>
      <c r="Y70" s="52"/>
      <c r="Z70" s="52"/>
    </row>
    <row r="71" spans="1:26">
      <c r="A71" s="11" t="s">
        <v>80</v>
      </c>
      <c r="B71" s="110"/>
      <c r="C71" s="110">
        <v>180966.5899599999</v>
      </c>
      <c r="D71" s="110">
        <v>113659.43063000018</v>
      </c>
      <c r="E71" s="110">
        <v>91382.149850000176</v>
      </c>
      <c r="F71" s="110">
        <v>87202.95865999996</v>
      </c>
      <c r="G71" s="110">
        <v>94009</v>
      </c>
      <c r="H71" s="110">
        <v>160516</v>
      </c>
      <c r="I71" s="110">
        <v>223128</v>
      </c>
      <c r="J71" s="110">
        <v>216044</v>
      </c>
      <c r="K71" s="110">
        <v>228733</v>
      </c>
      <c r="L71" s="110">
        <v>194584</v>
      </c>
      <c r="M71" s="110">
        <v>171178</v>
      </c>
      <c r="N71" s="110">
        <v>161688</v>
      </c>
      <c r="O71" s="110">
        <v>164481</v>
      </c>
      <c r="P71" s="110">
        <v>170318</v>
      </c>
      <c r="Q71" s="110">
        <v>205778</v>
      </c>
      <c r="R71" s="110">
        <v>193167</v>
      </c>
      <c r="S71" s="110">
        <v>140552.573</v>
      </c>
      <c r="T71" s="110">
        <v>133488</v>
      </c>
      <c r="U71" s="110">
        <v>171027</v>
      </c>
      <c r="V71" s="110">
        <v>155239</v>
      </c>
      <c r="W71" s="1">
        <v>168539</v>
      </c>
      <c r="X71" s="52"/>
      <c r="Y71" s="52"/>
      <c r="Z71" s="52"/>
    </row>
    <row r="72" spans="1:26">
      <c r="A72" s="11" t="s">
        <v>81</v>
      </c>
      <c r="B72" s="110"/>
      <c r="C72" s="110">
        <v>9515.6206999999213</v>
      </c>
      <c r="D72" s="110">
        <v>6424.3487599999071</v>
      </c>
      <c r="E72" s="110">
        <v>10394.949509999931</v>
      </c>
      <c r="F72" s="110">
        <v>6828.2096100000053</v>
      </c>
      <c r="G72" s="110">
        <v>7600</v>
      </c>
      <c r="H72" s="110">
        <v>15324</v>
      </c>
      <c r="I72" s="110">
        <v>10260</v>
      </c>
      <c r="J72" s="110">
        <v>11256</v>
      </c>
      <c r="K72" s="110">
        <v>13663</v>
      </c>
      <c r="L72" s="110">
        <v>13172</v>
      </c>
      <c r="M72" s="110">
        <v>14405</v>
      </c>
      <c r="N72" s="110">
        <v>17591</v>
      </c>
      <c r="O72" s="110">
        <v>17906</v>
      </c>
      <c r="P72" s="110">
        <v>17589</v>
      </c>
      <c r="Q72" s="110">
        <v>18724</v>
      </c>
      <c r="R72" s="110">
        <v>19787</v>
      </c>
      <c r="S72" s="110">
        <v>14640</v>
      </c>
      <c r="T72" s="110">
        <v>16223</v>
      </c>
      <c r="U72" s="110">
        <v>19838</v>
      </c>
      <c r="V72" s="110">
        <v>20652</v>
      </c>
      <c r="W72" s="1">
        <v>21777</v>
      </c>
      <c r="X72" s="52"/>
      <c r="Y72" s="52"/>
      <c r="Z72" s="52"/>
    </row>
    <row r="73" spans="1:26">
      <c r="A73" s="11" t="s">
        <v>82</v>
      </c>
      <c r="B73" s="110"/>
      <c r="C73" s="110">
        <v>184520.44349001921</v>
      </c>
      <c r="D73" s="110">
        <v>240163.36857992766</v>
      </c>
      <c r="E73" s="110">
        <v>243591.29400996782</v>
      </c>
      <c r="F73" s="110">
        <v>217282.20174000241</v>
      </c>
      <c r="G73" s="110">
        <v>209937</v>
      </c>
      <c r="H73" s="110">
        <v>298582</v>
      </c>
      <c r="I73" s="110">
        <v>156045</v>
      </c>
      <c r="J73" s="110">
        <v>138620</v>
      </c>
      <c r="K73" s="110">
        <v>121166</v>
      </c>
      <c r="L73" s="110">
        <v>207977</v>
      </c>
      <c r="M73" s="110">
        <v>225490</v>
      </c>
      <c r="N73" s="110">
        <v>159030</v>
      </c>
      <c r="O73" s="110">
        <v>132324</v>
      </c>
      <c r="P73" s="110">
        <v>161343</v>
      </c>
      <c r="Q73" s="110">
        <v>222897</v>
      </c>
      <c r="R73" s="110">
        <v>136338</v>
      </c>
      <c r="S73" s="110">
        <v>235857.348</v>
      </c>
      <c r="T73" s="110">
        <v>189059</v>
      </c>
      <c r="U73" s="110">
        <v>218859</v>
      </c>
      <c r="V73" s="110">
        <v>218974</v>
      </c>
      <c r="W73" s="1">
        <v>215746</v>
      </c>
      <c r="X73" s="52"/>
      <c r="Y73" s="52"/>
      <c r="Z73" s="52"/>
    </row>
    <row r="74" spans="1:26">
      <c r="A74" s="11" t="s">
        <v>83</v>
      </c>
      <c r="B74" s="1"/>
      <c r="C74" s="1">
        <v>89748292.369149968</v>
      </c>
      <c r="D74" s="1">
        <v>94169887.658079937</v>
      </c>
      <c r="E74" s="1">
        <v>97270889.882139966</v>
      </c>
      <c r="F74" s="1">
        <v>103272247.07659996</v>
      </c>
      <c r="G74" s="1">
        <v>110048304</v>
      </c>
      <c r="H74" s="1">
        <v>116233520</v>
      </c>
      <c r="I74" s="1">
        <v>123102894</v>
      </c>
      <c r="J74" s="1">
        <v>126502074</v>
      </c>
      <c r="K74" s="1">
        <v>130883412</v>
      </c>
      <c r="L74" s="1">
        <v>136499419</v>
      </c>
      <c r="M74" s="1">
        <v>141812714</v>
      </c>
      <c r="N74" s="1">
        <v>146733464</v>
      </c>
      <c r="O74" s="1">
        <v>151294471</v>
      </c>
      <c r="P74" s="1">
        <v>154751666</v>
      </c>
      <c r="Q74" s="1">
        <v>161658549</v>
      </c>
      <c r="R74" s="1">
        <v>166618223</v>
      </c>
      <c r="S74" s="1">
        <v>172500265</v>
      </c>
      <c r="T74" s="1">
        <v>177990500</v>
      </c>
      <c r="U74" s="1">
        <v>184977198</v>
      </c>
      <c r="V74" s="1">
        <v>192070729</v>
      </c>
      <c r="W74" s="1">
        <v>199250186</v>
      </c>
      <c r="X74" s="52"/>
      <c r="Y74" s="52"/>
      <c r="Z74" s="52"/>
    </row>
    <row r="75" spans="1:26">
      <c r="A75" s="11" t="s">
        <v>84</v>
      </c>
      <c r="B75" s="1"/>
      <c r="C75" s="1">
        <v>8260706.7948199967</v>
      </c>
      <c r="D75" s="1">
        <v>8270775.2014699997</v>
      </c>
      <c r="E75" s="1">
        <v>8114849.7149799988</v>
      </c>
      <c r="F75" s="1">
        <v>8171770.9663199978</v>
      </c>
      <c r="G75" s="1">
        <v>8239586</v>
      </c>
      <c r="H75" s="1">
        <v>8281362</v>
      </c>
      <c r="I75" s="1">
        <v>8388921</v>
      </c>
      <c r="J75" s="1">
        <v>8522500</v>
      </c>
      <c r="K75" s="1">
        <v>8652638</v>
      </c>
      <c r="L75" s="1">
        <v>8928031</v>
      </c>
      <c r="M75" s="1">
        <v>9001307</v>
      </c>
      <c r="N75" s="1">
        <v>9232434</v>
      </c>
      <c r="O75" s="1">
        <v>9289702</v>
      </c>
      <c r="P75" s="1">
        <v>9314265</v>
      </c>
      <c r="Q75" s="1">
        <v>9423634</v>
      </c>
      <c r="R75" s="1">
        <v>9596985</v>
      </c>
      <c r="S75" s="1">
        <v>9769078</v>
      </c>
      <c r="T75" s="1">
        <v>9995565</v>
      </c>
      <c r="U75" s="1">
        <v>10185102</v>
      </c>
      <c r="V75" s="1">
        <v>10552253</v>
      </c>
      <c r="W75" s="1">
        <v>10779900</v>
      </c>
      <c r="X75" s="52"/>
      <c r="Y75" s="52"/>
      <c r="Z75" s="52"/>
    </row>
    <row r="76" spans="1:26">
      <c r="A76" s="11" t="s">
        <v>85</v>
      </c>
      <c r="B76" s="1"/>
      <c r="C76" s="1"/>
      <c r="D76" s="1"/>
      <c r="E76" s="1"/>
      <c r="F76" s="1"/>
      <c r="G76" s="1">
        <v>974</v>
      </c>
      <c r="H76" s="1">
        <v>100</v>
      </c>
      <c r="I76" s="1">
        <v>102</v>
      </c>
      <c r="J76" s="1">
        <v>45</v>
      </c>
      <c r="K76" s="1">
        <v>82</v>
      </c>
      <c r="L76" s="1">
        <v>110</v>
      </c>
      <c r="M76" s="1">
        <v>121</v>
      </c>
      <c r="N76" s="1">
        <v>150</v>
      </c>
      <c r="O76" s="1">
        <v>686</v>
      </c>
      <c r="P76" s="1">
        <v>716</v>
      </c>
      <c r="Q76" s="1">
        <v>997</v>
      </c>
      <c r="R76" s="1">
        <v>1277</v>
      </c>
      <c r="S76" s="1">
        <v>2573</v>
      </c>
      <c r="T76" s="1">
        <v>3325</v>
      </c>
      <c r="U76" s="1">
        <v>4100</v>
      </c>
      <c r="V76" s="1">
        <v>4628</v>
      </c>
      <c r="W76" s="1">
        <v>4832</v>
      </c>
      <c r="X76" s="52"/>
      <c r="Y76" s="52"/>
      <c r="Z76" s="52"/>
    </row>
    <row r="77" spans="1:26">
      <c r="A77" s="805" t="s">
        <v>56</v>
      </c>
      <c r="B77" s="218"/>
      <c r="C77" s="218">
        <v>4103997.0641199998</v>
      </c>
      <c r="D77" s="218">
        <v>3859153.01425</v>
      </c>
      <c r="E77" s="219">
        <v>3709858.7252600002</v>
      </c>
      <c r="F77" s="219">
        <v>3274894.3447999982</v>
      </c>
      <c r="G77" s="219">
        <v>2992769</v>
      </c>
      <c r="H77" s="219">
        <v>2705985</v>
      </c>
      <c r="I77" s="219">
        <v>2478977</v>
      </c>
      <c r="J77" s="219">
        <v>2327485</v>
      </c>
      <c r="K77" s="219">
        <v>2176160</v>
      </c>
      <c r="L77" s="219">
        <v>2031394</v>
      </c>
      <c r="M77" s="219">
        <v>2155516</v>
      </c>
      <c r="N77" s="219">
        <v>2030956</v>
      </c>
      <c r="O77" s="219">
        <v>1941086</v>
      </c>
      <c r="P77" s="219">
        <v>1846050</v>
      </c>
      <c r="Q77" s="219">
        <v>5937976</v>
      </c>
      <c r="R77" s="219">
        <v>5323282</v>
      </c>
      <c r="S77" s="219">
        <f>SUM(S78:S82)</f>
        <v>5251159</v>
      </c>
      <c r="T77" s="219">
        <f>SUM(T78:T82)</f>
        <v>5155622</v>
      </c>
      <c r="U77" s="219">
        <f>SUM(U78:U82)</f>
        <v>5083603</v>
      </c>
      <c r="V77" s="219">
        <f>SUM(V78:V82)</f>
        <v>4918767</v>
      </c>
      <c r="W77" s="219">
        <f>SUM(W78:W82)</f>
        <v>4794834</v>
      </c>
      <c r="X77" s="52"/>
      <c r="Y77" s="52"/>
      <c r="Z77" s="52"/>
    </row>
    <row r="78" spans="1:26">
      <c r="A78" s="11" t="s">
        <v>79</v>
      </c>
      <c r="B78" s="1"/>
      <c r="C78" s="1">
        <v>9649.1884499999996</v>
      </c>
      <c r="D78" s="1">
        <v>8087.8620300000002</v>
      </c>
      <c r="E78" s="1">
        <v>6642.0504399999991</v>
      </c>
      <c r="F78" s="1">
        <v>6400.0475200000001</v>
      </c>
      <c r="G78" s="1">
        <v>779</v>
      </c>
      <c r="H78" s="1">
        <v>1447</v>
      </c>
      <c r="I78" s="1">
        <v>5429</v>
      </c>
      <c r="J78" s="1">
        <v>8000</v>
      </c>
      <c r="K78" s="1">
        <v>10307</v>
      </c>
      <c r="L78" s="1">
        <v>13450</v>
      </c>
      <c r="M78" s="1">
        <v>1971</v>
      </c>
      <c r="N78" s="1">
        <v>2976</v>
      </c>
      <c r="O78" s="1">
        <v>3001</v>
      </c>
      <c r="P78" s="1">
        <v>18</v>
      </c>
      <c r="Q78" s="1">
        <v>3361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52"/>
      <c r="Y78" s="52"/>
      <c r="Z78" s="52"/>
    </row>
    <row r="79" spans="1:26">
      <c r="A79" s="11" t="s">
        <v>86</v>
      </c>
      <c r="B79" s="1"/>
      <c r="C79" s="1">
        <v>3508171.9079200001</v>
      </c>
      <c r="D79" s="1">
        <v>3231586.6357999998</v>
      </c>
      <c r="E79" s="1">
        <v>3054523.0729700001</v>
      </c>
      <c r="F79" s="1">
        <v>2676911.2717599985</v>
      </c>
      <c r="G79" s="1">
        <v>2376319</v>
      </c>
      <c r="H79" s="1">
        <v>2096807</v>
      </c>
      <c r="I79" s="1">
        <v>1870680</v>
      </c>
      <c r="J79" s="1">
        <v>1707098</v>
      </c>
      <c r="K79" s="1">
        <v>1548517</v>
      </c>
      <c r="L79" s="1">
        <v>1395425</v>
      </c>
      <c r="M79" s="1">
        <v>1257537</v>
      </c>
      <c r="N79" s="1">
        <v>1139456</v>
      </c>
      <c r="O79" s="1">
        <v>1033749</v>
      </c>
      <c r="P79" s="1">
        <v>926508</v>
      </c>
      <c r="Q79" s="1">
        <v>4992731</v>
      </c>
      <c r="R79" s="1">
        <v>5085369</v>
      </c>
      <c r="S79" s="1">
        <v>5004656</v>
      </c>
      <c r="T79" s="1">
        <v>4918772</v>
      </c>
      <c r="U79" s="1">
        <v>4849773</v>
      </c>
      <c r="V79" s="1">
        <v>4686020</v>
      </c>
      <c r="W79" s="1">
        <v>4563595</v>
      </c>
      <c r="X79" s="52"/>
      <c r="Y79" s="52"/>
      <c r="Z79" s="52"/>
    </row>
    <row r="80" spans="1:26">
      <c r="A80" s="11" t="s">
        <v>84</v>
      </c>
      <c r="B80" s="1"/>
      <c r="C80" s="1"/>
      <c r="D80" s="1"/>
      <c r="E80" s="1"/>
      <c r="F80" s="1"/>
      <c r="G80" s="1">
        <v>16856</v>
      </c>
      <c r="H80" s="1">
        <v>13749</v>
      </c>
      <c r="I80" s="1">
        <v>13301</v>
      </c>
      <c r="J80" s="1">
        <v>17224</v>
      </c>
      <c r="K80" s="1">
        <v>17002</v>
      </c>
      <c r="L80" s="1">
        <v>16575</v>
      </c>
      <c r="M80" s="1">
        <v>15885</v>
      </c>
      <c r="N80" s="1">
        <v>12803</v>
      </c>
      <c r="O80" s="1">
        <v>11305</v>
      </c>
      <c r="P80" s="1">
        <v>11557</v>
      </c>
      <c r="Q80" s="1">
        <v>11357</v>
      </c>
      <c r="R80" s="1">
        <v>12084</v>
      </c>
      <c r="S80" s="1">
        <v>11545</v>
      </c>
      <c r="T80" s="1">
        <v>11470</v>
      </c>
      <c r="U80" s="1">
        <v>11661</v>
      </c>
      <c r="V80" s="1">
        <v>11383</v>
      </c>
      <c r="W80" s="1">
        <v>11823</v>
      </c>
      <c r="X80" s="52"/>
      <c r="Y80" s="52"/>
      <c r="Z80" s="52"/>
    </row>
    <row r="81" spans="1:26">
      <c r="A81" s="11" t="s">
        <v>87</v>
      </c>
      <c r="B81" s="1"/>
      <c r="C81" s="1">
        <v>586175.96774999995</v>
      </c>
      <c r="D81" s="1">
        <v>619478.51642000012</v>
      </c>
      <c r="E81" s="1">
        <v>648693.60184999986</v>
      </c>
      <c r="F81" s="1">
        <v>591583.02552000002</v>
      </c>
      <c r="G81" s="1">
        <v>591216</v>
      </c>
      <c r="H81" s="1">
        <v>589165</v>
      </c>
      <c r="I81" s="1">
        <v>584833</v>
      </c>
      <c r="J81" s="1">
        <v>590506</v>
      </c>
      <c r="K81" s="1">
        <v>595696</v>
      </c>
      <c r="L81" s="1">
        <v>600153</v>
      </c>
      <c r="M81" s="1">
        <v>874288</v>
      </c>
      <c r="N81" s="1">
        <v>863029</v>
      </c>
      <c r="O81" s="1">
        <v>879105</v>
      </c>
      <c r="P81" s="1">
        <v>893984</v>
      </c>
      <c r="Q81" s="1">
        <v>917446</v>
      </c>
      <c r="R81" s="1">
        <v>212737</v>
      </c>
      <c r="S81" s="1">
        <v>222846</v>
      </c>
      <c r="T81" s="1">
        <v>213869</v>
      </c>
      <c r="U81" s="1">
        <v>211598</v>
      </c>
      <c r="V81" s="1">
        <v>211329</v>
      </c>
      <c r="W81" s="1">
        <v>210029</v>
      </c>
      <c r="X81" s="52"/>
      <c r="Y81" s="52"/>
      <c r="Z81" s="52"/>
    </row>
    <row r="82" spans="1:26">
      <c r="A82" s="11" t="s">
        <v>85</v>
      </c>
      <c r="B82" s="1"/>
      <c r="C82" s="1"/>
      <c r="D82" s="1"/>
      <c r="E82" s="1"/>
      <c r="F82" s="1"/>
      <c r="G82" s="1">
        <v>7599</v>
      </c>
      <c r="H82" s="1">
        <v>4817</v>
      </c>
      <c r="I82" s="1">
        <v>4734</v>
      </c>
      <c r="J82" s="1">
        <v>4657</v>
      </c>
      <c r="K82" s="1">
        <v>4638</v>
      </c>
      <c r="L82" s="1">
        <v>5791</v>
      </c>
      <c r="M82" s="1">
        <v>5835</v>
      </c>
      <c r="N82" s="1">
        <v>12692</v>
      </c>
      <c r="O82" s="1">
        <v>13926</v>
      </c>
      <c r="P82" s="1">
        <v>13983</v>
      </c>
      <c r="Q82" s="1">
        <v>13081</v>
      </c>
      <c r="R82" s="1">
        <v>13092</v>
      </c>
      <c r="S82" s="1">
        <v>12112</v>
      </c>
      <c r="T82" s="1">
        <v>11511</v>
      </c>
      <c r="U82" s="1">
        <v>10571</v>
      </c>
      <c r="V82" s="1">
        <v>10035</v>
      </c>
      <c r="W82" s="1">
        <v>9387</v>
      </c>
      <c r="X82" s="52"/>
      <c r="Y82" s="52"/>
      <c r="Z82" s="52"/>
    </row>
    <row r="83" spans="1:26">
      <c r="A83" s="804" t="s">
        <v>25</v>
      </c>
      <c r="B83" s="633"/>
      <c r="C83" s="638">
        <v>2030852.71679</v>
      </c>
      <c r="D83" s="638">
        <v>2368364.5664900001</v>
      </c>
      <c r="E83" s="639">
        <v>2596677.4052000004</v>
      </c>
      <c r="F83" s="639">
        <v>1886091.9509599998</v>
      </c>
      <c r="G83" s="639">
        <v>2130470</v>
      </c>
      <c r="H83" s="639">
        <v>2478230</v>
      </c>
      <c r="I83" s="639">
        <v>2365748</v>
      </c>
      <c r="J83" s="639">
        <v>2249511</v>
      </c>
      <c r="K83" s="639">
        <v>2476258</v>
      </c>
      <c r="L83" s="639">
        <v>2918632</v>
      </c>
      <c r="M83" s="639">
        <v>2575077</v>
      </c>
      <c r="N83" s="639">
        <v>2640358</v>
      </c>
      <c r="O83" s="639">
        <v>2618708</v>
      </c>
      <c r="P83" s="639">
        <v>2402093</v>
      </c>
      <c r="Q83" s="639">
        <v>10624138</v>
      </c>
      <c r="R83" s="639">
        <v>10352016</v>
      </c>
      <c r="S83" s="639">
        <v>10510206</v>
      </c>
      <c r="T83" s="639">
        <v>10650348.720000001</v>
      </c>
      <c r="U83" s="639">
        <v>10746041</v>
      </c>
      <c r="V83" s="639">
        <v>10766961</v>
      </c>
      <c r="W83" s="639">
        <v>10806526</v>
      </c>
      <c r="X83" s="52"/>
      <c r="Y83" s="52"/>
      <c r="Z83" s="52"/>
    </row>
    <row r="84" spans="1:26">
      <c r="Q84" s="52"/>
      <c r="R84" s="52"/>
      <c r="S84" s="52"/>
      <c r="T84" s="52"/>
      <c r="U84" s="52"/>
      <c r="V84" s="52"/>
      <c r="W84" s="52"/>
    </row>
    <row r="85" spans="1:26"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</row>
    <row r="86" spans="1:26" ht="25.35" customHeight="1">
      <c r="A86" s="803" t="s">
        <v>88</v>
      </c>
      <c r="B86" s="643"/>
      <c r="C86" s="643">
        <v>44286</v>
      </c>
      <c r="D86" s="643">
        <v>44377</v>
      </c>
      <c r="E86" s="643">
        <v>44469</v>
      </c>
      <c r="F86" s="643">
        <v>44561</v>
      </c>
      <c r="G86" s="643">
        <v>44621</v>
      </c>
      <c r="H86" s="643">
        <v>44713</v>
      </c>
      <c r="I86" s="643">
        <v>44805</v>
      </c>
      <c r="J86" s="643">
        <v>44896</v>
      </c>
      <c r="K86" s="643">
        <v>44986</v>
      </c>
      <c r="L86" s="643">
        <v>45078</v>
      </c>
      <c r="M86" s="643">
        <v>45170</v>
      </c>
      <c r="N86" s="643">
        <v>45261</v>
      </c>
      <c r="O86" s="643">
        <v>45352</v>
      </c>
      <c r="P86" s="643">
        <v>45444</v>
      </c>
      <c r="Q86" s="643">
        <v>45537</v>
      </c>
      <c r="R86" s="643">
        <v>45627</v>
      </c>
      <c r="S86" s="643">
        <v>45717</v>
      </c>
      <c r="T86" s="643">
        <v>45809</v>
      </c>
      <c r="U86" s="643">
        <v>45901</v>
      </c>
      <c r="V86" s="748">
        <v>45992</v>
      </c>
      <c r="W86" s="749">
        <v>46082</v>
      </c>
    </row>
    <row r="87" spans="1:26">
      <c r="A87" s="804" t="s">
        <v>5</v>
      </c>
      <c r="B87" s="633"/>
      <c r="C87" s="638">
        <v>8470424.4015500005</v>
      </c>
      <c r="D87" s="638">
        <v>9085810.1044299975</v>
      </c>
      <c r="E87" s="639">
        <v>9828800.8690000009</v>
      </c>
      <c r="F87" s="639">
        <v>10441515.334559998</v>
      </c>
      <c r="G87" s="639">
        <v>10922953</v>
      </c>
      <c r="H87" s="639">
        <v>11542567</v>
      </c>
      <c r="I87" s="639">
        <v>12459372</v>
      </c>
      <c r="J87" s="639">
        <v>12773537</v>
      </c>
      <c r="K87" s="639">
        <v>13271239</v>
      </c>
      <c r="L87" s="639">
        <v>13739942</v>
      </c>
      <c r="M87" s="639">
        <v>13725251</v>
      </c>
      <c r="N87" s="639">
        <v>14358341</v>
      </c>
      <c r="O87" s="639">
        <v>14570645</v>
      </c>
      <c r="P87" s="639">
        <v>14906423</v>
      </c>
      <c r="Q87" s="639">
        <v>14967543</v>
      </c>
      <c r="R87" s="639">
        <v>0</v>
      </c>
      <c r="S87" s="639">
        <v>0</v>
      </c>
      <c r="T87" s="639">
        <v>0</v>
      </c>
      <c r="U87" s="639">
        <v>0</v>
      </c>
      <c r="V87" s="722">
        <v>0</v>
      </c>
      <c r="W87" s="722">
        <v>0</v>
      </c>
    </row>
    <row r="88" spans="1:26">
      <c r="A88" s="805" t="s">
        <v>40</v>
      </c>
      <c r="B88" s="218"/>
      <c r="C88" s="218">
        <v>968675.4341500001</v>
      </c>
      <c r="D88" s="218">
        <v>452725.42768999998</v>
      </c>
      <c r="E88" s="219">
        <v>751463.86500000011</v>
      </c>
      <c r="F88" s="219">
        <v>1132151.6976899996</v>
      </c>
      <c r="G88" s="219">
        <v>3035176</v>
      </c>
      <c r="H88" s="219">
        <v>3265872</v>
      </c>
      <c r="I88" s="219">
        <v>4112801</v>
      </c>
      <c r="J88" s="219">
        <v>3011581</v>
      </c>
      <c r="K88" s="219">
        <v>2089905</v>
      </c>
      <c r="L88" s="219">
        <v>1889480</v>
      </c>
      <c r="M88" s="219">
        <v>1905492</v>
      </c>
      <c r="N88" s="219">
        <v>2293975</v>
      </c>
      <c r="O88" s="219">
        <v>2921039</v>
      </c>
      <c r="P88" s="219">
        <v>2757849</v>
      </c>
      <c r="Q88" s="219">
        <v>3040748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</row>
    <row r="89" spans="1:26">
      <c r="A89" s="814" t="s">
        <v>89</v>
      </c>
      <c r="B89" s="220"/>
      <c r="C89" s="220">
        <v>10750.684620000004</v>
      </c>
      <c r="D89" s="220">
        <v>14852.466009999998</v>
      </c>
      <c r="E89" s="220">
        <v>14343.73</v>
      </c>
      <c r="F89" s="220">
        <v>36845.545689999984</v>
      </c>
      <c r="G89" s="220">
        <v>16655</v>
      </c>
      <c r="H89" s="220">
        <v>15658</v>
      </c>
      <c r="I89" s="220">
        <v>22896</v>
      </c>
      <c r="J89" s="220">
        <v>9307</v>
      </c>
      <c r="K89" s="220">
        <v>7307</v>
      </c>
      <c r="L89" s="220">
        <v>10598</v>
      </c>
      <c r="M89" s="220">
        <v>19266</v>
      </c>
      <c r="N89" s="220">
        <v>9999</v>
      </c>
      <c r="O89" s="220">
        <v>12237</v>
      </c>
      <c r="P89" s="220">
        <v>12296</v>
      </c>
      <c r="Q89" s="220">
        <v>14071</v>
      </c>
      <c r="R89" s="220">
        <v>0</v>
      </c>
      <c r="S89" s="220">
        <v>0</v>
      </c>
      <c r="T89" s="220">
        <v>0</v>
      </c>
      <c r="U89" s="220">
        <v>0</v>
      </c>
      <c r="V89" s="220">
        <v>0</v>
      </c>
      <c r="W89" s="220">
        <v>0</v>
      </c>
    </row>
    <row r="90" spans="1:26">
      <c r="A90" s="814" t="s">
        <v>71</v>
      </c>
      <c r="B90" s="220"/>
      <c r="C90" s="220">
        <v>736078.41379999998</v>
      </c>
      <c r="D90" s="220">
        <v>124700.45898000001</v>
      </c>
      <c r="E90" s="220">
        <v>404923.935</v>
      </c>
      <c r="F90" s="220">
        <v>756757.08460000006</v>
      </c>
      <c r="G90" s="220">
        <v>2619202</v>
      </c>
      <c r="H90" s="220">
        <v>2773944</v>
      </c>
      <c r="I90" s="220">
        <v>3562097</v>
      </c>
      <c r="J90" s="220">
        <v>2487974</v>
      </c>
      <c r="K90" s="220">
        <v>1505808</v>
      </c>
      <c r="L90" s="220">
        <v>1207354</v>
      </c>
      <c r="M90" s="220">
        <v>1159170</v>
      </c>
      <c r="N90" s="220">
        <v>1487616</v>
      </c>
      <c r="O90" s="220">
        <v>2122370</v>
      </c>
      <c r="P90" s="220">
        <v>1945334</v>
      </c>
      <c r="Q90" s="220">
        <v>2226281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</row>
    <row r="91" spans="1:26">
      <c r="A91" s="814" t="s">
        <v>90</v>
      </c>
      <c r="B91" s="220"/>
      <c r="C91" s="220">
        <v>135952.77606000003</v>
      </c>
      <c r="D91" s="220">
        <v>176581.77968000004</v>
      </c>
      <c r="E91" s="220">
        <v>111740.027</v>
      </c>
      <c r="F91" s="220">
        <v>60543.360130000023</v>
      </c>
      <c r="G91" s="220">
        <v>91608</v>
      </c>
      <c r="H91" s="220">
        <v>124277</v>
      </c>
      <c r="I91" s="220">
        <v>111843</v>
      </c>
      <c r="J91" s="220">
        <v>85264</v>
      </c>
      <c r="K91" s="220">
        <v>102124</v>
      </c>
      <c r="L91" s="220">
        <v>109004</v>
      </c>
      <c r="M91" s="220">
        <v>120351</v>
      </c>
      <c r="N91" s="220">
        <v>138969</v>
      </c>
      <c r="O91" s="220">
        <v>147731</v>
      </c>
      <c r="P91" s="220">
        <v>126591</v>
      </c>
      <c r="Q91" s="220">
        <v>126301</v>
      </c>
      <c r="R91" s="220">
        <v>0</v>
      </c>
      <c r="S91" s="220">
        <v>0</v>
      </c>
      <c r="T91" s="220">
        <v>0</v>
      </c>
      <c r="U91" s="220">
        <v>0</v>
      </c>
      <c r="V91" s="220">
        <v>0</v>
      </c>
      <c r="W91" s="220">
        <v>0</v>
      </c>
    </row>
    <row r="92" spans="1:26">
      <c r="A92" s="814" t="s">
        <v>73</v>
      </c>
      <c r="B92" s="220"/>
      <c r="C92" s="220">
        <v>1115.3951300000001</v>
      </c>
      <c r="D92" s="220">
        <v>864.15241000000003</v>
      </c>
      <c r="E92" s="220">
        <v>373.01100000000002</v>
      </c>
      <c r="F92" s="220">
        <v>4.5478500000000004</v>
      </c>
      <c r="G92" s="220">
        <v>2265</v>
      </c>
      <c r="H92" s="220">
        <v>2408</v>
      </c>
      <c r="I92" s="220">
        <v>1235</v>
      </c>
      <c r="J92" s="220">
        <v>374</v>
      </c>
      <c r="K92" s="220">
        <v>3448</v>
      </c>
      <c r="L92" s="220">
        <v>2716</v>
      </c>
      <c r="M92" s="220">
        <v>1289</v>
      </c>
      <c r="N92" s="220">
        <v>4681</v>
      </c>
      <c r="O92" s="220">
        <v>4681</v>
      </c>
      <c r="P92" s="220">
        <v>0</v>
      </c>
      <c r="Q92" s="220">
        <v>0</v>
      </c>
      <c r="R92" s="220">
        <v>0</v>
      </c>
      <c r="S92" s="220">
        <v>0</v>
      </c>
      <c r="T92" s="220">
        <v>0</v>
      </c>
      <c r="U92" s="220">
        <v>0</v>
      </c>
      <c r="V92" s="220">
        <v>0</v>
      </c>
      <c r="W92" s="220">
        <v>0</v>
      </c>
    </row>
    <row r="93" spans="1:26">
      <c r="A93" s="814" t="s">
        <v>72</v>
      </c>
      <c r="B93" s="220"/>
      <c r="C93" s="220">
        <v>27337.487729999993</v>
      </c>
      <c r="D93" s="220">
        <v>10166.5</v>
      </c>
      <c r="E93" s="220">
        <v>10391.710999999999</v>
      </c>
      <c r="F93" s="220">
        <v>14104.575259999861</v>
      </c>
      <c r="G93" s="220">
        <v>16305</v>
      </c>
      <c r="H93" s="220">
        <v>19392</v>
      </c>
      <c r="I93" s="220">
        <v>20595</v>
      </c>
      <c r="J93" s="220">
        <v>14907</v>
      </c>
      <c r="K93" s="220">
        <v>16711</v>
      </c>
      <c r="L93" s="220">
        <v>55565</v>
      </c>
      <c r="M93" s="220">
        <v>65347</v>
      </c>
      <c r="N93" s="220">
        <v>78817</v>
      </c>
      <c r="O93" s="220">
        <v>36011</v>
      </c>
      <c r="P93" s="220">
        <v>49817</v>
      </c>
      <c r="Q93" s="220">
        <v>35112</v>
      </c>
      <c r="R93" s="220">
        <v>0</v>
      </c>
      <c r="S93" s="220">
        <v>0</v>
      </c>
      <c r="T93" s="220">
        <v>0</v>
      </c>
      <c r="U93" s="220">
        <v>0</v>
      </c>
      <c r="V93" s="220">
        <v>0</v>
      </c>
      <c r="W93" s="220">
        <v>0</v>
      </c>
    </row>
    <row r="94" spans="1:26">
      <c r="A94" s="814" t="s">
        <v>91</v>
      </c>
      <c r="B94" s="220"/>
      <c r="C94" s="220">
        <v>57440.676810000004</v>
      </c>
      <c r="D94" s="220">
        <v>125560.07061</v>
      </c>
      <c r="E94" s="220">
        <v>209691.451</v>
      </c>
      <c r="F94" s="220">
        <v>263896.58415999985</v>
      </c>
      <c r="G94" s="220">
        <v>289141</v>
      </c>
      <c r="H94" s="220">
        <v>330193</v>
      </c>
      <c r="I94" s="220">
        <v>394135</v>
      </c>
      <c r="J94" s="220">
        <v>413755</v>
      </c>
      <c r="K94" s="220">
        <v>454507</v>
      </c>
      <c r="L94" s="220">
        <v>504243</v>
      </c>
      <c r="M94" s="220">
        <v>540069</v>
      </c>
      <c r="N94" s="220">
        <v>573893</v>
      </c>
      <c r="O94" s="220">
        <v>598009</v>
      </c>
      <c r="P94" s="220">
        <v>623811</v>
      </c>
      <c r="Q94" s="220">
        <v>638983</v>
      </c>
      <c r="R94" s="220">
        <v>0</v>
      </c>
      <c r="S94" s="220">
        <v>0</v>
      </c>
      <c r="T94" s="220">
        <v>0</v>
      </c>
      <c r="U94" s="220">
        <v>0</v>
      </c>
      <c r="V94" s="220">
        <v>0</v>
      </c>
      <c r="W94" s="220">
        <v>0</v>
      </c>
    </row>
    <row r="95" spans="1:26">
      <c r="A95" s="805" t="s">
        <v>47</v>
      </c>
      <c r="B95" s="218"/>
      <c r="C95" s="218">
        <v>7501748.9674000004</v>
      </c>
      <c r="D95" s="218">
        <v>8633084.6767399982</v>
      </c>
      <c r="E95" s="219">
        <v>9077337.0040000007</v>
      </c>
      <c r="F95" s="219">
        <v>9309363.6368699986</v>
      </c>
      <c r="G95" s="219">
        <v>7887777</v>
      </c>
      <c r="H95" s="219">
        <v>8276695</v>
      </c>
      <c r="I95" s="219">
        <v>8346571</v>
      </c>
      <c r="J95" s="219">
        <v>9761956</v>
      </c>
      <c r="K95" s="219">
        <v>11181334</v>
      </c>
      <c r="L95" s="219">
        <v>11850462</v>
      </c>
      <c r="M95" s="219">
        <v>11819759</v>
      </c>
      <c r="N95" s="219">
        <v>12064366</v>
      </c>
      <c r="O95" s="219">
        <v>11649606</v>
      </c>
      <c r="P95" s="219">
        <v>12148574</v>
      </c>
      <c r="Q95" s="219">
        <v>11926795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</row>
    <row r="96" spans="1:26">
      <c r="A96" s="249" t="s">
        <v>70</v>
      </c>
      <c r="B96" s="221"/>
      <c r="C96" s="221">
        <v>571647.19605000003</v>
      </c>
      <c r="D96" s="221">
        <v>1772989.6644699997</v>
      </c>
      <c r="E96" s="221">
        <v>2287041.2209999999</v>
      </c>
      <c r="F96" s="221">
        <v>2588865.4339200002</v>
      </c>
      <c r="G96" s="221">
        <v>1236869</v>
      </c>
      <c r="H96" s="221">
        <v>1695341</v>
      </c>
      <c r="I96" s="221">
        <v>1834567</v>
      </c>
      <c r="J96" s="221">
        <v>3318263</v>
      </c>
      <c r="K96" s="221">
        <v>4807163</v>
      </c>
      <c r="L96" s="221">
        <v>5544675</v>
      </c>
      <c r="M96" s="221">
        <v>5580924</v>
      </c>
      <c r="N96" s="221">
        <v>5894633</v>
      </c>
      <c r="O96" s="221">
        <v>5549915</v>
      </c>
      <c r="P96" s="221">
        <v>6118450</v>
      </c>
      <c r="Q96" s="221">
        <v>5943544</v>
      </c>
      <c r="R96" s="221">
        <v>0</v>
      </c>
      <c r="S96" s="221">
        <v>0</v>
      </c>
      <c r="T96" s="221">
        <v>0</v>
      </c>
      <c r="U96" s="221">
        <v>0</v>
      </c>
      <c r="V96" s="221">
        <v>0</v>
      </c>
      <c r="W96" s="221">
        <v>0</v>
      </c>
    </row>
    <row r="97" spans="1:23">
      <c r="A97" s="814" t="s">
        <v>71</v>
      </c>
      <c r="B97" s="220"/>
      <c r="C97" s="220">
        <v>425101.77635000006</v>
      </c>
      <c r="D97" s="220">
        <v>1459989.4215499996</v>
      </c>
      <c r="E97" s="220">
        <v>1769321.084</v>
      </c>
      <c r="F97" s="220">
        <v>1907262.1793500001</v>
      </c>
      <c r="G97" s="220">
        <v>407729</v>
      </c>
      <c r="H97" s="220">
        <v>727539</v>
      </c>
      <c r="I97" s="220">
        <v>700267</v>
      </c>
      <c r="J97" s="220">
        <v>2156640</v>
      </c>
      <c r="K97" s="220">
        <v>3558983</v>
      </c>
      <c r="L97" s="220">
        <v>4298572</v>
      </c>
      <c r="M97" s="220">
        <v>4263081</v>
      </c>
      <c r="N97" s="220">
        <v>4553660</v>
      </c>
      <c r="O97" s="220">
        <v>4142431</v>
      </c>
      <c r="P97" s="220">
        <v>4599334</v>
      </c>
      <c r="Q97" s="220">
        <v>4418832</v>
      </c>
      <c r="R97" s="220">
        <v>0</v>
      </c>
      <c r="S97" s="220">
        <v>0</v>
      </c>
      <c r="T97" s="220">
        <v>0</v>
      </c>
      <c r="U97" s="220">
        <v>0</v>
      </c>
      <c r="V97" s="220">
        <v>0</v>
      </c>
      <c r="W97" s="220">
        <v>0</v>
      </c>
    </row>
    <row r="98" spans="1:23">
      <c r="A98" s="814" t="s">
        <v>72</v>
      </c>
      <c r="B98" s="220"/>
      <c r="C98" s="220">
        <v>6132.7041400000007</v>
      </c>
      <c r="D98" s="220">
        <v>40334.78</v>
      </c>
      <c r="E98" s="220">
        <v>50456.224999999999</v>
      </c>
      <c r="F98" s="220">
        <v>46700.897690000005</v>
      </c>
      <c r="G98" s="220">
        <v>73104</v>
      </c>
      <c r="H98" s="220">
        <v>75674</v>
      </c>
      <c r="I98" s="220">
        <v>71955</v>
      </c>
      <c r="J98" s="220">
        <v>67678</v>
      </c>
      <c r="K98" s="220">
        <v>60183</v>
      </c>
      <c r="L98" s="220">
        <v>19483</v>
      </c>
      <c r="M98" s="220">
        <v>30720</v>
      </c>
      <c r="N98" s="220">
        <v>436</v>
      </c>
      <c r="O98" s="220">
        <v>7150</v>
      </c>
      <c r="P98" s="220">
        <v>57636</v>
      </c>
      <c r="Q98" s="220">
        <v>24449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</row>
    <row r="99" spans="1:23">
      <c r="A99" s="814" t="s">
        <v>74</v>
      </c>
      <c r="B99" s="220"/>
      <c r="C99" s="220">
        <v>0</v>
      </c>
      <c r="D99" s="220">
        <v>0</v>
      </c>
      <c r="E99" s="220">
        <v>0</v>
      </c>
      <c r="F99" s="220"/>
      <c r="G99" s="220">
        <v>21272</v>
      </c>
      <c r="H99" s="220">
        <v>20729</v>
      </c>
      <c r="I99" s="220">
        <v>20982</v>
      </c>
      <c r="J99" s="220">
        <v>19191</v>
      </c>
      <c r="K99" s="220">
        <v>20323</v>
      </c>
      <c r="L99" s="220">
        <v>20916</v>
      </c>
      <c r="M99" s="220">
        <v>20426</v>
      </c>
      <c r="N99" s="220">
        <v>4613</v>
      </c>
      <c r="O99" s="220">
        <v>3792</v>
      </c>
      <c r="P99" s="220">
        <v>2335</v>
      </c>
      <c r="Q99" s="220">
        <v>2286</v>
      </c>
      <c r="R99" s="220">
        <v>0</v>
      </c>
      <c r="S99" s="220">
        <v>0</v>
      </c>
      <c r="T99" s="220">
        <v>0</v>
      </c>
      <c r="U99" s="220">
        <v>0</v>
      </c>
      <c r="V99" s="220">
        <v>0</v>
      </c>
      <c r="W99" s="220">
        <v>0</v>
      </c>
    </row>
    <row r="100" spans="1:23">
      <c r="A100" s="815" t="s">
        <v>75</v>
      </c>
      <c r="B100" s="221"/>
      <c r="C100" s="221">
        <v>140412.71556000001</v>
      </c>
      <c r="D100" s="221">
        <v>272665.46291999996</v>
      </c>
      <c r="E100" s="221">
        <v>467263.91200000001</v>
      </c>
      <c r="F100" s="221">
        <v>634902.35688000009</v>
      </c>
      <c r="G100" s="221">
        <v>734764</v>
      </c>
      <c r="H100" s="221">
        <v>871399</v>
      </c>
      <c r="I100" s="221">
        <v>1041363</v>
      </c>
      <c r="J100" s="221">
        <v>1074754</v>
      </c>
      <c r="K100" s="221">
        <v>1167674</v>
      </c>
      <c r="L100" s="221">
        <v>1205704</v>
      </c>
      <c r="M100" s="221">
        <v>1266697</v>
      </c>
      <c r="N100" s="221">
        <v>1335924</v>
      </c>
      <c r="O100" s="221">
        <v>1396542</v>
      </c>
      <c r="P100" s="221">
        <v>1459144</v>
      </c>
      <c r="Q100" s="221">
        <v>1497977</v>
      </c>
      <c r="R100" s="221">
        <v>0</v>
      </c>
      <c r="S100" s="221">
        <v>0</v>
      </c>
      <c r="T100" s="221">
        <v>0</v>
      </c>
      <c r="U100" s="221">
        <v>0</v>
      </c>
      <c r="V100" s="221">
        <v>0</v>
      </c>
      <c r="W100" s="221">
        <v>0</v>
      </c>
    </row>
    <row r="101" spans="1:23">
      <c r="A101" s="248" t="s">
        <v>92</v>
      </c>
      <c r="B101" s="220"/>
      <c r="C101" s="220">
        <v>22.273499999999999</v>
      </c>
      <c r="D101" s="220">
        <v>19.4893</v>
      </c>
      <c r="E101" s="220">
        <v>224.23500000000001</v>
      </c>
      <c r="F101" s="220">
        <v>195.50970000000001</v>
      </c>
      <c r="G101" s="220">
        <v>167</v>
      </c>
      <c r="H101" s="220">
        <v>138</v>
      </c>
      <c r="I101" s="220">
        <v>109</v>
      </c>
      <c r="J101" s="220">
        <v>228</v>
      </c>
      <c r="K101" s="220">
        <v>179</v>
      </c>
      <c r="L101" s="220">
        <v>165</v>
      </c>
      <c r="M101" s="220">
        <v>154</v>
      </c>
      <c r="N101" s="220">
        <v>145</v>
      </c>
      <c r="O101" s="220">
        <v>172</v>
      </c>
      <c r="P101" s="220">
        <v>170</v>
      </c>
      <c r="Q101" s="220">
        <v>163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</row>
    <row r="102" spans="1:23">
      <c r="A102" s="248" t="s">
        <v>93</v>
      </c>
      <c r="B102" s="220"/>
      <c r="C102" s="220">
        <v>6930079.4978499999</v>
      </c>
      <c r="D102" s="220">
        <v>6860075.5229699994</v>
      </c>
      <c r="E102" s="220">
        <v>6790071.5480000004</v>
      </c>
      <c r="F102" s="220">
        <v>6720302.6932499995</v>
      </c>
      <c r="G102" s="220">
        <v>6650741</v>
      </c>
      <c r="H102" s="220">
        <v>6581216</v>
      </c>
      <c r="I102" s="220">
        <v>6511895</v>
      </c>
      <c r="J102" s="220">
        <v>6443465</v>
      </c>
      <c r="K102" s="220">
        <v>6373992</v>
      </c>
      <c r="L102" s="220">
        <v>6305622</v>
      </c>
      <c r="M102" s="220">
        <v>6238681</v>
      </c>
      <c r="N102" s="220">
        <v>6169588</v>
      </c>
      <c r="O102" s="220">
        <v>6099519</v>
      </c>
      <c r="P102" s="220">
        <v>6029954</v>
      </c>
      <c r="Q102" s="220">
        <v>5983088</v>
      </c>
      <c r="R102" s="220">
        <v>0</v>
      </c>
      <c r="S102" s="220">
        <v>0</v>
      </c>
      <c r="T102" s="220">
        <v>0</v>
      </c>
      <c r="U102" s="220">
        <v>0</v>
      </c>
      <c r="V102" s="220">
        <v>0</v>
      </c>
      <c r="W102" s="220">
        <v>0</v>
      </c>
    </row>
    <row r="103" spans="1:23">
      <c r="A103" s="816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>
        <v>0</v>
      </c>
      <c r="T103" s="222"/>
      <c r="U103" s="222"/>
      <c r="V103" s="222">
        <v>0</v>
      </c>
      <c r="W103" s="222">
        <v>0</v>
      </c>
    </row>
    <row r="104" spans="1:23">
      <c r="A104" s="804" t="s">
        <v>17</v>
      </c>
      <c r="B104" s="633"/>
      <c r="C104" s="638">
        <v>715073.87101999996</v>
      </c>
      <c r="D104" s="638">
        <v>1349696.0118600002</v>
      </c>
      <c r="E104" s="639">
        <v>2105360.9169999999</v>
      </c>
      <c r="F104" s="639">
        <v>2700984.3370400006</v>
      </c>
      <c r="G104" s="639">
        <v>3169736</v>
      </c>
      <c r="H104" s="639">
        <v>3723366</v>
      </c>
      <c r="I104" s="639">
        <v>4582447</v>
      </c>
      <c r="J104" s="639">
        <v>4910434</v>
      </c>
      <c r="K104" s="639">
        <v>5281964</v>
      </c>
      <c r="L104" s="639">
        <v>5519384</v>
      </c>
      <c r="M104" s="639">
        <v>5841783</v>
      </c>
      <c r="N104" s="639">
        <v>6234461</v>
      </c>
      <c r="O104" s="639">
        <v>6435360</v>
      </c>
      <c r="P104" s="639">
        <v>6911221</v>
      </c>
      <c r="Q104" s="639">
        <v>6972795</v>
      </c>
      <c r="R104" s="639">
        <v>0</v>
      </c>
      <c r="S104" s="639">
        <v>0</v>
      </c>
      <c r="T104" s="639">
        <v>0</v>
      </c>
      <c r="U104" s="639">
        <v>0</v>
      </c>
      <c r="V104" s="633">
        <v>0</v>
      </c>
      <c r="W104" s="633">
        <v>0</v>
      </c>
    </row>
    <row r="105" spans="1:23">
      <c r="A105" s="805" t="s">
        <v>51</v>
      </c>
      <c r="B105" s="218"/>
      <c r="C105" s="218">
        <v>317598.28814999998</v>
      </c>
      <c r="D105" s="218">
        <v>545685.55107000005</v>
      </c>
      <c r="E105" s="219">
        <v>773026.723</v>
      </c>
      <c r="F105" s="219">
        <v>956681.40549000003</v>
      </c>
      <c r="G105" s="219">
        <v>1145248</v>
      </c>
      <c r="H105" s="219">
        <v>1363517</v>
      </c>
      <c r="I105" s="219">
        <v>1778956</v>
      </c>
      <c r="J105" s="219">
        <v>2022207</v>
      </c>
      <c r="K105" s="219">
        <v>2162833</v>
      </c>
      <c r="L105" s="219">
        <v>2215525</v>
      </c>
      <c r="M105" s="219">
        <v>2371724</v>
      </c>
      <c r="N105" s="219">
        <v>2576938</v>
      </c>
      <c r="O105" s="219">
        <v>2617039</v>
      </c>
      <c r="P105" s="219">
        <v>2919062</v>
      </c>
      <c r="Q105" s="219">
        <v>2866937</v>
      </c>
      <c r="R105" s="219">
        <v>0</v>
      </c>
      <c r="S105" s="219">
        <v>0</v>
      </c>
      <c r="T105" s="219">
        <v>0</v>
      </c>
      <c r="U105" s="219">
        <v>0</v>
      </c>
      <c r="V105" s="219">
        <v>0</v>
      </c>
      <c r="W105" s="219">
        <v>0</v>
      </c>
    </row>
    <row r="106" spans="1:23">
      <c r="A106" s="814" t="s">
        <v>79</v>
      </c>
      <c r="B106" s="223"/>
      <c r="C106" s="220">
        <v>6658.5941400000038</v>
      </c>
      <c r="D106" s="220">
        <v>11204.8</v>
      </c>
      <c r="E106" s="220">
        <v>20079.886999999999</v>
      </c>
      <c r="F106" s="220">
        <v>39411.548599999966</v>
      </c>
      <c r="G106" s="220">
        <v>75817</v>
      </c>
      <c r="H106" s="220">
        <v>118926</v>
      </c>
      <c r="I106" s="220">
        <v>187038</v>
      </c>
      <c r="J106" s="220">
        <v>406397</v>
      </c>
      <c r="K106" s="220">
        <v>348414</v>
      </c>
      <c r="L106" s="220">
        <v>261988</v>
      </c>
      <c r="M106" s="220">
        <v>342588</v>
      </c>
      <c r="N106" s="220">
        <v>428285</v>
      </c>
      <c r="O106" s="220">
        <v>380110</v>
      </c>
      <c r="P106" s="220">
        <v>492345</v>
      </c>
      <c r="Q106" s="220">
        <v>461439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</row>
    <row r="107" spans="1:23">
      <c r="A107" s="814" t="s">
        <v>80</v>
      </c>
      <c r="B107" s="223"/>
      <c r="C107" s="220">
        <v>124893.65340000002</v>
      </c>
      <c r="D107" s="220">
        <v>168993.2</v>
      </c>
      <c r="E107" s="220">
        <v>160364.46799999999</v>
      </c>
      <c r="F107" s="220">
        <v>171041.36005000019</v>
      </c>
      <c r="G107" s="220">
        <v>215482</v>
      </c>
      <c r="H107" s="220">
        <v>234414</v>
      </c>
      <c r="I107" s="220">
        <v>257632</v>
      </c>
      <c r="J107" s="220">
        <v>200149</v>
      </c>
      <c r="K107" s="220">
        <v>226551</v>
      </c>
      <c r="L107" s="220">
        <v>229246</v>
      </c>
      <c r="M107" s="220">
        <v>195895</v>
      </c>
      <c r="N107" s="220">
        <v>225881</v>
      </c>
      <c r="O107" s="220">
        <v>213605</v>
      </c>
      <c r="P107" s="220">
        <v>228978</v>
      </c>
      <c r="Q107" s="220">
        <v>158026</v>
      </c>
      <c r="R107" s="220">
        <v>0</v>
      </c>
      <c r="S107" s="220">
        <v>0</v>
      </c>
      <c r="T107" s="220">
        <v>0</v>
      </c>
      <c r="U107" s="220">
        <v>0</v>
      </c>
      <c r="V107" s="220">
        <v>0</v>
      </c>
      <c r="W107" s="220">
        <v>0</v>
      </c>
    </row>
    <row r="108" spans="1:23">
      <c r="A108" s="814" t="s">
        <v>82</v>
      </c>
      <c r="B108" s="223"/>
      <c r="C108" s="220">
        <v>15238.215789999944</v>
      </c>
      <c r="D108" s="220">
        <v>20280.400000000001</v>
      </c>
      <c r="E108" s="220">
        <v>35962.203000000001</v>
      </c>
      <c r="F108" s="220">
        <v>22671.528009999653</v>
      </c>
      <c r="G108" s="220">
        <v>30205</v>
      </c>
      <c r="H108" s="220">
        <v>18664</v>
      </c>
      <c r="I108" s="220">
        <v>116789</v>
      </c>
      <c r="J108" s="220">
        <v>79748</v>
      </c>
      <c r="K108" s="220">
        <v>113590</v>
      </c>
      <c r="L108" s="220">
        <v>94788</v>
      </c>
      <c r="M108" s="220">
        <v>87136</v>
      </c>
      <c r="N108" s="220">
        <v>51930</v>
      </c>
      <c r="O108" s="220">
        <v>67634</v>
      </c>
      <c r="P108" s="220">
        <v>64658</v>
      </c>
      <c r="Q108" s="220">
        <v>45402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</row>
    <row r="109" spans="1:23">
      <c r="A109" s="814" t="s">
        <v>83</v>
      </c>
      <c r="B109" s="223"/>
      <c r="C109" s="220">
        <v>170807.82481999998</v>
      </c>
      <c r="D109" s="220">
        <v>345207.15107000002</v>
      </c>
      <c r="E109" s="220">
        <v>556620.16500000004</v>
      </c>
      <c r="F109" s="220">
        <v>723556.96883000014</v>
      </c>
      <c r="G109" s="220">
        <v>822373</v>
      </c>
      <c r="H109" s="220">
        <v>990108</v>
      </c>
      <c r="I109" s="220">
        <v>1216057</v>
      </c>
      <c r="J109" s="220">
        <v>1334617</v>
      </c>
      <c r="K109" s="220">
        <v>1472504</v>
      </c>
      <c r="L109" s="220">
        <v>1627824</v>
      </c>
      <c r="M109" s="220">
        <v>1744376</v>
      </c>
      <c r="N109" s="220">
        <v>1869283</v>
      </c>
      <c r="O109" s="220">
        <v>1954603</v>
      </c>
      <c r="P109" s="220">
        <v>2132864</v>
      </c>
      <c r="Q109" s="220">
        <v>2201831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</row>
    <row r="110" spans="1:23">
      <c r="A110" s="814" t="s">
        <v>85</v>
      </c>
      <c r="B110" s="223"/>
      <c r="C110" s="220">
        <v>0</v>
      </c>
      <c r="D110" s="220">
        <v>0</v>
      </c>
      <c r="E110" s="220">
        <v>0</v>
      </c>
      <c r="F110" s="220"/>
      <c r="G110" s="220">
        <v>1371</v>
      </c>
      <c r="H110" s="220">
        <v>1405</v>
      </c>
      <c r="I110" s="220">
        <v>1440</v>
      </c>
      <c r="J110" s="220">
        <v>1296</v>
      </c>
      <c r="K110" s="220">
        <v>1774</v>
      </c>
      <c r="L110" s="220">
        <v>1679</v>
      </c>
      <c r="M110" s="220">
        <v>1729</v>
      </c>
      <c r="N110" s="220">
        <v>1559</v>
      </c>
      <c r="O110" s="220">
        <v>1087</v>
      </c>
      <c r="P110" s="220">
        <v>217</v>
      </c>
      <c r="Q110" s="220">
        <v>239</v>
      </c>
      <c r="R110" s="220">
        <v>0</v>
      </c>
      <c r="S110" s="220">
        <v>0</v>
      </c>
      <c r="T110" s="220">
        <v>0</v>
      </c>
      <c r="U110" s="220">
        <v>0</v>
      </c>
      <c r="V110" s="220">
        <v>0</v>
      </c>
      <c r="W110" s="220">
        <v>0</v>
      </c>
    </row>
    <row r="111" spans="1:23">
      <c r="A111" s="805" t="s">
        <v>56</v>
      </c>
      <c r="B111" s="218"/>
      <c r="C111" s="218">
        <v>397475.58286999998</v>
      </c>
      <c r="D111" s="218">
        <v>804010.46079000016</v>
      </c>
      <c r="E111" s="219">
        <v>1332334.1939999999</v>
      </c>
      <c r="F111" s="219">
        <v>1744302.9315500003</v>
      </c>
      <c r="G111" s="219">
        <v>2024488</v>
      </c>
      <c r="H111" s="219">
        <v>2359849</v>
      </c>
      <c r="I111" s="219">
        <v>2803491</v>
      </c>
      <c r="J111" s="219">
        <v>2888227</v>
      </c>
      <c r="K111" s="219">
        <v>3119131</v>
      </c>
      <c r="L111" s="219">
        <v>3303859</v>
      </c>
      <c r="M111" s="219">
        <v>3470059</v>
      </c>
      <c r="N111" s="219">
        <v>3657523</v>
      </c>
      <c r="O111" s="219">
        <v>3818321</v>
      </c>
      <c r="P111" s="219">
        <v>3992159</v>
      </c>
      <c r="Q111" s="219">
        <v>4105858</v>
      </c>
      <c r="R111" s="219">
        <v>0</v>
      </c>
      <c r="S111" s="219">
        <v>0</v>
      </c>
      <c r="T111" s="219">
        <v>0</v>
      </c>
      <c r="U111" s="219">
        <v>0</v>
      </c>
      <c r="V111" s="219">
        <v>0</v>
      </c>
      <c r="W111" s="219">
        <v>0</v>
      </c>
    </row>
    <row r="112" spans="1:23">
      <c r="A112" s="814" t="s">
        <v>79</v>
      </c>
      <c r="B112" s="223"/>
      <c r="C112" s="220">
        <v>0</v>
      </c>
      <c r="D112" s="220">
        <v>6.3275199999999998</v>
      </c>
      <c r="E112" s="220">
        <v>0</v>
      </c>
      <c r="F112" s="220">
        <v>0</v>
      </c>
      <c r="G112" s="220">
        <v>0</v>
      </c>
      <c r="H112" s="220">
        <v>0</v>
      </c>
      <c r="I112" s="220">
        <v>0</v>
      </c>
      <c r="J112" s="220">
        <v>0</v>
      </c>
      <c r="K112" s="220">
        <v>1371</v>
      </c>
      <c r="L112" s="220">
        <v>4689</v>
      </c>
      <c r="M112" s="220">
        <v>4200</v>
      </c>
      <c r="N112" s="220">
        <v>13253</v>
      </c>
      <c r="O112" s="220">
        <v>6187</v>
      </c>
      <c r="P112" s="220">
        <v>1051</v>
      </c>
      <c r="Q112" s="220">
        <v>2011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</row>
    <row r="113" spans="1:29">
      <c r="A113" s="814" t="s">
        <v>83</v>
      </c>
      <c r="B113" s="223"/>
      <c r="C113" s="220">
        <v>397475.58286999998</v>
      </c>
      <c r="D113" s="220">
        <v>803885.14490000007</v>
      </c>
      <c r="E113" s="220">
        <v>1331973.3529999999</v>
      </c>
      <c r="F113" s="220">
        <v>1743621.0901600004</v>
      </c>
      <c r="G113" s="220">
        <v>2003411</v>
      </c>
      <c r="H113" s="220">
        <v>2338690</v>
      </c>
      <c r="I113" s="220">
        <v>2781885</v>
      </c>
      <c r="J113" s="220">
        <v>2865769</v>
      </c>
      <c r="K113" s="220">
        <v>3093366</v>
      </c>
      <c r="L113" s="220">
        <v>3272729</v>
      </c>
      <c r="M113" s="220">
        <v>3438644</v>
      </c>
      <c r="N113" s="220">
        <v>3634193</v>
      </c>
      <c r="O113" s="220">
        <v>3801085</v>
      </c>
      <c r="P113" s="220">
        <v>3978178</v>
      </c>
      <c r="Q113" s="220">
        <v>4090690</v>
      </c>
      <c r="R113" s="220">
        <v>0</v>
      </c>
      <c r="S113" s="220">
        <v>0</v>
      </c>
      <c r="T113" s="220">
        <v>0</v>
      </c>
      <c r="U113" s="220">
        <v>0</v>
      </c>
      <c r="V113" s="220">
        <v>0</v>
      </c>
      <c r="W113" s="220">
        <v>0</v>
      </c>
    </row>
    <row r="114" spans="1:29">
      <c r="A114" s="814" t="s">
        <v>87</v>
      </c>
      <c r="B114" s="223"/>
      <c r="C114" s="220">
        <v>0</v>
      </c>
      <c r="D114" s="220">
        <v>118.98836999999999</v>
      </c>
      <c r="E114" s="220">
        <v>360.84100000000001</v>
      </c>
      <c r="F114" s="220">
        <v>681.84139000000005</v>
      </c>
      <c r="G114" s="220">
        <v>1077</v>
      </c>
      <c r="H114" s="220">
        <v>1523</v>
      </c>
      <c r="I114" s="220">
        <v>2344</v>
      </c>
      <c r="J114" s="220">
        <v>3450</v>
      </c>
      <c r="K114" s="220">
        <v>4538</v>
      </c>
      <c r="L114" s="220">
        <v>5677</v>
      </c>
      <c r="M114" s="220">
        <v>6806</v>
      </c>
      <c r="N114" s="220">
        <v>7606</v>
      </c>
      <c r="O114" s="220">
        <v>8577</v>
      </c>
      <c r="P114" s="220">
        <v>10522</v>
      </c>
      <c r="Q114" s="220">
        <v>10791</v>
      </c>
      <c r="R114" s="220">
        <v>0</v>
      </c>
      <c r="S114" s="220">
        <v>0</v>
      </c>
      <c r="T114" s="220">
        <v>0</v>
      </c>
      <c r="U114" s="220">
        <v>0</v>
      </c>
      <c r="V114" s="220">
        <v>0</v>
      </c>
      <c r="W114" s="220">
        <v>0</v>
      </c>
    </row>
    <row r="115" spans="1:29">
      <c r="A115" s="814" t="s">
        <v>85</v>
      </c>
      <c r="B115" s="223"/>
      <c r="C115" s="220">
        <v>0</v>
      </c>
      <c r="D115" s="220">
        <v>0</v>
      </c>
      <c r="E115" s="220">
        <v>0</v>
      </c>
      <c r="F115" s="220"/>
      <c r="G115" s="220">
        <v>20000</v>
      </c>
      <c r="H115" s="220">
        <v>19636</v>
      </c>
      <c r="I115" s="220">
        <v>19262</v>
      </c>
      <c r="J115" s="220">
        <v>19008</v>
      </c>
      <c r="K115" s="220">
        <v>19856</v>
      </c>
      <c r="L115" s="220">
        <v>20764</v>
      </c>
      <c r="M115" s="220">
        <v>20409</v>
      </c>
      <c r="N115" s="220">
        <v>2471</v>
      </c>
      <c r="O115" s="220">
        <v>2472</v>
      </c>
      <c r="P115" s="220">
        <v>2409</v>
      </c>
      <c r="Q115" s="220">
        <v>2366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</row>
    <row r="116" spans="1:29">
      <c r="A116" s="804" t="s">
        <v>25</v>
      </c>
      <c r="B116" s="633"/>
      <c r="C116" s="638">
        <v>7755350.5305300001</v>
      </c>
      <c r="D116" s="638">
        <v>7736114.0970299989</v>
      </c>
      <c r="E116" s="639">
        <v>7723439.9529999997</v>
      </c>
      <c r="F116" s="639">
        <v>7740530.9975199997</v>
      </c>
      <c r="G116" s="639">
        <v>7753217</v>
      </c>
      <c r="H116" s="639">
        <v>7819201</v>
      </c>
      <c r="I116" s="639">
        <v>7876925</v>
      </c>
      <c r="J116" s="639">
        <v>7863103</v>
      </c>
      <c r="K116" s="639">
        <v>7989275</v>
      </c>
      <c r="L116" s="639">
        <v>8220558</v>
      </c>
      <c r="M116" s="639">
        <v>7883468</v>
      </c>
      <c r="N116" s="639">
        <v>8123880</v>
      </c>
      <c r="O116" s="639">
        <v>8135285</v>
      </c>
      <c r="P116" s="639">
        <v>7995202</v>
      </c>
      <c r="Q116" s="639">
        <v>7994750.0239399998</v>
      </c>
      <c r="R116" s="639"/>
      <c r="S116" s="639"/>
      <c r="T116" s="639"/>
      <c r="U116" s="639"/>
      <c r="V116" s="727"/>
      <c r="W116" s="727"/>
    </row>
    <row r="117" spans="1:29"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</row>
    <row r="118" spans="1:29"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</row>
    <row r="119" spans="1:29" ht="23.25">
      <c r="A119" s="802" t="s">
        <v>94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105"/>
      <c r="Y119" s="105"/>
      <c r="Z119" s="105"/>
      <c r="AA119" s="105"/>
      <c r="AB119" s="105"/>
      <c r="AC119" s="105"/>
    </row>
    <row r="120" spans="1:29" ht="10.35" customHeight="1">
      <c r="B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29" ht="25.35" customHeight="1">
      <c r="A121" s="803" t="s">
        <v>95</v>
      </c>
      <c r="B121" s="643"/>
      <c r="C121" s="643">
        <v>44286</v>
      </c>
      <c r="D121" s="643">
        <v>44377</v>
      </c>
      <c r="E121" s="643">
        <v>44469</v>
      </c>
      <c r="F121" s="643">
        <v>44531</v>
      </c>
      <c r="G121" s="643">
        <v>44621</v>
      </c>
      <c r="H121" s="643">
        <v>44713</v>
      </c>
      <c r="I121" s="643">
        <v>44805</v>
      </c>
      <c r="J121" s="643">
        <v>44896</v>
      </c>
      <c r="K121" s="643">
        <v>44986</v>
      </c>
      <c r="L121" s="643">
        <v>45078</v>
      </c>
      <c r="M121" s="643">
        <v>45170</v>
      </c>
      <c r="N121" s="643">
        <v>45261</v>
      </c>
      <c r="O121" s="643">
        <v>45352</v>
      </c>
      <c r="P121" s="643">
        <v>45444</v>
      </c>
      <c r="Q121" s="643">
        <v>45537</v>
      </c>
      <c r="R121" s="643">
        <v>45627</v>
      </c>
      <c r="S121" s="643">
        <v>45717</v>
      </c>
      <c r="T121" s="643">
        <v>45809</v>
      </c>
      <c r="U121" s="643">
        <v>45901</v>
      </c>
      <c r="V121" s="748">
        <v>45992</v>
      </c>
      <c r="W121" s="749">
        <v>46082</v>
      </c>
    </row>
    <row r="122" spans="1:29">
      <c r="A122" s="804" t="s">
        <v>5</v>
      </c>
      <c r="B122" s="633"/>
      <c r="C122" s="638">
        <v>1758827.6158800002</v>
      </c>
      <c r="D122" s="638">
        <v>1880054.33785</v>
      </c>
      <c r="E122" s="639">
        <v>2010457.8386299999</v>
      </c>
      <c r="F122" s="639">
        <f>F123+F132</f>
        <v>2118106.6568900002</v>
      </c>
      <c r="G122" s="639">
        <v>2219327</v>
      </c>
      <c r="H122" s="639">
        <v>2317826</v>
      </c>
      <c r="I122" s="639">
        <v>2462723</v>
      </c>
      <c r="J122" s="639">
        <v>2623453</v>
      </c>
      <c r="K122" s="639">
        <v>2722513</v>
      </c>
      <c r="L122" s="639">
        <v>2681431</v>
      </c>
      <c r="M122" s="639">
        <v>2876503</v>
      </c>
      <c r="N122" s="639">
        <v>2904504</v>
      </c>
      <c r="O122" s="639">
        <v>2794221</v>
      </c>
      <c r="P122" s="639">
        <v>3260362.1399999997</v>
      </c>
      <c r="Q122" s="639">
        <v>3416044</v>
      </c>
      <c r="R122" s="639">
        <v>3406905</v>
      </c>
      <c r="S122" s="639">
        <f>S123+S132</f>
        <v>3205219</v>
      </c>
      <c r="T122" s="639">
        <f>T123+T132</f>
        <v>3633311.8370000003</v>
      </c>
      <c r="U122" s="639">
        <f>U123+U132</f>
        <v>4012840.5630000001</v>
      </c>
      <c r="V122" s="639">
        <f>V123+V132</f>
        <v>4281410</v>
      </c>
      <c r="W122" s="639">
        <f>W123+W132</f>
        <v>3725749</v>
      </c>
      <c r="X122" s="52"/>
      <c r="Y122" s="52"/>
      <c r="Z122" s="52"/>
    </row>
    <row r="123" spans="1:29">
      <c r="A123" s="805" t="s">
        <v>40</v>
      </c>
      <c r="B123" s="64"/>
      <c r="C123" s="85">
        <v>245995.62172999998</v>
      </c>
      <c r="D123" s="85">
        <v>365225.90786000004</v>
      </c>
      <c r="E123" s="80">
        <v>501090.64251000003</v>
      </c>
      <c r="F123" s="80">
        <f>SUM(F124:F131)</f>
        <v>615855.54312000005</v>
      </c>
      <c r="G123" s="80">
        <v>729811</v>
      </c>
      <c r="H123" s="80">
        <v>836060</v>
      </c>
      <c r="I123" s="80">
        <v>990349</v>
      </c>
      <c r="J123" s="80">
        <v>1119999</v>
      </c>
      <c r="K123" s="80">
        <v>1241659</v>
      </c>
      <c r="L123" s="80">
        <v>1235168</v>
      </c>
      <c r="M123" s="80">
        <v>1445324</v>
      </c>
      <c r="N123" s="80">
        <v>1478333</v>
      </c>
      <c r="O123" s="80">
        <v>1384496</v>
      </c>
      <c r="P123" s="80">
        <v>1854450.14</v>
      </c>
      <c r="Q123" s="80">
        <v>2021066</v>
      </c>
      <c r="R123" s="80">
        <v>1990866</v>
      </c>
      <c r="S123" s="80">
        <f>SUM(S124:S131)</f>
        <v>1780698</v>
      </c>
      <c r="T123" s="80">
        <f>SUM(T124:T131)</f>
        <v>2147383.8370000003</v>
      </c>
      <c r="U123" s="80">
        <f>SUM(U124:U131)</f>
        <v>2505237.5630000001</v>
      </c>
      <c r="V123" s="80">
        <f>SUM(V124:V131)</f>
        <v>2758535</v>
      </c>
      <c r="W123" s="80">
        <f>SUM(W124:W131)</f>
        <v>2215464</v>
      </c>
      <c r="X123" s="52"/>
      <c r="Y123" s="52"/>
      <c r="Z123" s="52"/>
    </row>
    <row r="124" spans="1:29">
      <c r="A124" s="817" t="s">
        <v>89</v>
      </c>
      <c r="B124" s="88"/>
      <c r="C124" s="87">
        <v>177.26018999999999</v>
      </c>
      <c r="D124" s="87">
        <v>1254.5751500000001</v>
      </c>
      <c r="E124" s="87">
        <v>3.77861</v>
      </c>
      <c r="F124" s="87">
        <v>354.69177999999999</v>
      </c>
      <c r="G124" s="87">
        <v>2</v>
      </c>
      <c r="H124" s="87">
        <v>535</v>
      </c>
      <c r="I124" s="87">
        <v>1092</v>
      </c>
      <c r="J124" s="87">
        <v>8281</v>
      </c>
      <c r="K124" s="87">
        <v>8563</v>
      </c>
      <c r="L124" s="87">
        <v>4994</v>
      </c>
      <c r="M124" s="87">
        <v>3998</v>
      </c>
      <c r="N124" s="87">
        <v>133</v>
      </c>
      <c r="O124" s="87">
        <v>194</v>
      </c>
      <c r="P124" s="87">
        <v>539</v>
      </c>
      <c r="Q124" s="87">
        <v>34</v>
      </c>
      <c r="R124" s="87">
        <v>2610</v>
      </c>
      <c r="S124" s="87">
        <v>3189</v>
      </c>
      <c r="T124" s="87">
        <v>2583.837</v>
      </c>
      <c r="U124" s="87">
        <v>2576.3310000000001</v>
      </c>
      <c r="V124" s="701">
        <v>89</v>
      </c>
      <c r="W124" s="701">
        <v>3478</v>
      </c>
      <c r="X124" s="52"/>
      <c r="Y124" s="52"/>
      <c r="Z124" s="52"/>
    </row>
    <row r="125" spans="1:29">
      <c r="A125" s="817" t="s">
        <v>71</v>
      </c>
      <c r="B125" s="88"/>
      <c r="C125" s="87">
        <v>183380.25603999998</v>
      </c>
      <c r="D125" s="87">
        <v>233905.66879</v>
      </c>
      <c r="E125" s="87">
        <v>309692.41345999995</v>
      </c>
      <c r="F125" s="87">
        <v>387638.34243000002</v>
      </c>
      <c r="G125" s="87">
        <v>481910</v>
      </c>
      <c r="H125" s="87">
        <v>568647</v>
      </c>
      <c r="I125" s="87">
        <v>698617</v>
      </c>
      <c r="J125" s="87">
        <v>803902</v>
      </c>
      <c r="K125" s="87">
        <v>913793</v>
      </c>
      <c r="L125" s="87">
        <v>898763</v>
      </c>
      <c r="M125" s="87">
        <v>1090330</v>
      </c>
      <c r="N125" s="87">
        <v>1104976</v>
      </c>
      <c r="O125" s="87">
        <v>991195</v>
      </c>
      <c r="P125" s="87">
        <v>1230637</v>
      </c>
      <c r="Q125" s="87">
        <v>1327353</v>
      </c>
      <c r="R125" s="87">
        <v>1476411</v>
      </c>
      <c r="S125" s="87">
        <v>1227264</v>
      </c>
      <c r="T125" s="87">
        <v>1515713</v>
      </c>
      <c r="U125" s="87">
        <v>1710636</v>
      </c>
      <c r="V125" s="87">
        <v>1649781</v>
      </c>
      <c r="W125" s="701">
        <v>1440407</v>
      </c>
      <c r="X125" s="52"/>
      <c r="Y125" s="52"/>
      <c r="Z125" s="52"/>
    </row>
    <row r="126" spans="1:29">
      <c r="A126" s="817" t="s">
        <v>90</v>
      </c>
      <c r="B126" s="88"/>
      <c r="C126" s="87">
        <v>15995.67388</v>
      </c>
      <c r="D126" s="87">
        <v>36345.352140000003</v>
      </c>
      <c r="E126" s="87">
        <v>62941.546040000001</v>
      </c>
      <c r="F126" s="87">
        <v>78933.219209999996</v>
      </c>
      <c r="G126" s="87">
        <v>91721</v>
      </c>
      <c r="H126" s="87">
        <v>105996</v>
      </c>
      <c r="I126" s="87">
        <v>118603</v>
      </c>
      <c r="J126" s="87">
        <v>134994</v>
      </c>
      <c r="K126" s="87">
        <v>142169</v>
      </c>
      <c r="L126" s="87">
        <v>154829</v>
      </c>
      <c r="M126" s="87">
        <v>166969</v>
      </c>
      <c r="N126" s="87">
        <v>185323</v>
      </c>
      <c r="O126" s="87">
        <v>200395</v>
      </c>
      <c r="P126" s="87">
        <v>249206</v>
      </c>
      <c r="Q126" s="87">
        <v>423559</v>
      </c>
      <c r="R126" s="87">
        <v>267729</v>
      </c>
      <c r="S126" s="87">
        <v>295167</v>
      </c>
      <c r="T126" s="87">
        <v>337211</v>
      </c>
      <c r="U126" s="87">
        <v>460160.65400000004</v>
      </c>
      <c r="V126" s="87">
        <v>711055</v>
      </c>
      <c r="W126" s="701">
        <v>432900</v>
      </c>
      <c r="X126" s="52"/>
      <c r="Y126" s="52"/>
      <c r="Z126" s="52"/>
    </row>
    <row r="127" spans="1:29">
      <c r="A127" s="817" t="s">
        <v>96</v>
      </c>
      <c r="B127" s="89"/>
      <c r="C127" s="87">
        <v>2795.5710399999998</v>
      </c>
      <c r="D127" s="87">
        <v>7529.8356199999998</v>
      </c>
      <c r="E127" s="87">
        <v>16208.081</v>
      </c>
      <c r="F127" s="654">
        <f>25700842/1000</f>
        <v>25700.842000000001</v>
      </c>
      <c r="G127" s="87">
        <v>29485</v>
      </c>
      <c r="H127" s="87">
        <v>29217</v>
      </c>
      <c r="I127" s="87">
        <v>30372</v>
      </c>
      <c r="J127" s="87">
        <v>29119</v>
      </c>
      <c r="K127" s="87">
        <v>29419</v>
      </c>
      <c r="L127" s="87">
        <v>23818</v>
      </c>
      <c r="M127" s="87">
        <v>26821</v>
      </c>
      <c r="N127" s="87">
        <v>31670</v>
      </c>
      <c r="O127" s="87">
        <v>31820</v>
      </c>
      <c r="P127" s="87">
        <v>36725.14</v>
      </c>
      <c r="Q127" s="87">
        <v>70818</v>
      </c>
      <c r="R127" s="87">
        <v>49613</v>
      </c>
      <c r="S127" s="87">
        <v>66961</v>
      </c>
      <c r="T127" s="87">
        <v>82986</v>
      </c>
      <c r="U127" s="87">
        <v>113325.14599999999</v>
      </c>
      <c r="V127" s="87">
        <v>170094</v>
      </c>
      <c r="W127" s="701">
        <v>110289</v>
      </c>
      <c r="X127" s="52"/>
      <c r="Y127" s="52"/>
      <c r="Z127" s="52"/>
    </row>
    <row r="128" spans="1:29">
      <c r="A128" s="817" t="s">
        <v>73</v>
      </c>
      <c r="B128" s="88"/>
      <c r="C128" s="87">
        <v>2097.9200799999999</v>
      </c>
      <c r="D128" s="87">
        <v>1846.75856</v>
      </c>
      <c r="E128" s="87">
        <v>1513.44588</v>
      </c>
      <c r="F128" s="87">
        <v>1037.1511600000001</v>
      </c>
      <c r="G128" s="87">
        <v>1040</v>
      </c>
      <c r="H128" s="87">
        <v>5571</v>
      </c>
      <c r="I128" s="87">
        <v>4540</v>
      </c>
      <c r="J128" s="87">
        <v>3467</v>
      </c>
      <c r="K128" s="87">
        <v>2252</v>
      </c>
      <c r="L128" s="87">
        <v>5432</v>
      </c>
      <c r="M128" s="87">
        <v>3983</v>
      </c>
      <c r="N128" s="87">
        <v>2704</v>
      </c>
      <c r="O128" s="87">
        <v>1522</v>
      </c>
      <c r="P128" s="87">
        <v>170819</v>
      </c>
      <c r="Q128" s="87">
        <v>27208</v>
      </c>
      <c r="R128" s="87">
        <v>15870</v>
      </c>
      <c r="S128" s="87">
        <v>1087</v>
      </c>
      <c r="T128" s="87">
        <v>9310</v>
      </c>
      <c r="U128" s="87">
        <v>6724</v>
      </c>
      <c r="V128" s="87">
        <v>5033</v>
      </c>
      <c r="W128" s="701">
        <v>2517</v>
      </c>
      <c r="X128" s="52"/>
      <c r="Y128" s="52"/>
      <c r="Z128" s="52"/>
    </row>
    <row r="129" spans="1:26">
      <c r="A129" s="817" t="s">
        <v>72</v>
      </c>
      <c r="B129" s="88"/>
      <c r="C129" s="87">
        <v>23156.219799999999</v>
      </c>
      <c r="D129" s="87">
        <v>37426.626729999996</v>
      </c>
      <c r="E129" s="87">
        <v>38118.249840000004</v>
      </c>
      <c r="F129" s="87">
        <v>28858.977019999998</v>
      </c>
      <c r="G129" s="87">
        <v>22154</v>
      </c>
      <c r="H129" s="87">
        <v>12035</v>
      </c>
      <c r="I129" s="87">
        <v>3422</v>
      </c>
      <c r="J129" s="87">
        <v>4769</v>
      </c>
      <c r="K129" s="87">
        <v>6589</v>
      </c>
      <c r="L129" s="87">
        <v>5528</v>
      </c>
      <c r="M129" s="87">
        <v>6302</v>
      </c>
      <c r="N129" s="87">
        <v>3525</v>
      </c>
      <c r="O129" s="87">
        <v>4956</v>
      </c>
      <c r="P129" s="87">
        <v>6237</v>
      </c>
      <c r="Q129" s="87">
        <v>5179</v>
      </c>
      <c r="R129" s="87">
        <v>5882</v>
      </c>
      <c r="S129" s="87">
        <v>3766</v>
      </c>
      <c r="T129" s="87">
        <v>5973</v>
      </c>
      <c r="U129" s="87">
        <v>5810.4319999999998</v>
      </c>
      <c r="V129" s="87">
        <v>6624</v>
      </c>
      <c r="W129" s="701">
        <v>2939</v>
      </c>
      <c r="X129" s="52"/>
      <c r="Y129" s="52"/>
      <c r="Z129" s="52"/>
    </row>
    <row r="130" spans="1:26">
      <c r="A130" s="817" t="s">
        <v>97</v>
      </c>
      <c r="B130" s="88"/>
      <c r="C130" s="87"/>
      <c r="D130" s="87"/>
      <c r="E130" s="87"/>
      <c r="F130" s="87">
        <v>163</v>
      </c>
      <c r="G130" s="87">
        <v>112</v>
      </c>
      <c r="H130" s="87">
        <v>64</v>
      </c>
      <c r="I130" s="87">
        <v>4805</v>
      </c>
      <c r="J130" s="87">
        <v>100</v>
      </c>
      <c r="K130" s="87">
        <v>88</v>
      </c>
      <c r="L130" s="87">
        <v>88</v>
      </c>
      <c r="M130" s="87">
        <v>20</v>
      </c>
      <c r="N130" s="87">
        <v>110</v>
      </c>
      <c r="O130" s="87">
        <v>149</v>
      </c>
      <c r="P130" s="87">
        <v>0</v>
      </c>
      <c r="Q130" s="87">
        <v>0</v>
      </c>
      <c r="R130" s="87">
        <v>137</v>
      </c>
      <c r="S130" s="87">
        <v>140</v>
      </c>
      <c r="T130" s="87">
        <v>153</v>
      </c>
      <c r="U130" s="87">
        <v>157</v>
      </c>
      <c r="V130" s="87">
        <v>260</v>
      </c>
      <c r="W130" s="701">
        <v>295</v>
      </c>
      <c r="X130" s="52"/>
      <c r="Y130" s="52"/>
      <c r="Z130" s="52"/>
    </row>
    <row r="131" spans="1:26">
      <c r="A131" s="817" t="s">
        <v>91</v>
      </c>
      <c r="B131" s="88"/>
      <c r="C131" s="87">
        <v>18392.720699999998</v>
      </c>
      <c r="D131" s="87">
        <v>46917.09087</v>
      </c>
      <c r="E131" s="87">
        <v>72613.127680000005</v>
      </c>
      <c r="F131" s="87">
        <v>93169.31951999999</v>
      </c>
      <c r="G131" s="87">
        <v>103387</v>
      </c>
      <c r="H131" s="87">
        <v>113995</v>
      </c>
      <c r="I131" s="87">
        <v>128898</v>
      </c>
      <c r="J131" s="87">
        <v>135367</v>
      </c>
      <c r="K131" s="87">
        <v>138786</v>
      </c>
      <c r="L131" s="87">
        <v>141716</v>
      </c>
      <c r="M131" s="87">
        <v>146901</v>
      </c>
      <c r="N131" s="87">
        <v>149892</v>
      </c>
      <c r="O131" s="87">
        <v>154265</v>
      </c>
      <c r="P131" s="87">
        <v>160287</v>
      </c>
      <c r="Q131" s="87">
        <v>166915</v>
      </c>
      <c r="R131" s="87">
        <v>172614</v>
      </c>
      <c r="S131" s="87">
        <v>183124</v>
      </c>
      <c r="T131" s="87">
        <v>193454</v>
      </c>
      <c r="U131" s="87">
        <v>205848</v>
      </c>
      <c r="V131" s="87">
        <v>215599</v>
      </c>
      <c r="W131" s="701">
        <v>222639</v>
      </c>
      <c r="X131" s="52"/>
      <c r="Y131" s="52"/>
      <c r="Z131" s="52"/>
    </row>
    <row r="132" spans="1:26">
      <c r="A132" s="805" t="s">
        <v>47</v>
      </c>
      <c r="B132" s="64"/>
      <c r="C132" s="85">
        <v>1512831.9941500002</v>
      </c>
      <c r="D132" s="85">
        <v>1514828.4299900001</v>
      </c>
      <c r="E132" s="80">
        <v>1509367.19612</v>
      </c>
      <c r="F132" s="80">
        <v>1502251.1137699999</v>
      </c>
      <c r="G132" s="80">
        <v>1489516</v>
      </c>
      <c r="H132" s="80">
        <v>1481766</v>
      </c>
      <c r="I132" s="80">
        <v>1472374</v>
      </c>
      <c r="J132" s="80">
        <v>1503454</v>
      </c>
      <c r="K132" s="80">
        <v>1480854</v>
      </c>
      <c r="L132" s="80">
        <v>1446263</v>
      </c>
      <c r="M132" s="80">
        <v>1431179</v>
      </c>
      <c r="N132" s="80">
        <v>1426171</v>
      </c>
      <c r="O132" s="80">
        <v>1409725</v>
      </c>
      <c r="P132" s="80">
        <v>1405912</v>
      </c>
      <c r="Q132" s="80">
        <v>1394979</v>
      </c>
      <c r="R132" s="80">
        <v>1416039</v>
      </c>
      <c r="S132" s="80">
        <f t="shared" ref="S132:V132" si="2">S133+S138+S139</f>
        <v>1424521</v>
      </c>
      <c r="T132" s="80">
        <f t="shared" si="2"/>
        <v>1485928</v>
      </c>
      <c r="U132" s="80">
        <f t="shared" si="2"/>
        <v>1507603</v>
      </c>
      <c r="V132" s="80">
        <f t="shared" si="2"/>
        <v>1522875</v>
      </c>
      <c r="W132" s="80">
        <f>W133+W138+W139</f>
        <v>1510285</v>
      </c>
      <c r="X132" s="52"/>
      <c r="Y132" s="52"/>
      <c r="Z132" s="52"/>
    </row>
    <row r="133" spans="1:26">
      <c r="A133" s="818" t="s">
        <v>70</v>
      </c>
      <c r="B133" s="90"/>
      <c r="C133" s="91">
        <v>11831.994140000001</v>
      </c>
      <c r="D133" s="91">
        <v>32828.429970000005</v>
      </c>
      <c r="E133" s="91">
        <v>46367.196089999998</v>
      </c>
      <c r="F133" s="91">
        <v>57829.882570000002</v>
      </c>
      <c r="G133" s="91">
        <v>64094</v>
      </c>
      <c r="H133" s="91">
        <v>75296</v>
      </c>
      <c r="I133" s="91">
        <v>83933</v>
      </c>
      <c r="J133" s="91">
        <v>86252</v>
      </c>
      <c r="K133" s="91">
        <v>88162</v>
      </c>
      <c r="L133" s="91">
        <v>94109</v>
      </c>
      <c r="M133" s="91">
        <v>101400</v>
      </c>
      <c r="N133" s="91">
        <v>112776</v>
      </c>
      <c r="O133" s="91">
        <v>118356</v>
      </c>
      <c r="P133" s="91">
        <v>128430</v>
      </c>
      <c r="Q133" s="91">
        <v>137873</v>
      </c>
      <c r="R133" s="91">
        <v>168066</v>
      </c>
      <c r="S133" s="91">
        <f>SUM(S134:S137)</f>
        <v>197753</v>
      </c>
      <c r="T133" s="91">
        <v>273036</v>
      </c>
      <c r="U133" s="91">
        <v>314147</v>
      </c>
      <c r="V133" s="91">
        <v>341421</v>
      </c>
      <c r="W133" s="91">
        <f>SUM(W134:W137)</f>
        <v>347536</v>
      </c>
      <c r="X133" s="52"/>
      <c r="Y133" s="52"/>
      <c r="Z133" s="52"/>
    </row>
    <row r="134" spans="1:26">
      <c r="A134" s="817" t="s">
        <v>90</v>
      </c>
      <c r="B134" s="88"/>
      <c r="C134" s="87">
        <v>2519.6329999999998</v>
      </c>
      <c r="D134" s="87">
        <v>9316.7960500000008</v>
      </c>
      <c r="E134" s="87">
        <v>12742.664060000001</v>
      </c>
      <c r="F134" s="87">
        <v>14441.193160000001</v>
      </c>
      <c r="G134" s="87">
        <v>15276</v>
      </c>
      <c r="H134" s="87">
        <v>16634</v>
      </c>
      <c r="I134" s="87">
        <v>15742</v>
      </c>
      <c r="J134" s="87">
        <v>15976</v>
      </c>
      <c r="K134" s="87">
        <v>16947</v>
      </c>
      <c r="L134" s="87">
        <v>18534</v>
      </c>
      <c r="M134" s="87">
        <v>20810</v>
      </c>
      <c r="N134" s="87">
        <v>27356</v>
      </c>
      <c r="O134" s="87">
        <v>29413</v>
      </c>
      <c r="P134" s="87">
        <v>32172</v>
      </c>
      <c r="Q134" s="87">
        <v>35425</v>
      </c>
      <c r="R134" s="87">
        <v>59147</v>
      </c>
      <c r="S134" s="87">
        <v>80825</v>
      </c>
      <c r="T134" s="87">
        <v>109616</v>
      </c>
      <c r="U134" s="87">
        <v>140585</v>
      </c>
      <c r="V134" s="87">
        <v>161590</v>
      </c>
      <c r="W134" s="87">
        <v>168114</v>
      </c>
      <c r="X134" s="52"/>
      <c r="Y134" s="52"/>
      <c r="Z134" s="52"/>
    </row>
    <row r="135" spans="1:26">
      <c r="A135" s="817" t="s">
        <v>73</v>
      </c>
      <c r="B135" s="88"/>
      <c r="C135" s="87">
        <v>862.41140000000007</v>
      </c>
      <c r="D135" s="87">
        <v>607.52635999999995</v>
      </c>
      <c r="E135" s="87">
        <v>298.16408000000001</v>
      </c>
      <c r="F135" s="87">
        <v>0</v>
      </c>
      <c r="G135" s="87">
        <v>0</v>
      </c>
      <c r="H135" s="87">
        <v>1862</v>
      </c>
      <c r="I135" s="87">
        <v>1305</v>
      </c>
      <c r="J135" s="87">
        <v>636</v>
      </c>
      <c r="K135" s="87">
        <v>0</v>
      </c>
      <c r="L135" s="87">
        <v>1265</v>
      </c>
      <c r="M135" s="87">
        <v>889</v>
      </c>
      <c r="N135" s="87">
        <v>439</v>
      </c>
      <c r="O135" s="87">
        <v>0</v>
      </c>
      <c r="P135" s="87">
        <v>695</v>
      </c>
      <c r="Q135" s="87">
        <v>576</v>
      </c>
      <c r="R135" s="87">
        <v>621</v>
      </c>
      <c r="S135" s="87">
        <v>745</v>
      </c>
      <c r="T135" s="87">
        <v>2694</v>
      </c>
      <c r="U135" s="87">
        <v>2676</v>
      </c>
      <c r="V135" s="87">
        <v>2166</v>
      </c>
      <c r="W135" s="87">
        <v>1488</v>
      </c>
      <c r="X135" s="52"/>
      <c r="Y135" s="52"/>
      <c r="Z135" s="52"/>
    </row>
    <row r="136" spans="1:26">
      <c r="A136" s="817" t="s">
        <v>75</v>
      </c>
      <c r="B136" s="88"/>
      <c r="C136" s="87">
        <v>8449.94974</v>
      </c>
      <c r="D136" s="87">
        <v>22395.694510000001</v>
      </c>
      <c r="E136" s="87">
        <v>32902.689899999998</v>
      </c>
      <c r="F136" s="87">
        <v>43049.746359999997</v>
      </c>
      <c r="G136" s="87">
        <v>48507</v>
      </c>
      <c r="H136" s="87">
        <v>54914</v>
      </c>
      <c r="I136" s="87">
        <v>65189</v>
      </c>
      <c r="J136" s="87">
        <v>68131</v>
      </c>
      <c r="K136" s="87">
        <v>69895</v>
      </c>
      <c r="L136" s="87">
        <v>73179</v>
      </c>
      <c r="M136" s="87">
        <v>78758</v>
      </c>
      <c r="N136" s="87">
        <v>84227</v>
      </c>
      <c r="O136" s="87">
        <v>88377</v>
      </c>
      <c r="P136" s="87">
        <v>95186</v>
      </c>
      <c r="Q136" s="87">
        <v>101621</v>
      </c>
      <c r="R136" s="87">
        <v>108235</v>
      </c>
      <c r="S136" s="87">
        <v>116120</v>
      </c>
      <c r="T136" s="87">
        <v>124764</v>
      </c>
      <c r="U136" s="87">
        <v>136055</v>
      </c>
      <c r="V136" s="87">
        <v>143966</v>
      </c>
      <c r="W136" s="87">
        <v>145366</v>
      </c>
      <c r="X136" s="52"/>
      <c r="Y136" s="52"/>
      <c r="Z136" s="52"/>
    </row>
    <row r="137" spans="1:26">
      <c r="A137" s="819" t="s">
        <v>98</v>
      </c>
      <c r="B137" s="90"/>
      <c r="C137" s="91"/>
      <c r="D137" s="91">
        <v>508.41305</v>
      </c>
      <c r="E137" s="91">
        <v>423.67804999999998</v>
      </c>
      <c r="F137" s="91">
        <v>338.94304999999997</v>
      </c>
      <c r="G137" s="91">
        <v>311</v>
      </c>
      <c r="H137" s="91">
        <v>1886</v>
      </c>
      <c r="I137" s="91">
        <v>1697</v>
      </c>
      <c r="J137" s="91">
        <v>1509</v>
      </c>
      <c r="K137" s="91">
        <v>1320</v>
      </c>
      <c r="L137" s="91">
        <v>1131</v>
      </c>
      <c r="M137" s="91">
        <v>943</v>
      </c>
      <c r="N137" s="91">
        <v>754</v>
      </c>
      <c r="O137" s="91">
        <v>566</v>
      </c>
      <c r="P137" s="91">
        <v>377</v>
      </c>
      <c r="Q137" s="91">
        <v>251</v>
      </c>
      <c r="R137" s="91">
        <v>63</v>
      </c>
      <c r="S137" s="91">
        <v>63</v>
      </c>
      <c r="T137" s="91">
        <v>35962</v>
      </c>
      <c r="U137" s="91">
        <v>34831</v>
      </c>
      <c r="V137" s="91">
        <v>33699</v>
      </c>
      <c r="W137" s="91">
        <v>32568</v>
      </c>
      <c r="X137" s="52"/>
      <c r="Y137" s="52"/>
      <c r="Z137" s="52"/>
    </row>
    <row r="138" spans="1:26">
      <c r="A138" s="250" t="s">
        <v>99</v>
      </c>
      <c r="B138" s="88"/>
      <c r="C138" s="87"/>
      <c r="D138" s="87"/>
      <c r="E138" s="87"/>
      <c r="F138" s="87">
        <v>422</v>
      </c>
      <c r="G138" s="87">
        <v>422</v>
      </c>
      <c r="H138" s="87">
        <v>470</v>
      </c>
      <c r="I138" s="87">
        <v>1441</v>
      </c>
      <c r="J138" s="87">
        <v>1406</v>
      </c>
      <c r="K138" s="87">
        <v>1565</v>
      </c>
      <c r="L138" s="87">
        <v>1548</v>
      </c>
      <c r="M138" s="87">
        <v>2171</v>
      </c>
      <c r="N138" s="87">
        <v>2164</v>
      </c>
      <c r="O138" s="87">
        <v>2102</v>
      </c>
      <c r="P138" s="87">
        <v>2752</v>
      </c>
      <c r="Q138" s="87">
        <v>3048</v>
      </c>
      <c r="R138" s="87">
        <v>3031</v>
      </c>
      <c r="S138" s="87">
        <v>2981</v>
      </c>
      <c r="T138" s="87">
        <v>2535</v>
      </c>
      <c r="U138" s="87">
        <v>5659</v>
      </c>
      <c r="V138" s="87">
        <v>11030</v>
      </c>
      <c r="W138" s="87">
        <v>12883</v>
      </c>
      <c r="X138" s="52"/>
      <c r="Y138" s="52"/>
      <c r="Z138" s="52"/>
    </row>
    <row r="139" spans="1:26">
      <c r="A139" s="250" t="s">
        <v>100</v>
      </c>
      <c r="B139" s="88"/>
      <c r="C139" s="87">
        <v>1501000.0000100001</v>
      </c>
      <c r="D139" s="87">
        <v>1482000.0000199999</v>
      </c>
      <c r="E139" s="87">
        <v>1463000.00003</v>
      </c>
      <c r="F139" s="87">
        <v>1444000.0000400001</v>
      </c>
      <c r="G139" s="87">
        <v>1425000</v>
      </c>
      <c r="H139" s="87">
        <v>1406000</v>
      </c>
      <c r="I139" s="87">
        <v>1387000</v>
      </c>
      <c r="J139" s="87">
        <v>1415796</v>
      </c>
      <c r="K139" s="87">
        <v>1391127</v>
      </c>
      <c r="L139" s="87">
        <v>1350606</v>
      </c>
      <c r="M139" s="87">
        <v>1327608</v>
      </c>
      <c r="N139" s="87">
        <v>1311231</v>
      </c>
      <c r="O139" s="87">
        <v>1289267</v>
      </c>
      <c r="P139" s="87">
        <v>1274730</v>
      </c>
      <c r="Q139" s="87">
        <v>1254058</v>
      </c>
      <c r="R139" s="87">
        <v>1244942</v>
      </c>
      <c r="S139" s="87">
        <v>1223787</v>
      </c>
      <c r="T139" s="87">
        <v>1210357</v>
      </c>
      <c r="U139" s="87">
        <v>1187797</v>
      </c>
      <c r="V139" s="87">
        <v>1170424</v>
      </c>
      <c r="W139" s="87">
        <v>1149866</v>
      </c>
      <c r="X139" s="52"/>
      <c r="Y139" s="52"/>
      <c r="Z139" s="52"/>
    </row>
    <row r="140" spans="1:26">
      <c r="A140" s="244"/>
      <c r="B140" s="88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</row>
    <row r="141" spans="1:26">
      <c r="A141" s="804" t="s">
        <v>101</v>
      </c>
      <c r="B141" s="633"/>
      <c r="C141" s="638">
        <v>133675.56268</v>
      </c>
      <c r="D141" s="638">
        <v>276090.36410000001</v>
      </c>
      <c r="E141" s="639">
        <v>408087.00529</v>
      </c>
      <c r="F141" s="639">
        <f>F142+F148</f>
        <v>502640.82357999997</v>
      </c>
      <c r="G141" s="639">
        <v>575276</v>
      </c>
      <c r="H141" s="639">
        <v>622328</v>
      </c>
      <c r="I141" s="639">
        <v>709106</v>
      </c>
      <c r="J141" s="639">
        <v>924267</v>
      </c>
      <c r="K141" s="639">
        <v>942651</v>
      </c>
      <c r="L141" s="639">
        <v>853195</v>
      </c>
      <c r="M141" s="639">
        <v>941788</v>
      </c>
      <c r="N141" s="639">
        <v>1148940</v>
      </c>
      <c r="O141" s="639">
        <v>1017511</v>
      </c>
      <c r="P141" s="639">
        <v>1373862.6570000001</v>
      </c>
      <c r="Q141" s="639">
        <v>1501018</v>
      </c>
      <c r="R141" s="639">
        <v>1616733</v>
      </c>
      <c r="S141" s="639">
        <f>S142+S148</f>
        <v>1373003</v>
      </c>
      <c r="T141" s="639">
        <f>T142+T148</f>
        <v>1622057.827</v>
      </c>
      <c r="U141" s="639">
        <f>U142+U148</f>
        <v>2152859.4110000003</v>
      </c>
      <c r="V141" s="639">
        <f>V142+V148</f>
        <v>2431206.9679999999</v>
      </c>
      <c r="W141" s="639">
        <f>W142+W148</f>
        <v>1832353</v>
      </c>
      <c r="X141" s="52"/>
      <c r="Y141" s="52"/>
      <c r="Z141" s="52"/>
    </row>
    <row r="142" spans="1:26">
      <c r="A142" s="805" t="s">
        <v>51</v>
      </c>
      <c r="B142" s="64"/>
      <c r="C142" s="85">
        <v>108954.19174000001</v>
      </c>
      <c r="D142" s="85">
        <v>209646.96999000001</v>
      </c>
      <c r="E142" s="80">
        <v>310385.50138999999</v>
      </c>
      <c r="F142" s="80">
        <f>SUM(F143:F147)</f>
        <v>375692.09549999994</v>
      </c>
      <c r="G142" s="80">
        <v>432419</v>
      </c>
      <c r="H142" s="80">
        <v>460545</v>
      </c>
      <c r="I142" s="80">
        <v>518949</v>
      </c>
      <c r="J142" s="80">
        <v>725445</v>
      </c>
      <c r="K142" s="80">
        <v>736652</v>
      </c>
      <c r="L142" s="80">
        <v>635262</v>
      </c>
      <c r="M142" s="80">
        <v>705731</v>
      </c>
      <c r="N142" s="80">
        <v>892315</v>
      </c>
      <c r="O142" s="80">
        <v>745900</v>
      </c>
      <c r="P142" s="80">
        <v>1077293.6570000001</v>
      </c>
      <c r="Q142" s="80">
        <v>1180108</v>
      </c>
      <c r="R142" s="80">
        <v>1267142</v>
      </c>
      <c r="S142" s="80">
        <f>SUM(S143:S147)</f>
        <v>989950</v>
      </c>
      <c r="T142" s="80">
        <f>SUM(T143:T147)</f>
        <v>1199291.827</v>
      </c>
      <c r="U142" s="80">
        <f>SUM(U143:U147)</f>
        <v>1679624.4110000001</v>
      </c>
      <c r="V142" s="80">
        <f>SUM(V143:V147)</f>
        <v>1915810.9679999999</v>
      </c>
      <c r="W142" s="80">
        <f>SUM(W143:W147)</f>
        <v>1303385</v>
      </c>
      <c r="X142" s="52"/>
      <c r="Y142" s="52"/>
      <c r="Z142" s="52"/>
    </row>
    <row r="143" spans="1:26">
      <c r="A143" s="250" t="s">
        <v>79</v>
      </c>
      <c r="B143" s="88"/>
      <c r="C143" s="87">
        <v>37549.704250000003</v>
      </c>
      <c r="D143" s="87">
        <v>25058.09419</v>
      </c>
      <c r="E143" s="87">
        <v>28438.663650000006</v>
      </c>
      <c r="F143" s="87">
        <v>25089.924460000002</v>
      </c>
      <c r="G143" s="87">
        <v>36113</v>
      </c>
      <c r="H143" s="87">
        <v>35226</v>
      </c>
      <c r="I143" s="87">
        <v>42282</v>
      </c>
      <c r="J143" s="87">
        <v>206505</v>
      </c>
      <c r="K143" s="87">
        <v>201718</v>
      </c>
      <c r="L143" s="87">
        <v>76657</v>
      </c>
      <c r="M143" s="87">
        <v>124286</v>
      </c>
      <c r="N143" s="87">
        <v>289029</v>
      </c>
      <c r="O143" s="87">
        <v>103362</v>
      </c>
      <c r="P143" s="87">
        <v>147412</v>
      </c>
      <c r="Q143" s="87">
        <v>213266</v>
      </c>
      <c r="R143" s="87">
        <v>447995</v>
      </c>
      <c r="S143" s="87">
        <v>138250</v>
      </c>
      <c r="T143" s="87">
        <v>230623.82699999999</v>
      </c>
      <c r="U143" s="87">
        <v>518449.152</v>
      </c>
      <c r="V143" s="87">
        <v>431158</v>
      </c>
      <c r="W143" s="87">
        <v>178571</v>
      </c>
      <c r="X143" s="52"/>
      <c r="Y143" s="52"/>
      <c r="Z143" s="52"/>
    </row>
    <row r="144" spans="1:26">
      <c r="A144" s="250" t="s">
        <v>80</v>
      </c>
      <c r="B144" s="88"/>
      <c r="C144" s="87">
        <v>17025.567010000002</v>
      </c>
      <c r="D144" s="87">
        <v>42063.94268</v>
      </c>
      <c r="E144" s="87">
        <v>59524.51483</v>
      </c>
      <c r="F144" s="654">
        <f>51207210/1000</f>
        <v>51207.21</v>
      </c>
      <c r="G144" s="87">
        <v>57370</v>
      </c>
      <c r="H144" s="87">
        <v>54630</v>
      </c>
      <c r="I144" s="87">
        <v>53769</v>
      </c>
      <c r="J144" s="87">
        <v>55533</v>
      </c>
      <c r="K144" s="87">
        <v>59690</v>
      </c>
      <c r="L144" s="87">
        <v>56052</v>
      </c>
      <c r="M144" s="87">
        <v>58132</v>
      </c>
      <c r="N144" s="87">
        <v>55328</v>
      </c>
      <c r="O144" s="87">
        <v>65265</v>
      </c>
      <c r="P144" s="87">
        <v>120133.008</v>
      </c>
      <c r="Q144" s="87">
        <v>270039</v>
      </c>
      <c r="R144" s="87">
        <v>98021</v>
      </c>
      <c r="S144" s="87">
        <v>94793</v>
      </c>
      <c r="T144" s="87">
        <v>111315</v>
      </c>
      <c r="U144" s="87">
        <v>245864.133</v>
      </c>
      <c r="V144" s="701">
        <v>508564</v>
      </c>
      <c r="W144" s="701">
        <v>133836</v>
      </c>
      <c r="X144" s="52"/>
      <c r="Y144" s="52"/>
      <c r="Z144" s="52"/>
    </row>
    <row r="145" spans="1:29">
      <c r="A145" s="250" t="s">
        <v>102</v>
      </c>
      <c r="B145" s="88"/>
      <c r="C145" s="87"/>
      <c r="D145" s="87"/>
      <c r="E145" s="87"/>
      <c r="F145" s="87"/>
      <c r="G145" s="87">
        <v>1784</v>
      </c>
      <c r="H145" s="87">
        <v>0</v>
      </c>
      <c r="I145" s="87">
        <v>0</v>
      </c>
      <c r="J145" s="87">
        <v>0</v>
      </c>
      <c r="K145" s="87">
        <v>-4021</v>
      </c>
      <c r="L145" s="87">
        <v>286</v>
      </c>
      <c r="M145" s="87">
        <v>-3080</v>
      </c>
      <c r="N145" s="87">
        <v>2117</v>
      </c>
      <c r="O145" s="87">
        <v>-637</v>
      </c>
      <c r="P145" s="87">
        <v>2420.6489999999999</v>
      </c>
      <c r="Q145" s="87">
        <v>1785</v>
      </c>
      <c r="R145" s="87">
        <v>525</v>
      </c>
      <c r="S145" s="87">
        <v>2132</v>
      </c>
      <c r="T145" s="87">
        <v>1320</v>
      </c>
      <c r="U145" s="87">
        <v>468.12599999999998</v>
      </c>
      <c r="V145" s="87">
        <v>1999.9680000000001</v>
      </c>
      <c r="W145" s="87">
        <v>2712</v>
      </c>
      <c r="X145" s="52"/>
      <c r="Y145" s="52"/>
      <c r="Z145" s="52"/>
    </row>
    <row r="146" spans="1:29">
      <c r="A146" s="250" t="s">
        <v>83</v>
      </c>
      <c r="B146" s="88"/>
      <c r="C146" s="87">
        <v>54378.920479999993</v>
      </c>
      <c r="D146" s="87">
        <v>141992.24900000001</v>
      </c>
      <c r="E146" s="87">
        <v>221964.68799999999</v>
      </c>
      <c r="F146" s="87">
        <v>299013.96103999997</v>
      </c>
      <c r="G146" s="87">
        <v>336797</v>
      </c>
      <c r="H146" s="87">
        <v>368739</v>
      </c>
      <c r="I146" s="87">
        <v>420899</v>
      </c>
      <c r="J146" s="87">
        <v>461379</v>
      </c>
      <c r="K146" s="87">
        <v>477198</v>
      </c>
      <c r="L146" s="87">
        <v>500166</v>
      </c>
      <c r="M146" s="87">
        <v>524248</v>
      </c>
      <c r="N146" s="87">
        <v>543671</v>
      </c>
      <c r="O146" s="87">
        <v>577195</v>
      </c>
      <c r="P146" s="87">
        <v>806809</v>
      </c>
      <c r="Q146" s="87">
        <v>694633</v>
      </c>
      <c r="R146" s="87">
        <v>720421</v>
      </c>
      <c r="S146" s="87">
        <v>754595</v>
      </c>
      <c r="T146" s="87">
        <v>817462</v>
      </c>
      <c r="U146" s="87">
        <v>874983</v>
      </c>
      <c r="V146" s="87">
        <v>934857</v>
      </c>
      <c r="W146" s="87">
        <v>949692</v>
      </c>
      <c r="X146" s="52"/>
      <c r="Y146" s="52"/>
      <c r="Z146" s="52"/>
    </row>
    <row r="147" spans="1:29">
      <c r="A147" s="250" t="s">
        <v>103</v>
      </c>
      <c r="B147" s="88"/>
      <c r="C147" s="87"/>
      <c r="D147" s="87">
        <v>532.68499999999995</v>
      </c>
      <c r="E147" s="87">
        <v>457.63499999999999</v>
      </c>
      <c r="F147" s="87">
        <v>381</v>
      </c>
      <c r="G147" s="87">
        <v>355</v>
      </c>
      <c r="H147" s="87">
        <v>1950</v>
      </c>
      <c r="I147" s="87">
        <v>1999</v>
      </c>
      <c r="J147" s="87">
        <v>2028</v>
      </c>
      <c r="K147" s="87">
        <v>2067</v>
      </c>
      <c r="L147" s="87">
        <v>2101</v>
      </c>
      <c r="M147" s="87">
        <v>2145</v>
      </c>
      <c r="N147" s="87">
        <v>2170</v>
      </c>
      <c r="O147" s="87">
        <v>715</v>
      </c>
      <c r="P147" s="87">
        <v>519</v>
      </c>
      <c r="Q147" s="87">
        <v>385</v>
      </c>
      <c r="R147" s="87">
        <v>180</v>
      </c>
      <c r="S147" s="87">
        <v>180</v>
      </c>
      <c r="T147" s="87">
        <v>38571</v>
      </c>
      <c r="U147" s="87">
        <v>39860</v>
      </c>
      <c r="V147" s="87">
        <v>39232</v>
      </c>
      <c r="W147" s="87">
        <v>38574</v>
      </c>
      <c r="X147" s="52"/>
      <c r="Y147" s="52"/>
      <c r="Z147" s="52"/>
    </row>
    <row r="148" spans="1:29">
      <c r="A148" s="805" t="s">
        <v>56</v>
      </c>
      <c r="B148" s="64"/>
      <c r="C148" s="85">
        <v>24721.370940000001</v>
      </c>
      <c r="D148" s="85">
        <v>66443.394109999994</v>
      </c>
      <c r="E148" s="80">
        <v>97701.503899999996</v>
      </c>
      <c r="F148" s="80">
        <v>126948.72808</v>
      </c>
      <c r="G148" s="80">
        <v>142857</v>
      </c>
      <c r="H148" s="80">
        <v>161783</v>
      </c>
      <c r="I148" s="80">
        <v>190157</v>
      </c>
      <c r="J148" s="80">
        <v>198822</v>
      </c>
      <c r="K148" s="80">
        <v>205999</v>
      </c>
      <c r="L148" s="80">
        <v>217933</v>
      </c>
      <c r="M148" s="80">
        <v>236057</v>
      </c>
      <c r="N148" s="80">
        <v>256625</v>
      </c>
      <c r="O148" s="80">
        <v>271611</v>
      </c>
      <c r="P148" s="80">
        <v>296569</v>
      </c>
      <c r="Q148" s="80">
        <v>320910</v>
      </c>
      <c r="R148" s="80">
        <v>349591</v>
      </c>
      <c r="S148" s="80">
        <f>SUM(S149:S151)</f>
        <v>383053</v>
      </c>
      <c r="T148" s="80">
        <f>SUM(T149:T151)</f>
        <v>422766</v>
      </c>
      <c r="U148" s="80">
        <f>SUM(U149:U151)</f>
        <v>473235</v>
      </c>
      <c r="V148" s="80">
        <f>SUM(V149:V151)</f>
        <v>515396</v>
      </c>
      <c r="W148" s="80">
        <f>SUM(W149:W151)</f>
        <v>528968</v>
      </c>
      <c r="X148" s="52"/>
      <c r="Y148" s="52"/>
      <c r="Z148" s="52"/>
    </row>
    <row r="149" spans="1:29">
      <c r="A149" s="250" t="s">
        <v>104</v>
      </c>
      <c r="B149" s="88"/>
      <c r="C149" s="87">
        <v>597.15618999999992</v>
      </c>
      <c r="D149" s="87">
        <v>2184.9762999999998</v>
      </c>
      <c r="E149" s="87">
        <v>2983.9280400000002</v>
      </c>
      <c r="F149" s="87">
        <v>3387.3478399999999</v>
      </c>
      <c r="G149" s="87">
        <v>3578</v>
      </c>
      <c r="H149" s="87">
        <v>3897</v>
      </c>
      <c r="I149" s="87">
        <v>3689</v>
      </c>
      <c r="J149" s="87">
        <v>3749</v>
      </c>
      <c r="K149" s="87">
        <v>3968</v>
      </c>
      <c r="L149" s="87">
        <v>4311</v>
      </c>
      <c r="M149" s="87">
        <v>4809</v>
      </c>
      <c r="N149" s="87">
        <v>6343</v>
      </c>
      <c r="O149" s="87">
        <v>6791</v>
      </c>
      <c r="P149" s="87">
        <v>7351.0439999999999</v>
      </c>
      <c r="Q149" s="87">
        <v>8134</v>
      </c>
      <c r="R149" s="87">
        <v>15455</v>
      </c>
      <c r="S149" s="87">
        <v>21468</v>
      </c>
      <c r="T149" s="87">
        <v>30156</v>
      </c>
      <c r="U149" s="87">
        <v>39509</v>
      </c>
      <c r="V149" s="87">
        <v>45893</v>
      </c>
      <c r="W149" s="87">
        <v>47814</v>
      </c>
      <c r="X149" s="52"/>
      <c r="Y149" s="52"/>
      <c r="Z149" s="52"/>
    </row>
    <row r="150" spans="1:29">
      <c r="A150" s="250" t="s">
        <v>83</v>
      </c>
      <c r="B150" s="88"/>
      <c r="C150" s="87">
        <v>24124.214749999999</v>
      </c>
      <c r="D150" s="87">
        <v>64258.417809999999</v>
      </c>
      <c r="E150" s="87">
        <v>94717.575859999997</v>
      </c>
      <c r="F150" s="87">
        <v>123561.38024</v>
      </c>
      <c r="G150" s="87">
        <v>139279</v>
      </c>
      <c r="H150" s="87">
        <v>157886</v>
      </c>
      <c r="I150" s="87">
        <v>186422</v>
      </c>
      <c r="J150" s="87">
        <v>195011</v>
      </c>
      <c r="K150" s="87">
        <v>201882</v>
      </c>
      <c r="L150" s="87">
        <v>213466</v>
      </c>
      <c r="M150" s="87">
        <v>231006</v>
      </c>
      <c r="N150" s="87">
        <v>249995</v>
      </c>
      <c r="O150" s="87">
        <v>264428</v>
      </c>
      <c r="P150" s="87">
        <v>288809.08799999999</v>
      </c>
      <c r="Q150" s="87">
        <v>312442</v>
      </c>
      <c r="R150" s="87">
        <v>333673</v>
      </c>
      <c r="S150" s="87">
        <v>361066</v>
      </c>
      <c r="T150" s="87">
        <v>392011</v>
      </c>
      <c r="U150" s="87">
        <v>433136</v>
      </c>
      <c r="V150" s="87">
        <v>468702</v>
      </c>
      <c r="W150" s="87">
        <v>480397</v>
      </c>
      <c r="X150" s="52"/>
      <c r="Y150" s="52"/>
      <c r="Z150" s="52"/>
    </row>
    <row r="151" spans="1:29">
      <c r="A151" s="250" t="s">
        <v>87</v>
      </c>
      <c r="B151" s="88"/>
      <c r="C151" s="87"/>
      <c r="D151" s="87"/>
      <c r="E151" s="87"/>
      <c r="F151" s="87"/>
      <c r="G151" s="87"/>
      <c r="H151" s="87"/>
      <c r="I151" s="87">
        <v>46</v>
      </c>
      <c r="J151" s="87">
        <v>62</v>
      </c>
      <c r="K151" s="87">
        <v>149</v>
      </c>
      <c r="L151" s="87">
        <v>156</v>
      </c>
      <c r="M151" s="87">
        <v>242</v>
      </c>
      <c r="N151" s="87">
        <v>287</v>
      </c>
      <c r="O151" s="87">
        <v>392</v>
      </c>
      <c r="P151" s="87">
        <v>408.6</v>
      </c>
      <c r="Q151" s="87">
        <v>334</v>
      </c>
      <c r="R151" s="87">
        <v>463</v>
      </c>
      <c r="S151" s="87">
        <v>519</v>
      </c>
      <c r="T151" s="87">
        <v>599</v>
      </c>
      <c r="U151" s="87">
        <v>590</v>
      </c>
      <c r="V151" s="87">
        <v>801</v>
      </c>
      <c r="W151" s="87">
        <v>757</v>
      </c>
      <c r="X151" s="52"/>
      <c r="Y151" s="52"/>
      <c r="Z151" s="52"/>
    </row>
    <row r="152" spans="1:29">
      <c r="A152" s="804" t="s">
        <v>25</v>
      </c>
      <c r="B152" s="633"/>
      <c r="C152" s="638">
        <v>1625152.0532</v>
      </c>
      <c r="D152" s="638">
        <v>1603963.9737499999</v>
      </c>
      <c r="E152" s="639">
        <v>1602370.8333399999</v>
      </c>
      <c r="F152" s="639">
        <v>1615465.5439000002</v>
      </c>
      <c r="G152" s="639">
        <v>1644051</v>
      </c>
      <c r="H152" s="639">
        <v>1695498</v>
      </c>
      <c r="I152" s="639">
        <v>1753617</v>
      </c>
      <c r="J152" s="639">
        <v>1699186</v>
      </c>
      <c r="K152" s="639">
        <v>1779862</v>
      </c>
      <c r="L152" s="639">
        <v>1828236</v>
      </c>
      <c r="M152" s="639">
        <v>1934715</v>
      </c>
      <c r="N152" s="639">
        <v>1755564</v>
      </c>
      <c r="O152" s="639">
        <v>1776710</v>
      </c>
      <c r="P152" s="639">
        <v>1886502.7509999999</v>
      </c>
      <c r="Q152" s="639">
        <v>1915026</v>
      </c>
      <c r="R152" s="639">
        <v>1790173</v>
      </c>
      <c r="S152" s="639">
        <v>1832215</v>
      </c>
      <c r="T152" s="639">
        <v>2011254</v>
      </c>
      <c r="U152" s="639">
        <v>1859981.919</v>
      </c>
      <c r="V152" s="639">
        <v>1850204</v>
      </c>
      <c r="W152" s="639">
        <v>1893396</v>
      </c>
      <c r="X152" s="52"/>
      <c r="Y152" s="52"/>
      <c r="Z152" s="52"/>
    </row>
    <row r="153" spans="1:29">
      <c r="F153" s="660"/>
    </row>
    <row r="155" spans="1:29" ht="23.25">
      <c r="A155" s="802" t="s">
        <v>105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105"/>
      <c r="Y155" s="105"/>
      <c r="Z155" s="105"/>
      <c r="AA155" s="105"/>
      <c r="AB155" s="105"/>
      <c r="AC155" s="105"/>
    </row>
    <row r="156" spans="1:29" ht="10.35" customHeight="1">
      <c r="B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29" ht="25.35" customHeight="1">
      <c r="A157" s="803" t="s">
        <v>106</v>
      </c>
      <c r="B157" s="643"/>
      <c r="C157" s="643">
        <v>44286</v>
      </c>
      <c r="D157" s="643">
        <v>44377</v>
      </c>
      <c r="E157" s="643">
        <v>44469</v>
      </c>
      <c r="F157" s="643">
        <v>44561</v>
      </c>
      <c r="G157" s="643">
        <v>44621</v>
      </c>
      <c r="H157" s="643">
        <v>44713</v>
      </c>
      <c r="I157" s="643">
        <v>44805</v>
      </c>
      <c r="J157" s="643">
        <v>44896</v>
      </c>
      <c r="K157" s="643">
        <v>44986</v>
      </c>
      <c r="L157" s="643">
        <v>45078</v>
      </c>
      <c r="M157" s="643">
        <v>45170</v>
      </c>
      <c r="N157" s="643">
        <v>45261</v>
      </c>
      <c r="O157" s="643">
        <v>45352</v>
      </c>
      <c r="P157" s="643">
        <v>45444</v>
      </c>
      <c r="Q157" s="643">
        <v>45537</v>
      </c>
      <c r="R157" s="643">
        <v>45627</v>
      </c>
      <c r="S157" s="643">
        <v>45717</v>
      </c>
      <c r="T157" s="643">
        <v>45809</v>
      </c>
      <c r="U157" s="643">
        <v>45901</v>
      </c>
      <c r="V157" s="748">
        <v>45992</v>
      </c>
      <c r="W157" s="749">
        <v>46082</v>
      </c>
    </row>
    <row r="158" spans="1:29">
      <c r="A158" s="804" t="s">
        <v>5</v>
      </c>
      <c r="B158" s="633"/>
      <c r="C158" s="638">
        <v>254949.46356999999</v>
      </c>
      <c r="D158" s="638">
        <v>266064.08412999997</v>
      </c>
      <c r="E158" s="639">
        <v>348972.49667000002</v>
      </c>
      <c r="F158" s="639">
        <v>414148.47929999995</v>
      </c>
      <c r="G158" s="639">
        <v>474777</v>
      </c>
      <c r="H158" s="639">
        <v>616617</v>
      </c>
      <c r="I158" s="639">
        <v>846268</v>
      </c>
      <c r="J158" s="639">
        <v>939655</v>
      </c>
      <c r="K158" s="639">
        <v>1178852</v>
      </c>
      <c r="L158" s="639">
        <v>1355122.4750000001</v>
      </c>
      <c r="M158" s="639">
        <v>1595023</v>
      </c>
      <c r="N158" s="639">
        <v>1902320</v>
      </c>
      <c r="O158" s="639">
        <v>2191207</v>
      </c>
      <c r="P158" s="639">
        <v>2334841</v>
      </c>
      <c r="Q158" s="639">
        <v>2497232</v>
      </c>
      <c r="R158" s="639">
        <v>2699144</v>
      </c>
      <c r="S158" s="639">
        <f>S159+S166</f>
        <v>3002066.1378299999</v>
      </c>
      <c r="T158" s="639">
        <f>T159+T166</f>
        <v>3261996</v>
      </c>
      <c r="U158" s="639">
        <f>U159+U166</f>
        <v>3505027</v>
      </c>
      <c r="V158" s="639">
        <f>V159+V166</f>
        <v>3786857</v>
      </c>
      <c r="W158" s="639">
        <f>W159+W166</f>
        <v>4088711</v>
      </c>
      <c r="X158" s="52"/>
      <c r="Y158" s="52"/>
      <c r="Z158" s="52"/>
    </row>
    <row r="159" spans="1:29">
      <c r="A159" s="805" t="s">
        <v>40</v>
      </c>
      <c r="B159" s="64"/>
      <c r="C159" s="85">
        <v>74949.463570000007</v>
      </c>
      <c r="D159" s="85">
        <v>86064.084129999988</v>
      </c>
      <c r="E159" s="80">
        <v>154860.08834000002</v>
      </c>
      <c r="F159" s="80">
        <v>232413.58254999999</v>
      </c>
      <c r="G159" s="80">
        <v>296217</v>
      </c>
      <c r="H159" s="80">
        <v>439527</v>
      </c>
      <c r="I159" s="80">
        <v>671393</v>
      </c>
      <c r="J159" s="80">
        <v>766525</v>
      </c>
      <c r="K159" s="80">
        <v>834166</v>
      </c>
      <c r="L159" s="80">
        <v>904345.07600000012</v>
      </c>
      <c r="M159" s="80">
        <v>1025372</v>
      </c>
      <c r="N159" s="80">
        <v>1250456</v>
      </c>
      <c r="O159" s="80">
        <v>1316506</v>
      </c>
      <c r="P159" s="80">
        <v>1382571</v>
      </c>
      <c r="Q159" s="80">
        <v>1539011</v>
      </c>
      <c r="R159" s="80">
        <v>1600176</v>
      </c>
      <c r="S159" s="80">
        <f>SUM(S160:S165)</f>
        <v>1805494.1378299999</v>
      </c>
      <c r="T159" s="80">
        <f>SUM(T160:T165)</f>
        <v>2028799</v>
      </c>
      <c r="U159" s="80">
        <f>SUM(U160:U165)</f>
        <v>2290467</v>
      </c>
      <c r="V159" s="80">
        <f>SUM(V160:V165)</f>
        <v>1734952</v>
      </c>
      <c r="W159" s="80">
        <f>SUM(W160:W165)</f>
        <v>1908357</v>
      </c>
      <c r="X159" s="52"/>
      <c r="Y159" s="52"/>
      <c r="Z159" s="52"/>
    </row>
    <row r="160" spans="1:29">
      <c r="A160" s="250" t="s">
        <v>107</v>
      </c>
      <c r="B160" s="88"/>
      <c r="C160" s="87">
        <v>3.9305500000000002</v>
      </c>
      <c r="D160" s="87">
        <v>71.257220000000004</v>
      </c>
      <c r="E160" s="87">
        <v>6260.2007299999996</v>
      </c>
      <c r="F160" s="87">
        <v>2064.7680100000002</v>
      </c>
      <c r="G160" s="87">
        <v>26711</v>
      </c>
      <c r="H160" s="87">
        <v>16080</v>
      </c>
      <c r="I160" s="87">
        <v>50222</v>
      </c>
      <c r="J160" s="87">
        <v>48568</v>
      </c>
      <c r="K160" s="87">
        <v>27546</v>
      </c>
      <c r="L160" s="654">
        <v>10984.076999999999</v>
      </c>
      <c r="M160" s="87">
        <v>19713</v>
      </c>
      <c r="N160" s="87">
        <v>36912</v>
      </c>
      <c r="O160" s="87">
        <v>25872</v>
      </c>
      <c r="P160" s="87">
        <v>7775</v>
      </c>
      <c r="Q160" s="87">
        <v>3850</v>
      </c>
      <c r="R160" s="87">
        <v>485</v>
      </c>
      <c r="S160" s="87">
        <v>948</v>
      </c>
      <c r="T160" s="87">
        <v>69</v>
      </c>
      <c r="U160" s="87">
        <v>192</v>
      </c>
      <c r="V160" s="87">
        <v>13</v>
      </c>
      <c r="W160" s="87">
        <v>201</v>
      </c>
      <c r="X160" s="52"/>
      <c r="Y160" s="52"/>
      <c r="Z160" s="52"/>
    </row>
    <row r="161" spans="1:26">
      <c r="A161" s="250" t="s">
        <v>108</v>
      </c>
      <c r="B161" s="88"/>
      <c r="C161" s="87">
        <v>74945.533020000003</v>
      </c>
      <c r="D161" s="87">
        <v>74126.100689999992</v>
      </c>
      <c r="E161" s="87">
        <v>143867.26507999998</v>
      </c>
      <c r="F161" s="87">
        <v>228218.79694</v>
      </c>
      <c r="G161" s="87">
        <v>266018</v>
      </c>
      <c r="H161" s="87">
        <v>416455</v>
      </c>
      <c r="I161" s="87">
        <v>610577</v>
      </c>
      <c r="J161" s="87">
        <v>712046</v>
      </c>
      <c r="K161" s="87">
        <v>792179</v>
      </c>
      <c r="L161" s="654">
        <v>881466.80500000005</v>
      </c>
      <c r="M161" s="87">
        <v>991493</v>
      </c>
      <c r="N161" s="87">
        <v>1204300</v>
      </c>
      <c r="O161" s="87">
        <v>1276388</v>
      </c>
      <c r="P161" s="87">
        <v>1366833</v>
      </c>
      <c r="Q161" s="87">
        <v>1517292</v>
      </c>
      <c r="R161" s="87">
        <v>1591323</v>
      </c>
      <c r="S161" s="87">
        <v>1781921</v>
      </c>
      <c r="T161" s="87">
        <v>2005047</v>
      </c>
      <c r="U161" s="87">
        <v>2258192</v>
      </c>
      <c r="V161" s="87">
        <v>1716545</v>
      </c>
      <c r="W161" s="87">
        <v>1878044</v>
      </c>
      <c r="X161" s="52"/>
      <c r="Y161" s="52"/>
      <c r="Z161" s="52"/>
    </row>
    <row r="162" spans="1:26">
      <c r="A162" s="250" t="s">
        <v>109</v>
      </c>
      <c r="B162" s="88"/>
      <c r="C162" s="87"/>
      <c r="D162" s="87"/>
      <c r="E162" s="87">
        <v>4678.5349999999999</v>
      </c>
      <c r="F162" s="87">
        <v>1856.9937899999998</v>
      </c>
      <c r="G162" s="87">
        <v>3255</v>
      </c>
      <c r="H162" s="87">
        <v>6526</v>
      </c>
      <c r="I162" s="87">
        <v>9946</v>
      </c>
      <c r="J162" s="87">
        <v>5629</v>
      </c>
      <c r="K162" s="87">
        <v>14038</v>
      </c>
      <c r="L162" s="654">
        <v>10571.194</v>
      </c>
      <c r="M162" s="87">
        <v>13389</v>
      </c>
      <c r="N162" s="87">
        <v>8873</v>
      </c>
      <c r="O162" s="87">
        <v>13806</v>
      </c>
      <c r="P162" s="87">
        <v>7350</v>
      </c>
      <c r="Q162" s="87">
        <v>16782</v>
      </c>
      <c r="R162" s="87">
        <v>7886</v>
      </c>
      <c r="S162" s="87">
        <v>22016</v>
      </c>
      <c r="T162" s="87">
        <v>22858</v>
      </c>
      <c r="U162" s="87">
        <v>30831</v>
      </c>
      <c r="V162" s="87">
        <v>18128</v>
      </c>
      <c r="W162" s="87">
        <v>29828</v>
      </c>
      <c r="X162" s="52"/>
      <c r="Y162" s="52"/>
      <c r="Z162" s="52"/>
    </row>
    <row r="163" spans="1:26">
      <c r="A163" s="250" t="s">
        <v>110</v>
      </c>
      <c r="B163" s="88"/>
      <c r="C163" s="87"/>
      <c r="D163" s="87">
        <v>212.41634999999999</v>
      </c>
      <c r="E163" s="87">
        <v>0</v>
      </c>
      <c r="F163" s="87">
        <v>228</v>
      </c>
      <c r="G163" s="87">
        <v>228</v>
      </c>
      <c r="H163" s="87">
        <v>228</v>
      </c>
      <c r="I163" s="87">
        <v>228</v>
      </c>
      <c r="J163" s="87">
        <v>228</v>
      </c>
      <c r="K163" s="87">
        <v>228</v>
      </c>
      <c r="L163" s="87">
        <v>953</v>
      </c>
      <c r="M163" s="87">
        <v>228</v>
      </c>
      <c r="N163" s="87">
        <v>228</v>
      </c>
      <c r="O163" s="87">
        <v>228</v>
      </c>
      <c r="P163" s="87">
        <v>228</v>
      </c>
      <c r="Q163" s="87">
        <v>228</v>
      </c>
      <c r="R163" s="87">
        <v>233</v>
      </c>
      <c r="S163" s="87">
        <v>233</v>
      </c>
      <c r="T163" s="87">
        <v>275</v>
      </c>
      <c r="U163" s="87">
        <v>277</v>
      </c>
      <c r="V163" s="87">
        <v>5</v>
      </c>
      <c r="W163" s="87">
        <v>5</v>
      </c>
      <c r="X163" s="52"/>
      <c r="Y163" s="52"/>
      <c r="Z163" s="52"/>
    </row>
    <row r="164" spans="1:26">
      <c r="A164" s="250" t="s">
        <v>111</v>
      </c>
      <c r="B164" s="88"/>
      <c r="C164" s="87"/>
      <c r="D164" s="87">
        <v>11654.309869999999</v>
      </c>
      <c r="E164" s="87">
        <v>54.087530000000001</v>
      </c>
      <c r="F164" s="87">
        <v>6</v>
      </c>
      <c r="G164" s="87">
        <v>5</v>
      </c>
      <c r="H164" s="87">
        <v>238</v>
      </c>
      <c r="I164" s="87">
        <v>241</v>
      </c>
      <c r="J164" s="87">
        <v>54</v>
      </c>
      <c r="K164" s="87">
        <v>175</v>
      </c>
      <c r="L164" s="87">
        <v>370</v>
      </c>
      <c r="M164" s="87">
        <v>370</v>
      </c>
      <c r="N164" s="87">
        <v>143</v>
      </c>
      <c r="O164" s="87">
        <v>212</v>
      </c>
      <c r="P164" s="87">
        <v>385</v>
      </c>
      <c r="Q164" s="87">
        <v>418</v>
      </c>
      <c r="R164" s="87">
        <v>249</v>
      </c>
      <c r="S164" s="87">
        <v>376.13783000000001</v>
      </c>
      <c r="T164" s="87">
        <v>550</v>
      </c>
      <c r="U164" s="87">
        <v>534</v>
      </c>
      <c r="V164" s="87">
        <v>261</v>
      </c>
      <c r="W164" s="87">
        <v>279</v>
      </c>
      <c r="X164" s="52"/>
      <c r="Y164" s="52"/>
      <c r="Z164" s="52"/>
    </row>
    <row r="165" spans="1:26">
      <c r="A165" s="250" t="s">
        <v>112</v>
      </c>
      <c r="B165" s="88"/>
      <c r="C165" s="87"/>
      <c r="D165" s="87"/>
      <c r="E165" s="87"/>
      <c r="F165" s="87">
        <v>39</v>
      </c>
      <c r="G165" s="87">
        <v>0</v>
      </c>
      <c r="H165" s="87">
        <v>0</v>
      </c>
      <c r="I165" s="87">
        <v>179</v>
      </c>
      <c r="J165" s="87">
        <v>0</v>
      </c>
      <c r="K165" s="87">
        <v>0</v>
      </c>
      <c r="L165" s="87">
        <v>0</v>
      </c>
      <c r="M165" s="87">
        <v>179</v>
      </c>
      <c r="N165" s="87">
        <v>0</v>
      </c>
      <c r="O165" s="87">
        <v>0</v>
      </c>
      <c r="P165" s="87">
        <v>0</v>
      </c>
      <c r="Q165" s="87">
        <v>441</v>
      </c>
      <c r="R165" s="87">
        <v>0</v>
      </c>
      <c r="S165" s="87">
        <v>0</v>
      </c>
      <c r="T165" s="87">
        <v>0</v>
      </c>
      <c r="U165" s="87">
        <v>441</v>
      </c>
      <c r="V165" s="87">
        <v>0</v>
      </c>
      <c r="W165" s="87">
        <v>0</v>
      </c>
      <c r="X165" s="52"/>
      <c r="Y165" s="52"/>
      <c r="Z165" s="52"/>
    </row>
    <row r="166" spans="1:26">
      <c r="A166" s="805" t="s">
        <v>47</v>
      </c>
      <c r="B166" s="64"/>
      <c r="C166" s="85">
        <v>180000</v>
      </c>
      <c r="D166" s="85">
        <v>180000</v>
      </c>
      <c r="E166" s="80">
        <v>194112.40833000001</v>
      </c>
      <c r="F166" s="80">
        <v>181734.89675000001</v>
      </c>
      <c r="G166" s="80">
        <v>178560</v>
      </c>
      <c r="H166" s="80">
        <v>177090</v>
      </c>
      <c r="I166" s="80">
        <v>174875</v>
      </c>
      <c r="J166" s="80">
        <v>173130</v>
      </c>
      <c r="K166" s="80">
        <v>344686</v>
      </c>
      <c r="L166" s="80">
        <v>450777.39899999998</v>
      </c>
      <c r="M166" s="80">
        <v>569651</v>
      </c>
      <c r="N166" s="80">
        <v>651864</v>
      </c>
      <c r="O166" s="80">
        <v>874701</v>
      </c>
      <c r="P166" s="80">
        <v>952270</v>
      </c>
      <c r="Q166" s="80">
        <v>958221</v>
      </c>
      <c r="R166" s="80">
        <v>1098968</v>
      </c>
      <c r="S166" s="80">
        <f>SUM(S167:S172)</f>
        <v>1196572</v>
      </c>
      <c r="T166" s="80">
        <f>SUM(T167:T172)</f>
        <v>1233197</v>
      </c>
      <c r="U166" s="80">
        <f>SUM(U167:U172)</f>
        <v>1214560</v>
      </c>
      <c r="V166" s="80">
        <f>SUM(V167:V172)</f>
        <v>2051905</v>
      </c>
      <c r="W166" s="80">
        <f>SUM(W167:W172)</f>
        <v>2180354</v>
      </c>
      <c r="X166" s="52"/>
      <c r="Y166" s="52"/>
      <c r="Z166" s="52"/>
    </row>
    <row r="167" spans="1:26">
      <c r="A167" s="250" t="s">
        <v>108</v>
      </c>
      <c r="B167" s="289"/>
      <c r="C167" s="290"/>
      <c r="D167" s="290"/>
      <c r="E167" s="291">
        <v>0</v>
      </c>
      <c r="F167" s="291">
        <v>0</v>
      </c>
      <c r="G167" s="291">
        <v>0</v>
      </c>
      <c r="H167" s="291">
        <v>0</v>
      </c>
      <c r="I167" s="291">
        <v>0</v>
      </c>
      <c r="J167" s="291">
        <v>0</v>
      </c>
      <c r="K167" s="332">
        <v>174050</v>
      </c>
      <c r="L167" s="490">
        <v>284293</v>
      </c>
      <c r="M167" s="490">
        <v>405607</v>
      </c>
      <c r="N167" s="490">
        <v>490277</v>
      </c>
      <c r="O167" s="490">
        <v>711091</v>
      </c>
      <c r="P167" s="98">
        <v>782674</v>
      </c>
      <c r="Q167" s="98">
        <v>790325</v>
      </c>
      <c r="R167" s="98">
        <v>914296</v>
      </c>
      <c r="S167" s="98">
        <v>1013346</v>
      </c>
      <c r="T167" s="98">
        <v>1058415</v>
      </c>
      <c r="U167" s="98">
        <v>1036173</v>
      </c>
      <c r="V167" s="98">
        <v>1868176</v>
      </c>
      <c r="W167" s="98">
        <v>1999018</v>
      </c>
      <c r="X167" s="52"/>
      <c r="Y167" s="52"/>
      <c r="Z167" s="52"/>
    </row>
    <row r="168" spans="1:26">
      <c r="A168" s="250" t="s">
        <v>113</v>
      </c>
      <c r="B168" s="657"/>
      <c r="C168" s="658"/>
      <c r="D168" s="658"/>
      <c r="E168" s="332">
        <v>430.69471999999996</v>
      </c>
      <c r="F168" s="332">
        <v>1070.1079999999999</v>
      </c>
      <c r="G168" s="332">
        <v>211</v>
      </c>
      <c r="H168" s="332">
        <v>570</v>
      </c>
      <c r="I168" s="332">
        <v>620</v>
      </c>
      <c r="J168" s="332">
        <v>815</v>
      </c>
      <c r="K168" s="332">
        <v>4365</v>
      </c>
      <c r="L168" s="659">
        <v>2597.3989999999999</v>
      </c>
      <c r="M168" s="332">
        <v>2375</v>
      </c>
      <c r="N168" s="332">
        <v>2152</v>
      </c>
      <c r="O168" s="332">
        <v>6396</v>
      </c>
      <c r="P168" s="97">
        <v>14603</v>
      </c>
      <c r="Q168" s="97">
        <v>14944</v>
      </c>
      <c r="R168" s="97">
        <v>33820</v>
      </c>
      <c r="S168" s="97">
        <v>33691</v>
      </c>
      <c r="T168" s="97">
        <v>26761</v>
      </c>
      <c r="U168" s="97">
        <v>31923</v>
      </c>
      <c r="V168" s="332">
        <f>28295+
12985</f>
        <v>41280</v>
      </c>
      <c r="W168" s="98">
        <v>41026</v>
      </c>
      <c r="X168" s="52"/>
      <c r="Y168" s="52"/>
      <c r="Z168" s="52"/>
    </row>
    <row r="169" spans="1:26">
      <c r="A169" s="250" t="s">
        <v>114</v>
      </c>
      <c r="B169" s="88"/>
      <c r="C169" s="87"/>
      <c r="D169" s="87"/>
      <c r="E169" s="87">
        <v>3672.6107099999999</v>
      </c>
      <c r="F169" s="87">
        <v>0</v>
      </c>
      <c r="G169" s="87">
        <v>0</v>
      </c>
      <c r="H169" s="87">
        <v>0</v>
      </c>
      <c r="I169" s="87">
        <v>1</v>
      </c>
      <c r="J169" s="87">
        <v>0</v>
      </c>
      <c r="K169" s="87">
        <v>0</v>
      </c>
      <c r="L169" s="87">
        <v>0</v>
      </c>
      <c r="M169" s="87">
        <v>0</v>
      </c>
      <c r="N169" s="87">
        <v>0</v>
      </c>
      <c r="O169" s="87">
        <v>0</v>
      </c>
      <c r="P169" s="87">
        <v>0</v>
      </c>
      <c r="Q169" s="87">
        <v>0</v>
      </c>
      <c r="R169" s="87">
        <v>0</v>
      </c>
      <c r="S169" s="87">
        <v>0</v>
      </c>
      <c r="T169" s="87">
        <v>0</v>
      </c>
      <c r="U169" s="87">
        <v>0</v>
      </c>
      <c r="V169" s="701">
        <v>0</v>
      </c>
      <c r="W169" s="701">
        <v>0</v>
      </c>
      <c r="X169" s="52"/>
      <c r="Y169" s="52"/>
      <c r="Z169" s="52"/>
    </row>
    <row r="170" spans="1:26">
      <c r="A170" s="250" t="s">
        <v>115</v>
      </c>
      <c r="B170" s="88"/>
      <c r="C170" s="87"/>
      <c r="D170" s="87"/>
      <c r="E170" s="87">
        <v>5.1889000000000003</v>
      </c>
      <c r="F170" s="87">
        <v>3664.7887500000002</v>
      </c>
      <c r="G170" s="87">
        <v>3599</v>
      </c>
      <c r="H170" s="87">
        <v>4020</v>
      </c>
      <c r="I170" s="87">
        <v>3956</v>
      </c>
      <c r="J170" s="87">
        <v>4260</v>
      </c>
      <c r="K170" s="87">
        <v>437</v>
      </c>
      <c r="L170" s="87">
        <v>276</v>
      </c>
      <c r="M170" s="87">
        <v>293</v>
      </c>
      <c r="N170" s="87">
        <v>281</v>
      </c>
      <c r="O170" s="87">
        <v>281</v>
      </c>
      <c r="P170" s="87">
        <v>286</v>
      </c>
      <c r="Q170" s="87">
        <v>465</v>
      </c>
      <c r="R170" s="87">
        <v>582</v>
      </c>
      <c r="S170" s="87">
        <v>549</v>
      </c>
      <c r="T170" s="87">
        <v>725</v>
      </c>
      <c r="U170" s="87">
        <v>686</v>
      </c>
      <c r="V170" s="87">
        <v>669</v>
      </c>
      <c r="W170" s="87">
        <v>1172</v>
      </c>
      <c r="X170" s="52"/>
      <c r="Y170" s="52"/>
      <c r="Z170" s="52"/>
    </row>
    <row r="171" spans="1:26">
      <c r="A171" s="250" t="s">
        <v>116</v>
      </c>
      <c r="B171" s="88"/>
      <c r="C171" s="87">
        <v>180000</v>
      </c>
      <c r="D171" s="87">
        <v>180000</v>
      </c>
      <c r="E171" s="87">
        <v>179250</v>
      </c>
      <c r="F171" s="87">
        <v>177000</v>
      </c>
      <c r="G171" s="87">
        <v>174750</v>
      </c>
      <c r="H171" s="87">
        <v>172500</v>
      </c>
      <c r="I171" s="87">
        <v>170298</v>
      </c>
      <c r="J171" s="87">
        <v>168055</v>
      </c>
      <c r="K171" s="87">
        <v>165834</v>
      </c>
      <c r="L171" s="87">
        <v>163611</v>
      </c>
      <c r="M171" s="87">
        <v>161376</v>
      </c>
      <c r="N171" s="87">
        <v>159154</v>
      </c>
      <c r="O171" s="87">
        <v>156933</v>
      </c>
      <c r="P171" s="87">
        <v>154707</v>
      </c>
      <c r="Q171" s="87">
        <v>152487</v>
      </c>
      <c r="R171" s="87">
        <v>150270</v>
      </c>
      <c r="S171" s="87">
        <v>148986</v>
      </c>
      <c r="T171" s="87">
        <v>147296</v>
      </c>
      <c r="U171" s="87">
        <v>145778</v>
      </c>
      <c r="V171" s="87">
        <v>141780</v>
      </c>
      <c r="W171" s="87">
        <v>139138</v>
      </c>
      <c r="X171" s="52"/>
      <c r="Y171" s="52"/>
      <c r="Z171" s="52"/>
    </row>
    <row r="172" spans="1:26">
      <c r="A172" s="250" t="s">
        <v>117</v>
      </c>
      <c r="B172" s="88"/>
      <c r="C172" s="87">
        <v>0</v>
      </c>
      <c r="D172" s="87"/>
      <c r="E172" s="87">
        <v>10753.914000000001</v>
      </c>
      <c r="F172" s="87">
        <v>0</v>
      </c>
      <c r="G172" s="87">
        <v>0</v>
      </c>
      <c r="H172" s="87">
        <v>0</v>
      </c>
      <c r="I172" s="87">
        <v>0</v>
      </c>
      <c r="J172" s="87">
        <v>0</v>
      </c>
      <c r="K172" s="87">
        <v>0</v>
      </c>
      <c r="L172" s="87">
        <v>0</v>
      </c>
      <c r="M172" s="87">
        <v>0</v>
      </c>
      <c r="N172" s="87">
        <v>0</v>
      </c>
      <c r="O172" s="87">
        <v>0</v>
      </c>
      <c r="P172" s="87">
        <v>0</v>
      </c>
      <c r="Q172" s="87">
        <v>0</v>
      </c>
      <c r="R172" s="87">
        <v>0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52"/>
      <c r="Y172" s="52"/>
      <c r="Z172" s="52"/>
    </row>
    <row r="173" spans="1:26">
      <c r="A173" s="804" t="s">
        <v>17</v>
      </c>
      <c r="B173" s="633"/>
      <c r="C173" s="638">
        <v>227.41249999999999</v>
      </c>
      <c r="D173" s="638">
        <v>12279.772570000001</v>
      </c>
      <c r="E173" s="639">
        <v>91674.124399999986</v>
      </c>
      <c r="F173" s="639">
        <f>F174+F183</f>
        <v>156279.61033</v>
      </c>
      <c r="G173" s="639">
        <v>201422</v>
      </c>
      <c r="H173" s="639">
        <v>324571.57309999998</v>
      </c>
      <c r="I173" s="639">
        <v>520045</v>
      </c>
      <c r="J173" s="639">
        <v>655159</v>
      </c>
      <c r="K173" s="639">
        <v>874490</v>
      </c>
      <c r="L173" s="639">
        <v>1014630.701</v>
      </c>
      <c r="M173" s="639">
        <v>1289923</v>
      </c>
      <c r="N173" s="639">
        <v>1589918</v>
      </c>
      <c r="O173" s="639">
        <v>1877699</v>
      </c>
      <c r="P173" s="639">
        <v>1984444</v>
      </c>
      <c r="Q173" s="639">
        <v>2196318</v>
      </c>
      <c r="R173" s="639">
        <v>2424689</v>
      </c>
      <c r="S173" s="639">
        <v>2711526</v>
      </c>
      <c r="T173" s="639">
        <v>2897498</v>
      </c>
      <c r="U173" s="639">
        <v>3147778</v>
      </c>
      <c r="V173" s="639">
        <v>3419110</v>
      </c>
      <c r="W173" s="639">
        <v>3635513</v>
      </c>
      <c r="X173" s="52"/>
      <c r="Y173" s="52"/>
      <c r="Z173" s="52"/>
    </row>
    <row r="174" spans="1:26">
      <c r="A174" s="805" t="s">
        <v>51</v>
      </c>
      <c r="B174" s="64"/>
      <c r="C174" s="85">
        <v>227.41249999999999</v>
      </c>
      <c r="D174" s="85">
        <v>9368.94</v>
      </c>
      <c r="E174" s="80">
        <v>88763.700719999979</v>
      </c>
      <c r="F174" s="80">
        <f>SUM(F175:F182)</f>
        <v>153369.18664999999</v>
      </c>
      <c r="G174" s="80">
        <v>198962</v>
      </c>
      <c r="H174" s="80">
        <v>321715.57309999998</v>
      </c>
      <c r="I174" s="80">
        <v>517189</v>
      </c>
      <c r="J174" s="80">
        <v>652609</v>
      </c>
      <c r="K174" s="80">
        <v>872748</v>
      </c>
      <c r="L174" s="80">
        <v>1011632.469</v>
      </c>
      <c r="M174" s="80">
        <v>1288994</v>
      </c>
      <c r="N174" s="80">
        <v>1586049</v>
      </c>
      <c r="O174" s="80">
        <v>1876648</v>
      </c>
      <c r="P174" s="80">
        <v>1983370</v>
      </c>
      <c r="Q174" s="80">
        <v>2195946</v>
      </c>
      <c r="R174" s="80">
        <v>2424196</v>
      </c>
      <c r="S174" s="80">
        <f>SUM(S175:S182)</f>
        <v>2711023</v>
      </c>
      <c r="T174" s="80">
        <f>SUM(T175:T182)</f>
        <v>2896791</v>
      </c>
      <c r="U174" s="80">
        <f>SUM(U175:U182)</f>
        <v>3146970</v>
      </c>
      <c r="V174" s="80">
        <f>SUM(V175:V182)</f>
        <v>3411085</v>
      </c>
      <c r="W174" s="80">
        <f>SUM(W175:W182)</f>
        <v>3630108</v>
      </c>
      <c r="X174" s="52"/>
      <c r="Y174" s="52"/>
      <c r="Z174" s="52"/>
    </row>
    <row r="175" spans="1:26">
      <c r="A175" s="250" t="s">
        <v>118</v>
      </c>
      <c r="B175" s="88"/>
      <c r="C175" s="87">
        <v>215.17408</v>
      </c>
      <c r="D175" s="87">
        <v>571.70042000000001</v>
      </c>
      <c r="E175" s="87">
        <v>1365.0182500000003</v>
      </c>
      <c r="F175" s="654">
        <v>3837.6570000000002</v>
      </c>
      <c r="G175" s="87">
        <v>15026</v>
      </c>
      <c r="H175" s="654">
        <v>12243.6211</v>
      </c>
      <c r="I175" s="87">
        <v>19293</v>
      </c>
      <c r="J175" s="87">
        <v>54356</v>
      </c>
      <c r="K175" s="87">
        <v>80404</v>
      </c>
      <c r="L175" s="654">
        <v>18403.574000000001</v>
      </c>
      <c r="M175" s="87">
        <v>23572</v>
      </c>
      <c r="N175" s="87">
        <v>67987</v>
      </c>
      <c r="O175" s="87">
        <v>107469</v>
      </c>
      <c r="P175" s="87">
        <v>26914</v>
      </c>
      <c r="Q175" s="87">
        <v>34220</v>
      </c>
      <c r="R175" s="87">
        <v>45389</v>
      </c>
      <c r="S175" s="87">
        <v>91708</v>
      </c>
      <c r="T175" s="87">
        <v>33032</v>
      </c>
      <c r="U175" s="87">
        <v>41545</v>
      </c>
      <c r="V175" s="87">
        <v>37416</v>
      </c>
      <c r="W175" s="87">
        <v>53538</v>
      </c>
      <c r="X175" s="52"/>
      <c r="Y175" s="52"/>
      <c r="Z175" s="52"/>
    </row>
    <row r="176" spans="1:26">
      <c r="A176" s="250" t="s">
        <v>119</v>
      </c>
      <c r="B176" s="88"/>
      <c r="C176" s="87">
        <v>12.23842</v>
      </c>
      <c r="D176" s="87">
        <v>6.6130000000000004</v>
      </c>
      <c r="E176" s="87">
        <v>3846.3196799999996</v>
      </c>
      <c r="F176" s="87">
        <v>1534.0213100000001</v>
      </c>
      <c r="G176" s="87">
        <v>0</v>
      </c>
      <c r="H176" s="87">
        <v>0</v>
      </c>
      <c r="I176" s="87">
        <v>0</v>
      </c>
      <c r="J176" s="87">
        <v>0</v>
      </c>
      <c r="K176" s="87">
        <v>0</v>
      </c>
      <c r="L176" s="87">
        <v>0</v>
      </c>
      <c r="M176" s="87">
        <v>0</v>
      </c>
      <c r="N176" s="87">
        <v>0</v>
      </c>
      <c r="O176" s="87">
        <v>0</v>
      </c>
      <c r="P176" s="87">
        <v>0</v>
      </c>
      <c r="Q176" s="87">
        <v>0</v>
      </c>
      <c r="R176" s="87">
        <v>0</v>
      </c>
      <c r="S176" s="87">
        <v>0</v>
      </c>
      <c r="T176" s="87">
        <v>0</v>
      </c>
      <c r="U176" s="87">
        <v>0</v>
      </c>
      <c r="V176" s="87">
        <v>0</v>
      </c>
      <c r="W176" s="87">
        <v>0</v>
      </c>
      <c r="X176" s="52"/>
      <c r="Y176" s="52"/>
      <c r="Z176" s="52"/>
    </row>
    <row r="177" spans="1:26">
      <c r="A177" s="250" t="s">
        <v>120</v>
      </c>
      <c r="B177" s="88"/>
      <c r="C177" s="87"/>
      <c r="D177" s="87">
        <v>7958.2250000000004</v>
      </c>
      <c r="E177" s="87">
        <v>12322.59397</v>
      </c>
      <c r="F177" s="87">
        <v>7163.6347599999999</v>
      </c>
      <c r="G177" s="87">
        <v>0</v>
      </c>
      <c r="H177" s="87">
        <v>0</v>
      </c>
      <c r="I177" s="87">
        <v>0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87">
        <v>0</v>
      </c>
      <c r="R177" s="87">
        <v>0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52"/>
      <c r="Y177" s="52"/>
      <c r="Z177" s="52"/>
    </row>
    <row r="178" spans="1:26">
      <c r="A178" s="250" t="s">
        <v>121</v>
      </c>
      <c r="B178" s="88"/>
      <c r="C178" s="87"/>
      <c r="D178" s="87"/>
      <c r="E178" s="87">
        <v>2899.0420600000002</v>
      </c>
      <c r="F178" s="87">
        <v>2935.67787</v>
      </c>
      <c r="G178" s="87">
        <v>2430</v>
      </c>
      <c r="H178" s="87">
        <v>5887</v>
      </c>
      <c r="I178" s="87">
        <v>7464</v>
      </c>
      <c r="J178" s="87">
        <v>1014</v>
      </c>
      <c r="K178" s="87">
        <v>1597</v>
      </c>
      <c r="L178" s="87">
        <v>1452</v>
      </c>
      <c r="M178" s="87">
        <v>3022</v>
      </c>
      <c r="N178" s="87">
        <v>3063</v>
      </c>
      <c r="O178" s="87">
        <v>1999</v>
      </c>
      <c r="P178" s="87">
        <v>1765</v>
      </c>
      <c r="Q178" s="87">
        <v>1921</v>
      </c>
      <c r="R178" s="87">
        <v>1972</v>
      </c>
      <c r="S178" s="87">
        <v>2140</v>
      </c>
      <c r="T178" s="87">
        <v>2</v>
      </c>
      <c r="U178" s="87">
        <v>3549</v>
      </c>
      <c r="V178" s="87">
        <v>3975</v>
      </c>
      <c r="W178" s="87">
        <v>1169</v>
      </c>
      <c r="X178" s="52"/>
      <c r="Y178" s="52"/>
      <c r="Z178" s="52"/>
    </row>
    <row r="179" spans="1:26">
      <c r="A179" s="250" t="s">
        <v>122</v>
      </c>
      <c r="B179" s="88"/>
      <c r="C179" s="87"/>
      <c r="D179" s="87">
        <v>1.4</v>
      </c>
      <c r="E179" s="87">
        <v>0</v>
      </c>
      <c r="F179" s="87">
        <v>0</v>
      </c>
      <c r="G179" s="87">
        <v>0</v>
      </c>
      <c r="H179" s="87">
        <v>0</v>
      </c>
      <c r="I179" s="87">
        <v>0</v>
      </c>
      <c r="J179" s="87">
        <v>0</v>
      </c>
      <c r="K179" s="87">
        <v>0</v>
      </c>
      <c r="L179" s="87">
        <v>0</v>
      </c>
      <c r="M179" s="87">
        <v>0</v>
      </c>
      <c r="N179" s="87">
        <v>0</v>
      </c>
      <c r="O179" s="87">
        <v>0</v>
      </c>
      <c r="P179" s="87">
        <v>0</v>
      </c>
      <c r="Q179" s="87">
        <v>0</v>
      </c>
      <c r="R179" s="87">
        <v>0</v>
      </c>
      <c r="S179" s="87">
        <v>0</v>
      </c>
      <c r="T179" s="87">
        <v>0</v>
      </c>
      <c r="U179" s="87">
        <v>0</v>
      </c>
      <c r="V179" s="87">
        <v>0</v>
      </c>
      <c r="W179" s="87"/>
      <c r="X179" s="52"/>
      <c r="Y179" s="52"/>
      <c r="Z179" s="52"/>
    </row>
    <row r="180" spans="1:26">
      <c r="A180" s="250" t="s">
        <v>123</v>
      </c>
      <c r="B180" s="88"/>
      <c r="C180" s="87"/>
      <c r="D180" s="87">
        <v>0.40922000000000003</v>
      </c>
      <c r="E180" s="87">
        <v>67499.72606999999</v>
      </c>
      <c r="F180" s="87">
        <v>137898.19571</v>
      </c>
      <c r="G180" s="87">
        <v>180899.59700000001</v>
      </c>
      <c r="H180" s="87">
        <v>303130.31599999999</v>
      </c>
      <c r="I180" s="87">
        <v>490268.69099999999</v>
      </c>
      <c r="J180" s="87">
        <v>596034.25699999998</v>
      </c>
      <c r="K180" s="87">
        <v>785053.69200000004</v>
      </c>
      <c r="L180" s="87">
        <v>989192.32499999995</v>
      </c>
      <c r="M180" s="87">
        <v>1261930.51</v>
      </c>
      <c r="N180" s="87">
        <v>1514911.446</v>
      </c>
      <c r="O180" s="87">
        <v>1763545</v>
      </c>
      <c r="P180" s="87">
        <v>1954268</v>
      </c>
      <c r="Q180" s="87">
        <v>2158894</v>
      </c>
      <c r="R180" s="87">
        <v>2375925</v>
      </c>
      <c r="S180" s="87">
        <v>2616450</v>
      </c>
      <c r="T180" s="87">
        <v>2863263</v>
      </c>
      <c r="U180" s="87">
        <v>3101624</v>
      </c>
      <c r="V180" s="87">
        <v>3365952</v>
      </c>
      <c r="W180" s="87">
        <v>3572002</v>
      </c>
      <c r="X180" s="52"/>
      <c r="Y180" s="52"/>
      <c r="Z180" s="52"/>
    </row>
    <row r="181" spans="1:26">
      <c r="A181" s="250" t="s">
        <v>124</v>
      </c>
      <c r="B181" s="88"/>
      <c r="C181" s="87"/>
      <c r="D181" s="87">
        <v>831.00099999999998</v>
      </c>
      <c r="E181" s="87">
        <v>831.00069000000008</v>
      </c>
      <c r="F181" s="87">
        <v>0</v>
      </c>
      <c r="G181" s="87">
        <v>606.02</v>
      </c>
      <c r="H181" s="87">
        <v>454.63600000000002</v>
      </c>
      <c r="I181" s="87">
        <v>164.083</v>
      </c>
      <c r="J181" s="87">
        <v>215.809</v>
      </c>
      <c r="K181" s="87">
        <v>738.53399999999999</v>
      </c>
      <c r="L181" s="87">
        <v>566.69399999999996</v>
      </c>
      <c r="M181" s="87">
        <v>280.90499999999997</v>
      </c>
      <c r="N181" s="87">
        <v>71.147999999999996</v>
      </c>
      <c r="O181" s="87">
        <v>655</v>
      </c>
      <c r="P181" s="87">
        <v>517</v>
      </c>
      <c r="Q181" s="87">
        <v>898</v>
      </c>
      <c r="R181" s="87">
        <v>909</v>
      </c>
      <c r="S181" s="87">
        <v>718</v>
      </c>
      <c r="T181" s="87">
        <v>482</v>
      </c>
      <c r="U181" s="87">
        <v>242</v>
      </c>
      <c r="V181" s="87">
        <v>3737</v>
      </c>
      <c r="W181" s="87">
        <v>3304</v>
      </c>
      <c r="X181" s="52"/>
      <c r="Y181" s="52"/>
      <c r="Z181" s="52"/>
    </row>
    <row r="182" spans="1:26">
      <c r="A182" s="244" t="s">
        <v>82</v>
      </c>
      <c r="B182" s="88"/>
      <c r="C182" s="87"/>
      <c r="D182" s="87"/>
      <c r="E182" s="87"/>
      <c r="F182" s="87"/>
      <c r="G182" s="87"/>
      <c r="H182" s="87"/>
      <c r="I182" s="87"/>
      <c r="J182" s="87">
        <v>988</v>
      </c>
      <c r="K182" s="87">
        <v>4955</v>
      </c>
      <c r="L182" s="654">
        <v>2017.876</v>
      </c>
      <c r="M182" s="87">
        <v>8</v>
      </c>
      <c r="N182" s="87">
        <v>16</v>
      </c>
      <c r="O182" s="87">
        <v>2981</v>
      </c>
      <c r="P182" s="87">
        <v>-93</v>
      </c>
      <c r="Q182" s="87">
        <v>13</v>
      </c>
      <c r="R182" s="87">
        <v>1</v>
      </c>
      <c r="S182" s="87">
        <v>7</v>
      </c>
      <c r="T182" s="87">
        <v>12</v>
      </c>
      <c r="U182" s="87">
        <v>10</v>
      </c>
      <c r="V182" s="87">
        <v>5</v>
      </c>
      <c r="W182" s="87">
        <v>95</v>
      </c>
      <c r="X182" s="52"/>
      <c r="Y182" s="52"/>
      <c r="Z182" s="52"/>
    </row>
    <row r="183" spans="1:26">
      <c r="A183" s="805" t="s">
        <v>56</v>
      </c>
      <c r="B183" s="64"/>
      <c r="C183" s="85">
        <v>0</v>
      </c>
      <c r="D183" s="80">
        <v>2910.4236800000003</v>
      </c>
      <c r="E183" s="80">
        <v>2910.4236800000003</v>
      </c>
      <c r="F183" s="80">
        <v>2910.4236800000003</v>
      </c>
      <c r="G183" s="80">
        <v>2460</v>
      </c>
      <c r="H183" s="80">
        <v>2856</v>
      </c>
      <c r="I183" s="80">
        <v>2856</v>
      </c>
      <c r="J183" s="80">
        <v>2550</v>
      </c>
      <c r="K183" s="80">
        <v>1742</v>
      </c>
      <c r="L183" s="655">
        <v>2998.232</v>
      </c>
      <c r="M183" s="80">
        <v>929</v>
      </c>
      <c r="N183" s="80">
        <v>3869</v>
      </c>
      <c r="O183" s="80">
        <v>1051</v>
      </c>
      <c r="P183" s="80">
        <v>1074</v>
      </c>
      <c r="Q183" s="80">
        <v>372</v>
      </c>
      <c r="R183" s="80">
        <v>493</v>
      </c>
      <c r="S183" s="80">
        <f>S184</f>
        <v>503</v>
      </c>
      <c r="T183" s="80">
        <f>T184</f>
        <v>707</v>
      </c>
      <c r="U183" s="80">
        <f>U184</f>
        <v>808</v>
      </c>
      <c r="V183" s="80">
        <f>V184</f>
        <v>8025</v>
      </c>
      <c r="W183" s="80">
        <f>W184</f>
        <v>5405</v>
      </c>
      <c r="X183" s="52"/>
      <c r="Y183" s="52"/>
      <c r="Z183" s="52"/>
    </row>
    <row r="184" spans="1:26">
      <c r="A184" s="250" t="s">
        <v>125</v>
      </c>
      <c r="B184" s="88"/>
      <c r="C184" s="87"/>
      <c r="D184" s="87">
        <v>2910.4236800000003</v>
      </c>
      <c r="E184" s="87">
        <v>2910.4236800000003</v>
      </c>
      <c r="F184" s="87">
        <v>2910.4236800000003</v>
      </c>
      <c r="G184" s="87">
        <v>2460</v>
      </c>
      <c r="H184" s="87">
        <v>2856</v>
      </c>
      <c r="I184" s="87">
        <v>2856</v>
      </c>
      <c r="J184" s="87">
        <v>2550</v>
      </c>
      <c r="K184" s="87">
        <v>1742</v>
      </c>
      <c r="L184" s="654">
        <v>2998.232</v>
      </c>
      <c r="M184" s="87">
        <v>929</v>
      </c>
      <c r="N184" s="87">
        <v>3869</v>
      </c>
      <c r="O184" s="87">
        <v>1051</v>
      </c>
      <c r="P184" s="87">
        <v>1074</v>
      </c>
      <c r="Q184" s="87">
        <v>372</v>
      </c>
      <c r="R184" s="87">
        <v>493</v>
      </c>
      <c r="S184" s="87">
        <v>503</v>
      </c>
      <c r="T184" s="87">
        <v>707</v>
      </c>
      <c r="U184" s="87">
        <v>808</v>
      </c>
      <c r="V184" s="87">
        <v>8025</v>
      </c>
      <c r="W184" s="87">
        <v>5405</v>
      </c>
      <c r="X184" s="52"/>
      <c r="Y184" s="52"/>
      <c r="Z184" s="52"/>
    </row>
    <row r="185" spans="1:26">
      <c r="A185" s="804" t="s">
        <v>25</v>
      </c>
      <c r="B185" s="633"/>
      <c r="C185" s="638">
        <v>254722.05106999999</v>
      </c>
      <c r="D185" s="638">
        <v>253784.31156</v>
      </c>
      <c r="E185" s="639">
        <v>257298.37226999993</v>
      </c>
      <c r="F185" s="655">
        <v>257868.86916</v>
      </c>
      <c r="G185" s="639">
        <v>273355</v>
      </c>
      <c r="H185" s="655">
        <v>292045</v>
      </c>
      <c r="I185" s="639">
        <v>326223</v>
      </c>
      <c r="J185" s="639">
        <v>284496</v>
      </c>
      <c r="K185" s="639">
        <v>304362</v>
      </c>
      <c r="L185" s="655">
        <v>340491.38900000002</v>
      </c>
      <c r="M185" s="639">
        <v>305100</v>
      </c>
      <c r="N185" s="639">
        <v>312402</v>
      </c>
      <c r="O185" s="639">
        <v>313508</v>
      </c>
      <c r="P185" s="639">
        <v>350396</v>
      </c>
      <c r="Q185" s="639">
        <v>300914</v>
      </c>
      <c r="R185" s="639">
        <v>274455</v>
      </c>
      <c r="S185" s="639">
        <v>290538</v>
      </c>
      <c r="T185" s="639">
        <v>364497</v>
      </c>
      <c r="U185" s="639">
        <v>357249</v>
      </c>
      <c r="V185" s="639">
        <v>367747</v>
      </c>
      <c r="W185" s="639">
        <v>453198</v>
      </c>
      <c r="X185" s="52"/>
      <c r="Y185" s="52"/>
      <c r="Z185" s="52"/>
    </row>
    <row r="186" spans="1:26">
      <c r="A186" s="820"/>
      <c r="B186" s="92"/>
      <c r="C186" s="107"/>
      <c r="D186" s="107"/>
      <c r="E186" s="107"/>
      <c r="F186" s="656"/>
      <c r="G186" s="107"/>
      <c r="H186" s="656"/>
      <c r="I186" s="107"/>
      <c r="J186" s="107"/>
      <c r="K186" s="107"/>
      <c r="L186" s="656"/>
      <c r="M186" s="107"/>
      <c r="N186" s="107"/>
      <c r="O186" s="52"/>
      <c r="P186" s="52"/>
      <c r="Q186" s="52"/>
      <c r="R186" s="52"/>
      <c r="S186" s="52"/>
      <c r="T186" s="52"/>
      <c r="U186" s="52"/>
      <c r="V186" s="52"/>
      <c r="W186" s="52"/>
    </row>
    <row r="187" spans="1:26">
      <c r="A187" s="821"/>
      <c r="B187" s="93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</row>
    <row r="188" spans="1:26" ht="23.25">
      <c r="A188" s="802" t="s">
        <v>126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</row>
    <row r="189" spans="1:26" ht="10.35" customHeight="1">
      <c r="B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26" ht="25.35" customHeight="1">
      <c r="A190" s="803" t="s">
        <v>127</v>
      </c>
      <c r="B190" s="643"/>
      <c r="C190" s="643">
        <v>44286</v>
      </c>
      <c r="D190" s="643">
        <v>44377</v>
      </c>
      <c r="E190" s="643">
        <v>44469</v>
      </c>
      <c r="F190" s="643">
        <v>44561</v>
      </c>
      <c r="G190" s="643">
        <v>44621</v>
      </c>
      <c r="H190" s="643">
        <v>44713</v>
      </c>
      <c r="I190" s="643">
        <v>44805</v>
      </c>
      <c r="J190" s="643">
        <v>44896</v>
      </c>
      <c r="K190" s="643">
        <v>44986</v>
      </c>
      <c r="L190" s="643">
        <v>45078</v>
      </c>
      <c r="M190" s="643">
        <v>45170</v>
      </c>
      <c r="N190" s="643">
        <v>45261</v>
      </c>
      <c r="O190" s="643">
        <v>45352</v>
      </c>
      <c r="P190" s="643">
        <v>45444</v>
      </c>
      <c r="Q190" s="643">
        <v>45537</v>
      </c>
      <c r="R190" s="643">
        <v>45627</v>
      </c>
      <c r="S190" s="643">
        <v>45717</v>
      </c>
      <c r="T190" s="643">
        <v>45809</v>
      </c>
      <c r="U190" s="643">
        <v>45901</v>
      </c>
      <c r="V190" s="748">
        <v>45992</v>
      </c>
      <c r="W190" s="749">
        <v>46082</v>
      </c>
    </row>
    <row r="191" spans="1:26">
      <c r="A191" s="804" t="s">
        <v>5</v>
      </c>
      <c r="B191" s="633"/>
      <c r="C191" s="638">
        <v>376866.49096000002</v>
      </c>
      <c r="D191" s="638">
        <v>375403.49099999998</v>
      </c>
      <c r="E191" s="639">
        <v>374263.20129999996</v>
      </c>
      <c r="F191" s="639">
        <v>373316.79479000001</v>
      </c>
      <c r="G191" s="639">
        <v>370136</v>
      </c>
      <c r="H191" s="639">
        <v>361671</v>
      </c>
      <c r="I191" s="639">
        <v>474969</v>
      </c>
      <c r="J191" s="639">
        <v>588437</v>
      </c>
      <c r="K191" s="639">
        <v>610405</v>
      </c>
      <c r="L191" s="639">
        <v>664226</v>
      </c>
      <c r="M191" s="639">
        <v>724993</v>
      </c>
      <c r="N191" s="639">
        <v>834676</v>
      </c>
      <c r="O191" s="639">
        <v>889029</v>
      </c>
      <c r="P191" s="639">
        <v>910843</v>
      </c>
      <c r="Q191" s="639">
        <v>1021100</v>
      </c>
      <c r="R191" s="639">
        <v>1066680</v>
      </c>
      <c r="S191" s="639">
        <f>S192+S198</f>
        <v>1169657</v>
      </c>
      <c r="T191" s="639">
        <f>T192+T198</f>
        <v>1269848</v>
      </c>
      <c r="U191" s="639">
        <f>U192+U198</f>
        <v>1393962</v>
      </c>
      <c r="V191" s="639">
        <f>V192+V198</f>
        <v>1480272</v>
      </c>
      <c r="W191" s="639">
        <f>W192+W198</f>
        <v>1577889</v>
      </c>
      <c r="X191" s="52"/>
      <c r="Y191" s="52"/>
      <c r="Z191" s="52"/>
    </row>
    <row r="192" spans="1:26">
      <c r="A192" s="805" t="s">
        <v>40</v>
      </c>
      <c r="B192" s="64"/>
      <c r="C192" s="85">
        <v>126866.49096000001</v>
      </c>
      <c r="D192" s="85">
        <v>128528.49100999998</v>
      </c>
      <c r="E192" s="80">
        <v>86017.492149999962</v>
      </c>
      <c r="F192" s="80">
        <v>83207.594750000004</v>
      </c>
      <c r="G192" s="80">
        <v>72600</v>
      </c>
      <c r="H192" s="80">
        <v>50340</v>
      </c>
      <c r="I192" s="80">
        <v>89869</v>
      </c>
      <c r="J192" s="80">
        <v>139814</v>
      </c>
      <c r="K192" s="80">
        <v>131979</v>
      </c>
      <c r="L192" s="80">
        <v>164211</v>
      </c>
      <c r="M192" s="80">
        <v>186232</v>
      </c>
      <c r="N192" s="80">
        <v>263844</v>
      </c>
      <c r="O192" s="80">
        <v>294310</v>
      </c>
      <c r="P192" s="80">
        <v>294631</v>
      </c>
      <c r="Q192" s="80">
        <v>365741</v>
      </c>
      <c r="R192" s="80">
        <v>363104</v>
      </c>
      <c r="S192" s="80">
        <f>SUM(S193:S197)</f>
        <v>393951</v>
      </c>
      <c r="T192" s="80">
        <f>SUM(T193:T197)</f>
        <v>422653</v>
      </c>
      <c r="U192" s="80">
        <f>SUM(U193:U197)</f>
        <v>467491</v>
      </c>
      <c r="V192" s="80">
        <f>SUM(V193:V197)</f>
        <v>446981</v>
      </c>
      <c r="W192" s="80">
        <f>SUM(W193:W197)</f>
        <v>478884</v>
      </c>
      <c r="X192" s="52"/>
      <c r="Y192" s="52"/>
      <c r="Z192" s="52"/>
    </row>
    <row r="193" spans="1:26">
      <c r="A193" s="822" t="s">
        <v>128</v>
      </c>
      <c r="B193" s="96"/>
      <c r="C193" s="95">
        <v>47000.990960000003</v>
      </c>
      <c r="D193" s="95">
        <v>786.84081000000003</v>
      </c>
      <c r="E193" s="95">
        <v>409.96343999999539</v>
      </c>
      <c r="F193" s="95">
        <v>209.45742000000001</v>
      </c>
      <c r="G193" s="95">
        <v>127</v>
      </c>
      <c r="H193" s="95">
        <v>147</v>
      </c>
      <c r="I193" s="95">
        <v>157</v>
      </c>
      <c r="J193" s="95">
        <v>45</v>
      </c>
      <c r="K193" s="95">
        <v>99</v>
      </c>
      <c r="L193" s="95">
        <v>140</v>
      </c>
      <c r="M193" s="95">
        <v>169</v>
      </c>
      <c r="N193" s="95">
        <v>10075</v>
      </c>
      <c r="O193" s="95">
        <v>179</v>
      </c>
      <c r="P193" s="95">
        <v>434</v>
      </c>
      <c r="Q193" s="95">
        <v>203</v>
      </c>
      <c r="R193" s="95">
        <v>2007</v>
      </c>
      <c r="S193" s="95">
        <v>-281</v>
      </c>
      <c r="T193" s="95">
        <v>165</v>
      </c>
      <c r="U193" s="95">
        <v>152</v>
      </c>
      <c r="V193" s="95">
        <v>1395</v>
      </c>
      <c r="W193" s="95">
        <v>320</v>
      </c>
      <c r="X193" s="52"/>
      <c r="Y193" s="52"/>
      <c r="Z193" s="52"/>
    </row>
    <row r="194" spans="1:26">
      <c r="A194" s="822" t="s">
        <v>129</v>
      </c>
      <c r="B194" s="96"/>
      <c r="C194" s="95">
        <v>79865.5</v>
      </c>
      <c r="D194" s="95">
        <v>126584.21057</v>
      </c>
      <c r="E194" s="95">
        <v>85015.538750000007</v>
      </c>
      <c r="F194" s="95">
        <v>80495.323080000002</v>
      </c>
      <c r="G194" s="95">
        <v>67393</v>
      </c>
      <c r="H194" s="95">
        <v>42140</v>
      </c>
      <c r="I194" s="95">
        <v>71934</v>
      </c>
      <c r="J194" s="95">
        <v>105575</v>
      </c>
      <c r="K194" s="95">
        <v>92633</v>
      </c>
      <c r="L194" s="95">
        <v>120232</v>
      </c>
      <c r="M194" s="95">
        <v>135554</v>
      </c>
      <c r="N194" s="95">
        <v>197482</v>
      </c>
      <c r="O194" s="95">
        <v>233777</v>
      </c>
      <c r="P194" s="95">
        <v>229197</v>
      </c>
      <c r="Q194" s="95">
        <v>294996</v>
      </c>
      <c r="R194" s="95">
        <v>276824</v>
      </c>
      <c r="S194" s="95">
        <v>301486</v>
      </c>
      <c r="T194" s="95">
        <v>323854</v>
      </c>
      <c r="U194" s="95">
        <v>361834</v>
      </c>
      <c r="V194" s="95">
        <v>332579</v>
      </c>
      <c r="W194" s="95">
        <v>358153</v>
      </c>
      <c r="X194" s="52"/>
      <c r="Y194" s="52"/>
      <c r="Z194" s="52"/>
    </row>
    <row r="195" spans="1:26">
      <c r="A195" s="822" t="s">
        <v>130</v>
      </c>
      <c r="B195" s="96"/>
      <c r="C195" s="95">
        <v>0</v>
      </c>
      <c r="D195" s="95">
        <v>971.90041000000008</v>
      </c>
      <c r="E195" s="95">
        <v>483.75878999999998</v>
      </c>
      <c r="F195" s="95">
        <v>2440.9679100000003</v>
      </c>
      <c r="G195" s="95">
        <v>5036</v>
      </c>
      <c r="H195" s="95">
        <v>8053</v>
      </c>
      <c r="I195" s="95">
        <v>7137</v>
      </c>
      <c r="J195" s="95">
        <v>17564</v>
      </c>
      <c r="K195" s="95">
        <v>19397</v>
      </c>
      <c r="L195" s="95">
        <v>21361</v>
      </c>
      <c r="M195" s="95">
        <v>23964</v>
      </c>
      <c r="N195" s="95">
        <v>27904</v>
      </c>
      <c r="O195" s="95">
        <v>29279</v>
      </c>
      <c r="P195" s="95">
        <v>31353</v>
      </c>
      <c r="Q195" s="95">
        <v>32557</v>
      </c>
      <c r="R195" s="95">
        <v>34830</v>
      </c>
      <c r="S195" s="95">
        <v>38079</v>
      </c>
      <c r="T195" s="95">
        <v>38049</v>
      </c>
      <c r="U195" s="95">
        <v>35831</v>
      </c>
      <c r="V195" s="95">
        <v>34990</v>
      </c>
      <c r="W195" s="95">
        <v>32498</v>
      </c>
      <c r="X195" s="52"/>
      <c r="Y195" s="52"/>
      <c r="Z195" s="52"/>
    </row>
    <row r="196" spans="1:26">
      <c r="A196" s="822" t="s">
        <v>67</v>
      </c>
      <c r="B196" s="96"/>
      <c r="C196" s="95">
        <v>0</v>
      </c>
      <c r="D196" s="95">
        <v>185.53921999999881</v>
      </c>
      <c r="E196" s="95">
        <v>108.23116999995709</v>
      </c>
      <c r="F196" s="95">
        <v>61.846340000003579</v>
      </c>
      <c r="G196" s="95">
        <v>44</v>
      </c>
      <c r="H196" s="95">
        <v>0</v>
      </c>
      <c r="I196" s="95">
        <v>10641</v>
      </c>
      <c r="J196" s="95">
        <v>16630</v>
      </c>
      <c r="K196" s="95">
        <v>19850</v>
      </c>
      <c r="L196" s="95">
        <v>22478</v>
      </c>
      <c r="M196" s="95">
        <v>26545</v>
      </c>
      <c r="N196" s="95">
        <v>28383</v>
      </c>
      <c r="O196" s="95">
        <v>31075</v>
      </c>
      <c r="P196" s="95">
        <v>33647</v>
      </c>
      <c r="Q196" s="95">
        <v>37985</v>
      </c>
      <c r="R196" s="95">
        <v>49442</v>
      </c>
      <c r="S196" s="95">
        <v>54669</v>
      </c>
      <c r="T196" s="95">
        <v>60585</v>
      </c>
      <c r="U196" s="95">
        <v>69674</v>
      </c>
      <c r="V196" s="95">
        <v>78016</v>
      </c>
      <c r="W196" s="95">
        <v>87913</v>
      </c>
      <c r="X196" s="52"/>
      <c r="Y196" s="52"/>
      <c r="Z196" s="52"/>
    </row>
    <row r="197" spans="1:26">
      <c r="A197" s="822" t="s">
        <v>131</v>
      </c>
      <c r="B197" s="96"/>
      <c r="C197" s="95"/>
      <c r="D197" s="95"/>
      <c r="E197" s="95"/>
      <c r="F197" s="95"/>
      <c r="G197" s="95"/>
      <c r="H197" s="95"/>
      <c r="I197" s="95"/>
      <c r="J197" s="95"/>
      <c r="K197" s="95">
        <v>-1</v>
      </c>
      <c r="L197" s="95">
        <v>0</v>
      </c>
      <c r="M197" s="95">
        <v>0</v>
      </c>
      <c r="N197" s="95">
        <v>1</v>
      </c>
      <c r="O197" s="95">
        <v>-2</v>
      </c>
      <c r="P197" s="95">
        <v>-1</v>
      </c>
      <c r="Q197" s="95">
        <v>0</v>
      </c>
      <c r="R197" s="95">
        <v>1</v>
      </c>
      <c r="S197" s="95">
        <v>-2</v>
      </c>
      <c r="T197" s="95">
        <v>0</v>
      </c>
      <c r="U197" s="95">
        <v>0</v>
      </c>
      <c r="V197" s="95">
        <v>1</v>
      </c>
      <c r="W197" s="95">
        <v>0</v>
      </c>
      <c r="X197" s="52"/>
      <c r="Y197" s="52"/>
      <c r="Z197" s="52"/>
    </row>
    <row r="198" spans="1:26">
      <c r="A198" s="805" t="s">
        <v>47</v>
      </c>
      <c r="B198" s="64"/>
      <c r="C198" s="85">
        <v>250000</v>
      </c>
      <c r="D198" s="85">
        <v>246874.99999000001</v>
      </c>
      <c r="E198" s="80">
        <v>288245.70915000001</v>
      </c>
      <c r="F198" s="80">
        <v>290110</v>
      </c>
      <c r="G198" s="80">
        <v>297536</v>
      </c>
      <c r="H198" s="80">
        <v>311331</v>
      </c>
      <c r="I198" s="80">
        <v>385100</v>
      </c>
      <c r="J198" s="80">
        <v>448623</v>
      </c>
      <c r="K198" s="80">
        <v>478426</v>
      </c>
      <c r="L198" s="80">
        <v>500015</v>
      </c>
      <c r="M198" s="80">
        <v>538761</v>
      </c>
      <c r="N198" s="80">
        <v>570831</v>
      </c>
      <c r="O198" s="80">
        <v>594719</v>
      </c>
      <c r="P198" s="80">
        <v>616212</v>
      </c>
      <c r="Q198" s="80">
        <v>655359</v>
      </c>
      <c r="R198" s="80">
        <v>703576</v>
      </c>
      <c r="S198" s="80">
        <f>SUM(S199:S203)</f>
        <v>775706</v>
      </c>
      <c r="T198" s="80">
        <f>SUM(T199:T203)</f>
        <v>847195</v>
      </c>
      <c r="U198" s="80">
        <f>SUM(U199:U203)</f>
        <v>926471</v>
      </c>
      <c r="V198" s="80">
        <v>1033291</v>
      </c>
      <c r="W198" s="80">
        <f>SUM(W199:W203)</f>
        <v>1099005</v>
      </c>
      <c r="X198" s="52"/>
      <c r="Y198" s="52"/>
      <c r="Z198" s="52"/>
    </row>
    <row r="199" spans="1:26">
      <c r="A199" s="822" t="s">
        <v>129</v>
      </c>
      <c r="B199" s="96"/>
      <c r="C199" s="95">
        <v>0</v>
      </c>
      <c r="D199" s="95">
        <v>0</v>
      </c>
      <c r="E199" s="95">
        <v>42538.820849999996</v>
      </c>
      <c r="F199" s="95">
        <v>42453.164250000002</v>
      </c>
      <c r="G199" s="95">
        <v>43025</v>
      </c>
      <c r="H199" s="95">
        <v>43689</v>
      </c>
      <c r="I199" s="95">
        <v>0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95">
        <v>0</v>
      </c>
      <c r="T199" s="95">
        <v>0</v>
      </c>
      <c r="U199" s="95">
        <v>0</v>
      </c>
      <c r="V199" s="95">
        <v>0</v>
      </c>
      <c r="W199" s="95">
        <v>0</v>
      </c>
      <c r="X199" s="52"/>
      <c r="Y199" s="52"/>
      <c r="Z199" s="52"/>
    </row>
    <row r="200" spans="1:26">
      <c r="A200" s="822" t="s">
        <v>130</v>
      </c>
      <c r="B200" s="96"/>
      <c r="C200" s="95">
        <v>0</v>
      </c>
      <c r="D200" s="95">
        <v>0</v>
      </c>
      <c r="E200" s="95">
        <v>1956.88832</v>
      </c>
      <c r="F200" s="95">
        <v>6955.8520200000003</v>
      </c>
      <c r="G200" s="95">
        <v>16460</v>
      </c>
      <c r="H200" s="95">
        <v>31556</v>
      </c>
      <c r="I200" s="95">
        <v>40720</v>
      </c>
      <c r="J200" s="95">
        <v>48250</v>
      </c>
      <c r="K200" s="95">
        <v>49004</v>
      </c>
      <c r="L200" s="95">
        <v>49161</v>
      </c>
      <c r="M200" s="95">
        <v>50815</v>
      </c>
      <c r="N200" s="95">
        <v>49536</v>
      </c>
      <c r="O200" s="95">
        <v>47111</v>
      </c>
      <c r="P200" s="95">
        <v>42294</v>
      </c>
      <c r="Q200" s="95">
        <v>37154</v>
      </c>
      <c r="R200" s="95">
        <v>34326</v>
      </c>
      <c r="S200" s="95">
        <v>36206</v>
      </c>
      <c r="T200" s="95">
        <v>47225</v>
      </c>
      <c r="U200" s="95">
        <v>55387</v>
      </c>
      <c r="V200" s="95">
        <v>80356</v>
      </c>
      <c r="W200" s="95">
        <v>87922</v>
      </c>
      <c r="X200" s="52"/>
      <c r="Y200" s="52"/>
      <c r="Z200" s="52"/>
    </row>
    <row r="201" spans="1:26">
      <c r="A201" s="823" t="s">
        <v>68</v>
      </c>
      <c r="B201" s="96"/>
      <c r="C201" s="95">
        <v>0</v>
      </c>
      <c r="D201" s="95">
        <v>0</v>
      </c>
      <c r="E201" s="95">
        <v>0</v>
      </c>
      <c r="F201" s="95">
        <v>0</v>
      </c>
      <c r="G201" s="95"/>
      <c r="H201" s="95"/>
      <c r="I201" s="95">
        <v>111302</v>
      </c>
      <c r="J201" s="95">
        <v>170273</v>
      </c>
      <c r="K201" s="95">
        <v>202296</v>
      </c>
      <c r="L201" s="95">
        <v>226933</v>
      </c>
      <c r="M201" s="95">
        <v>267045</v>
      </c>
      <c r="N201" s="95">
        <v>301755</v>
      </c>
      <c r="O201" s="95">
        <v>330483</v>
      </c>
      <c r="P201" s="95">
        <v>355165</v>
      </c>
      <c r="Q201" s="95">
        <v>397417</v>
      </c>
      <c r="R201" s="95">
        <v>448746</v>
      </c>
      <c r="S201" s="95">
        <v>520735</v>
      </c>
      <c r="T201" s="95">
        <v>583343</v>
      </c>
      <c r="U201" s="95">
        <v>655034</v>
      </c>
      <c r="V201" s="95">
        <v>731014</v>
      </c>
      <c r="W201" s="95">
        <v>788967</v>
      </c>
      <c r="X201" s="52"/>
      <c r="Y201" s="52"/>
      <c r="Z201" s="52"/>
    </row>
    <row r="202" spans="1:26">
      <c r="A202" s="823" t="s">
        <v>78</v>
      </c>
      <c r="B202" s="96"/>
      <c r="C202" s="95">
        <v>250000</v>
      </c>
      <c r="D202" s="95">
        <v>246874.99999000001</v>
      </c>
      <c r="E202" s="95">
        <v>243749.99997999999</v>
      </c>
      <c r="F202" s="95">
        <v>240624.99997</v>
      </c>
      <c r="G202" s="95">
        <v>237500</v>
      </c>
      <c r="H202" s="95">
        <v>234375</v>
      </c>
      <c r="I202" s="95">
        <v>231437</v>
      </c>
      <c r="J202" s="95">
        <v>228520</v>
      </c>
      <c r="K202" s="95">
        <v>225500</v>
      </c>
      <c r="L202" s="95">
        <v>222375</v>
      </c>
      <c r="M202" s="95">
        <v>219250</v>
      </c>
      <c r="N202" s="95">
        <v>217931</v>
      </c>
      <c r="O202" s="95">
        <v>215642</v>
      </c>
      <c r="P202" s="95">
        <v>214618</v>
      </c>
      <c r="Q202" s="95">
        <v>213691</v>
      </c>
      <c r="R202" s="95">
        <v>212678</v>
      </c>
      <c r="S202" s="95">
        <v>211295</v>
      </c>
      <c r="T202" s="95">
        <v>209496</v>
      </c>
      <c r="U202" s="95">
        <v>208855</v>
      </c>
      <c r="V202" s="95">
        <v>212086</v>
      </c>
      <c r="W202" s="95">
        <v>212597</v>
      </c>
      <c r="X202" s="52"/>
      <c r="Y202" s="52"/>
      <c r="Z202" s="52"/>
    </row>
    <row r="203" spans="1:26">
      <c r="A203" s="823" t="s">
        <v>77</v>
      </c>
      <c r="B203" s="96"/>
      <c r="C203" s="95"/>
      <c r="D203" s="95"/>
      <c r="E203" s="95"/>
      <c r="F203" s="95">
        <v>76</v>
      </c>
      <c r="G203" s="95">
        <v>551</v>
      </c>
      <c r="H203" s="95">
        <v>1711</v>
      </c>
      <c r="I203" s="95">
        <v>1641</v>
      </c>
      <c r="J203" s="95">
        <v>1580</v>
      </c>
      <c r="K203" s="95">
        <v>1626</v>
      </c>
      <c r="L203" s="95">
        <v>1546</v>
      </c>
      <c r="M203" s="95">
        <v>1651</v>
      </c>
      <c r="N203" s="95">
        <v>1609</v>
      </c>
      <c r="O203" s="95">
        <v>1483</v>
      </c>
      <c r="P203" s="95">
        <v>4135</v>
      </c>
      <c r="Q203" s="95">
        <v>7097</v>
      </c>
      <c r="R203" s="95">
        <v>7826</v>
      </c>
      <c r="S203" s="95">
        <v>7470</v>
      </c>
      <c r="T203" s="95">
        <v>7131</v>
      </c>
      <c r="U203" s="95">
        <v>7195</v>
      </c>
      <c r="V203" s="95">
        <v>9835</v>
      </c>
      <c r="W203" s="95">
        <v>9519</v>
      </c>
      <c r="X203" s="52"/>
      <c r="Y203" s="52"/>
      <c r="Z203" s="52"/>
    </row>
    <row r="204" spans="1:26" ht="14.25" customHeight="1">
      <c r="A204" s="804" t="s">
        <v>17</v>
      </c>
      <c r="B204" s="633"/>
      <c r="C204" s="638">
        <v>0</v>
      </c>
      <c r="D204" s="638">
        <v>18.593060000000001</v>
      </c>
      <c r="E204" s="639">
        <v>1209.04774</v>
      </c>
      <c r="F204" s="639">
        <v>9960.9214800000009</v>
      </c>
      <c r="G204" s="639">
        <v>25294</v>
      </c>
      <c r="H204" s="639">
        <v>46426</v>
      </c>
      <c r="I204" s="639">
        <v>108269</v>
      </c>
      <c r="J204" s="639">
        <v>135202</v>
      </c>
      <c r="K204" s="639">
        <v>138237</v>
      </c>
      <c r="L204" s="639">
        <v>166870</v>
      </c>
      <c r="M204" s="639">
        <v>194338</v>
      </c>
      <c r="N204" s="639">
        <v>333046</v>
      </c>
      <c r="O204" s="639">
        <v>338994</v>
      </c>
      <c r="P204" s="639">
        <v>304914</v>
      </c>
      <c r="Q204" s="639">
        <v>345705</v>
      </c>
      <c r="R204" s="639">
        <v>499698</v>
      </c>
      <c r="S204" s="639">
        <f>S205+S207</f>
        <v>531088</v>
      </c>
      <c r="T204" s="639">
        <f>T205+T207</f>
        <v>534550</v>
      </c>
      <c r="U204" s="639">
        <f>U205+U207</f>
        <v>629517</v>
      </c>
      <c r="V204" s="639">
        <f>V205+V207</f>
        <v>813400</v>
      </c>
      <c r="W204" s="639">
        <f>W205+W207</f>
        <v>846339</v>
      </c>
      <c r="X204" s="52"/>
      <c r="Y204" s="52"/>
      <c r="Z204" s="52"/>
    </row>
    <row r="205" spans="1:26">
      <c r="A205" s="824" t="s">
        <v>51</v>
      </c>
      <c r="B205" s="289"/>
      <c r="C205" s="290">
        <v>0</v>
      </c>
      <c r="D205" s="290">
        <v>18.593060000000001</v>
      </c>
      <c r="E205" s="291">
        <v>1209.04774</v>
      </c>
      <c r="F205" s="291">
        <v>9960.9214800000009</v>
      </c>
      <c r="G205" s="291">
        <v>25294</v>
      </c>
      <c r="H205" s="291">
        <v>46426</v>
      </c>
      <c r="I205" s="291">
        <v>66026</v>
      </c>
      <c r="J205" s="291">
        <v>65340</v>
      </c>
      <c r="K205" s="291">
        <v>49174</v>
      </c>
      <c r="L205" s="291">
        <v>57941</v>
      </c>
      <c r="M205" s="291">
        <v>57376</v>
      </c>
      <c r="N205" s="291">
        <v>165821</v>
      </c>
      <c r="O205" s="291">
        <v>142423</v>
      </c>
      <c r="P205" s="291">
        <v>83537</v>
      </c>
      <c r="Q205" s="291">
        <v>86236</v>
      </c>
      <c r="R205" s="291">
        <v>199304</v>
      </c>
      <c r="S205" s="291">
        <f>S206</f>
        <v>174701</v>
      </c>
      <c r="T205" s="291">
        <f>T206</f>
        <v>119802</v>
      </c>
      <c r="U205" s="291">
        <f>U206</f>
        <v>150797</v>
      </c>
      <c r="V205" s="291">
        <f>V206</f>
        <v>261000</v>
      </c>
      <c r="W205" s="291">
        <f>W206</f>
        <v>227346</v>
      </c>
      <c r="X205" s="52"/>
      <c r="Y205" s="52"/>
      <c r="Z205" s="52"/>
    </row>
    <row r="206" spans="1:26">
      <c r="A206" s="823" t="s">
        <v>132</v>
      </c>
      <c r="B206" s="640"/>
      <c r="C206" s="95">
        <v>0</v>
      </c>
      <c r="D206" s="95">
        <v>18.593060000000001</v>
      </c>
      <c r="E206" s="95">
        <v>1209.04774</v>
      </c>
      <c r="F206" s="95">
        <v>9960.9214800000009</v>
      </c>
      <c r="G206" s="95">
        <v>25294</v>
      </c>
      <c r="H206" s="95">
        <v>46426</v>
      </c>
      <c r="I206" s="95">
        <v>66026</v>
      </c>
      <c r="J206" s="95">
        <v>65340</v>
      </c>
      <c r="K206" s="95">
        <v>49174</v>
      </c>
      <c r="L206" s="95">
        <v>57941</v>
      </c>
      <c r="M206" s="95">
        <v>57376</v>
      </c>
      <c r="N206" s="95">
        <v>165821</v>
      </c>
      <c r="O206" s="95">
        <v>142423</v>
      </c>
      <c r="P206" s="95">
        <v>83537</v>
      </c>
      <c r="Q206" s="95">
        <v>86236</v>
      </c>
      <c r="R206" s="95">
        <v>199304</v>
      </c>
      <c r="S206" s="95">
        <v>174701</v>
      </c>
      <c r="T206" s="95">
        <v>119802</v>
      </c>
      <c r="U206" s="95">
        <v>150797</v>
      </c>
      <c r="V206" s="95">
        <v>261000</v>
      </c>
      <c r="W206" s="95">
        <v>227346</v>
      </c>
      <c r="X206" s="52"/>
      <c r="Y206" s="52"/>
      <c r="Z206" s="52"/>
    </row>
    <row r="207" spans="1:26">
      <c r="A207" s="825" t="s">
        <v>56</v>
      </c>
      <c r="B207" s="606"/>
      <c r="C207" s="291">
        <v>0</v>
      </c>
      <c r="D207" s="291">
        <v>0</v>
      </c>
      <c r="E207" s="291">
        <v>0</v>
      </c>
      <c r="F207" s="291">
        <v>0</v>
      </c>
      <c r="G207" s="291">
        <v>0</v>
      </c>
      <c r="H207" s="291">
        <v>0</v>
      </c>
      <c r="I207" s="291">
        <v>42243</v>
      </c>
      <c r="J207" s="291">
        <v>69862</v>
      </c>
      <c r="K207" s="291">
        <v>89063</v>
      </c>
      <c r="L207" s="291">
        <v>108929</v>
      </c>
      <c r="M207" s="291">
        <v>136962</v>
      </c>
      <c r="N207" s="291">
        <v>167225</v>
      </c>
      <c r="O207" s="291">
        <v>196571</v>
      </c>
      <c r="P207" s="291">
        <v>221377</v>
      </c>
      <c r="Q207" s="291">
        <v>259470</v>
      </c>
      <c r="R207" s="291">
        <v>300394</v>
      </c>
      <c r="S207" s="291">
        <f>S208</f>
        <v>356387</v>
      </c>
      <c r="T207" s="291">
        <f>T208</f>
        <v>414748</v>
      </c>
      <c r="U207" s="291">
        <f>U208</f>
        <v>478720</v>
      </c>
      <c r="V207" s="291">
        <f>V208</f>
        <v>552400</v>
      </c>
      <c r="W207" s="291">
        <f>W208</f>
        <v>618993</v>
      </c>
      <c r="X207" s="52"/>
      <c r="Y207" s="52"/>
      <c r="Z207" s="52"/>
    </row>
    <row r="208" spans="1:26">
      <c r="A208" s="823" t="s">
        <v>132</v>
      </c>
      <c r="B208" s="640"/>
      <c r="C208" s="95">
        <v>0</v>
      </c>
      <c r="D208" s="95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42243</v>
      </c>
      <c r="J208" s="95">
        <v>69862</v>
      </c>
      <c r="K208" s="95">
        <v>89063</v>
      </c>
      <c r="L208" s="95">
        <v>108929</v>
      </c>
      <c r="M208" s="95">
        <v>136962</v>
      </c>
      <c r="N208" s="95">
        <v>167225</v>
      </c>
      <c r="O208" s="95">
        <v>196571</v>
      </c>
      <c r="P208" s="95">
        <v>221377</v>
      </c>
      <c r="Q208" s="95">
        <v>259470</v>
      </c>
      <c r="R208" s="95">
        <v>300394</v>
      </c>
      <c r="S208" s="95">
        <v>356387</v>
      </c>
      <c r="T208" s="95">
        <v>414748</v>
      </c>
      <c r="U208" s="95">
        <v>478720</v>
      </c>
      <c r="V208" s="95">
        <v>552400</v>
      </c>
      <c r="W208" s="95">
        <v>618993</v>
      </c>
      <c r="X208" s="52"/>
      <c r="Y208" s="52"/>
      <c r="Z208" s="52"/>
    </row>
    <row r="209" spans="1:26">
      <c r="A209" s="804" t="s">
        <v>25</v>
      </c>
      <c r="B209" s="633"/>
      <c r="C209" s="638">
        <v>376866.49096000002</v>
      </c>
      <c r="D209" s="638">
        <v>375384.89794</v>
      </c>
      <c r="E209" s="639">
        <v>373054.15356000001</v>
      </c>
      <c r="F209" s="639">
        <v>363355.87331</v>
      </c>
      <c r="G209" s="639">
        <v>344842</v>
      </c>
      <c r="H209" s="639">
        <v>315245</v>
      </c>
      <c r="I209" s="639">
        <v>366700</v>
      </c>
      <c r="J209" s="639">
        <v>453235</v>
      </c>
      <c r="K209" s="639">
        <v>472168</v>
      </c>
      <c r="L209" s="639">
        <v>497356</v>
      </c>
      <c r="M209" s="639">
        <v>530655</v>
      </c>
      <c r="N209" s="639">
        <v>501630</v>
      </c>
      <c r="O209" s="639">
        <v>550035</v>
      </c>
      <c r="P209" s="639">
        <v>605929</v>
      </c>
      <c r="Q209" s="639">
        <v>675395</v>
      </c>
      <c r="R209" s="639">
        <v>566981</v>
      </c>
      <c r="S209" s="639">
        <v>638572</v>
      </c>
      <c r="T209" s="639">
        <v>735298</v>
      </c>
      <c r="U209" s="639">
        <v>764444</v>
      </c>
      <c r="V209" s="639">
        <v>666872</v>
      </c>
      <c r="W209" s="639">
        <v>731551</v>
      </c>
      <c r="X209" s="52"/>
      <c r="Y209" s="52"/>
      <c r="Z209" s="52"/>
    </row>
    <row r="210" spans="1:26"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</row>
    <row r="213" spans="1:26" ht="23.25">
      <c r="A213" s="802" t="s">
        <v>133</v>
      </c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</row>
    <row r="214" spans="1:26" ht="10.35" customHeight="1">
      <c r="B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26" ht="25.35" customHeight="1">
      <c r="A215" s="803" t="s">
        <v>134</v>
      </c>
      <c r="B215" s="643"/>
      <c r="C215" s="643">
        <v>44286</v>
      </c>
      <c r="D215" s="643">
        <v>44377</v>
      </c>
      <c r="E215" s="643">
        <v>44469</v>
      </c>
      <c r="F215" s="643">
        <v>44561</v>
      </c>
      <c r="G215" s="643">
        <v>44621</v>
      </c>
      <c r="H215" s="643">
        <v>44713</v>
      </c>
      <c r="I215" s="643">
        <v>44805</v>
      </c>
      <c r="J215" s="643">
        <v>44896</v>
      </c>
      <c r="K215" s="643">
        <v>44986</v>
      </c>
      <c r="L215" s="643">
        <v>45078</v>
      </c>
      <c r="M215" s="643">
        <v>45170</v>
      </c>
      <c r="N215" s="643">
        <v>45261</v>
      </c>
      <c r="O215" s="643">
        <v>45352</v>
      </c>
      <c r="P215" s="643">
        <v>45444</v>
      </c>
      <c r="Q215" s="643">
        <v>45537</v>
      </c>
      <c r="R215" s="643">
        <v>45627</v>
      </c>
      <c r="S215" s="643">
        <v>45717</v>
      </c>
      <c r="T215" s="643">
        <v>45809</v>
      </c>
      <c r="U215" s="643">
        <v>45901</v>
      </c>
      <c r="V215" s="748">
        <v>45992</v>
      </c>
      <c r="W215" s="749">
        <v>46082</v>
      </c>
    </row>
    <row r="216" spans="1:26">
      <c r="A216" s="804" t="s">
        <v>135</v>
      </c>
      <c r="B216" s="633"/>
      <c r="C216" s="638">
        <v>76992.196060000002</v>
      </c>
      <c r="D216" s="638">
        <v>37858.371009999995</v>
      </c>
      <c r="E216" s="639">
        <v>42454.756999999998</v>
      </c>
      <c r="F216" s="639">
        <v>39916.009680000003</v>
      </c>
      <c r="G216" s="639">
        <v>46050</v>
      </c>
      <c r="H216" s="639">
        <v>61347</v>
      </c>
      <c r="I216" s="639">
        <v>73355.010139999999</v>
      </c>
      <c r="J216" s="639">
        <v>79291.429949999991</v>
      </c>
      <c r="K216" s="639">
        <v>89737.428719999996</v>
      </c>
      <c r="L216" s="639">
        <v>96049.440369999997</v>
      </c>
      <c r="M216" s="639">
        <v>107427.83876</v>
      </c>
      <c r="N216" s="639">
        <v>101451.71643</v>
      </c>
      <c r="O216" s="639">
        <v>129343.98696000001</v>
      </c>
      <c r="P216" s="639">
        <v>134126.92788</v>
      </c>
      <c r="Q216" s="639">
        <v>162682.97101000001</v>
      </c>
      <c r="R216" s="639">
        <v>176553</v>
      </c>
      <c r="S216" s="639">
        <f>S217+S222</f>
        <v>212466</v>
      </c>
      <c r="T216" s="639">
        <f>T217+T222</f>
        <v>233060.81998</v>
      </c>
      <c r="U216" s="639">
        <f>U217+U222</f>
        <v>265674.35859999998</v>
      </c>
      <c r="V216" s="639">
        <f>V217+V222</f>
        <v>263458.78378</v>
      </c>
      <c r="W216" s="639">
        <f>W217+W222</f>
        <v>291006.15270000004</v>
      </c>
      <c r="X216" s="52"/>
      <c r="Y216" s="52"/>
      <c r="Z216" s="52"/>
    </row>
    <row r="217" spans="1:26">
      <c r="A217" s="805" t="s">
        <v>40</v>
      </c>
      <c r="B217" s="64"/>
      <c r="C217" s="85">
        <v>47281.691229999997</v>
      </c>
      <c r="D217" s="85">
        <v>8288.351990000001</v>
      </c>
      <c r="E217" s="80">
        <v>12172.837029999999</v>
      </c>
      <c r="F217" s="80">
        <v>8970.0520099999994</v>
      </c>
      <c r="G217" s="80">
        <v>15215</v>
      </c>
      <c r="H217" s="80">
        <v>30559</v>
      </c>
      <c r="I217" s="80">
        <v>42665.109299999996</v>
      </c>
      <c r="J217" s="80">
        <v>48839.869989999999</v>
      </c>
      <c r="K217" s="80">
        <v>59912</v>
      </c>
      <c r="L217" s="80">
        <v>67156</v>
      </c>
      <c r="M217" s="80">
        <v>78605</v>
      </c>
      <c r="N217" s="80">
        <v>72143</v>
      </c>
      <c r="O217" s="80">
        <v>100211</v>
      </c>
      <c r="P217" s="80">
        <v>105621</v>
      </c>
      <c r="Q217" s="80">
        <v>133436</v>
      </c>
      <c r="R217" s="80">
        <v>138169</v>
      </c>
      <c r="S217" s="80">
        <f>SUM(S218:S221)</f>
        <v>172298</v>
      </c>
      <c r="T217" s="80">
        <f>SUM(T218:T221)</f>
        <v>191186.4259</v>
      </c>
      <c r="U217" s="80">
        <f>SUM(U218:U221)</f>
        <v>220869.33061</v>
      </c>
      <c r="V217" s="80">
        <f>SUM(V218:V221)</f>
        <v>211031.60592999999</v>
      </c>
      <c r="W217" s="80">
        <f>SUM(W218:W221)</f>
        <v>237896.48469000001</v>
      </c>
      <c r="X217" s="52"/>
      <c r="Y217" s="52"/>
      <c r="Z217" s="52"/>
    </row>
    <row r="218" spans="1:26">
      <c r="A218" s="231" t="s">
        <v>136</v>
      </c>
      <c r="C218" s="97">
        <v>46757.011720000002</v>
      </c>
      <c r="D218" s="97">
        <v>4637.1256399999993</v>
      </c>
      <c r="E218" s="98">
        <v>3016.9564299999997</v>
      </c>
      <c r="F218" s="98">
        <v>1533.6166499999999</v>
      </c>
      <c r="G218" s="98">
        <v>7796</v>
      </c>
      <c r="H218" s="98">
        <v>19400</v>
      </c>
      <c r="I218" s="98">
        <v>29200</v>
      </c>
      <c r="J218" s="98">
        <v>35346</v>
      </c>
      <c r="K218" s="98">
        <v>44579</v>
      </c>
      <c r="L218" s="98">
        <v>48775</v>
      </c>
      <c r="M218" s="98">
        <v>56314</v>
      </c>
      <c r="N218" s="98">
        <v>49856</v>
      </c>
      <c r="O218" s="98">
        <v>73778</v>
      </c>
      <c r="P218" s="98">
        <v>75270</v>
      </c>
      <c r="Q218" s="98">
        <v>95093</v>
      </c>
      <c r="R218" s="98">
        <v>107511</v>
      </c>
      <c r="S218" s="98">
        <v>133406</v>
      </c>
      <c r="T218" s="98">
        <v>144967.16172999999</v>
      </c>
      <c r="U218" s="98">
        <v>165950.78866999998</v>
      </c>
      <c r="V218" s="98">
        <v>166773.08022</v>
      </c>
      <c r="W218" s="98">
        <v>192995.61058000001</v>
      </c>
      <c r="X218" s="52"/>
      <c r="Y218" s="52"/>
      <c r="Z218" s="52"/>
    </row>
    <row r="219" spans="1:26">
      <c r="A219" s="231" t="s">
        <v>137</v>
      </c>
      <c r="C219" s="97">
        <v>524.67101000000002</v>
      </c>
      <c r="D219" s="97">
        <v>3564.5903599999997</v>
      </c>
      <c r="E219" s="98">
        <v>8958.8680000000004</v>
      </c>
      <c r="F219" s="98">
        <v>5900.8562000000002</v>
      </c>
      <c r="G219" s="98">
        <v>3305</v>
      </c>
      <c r="H219" s="98">
        <v>4269</v>
      </c>
      <c r="I219" s="98">
        <v>3799</v>
      </c>
      <c r="J219" s="98">
        <v>4464</v>
      </c>
      <c r="K219" s="98">
        <v>4785</v>
      </c>
      <c r="L219" s="98">
        <v>6205</v>
      </c>
      <c r="M219" s="98">
        <v>9454</v>
      </c>
      <c r="N219" s="98">
        <v>9597</v>
      </c>
      <c r="O219" s="98">
        <v>9914</v>
      </c>
      <c r="P219" s="98">
        <v>10181</v>
      </c>
      <c r="Q219" s="98">
        <v>11658</v>
      </c>
      <c r="R219" s="98">
        <v>11562</v>
      </c>
      <c r="S219" s="98">
        <v>15777</v>
      </c>
      <c r="T219" s="98">
        <v>18589.008180000001</v>
      </c>
      <c r="U219" s="98">
        <v>25901.401040000001</v>
      </c>
      <c r="V219" s="98">
        <v>9448.0614600000008</v>
      </c>
      <c r="W219" s="98">
        <v>8907.119349999999</v>
      </c>
      <c r="X219" s="52"/>
      <c r="Y219" s="52"/>
      <c r="Z219" s="52"/>
    </row>
    <row r="220" spans="1:26">
      <c r="A220" s="231" t="s">
        <v>138</v>
      </c>
      <c r="C220" s="97">
        <v>8.5000000000000006E-3</v>
      </c>
      <c r="D220" s="97">
        <v>63.880029999999998</v>
      </c>
      <c r="E220" s="98">
        <v>66.761759999999995</v>
      </c>
      <c r="F220" s="98">
        <v>778.08082000000002</v>
      </c>
      <c r="G220" s="98">
        <v>906</v>
      </c>
      <c r="H220" s="98">
        <v>811</v>
      </c>
      <c r="I220" s="98">
        <v>341</v>
      </c>
      <c r="J220" s="98">
        <v>0.32908999999999999</v>
      </c>
      <c r="K220" s="98">
        <v>10333</v>
      </c>
      <c r="L220" s="98">
        <v>389</v>
      </c>
      <c r="M220" s="98">
        <v>424</v>
      </c>
      <c r="N220" s="98">
        <v>325</v>
      </c>
      <c r="O220" s="98">
        <v>71</v>
      </c>
      <c r="P220" s="98">
        <v>550</v>
      </c>
      <c r="Q220" s="98">
        <v>569</v>
      </c>
      <c r="R220" s="98">
        <v>0</v>
      </c>
      <c r="S220" s="98">
        <v>11</v>
      </c>
      <c r="T220" s="98">
        <v>1122.0698799999998</v>
      </c>
      <c r="U220" s="98">
        <v>1158.1243899999999</v>
      </c>
      <c r="V220" s="98">
        <v>5604.1132200000002</v>
      </c>
      <c r="W220" s="98">
        <v>1785.7916499999999</v>
      </c>
      <c r="X220" s="52"/>
      <c r="Y220" s="52"/>
      <c r="Z220" s="52"/>
    </row>
    <row r="221" spans="1:26">
      <c r="A221" s="231" t="s">
        <v>139</v>
      </c>
      <c r="C221" s="97"/>
      <c r="D221" s="97">
        <v>22.755959999999998</v>
      </c>
      <c r="E221" s="98">
        <v>130.25083999999998</v>
      </c>
      <c r="F221" s="98">
        <v>757.49833999999998</v>
      </c>
      <c r="G221" s="98">
        <v>3208</v>
      </c>
      <c r="H221" s="98">
        <v>6079</v>
      </c>
      <c r="I221" s="98">
        <v>9325.1093000000001</v>
      </c>
      <c r="J221" s="98">
        <v>9029.5409</v>
      </c>
      <c r="K221" s="98">
        <v>215</v>
      </c>
      <c r="L221" s="98">
        <v>11787</v>
      </c>
      <c r="M221" s="98">
        <v>12413</v>
      </c>
      <c r="N221" s="98">
        <v>12365</v>
      </c>
      <c r="O221" s="98">
        <v>16448</v>
      </c>
      <c r="P221" s="98">
        <v>19620</v>
      </c>
      <c r="Q221" s="98">
        <v>26116</v>
      </c>
      <c r="R221" s="98">
        <v>19096</v>
      </c>
      <c r="S221" s="98">
        <v>23104</v>
      </c>
      <c r="T221" s="98">
        <v>26508.186109999999</v>
      </c>
      <c r="U221" s="98">
        <v>27859.016510000001</v>
      </c>
      <c r="V221" s="98">
        <v>29206.351030000002</v>
      </c>
      <c r="W221" s="98">
        <v>34207.963109999997</v>
      </c>
      <c r="X221" s="52"/>
      <c r="Y221" s="52"/>
      <c r="Z221" s="52"/>
    </row>
    <row r="222" spans="1:26">
      <c r="A222" s="805" t="s">
        <v>47</v>
      </c>
      <c r="B222" s="64"/>
      <c r="C222" s="85">
        <v>29710.504829999998</v>
      </c>
      <c r="D222" s="85">
        <v>29570.01902</v>
      </c>
      <c r="E222" s="80">
        <v>30281.919969999999</v>
      </c>
      <c r="F222" s="80">
        <v>30945.957670000003</v>
      </c>
      <c r="G222" s="80">
        <v>30835</v>
      </c>
      <c r="H222" s="80">
        <v>30788</v>
      </c>
      <c r="I222" s="80">
        <v>30689.900839999998</v>
      </c>
      <c r="J222" s="80">
        <v>30451.559959999999</v>
      </c>
      <c r="K222" s="80">
        <v>29825.42872</v>
      </c>
      <c r="L222" s="80">
        <v>28893.44037</v>
      </c>
      <c r="M222" s="80">
        <v>28822.838759999999</v>
      </c>
      <c r="N222" s="80">
        <v>29308.71643</v>
      </c>
      <c r="O222" s="80">
        <v>29132.986960000002</v>
      </c>
      <c r="P222" s="80">
        <v>28505.927879999999</v>
      </c>
      <c r="Q222" s="80">
        <v>29246.971010000001</v>
      </c>
      <c r="R222" s="80">
        <v>38384</v>
      </c>
      <c r="S222" s="80">
        <f>SUM(S223:S227)</f>
        <v>40168</v>
      </c>
      <c r="T222" s="80">
        <f>SUM(T223:T227)</f>
        <v>41874.394079999998</v>
      </c>
      <c r="U222" s="80">
        <f>SUM(U223:U227)</f>
        <v>44805.027989999995</v>
      </c>
      <c r="V222" s="80">
        <f>SUM(V223:V227)</f>
        <v>52427.177849999993</v>
      </c>
      <c r="W222" s="80">
        <f>SUM(W223:W227)</f>
        <v>53109.668010000001</v>
      </c>
      <c r="X222" s="52"/>
      <c r="Y222" s="52"/>
      <c r="Z222" s="52"/>
    </row>
    <row r="223" spans="1:26">
      <c r="A223" s="231" t="s">
        <v>140</v>
      </c>
      <c r="C223" s="98">
        <v>85.504829999999998</v>
      </c>
      <c r="D223" s="98">
        <v>268.14920000000001</v>
      </c>
      <c r="E223" s="98">
        <v>699.89328</v>
      </c>
      <c r="F223" s="98">
        <v>1351.52009</v>
      </c>
      <c r="G223" s="98">
        <v>1360</v>
      </c>
      <c r="H223" s="98">
        <v>1204</v>
      </c>
      <c r="I223" s="98">
        <v>1016</v>
      </c>
      <c r="J223" s="98">
        <v>856</v>
      </c>
      <c r="K223" s="98">
        <v>960</v>
      </c>
      <c r="L223" s="98">
        <v>440</v>
      </c>
      <c r="M223" s="98">
        <v>770</v>
      </c>
      <c r="N223" s="98">
        <v>1100</v>
      </c>
      <c r="O223" s="98">
        <v>1430</v>
      </c>
      <c r="P223" s="98">
        <v>644</v>
      </c>
      <c r="Q223" s="98">
        <v>960</v>
      </c>
      <c r="R223" s="98">
        <v>2688</v>
      </c>
      <c r="S223" s="98">
        <v>3192</v>
      </c>
      <c r="T223" s="98">
        <v>2374.4983099999999</v>
      </c>
      <c r="U223" s="98">
        <v>2876.1607799999997</v>
      </c>
      <c r="V223" s="98">
        <v>6103.5068800000008</v>
      </c>
      <c r="W223" s="98">
        <v>6605.1693100000002</v>
      </c>
      <c r="X223" s="52"/>
      <c r="Y223" s="52"/>
      <c r="Z223" s="52"/>
    </row>
    <row r="224" spans="1:26">
      <c r="A224" s="231" t="s">
        <v>139</v>
      </c>
      <c r="C224" s="98"/>
      <c r="D224" s="98">
        <v>51.869819999999997</v>
      </c>
      <c r="E224" s="98">
        <v>52.258609999999997</v>
      </c>
      <c r="F224" s="98">
        <v>52.835480000000004</v>
      </c>
      <c r="G224" s="98">
        <v>303</v>
      </c>
      <c r="H224" s="98">
        <v>451</v>
      </c>
      <c r="I224" s="98">
        <v>460.90083999999996</v>
      </c>
      <c r="J224" s="98">
        <v>765.55995999999993</v>
      </c>
      <c r="K224" s="98">
        <v>373.42872</v>
      </c>
      <c r="L224" s="98">
        <v>425.44036999999997</v>
      </c>
      <c r="M224" s="98">
        <v>446.83876000000004</v>
      </c>
      <c r="N224" s="98">
        <v>1094.7164299999999</v>
      </c>
      <c r="O224" s="98">
        <v>1088.98696</v>
      </c>
      <c r="P224" s="98">
        <v>1083.9278800000002</v>
      </c>
      <c r="Q224" s="98">
        <v>1153.97101</v>
      </c>
      <c r="R224" s="98">
        <v>8133</v>
      </c>
      <c r="S224" s="98">
        <v>9237</v>
      </c>
      <c r="T224" s="98">
        <v>11157.912900000001</v>
      </c>
      <c r="U224" s="98">
        <v>13512.72026</v>
      </c>
      <c r="V224" s="98">
        <v>17512.245219999997</v>
      </c>
      <c r="W224" s="98">
        <v>17508.335460000002</v>
      </c>
      <c r="X224" s="52"/>
      <c r="Y224" s="52"/>
      <c r="Z224" s="52"/>
    </row>
    <row r="225" spans="1:26">
      <c r="A225" s="231" t="s">
        <v>78</v>
      </c>
      <c r="C225" s="98">
        <v>29625</v>
      </c>
      <c r="D225" s="98">
        <v>29250</v>
      </c>
      <c r="E225" s="98">
        <v>28875</v>
      </c>
      <c r="F225" s="98">
        <v>28517.802390000001</v>
      </c>
      <c r="G225" s="98">
        <v>28140</v>
      </c>
      <c r="H225" s="98">
        <v>27901</v>
      </c>
      <c r="I225" s="98">
        <v>27549</v>
      </c>
      <c r="J225" s="98">
        <v>27178</v>
      </c>
      <c r="K225" s="98">
        <v>26795</v>
      </c>
      <c r="L225" s="98">
        <v>26436</v>
      </c>
      <c r="M225" s="98">
        <v>26085</v>
      </c>
      <c r="N225" s="98">
        <v>25681</v>
      </c>
      <c r="O225" s="98">
        <v>25290</v>
      </c>
      <c r="P225" s="98">
        <v>25491</v>
      </c>
      <c r="Q225" s="98">
        <v>25925</v>
      </c>
      <c r="R225" s="98">
        <v>26423</v>
      </c>
      <c r="S225" s="98">
        <v>26436</v>
      </c>
      <c r="T225" s="98">
        <v>26676.625929999998</v>
      </c>
      <c r="U225" s="98">
        <v>26816.67655</v>
      </c>
      <c r="V225" s="98">
        <v>27278.93418</v>
      </c>
      <c r="W225" s="98">
        <v>27572.593670000002</v>
      </c>
      <c r="X225" s="52"/>
      <c r="Y225" s="52"/>
      <c r="Z225" s="52"/>
    </row>
    <row r="226" spans="1:26">
      <c r="A226" s="231" t="s">
        <v>77</v>
      </c>
      <c r="C226" s="52">
        <v>0</v>
      </c>
      <c r="E226" s="98">
        <v>654.76807999999994</v>
      </c>
      <c r="F226" s="98">
        <v>1023.79971</v>
      </c>
      <c r="G226" s="98">
        <v>1032</v>
      </c>
      <c r="H226" s="98">
        <v>1232</v>
      </c>
      <c r="I226" s="98">
        <v>1664</v>
      </c>
      <c r="J226" s="98">
        <v>1652</v>
      </c>
      <c r="K226" s="98">
        <v>1192</v>
      </c>
      <c r="L226" s="98">
        <v>1592</v>
      </c>
      <c r="M226" s="98">
        <v>1521</v>
      </c>
      <c r="N226" s="98">
        <v>1433</v>
      </c>
      <c r="O226" s="98">
        <v>1324</v>
      </c>
      <c r="P226" s="98">
        <v>1288</v>
      </c>
      <c r="Q226" s="98">
        <v>1209</v>
      </c>
      <c r="R226" s="98">
        <v>883</v>
      </c>
      <c r="S226" s="98">
        <v>1088</v>
      </c>
      <c r="T226" s="98">
        <v>1665.3569399999999</v>
      </c>
      <c r="U226" s="98">
        <v>1599.4703999999999</v>
      </c>
      <c r="V226" s="98">
        <v>1532.4915699999999</v>
      </c>
      <c r="W226" s="98">
        <v>1423.5695699999999</v>
      </c>
      <c r="X226" s="52"/>
      <c r="Y226" s="52"/>
      <c r="Z226" s="52"/>
    </row>
    <row r="227" spans="1:26">
      <c r="A227" s="250" t="s">
        <v>141</v>
      </c>
      <c r="E227" s="98"/>
      <c r="F227" s="98"/>
      <c r="G227" s="98"/>
      <c r="H227" s="98"/>
      <c r="I227" s="98"/>
      <c r="J227" s="98"/>
      <c r="K227" s="98">
        <v>505</v>
      </c>
      <c r="L227" s="98">
        <v>0</v>
      </c>
      <c r="M227" s="98">
        <v>0</v>
      </c>
      <c r="N227" s="98">
        <v>0</v>
      </c>
      <c r="O227" s="98">
        <v>0</v>
      </c>
      <c r="P227" s="98">
        <v>0</v>
      </c>
      <c r="Q227" s="98">
        <v>0</v>
      </c>
      <c r="R227" s="98">
        <v>257</v>
      </c>
      <c r="S227" s="98">
        <v>215</v>
      </c>
      <c r="T227" s="98">
        <v>0</v>
      </c>
      <c r="U227" s="98">
        <v>0</v>
      </c>
      <c r="V227" s="98">
        <v>0</v>
      </c>
      <c r="W227" s="98">
        <v>0</v>
      </c>
      <c r="X227" s="52"/>
      <c r="Y227" s="52"/>
      <c r="Z227" s="52"/>
    </row>
    <row r="228" spans="1:26">
      <c r="A228" s="804" t="s">
        <v>17</v>
      </c>
      <c r="B228" s="633"/>
      <c r="C228" s="638">
        <v>42156.303380000005</v>
      </c>
      <c r="D228" s="638">
        <v>3377.0232400000004</v>
      </c>
      <c r="E228" s="639">
        <v>8818.7115299999987</v>
      </c>
      <c r="F228" s="639">
        <v>7550.3827700000002</v>
      </c>
      <c r="G228" s="639">
        <v>13782</v>
      </c>
      <c r="H228" s="639">
        <v>28747</v>
      </c>
      <c r="I228" s="639">
        <v>39398</v>
      </c>
      <c r="J228" s="639">
        <v>43739</v>
      </c>
      <c r="K228" s="639">
        <v>50630</v>
      </c>
      <c r="L228" s="639">
        <v>51357</v>
      </c>
      <c r="M228" s="639">
        <v>55808</v>
      </c>
      <c r="N228" s="639">
        <v>59597</v>
      </c>
      <c r="O228" s="639">
        <v>80609</v>
      </c>
      <c r="P228" s="639">
        <v>85480</v>
      </c>
      <c r="Q228" s="639">
        <v>111685</v>
      </c>
      <c r="R228" s="639">
        <v>131374</v>
      </c>
      <c r="S228" s="639">
        <f>S229+S239</f>
        <v>156067</v>
      </c>
      <c r="T228" s="639">
        <f>T229+T239</f>
        <v>163584.87466999999</v>
      </c>
      <c r="U228" s="639">
        <f>U229+U239</f>
        <v>181165.66314000002</v>
      </c>
      <c r="V228" s="639">
        <f>V229+V239</f>
        <v>204041.10206999999</v>
      </c>
      <c r="W228" s="639">
        <f>W229+W239</f>
        <v>222103.41161999997</v>
      </c>
      <c r="X228" s="52"/>
      <c r="Y228" s="52"/>
      <c r="Z228" s="52"/>
    </row>
    <row r="229" spans="1:26">
      <c r="A229" s="805" t="s">
        <v>51</v>
      </c>
      <c r="B229" s="64"/>
      <c r="C229" s="85">
        <v>42156.303380000005</v>
      </c>
      <c r="D229" s="85">
        <v>3377.0232400000004</v>
      </c>
      <c r="E229" s="80">
        <v>8200.0325099999991</v>
      </c>
      <c r="F229" s="80">
        <v>6975.7798000000003</v>
      </c>
      <c r="G229" s="80">
        <v>13207</v>
      </c>
      <c r="H229" s="80">
        <v>28242</v>
      </c>
      <c r="I229" s="80">
        <v>38740</v>
      </c>
      <c r="J229" s="80">
        <v>42171</v>
      </c>
      <c r="K229" s="80">
        <v>50192</v>
      </c>
      <c r="L229" s="80">
        <v>50964</v>
      </c>
      <c r="M229" s="80">
        <v>55447</v>
      </c>
      <c r="N229" s="80">
        <v>59286</v>
      </c>
      <c r="O229" s="80">
        <v>80349</v>
      </c>
      <c r="P229" s="80">
        <v>85272</v>
      </c>
      <c r="Q229" s="80">
        <v>111532</v>
      </c>
      <c r="R229" s="80">
        <v>99301</v>
      </c>
      <c r="S229" s="80">
        <f>SUM(S230:S238)</f>
        <v>156026</v>
      </c>
      <c r="T229" s="80">
        <f>SUM(T230:T238)</f>
        <v>118754.95514000001</v>
      </c>
      <c r="U229" s="80">
        <f>SUM(U230:U238)</f>
        <v>129718.08397000001</v>
      </c>
      <c r="V229" s="80">
        <f>SUM(V230:V238)</f>
        <v>140437.18323</v>
      </c>
      <c r="W229" s="80">
        <f>SUM(W230:W238)</f>
        <v>158499.49277999997</v>
      </c>
      <c r="X229" s="52"/>
      <c r="Y229" s="52"/>
      <c r="Z229" s="52"/>
    </row>
    <row r="230" spans="1:26">
      <c r="A230" s="231" t="s">
        <v>142</v>
      </c>
      <c r="C230" s="98"/>
      <c r="D230" s="98"/>
      <c r="E230" s="98"/>
      <c r="F230" s="98"/>
      <c r="G230" s="98">
        <v>3450</v>
      </c>
      <c r="H230" s="98">
        <v>4870</v>
      </c>
      <c r="I230" s="98">
        <v>3344</v>
      </c>
      <c r="J230" s="98">
        <v>5212</v>
      </c>
      <c r="K230" s="98">
        <v>4642</v>
      </c>
      <c r="L230" s="98">
        <v>7095</v>
      </c>
      <c r="M230" s="98">
        <v>7811</v>
      </c>
      <c r="N230" s="98">
        <v>8291</v>
      </c>
      <c r="O230" s="98">
        <v>9611</v>
      </c>
      <c r="P230" s="98">
        <v>10728</v>
      </c>
      <c r="Q230" s="98">
        <v>10221</v>
      </c>
      <c r="R230" s="98">
        <v>13008</v>
      </c>
      <c r="S230" s="98">
        <v>15562</v>
      </c>
      <c r="T230" s="98">
        <v>17427.11044</v>
      </c>
      <c r="U230" s="98">
        <v>11278.532859999999</v>
      </c>
      <c r="V230" s="98">
        <v>5837.9320299999999</v>
      </c>
      <c r="W230" s="98">
        <v>5611.606859999999</v>
      </c>
      <c r="X230" s="52"/>
      <c r="Y230" s="52"/>
      <c r="Z230" s="52"/>
    </row>
    <row r="231" spans="1:26">
      <c r="A231" s="231" t="s">
        <v>143</v>
      </c>
      <c r="C231" s="98">
        <v>392.92879999999997</v>
      </c>
      <c r="D231" s="98">
        <v>2963.0570600000001</v>
      </c>
      <c r="E231" s="98">
        <v>7468.7948299999998</v>
      </c>
      <c r="F231" s="98">
        <v>4410.1254900000004</v>
      </c>
      <c r="G231" s="98">
        <v>0</v>
      </c>
      <c r="H231" s="98">
        <v>0</v>
      </c>
      <c r="I231" s="98">
        <v>0</v>
      </c>
      <c r="J231" s="98">
        <v>0</v>
      </c>
      <c r="K231" s="98">
        <v>0</v>
      </c>
      <c r="L231" s="98">
        <v>0</v>
      </c>
      <c r="M231" s="98">
        <v>0</v>
      </c>
      <c r="N231" s="98">
        <v>0</v>
      </c>
      <c r="O231" s="98">
        <v>0</v>
      </c>
      <c r="P231" s="98">
        <v>0</v>
      </c>
      <c r="Q231" s="98">
        <v>0</v>
      </c>
      <c r="R231" s="98">
        <v>0</v>
      </c>
      <c r="S231" s="98">
        <v>0</v>
      </c>
      <c r="T231" s="98">
        <v>0</v>
      </c>
      <c r="U231" s="98">
        <v>0</v>
      </c>
      <c r="V231" s="98">
        <v>0</v>
      </c>
      <c r="W231" s="98">
        <v>0</v>
      </c>
      <c r="X231" s="52"/>
      <c r="Y231" s="52"/>
      <c r="Z231" s="52"/>
    </row>
    <row r="232" spans="1:26">
      <c r="A232" s="231" t="s">
        <v>144</v>
      </c>
      <c r="C232" s="98"/>
      <c r="D232" s="98"/>
      <c r="E232" s="98"/>
      <c r="F232" s="98"/>
      <c r="G232" s="98">
        <v>5997</v>
      </c>
      <c r="H232" s="98">
        <v>18027</v>
      </c>
      <c r="I232" s="98">
        <v>29891</v>
      </c>
      <c r="J232" s="98">
        <v>29350</v>
      </c>
      <c r="K232" s="98">
        <v>34400</v>
      </c>
      <c r="L232" s="98">
        <v>38280</v>
      </c>
      <c r="M232" s="98">
        <v>40660</v>
      </c>
      <c r="N232" s="98">
        <v>39593</v>
      </c>
      <c r="O232" s="98">
        <v>0</v>
      </c>
      <c r="P232" s="98">
        <v>64015</v>
      </c>
      <c r="Q232" s="98">
        <v>85120</v>
      </c>
      <c r="R232" s="98">
        <v>64817</v>
      </c>
      <c r="S232" s="98">
        <v>116538</v>
      </c>
      <c r="T232" s="98">
        <v>85421.722989999995</v>
      </c>
      <c r="U232" s="98">
        <v>92674.720260000002</v>
      </c>
      <c r="V232" s="98">
        <v>100881.40822</v>
      </c>
      <c r="W232" s="98">
        <v>111941.28403</v>
      </c>
      <c r="X232" s="52"/>
      <c r="Y232" s="52"/>
      <c r="Z232" s="52"/>
    </row>
    <row r="233" spans="1:26">
      <c r="A233" s="231" t="s">
        <v>20</v>
      </c>
      <c r="C233" s="98">
        <v>35.580210000000001</v>
      </c>
      <c r="D233" s="98">
        <v>0</v>
      </c>
      <c r="E233" s="98">
        <v>0</v>
      </c>
      <c r="F233" s="98">
        <v>0</v>
      </c>
      <c r="G233" s="98">
        <v>0</v>
      </c>
      <c r="H233" s="98">
        <v>0</v>
      </c>
      <c r="I233" s="98">
        <v>0</v>
      </c>
      <c r="J233" s="98">
        <v>1369</v>
      </c>
      <c r="K233" s="98">
        <v>1369</v>
      </c>
      <c r="L233" s="98">
        <v>0</v>
      </c>
      <c r="M233" s="98">
        <v>0</v>
      </c>
      <c r="N233" s="98">
        <v>3101</v>
      </c>
      <c r="O233" s="98">
        <v>53717</v>
      </c>
      <c r="P233" s="98">
        <v>0</v>
      </c>
      <c r="Q233" s="98">
        <v>0</v>
      </c>
      <c r="R233" s="98">
        <v>7160</v>
      </c>
      <c r="S233" s="98">
        <v>7160</v>
      </c>
      <c r="T233" s="98">
        <v>0</v>
      </c>
      <c r="U233" s="98">
        <v>0</v>
      </c>
      <c r="V233" s="98">
        <v>0</v>
      </c>
      <c r="W233" s="98">
        <v>17064.951670000002</v>
      </c>
      <c r="X233" s="52"/>
      <c r="Y233" s="52"/>
      <c r="Z233" s="52"/>
    </row>
    <row r="234" spans="1:26">
      <c r="A234" s="231" t="s">
        <v>145</v>
      </c>
      <c r="C234" s="490"/>
      <c r="D234" s="490"/>
      <c r="E234" s="490"/>
      <c r="F234" s="490"/>
      <c r="G234" s="490"/>
      <c r="H234" s="490"/>
      <c r="I234" s="490"/>
      <c r="J234" s="490"/>
      <c r="K234" s="490">
        <v>3083</v>
      </c>
      <c r="L234" s="490">
        <v>0</v>
      </c>
      <c r="M234" s="490">
        <v>0</v>
      </c>
      <c r="N234" s="490">
        <v>1434</v>
      </c>
      <c r="O234" s="490">
        <v>8704</v>
      </c>
      <c r="P234" s="98">
        <v>0</v>
      </c>
      <c r="Q234" s="98">
        <v>0</v>
      </c>
      <c r="R234" s="98">
        <v>569</v>
      </c>
      <c r="S234" s="98">
        <v>1121</v>
      </c>
      <c r="T234" s="98">
        <v>0</v>
      </c>
      <c r="U234" s="98">
        <v>0</v>
      </c>
      <c r="V234" s="98">
        <v>0</v>
      </c>
      <c r="W234" s="98">
        <v>0</v>
      </c>
      <c r="X234" s="52"/>
      <c r="Y234" s="52"/>
      <c r="Z234" s="52"/>
    </row>
    <row r="235" spans="1:26">
      <c r="A235" s="231" t="s">
        <v>146</v>
      </c>
      <c r="C235" s="490"/>
      <c r="D235" s="490"/>
      <c r="E235" s="490"/>
      <c r="F235" s="490"/>
      <c r="G235" s="490"/>
      <c r="H235" s="490"/>
      <c r="I235" s="490"/>
      <c r="J235" s="490"/>
      <c r="K235" s="490">
        <v>164</v>
      </c>
      <c r="L235" s="490">
        <v>0</v>
      </c>
      <c r="M235" s="490">
        <v>0</v>
      </c>
      <c r="N235" s="490">
        <v>186</v>
      </c>
      <c r="O235" s="490">
        <v>0</v>
      </c>
      <c r="P235" s="98">
        <v>0</v>
      </c>
      <c r="Q235" s="98">
        <v>0</v>
      </c>
      <c r="R235" s="98">
        <v>218</v>
      </c>
      <c r="S235" s="98">
        <v>225</v>
      </c>
      <c r="T235" s="98">
        <v>0</v>
      </c>
      <c r="U235" s="98">
        <v>0</v>
      </c>
      <c r="V235" s="98">
        <v>0</v>
      </c>
      <c r="W235" s="98">
        <v>0</v>
      </c>
      <c r="X235" s="52"/>
      <c r="Y235" s="52"/>
      <c r="Z235" s="52"/>
    </row>
    <row r="236" spans="1:26">
      <c r="A236" s="231" t="s">
        <v>147</v>
      </c>
      <c r="C236" s="98">
        <v>36.879200000000004</v>
      </c>
      <c r="D236" s="98">
        <v>147.25261</v>
      </c>
      <c r="E236" s="98">
        <v>185.82921999999999</v>
      </c>
      <c r="F236" s="98">
        <v>387.82542999999998</v>
      </c>
      <c r="G236" s="98">
        <v>241</v>
      </c>
      <c r="H236" s="98">
        <v>245</v>
      </c>
      <c r="I236" s="98">
        <v>324</v>
      </c>
      <c r="J236" s="98">
        <v>552</v>
      </c>
      <c r="K236" s="98">
        <v>1580</v>
      </c>
      <c r="L236" s="98">
        <v>818</v>
      </c>
      <c r="M236" s="98">
        <v>950</v>
      </c>
      <c r="N236" s="98">
        <v>1067</v>
      </c>
      <c r="O236" s="98">
        <v>997</v>
      </c>
      <c r="P236" s="98">
        <v>2891</v>
      </c>
      <c r="Q236" s="98">
        <v>5137</v>
      </c>
      <c r="R236" s="98">
        <v>5965</v>
      </c>
      <c r="S236" s="98">
        <v>5753</v>
      </c>
      <c r="T236" s="98">
        <v>6844.5662199999997</v>
      </c>
      <c r="U236" s="98">
        <v>9261.3420100000003</v>
      </c>
      <c r="V236" s="98">
        <v>6149.3900100000001</v>
      </c>
      <c r="W236" s="98">
        <v>7740.6996200000003</v>
      </c>
      <c r="X236" s="52"/>
      <c r="Y236" s="52"/>
      <c r="Z236" s="52"/>
    </row>
    <row r="237" spans="1:26">
      <c r="A237" s="231" t="s">
        <v>148</v>
      </c>
      <c r="C237" s="98">
        <v>24.2485</v>
      </c>
      <c r="D237" s="98">
        <v>236.60978999999998</v>
      </c>
      <c r="E237" s="98">
        <v>439.46975000000003</v>
      </c>
      <c r="F237" s="98">
        <v>1930.35184</v>
      </c>
      <c r="G237" s="98">
        <v>2059</v>
      </c>
      <c r="H237" s="98">
        <v>1727</v>
      </c>
      <c r="I237" s="98">
        <v>2102</v>
      </c>
      <c r="J237" s="98">
        <v>3648</v>
      </c>
      <c r="K237" s="98">
        <v>4503</v>
      </c>
      <c r="L237" s="98">
        <v>3158</v>
      </c>
      <c r="M237" s="98">
        <v>4434</v>
      </c>
      <c r="N237" s="98">
        <v>5614</v>
      </c>
      <c r="O237" s="98">
        <v>7320</v>
      </c>
      <c r="P237" s="98">
        <v>3252</v>
      </c>
      <c r="Q237" s="98">
        <v>4410</v>
      </c>
      <c r="R237" s="98">
        <v>6042</v>
      </c>
      <c r="S237" s="98">
        <v>7920</v>
      </c>
      <c r="T237" s="98">
        <v>4923.6835099999998</v>
      </c>
      <c r="U237" s="98">
        <v>6771.8983799999996</v>
      </c>
      <c r="V237" s="98">
        <v>7615.9155600000004</v>
      </c>
      <c r="W237" s="98">
        <v>9085.4005500000003</v>
      </c>
      <c r="X237" s="52"/>
      <c r="Y237" s="52"/>
      <c r="Z237" s="52"/>
    </row>
    <row r="238" spans="1:26">
      <c r="A238" s="231" t="s">
        <v>149</v>
      </c>
      <c r="C238" s="98">
        <v>41666.666669999999</v>
      </c>
      <c r="D238" s="98">
        <v>30.10378000000015</v>
      </c>
      <c r="E238" s="98">
        <v>105.9387100000002</v>
      </c>
      <c r="F238" s="98">
        <v>247.47703999999999</v>
      </c>
      <c r="G238" s="98">
        <v>1460</v>
      </c>
      <c r="H238" s="98">
        <v>3373</v>
      </c>
      <c r="I238" s="98">
        <v>3079</v>
      </c>
      <c r="J238" s="98">
        <v>2040</v>
      </c>
      <c r="K238" s="98">
        <v>451</v>
      </c>
      <c r="L238" s="98">
        <v>1613</v>
      </c>
      <c r="M238" s="98">
        <v>1592</v>
      </c>
      <c r="N238" s="98">
        <v>0</v>
      </c>
      <c r="O238" s="98">
        <v>0</v>
      </c>
      <c r="P238" s="98">
        <v>4387</v>
      </c>
      <c r="Q238" s="98">
        <v>6645</v>
      </c>
      <c r="R238" s="98">
        <v>1522</v>
      </c>
      <c r="S238" s="98">
        <v>1747</v>
      </c>
      <c r="T238" s="98">
        <v>4137.8719800000108</v>
      </c>
      <c r="U238" s="98">
        <v>9731.5904600000013</v>
      </c>
      <c r="V238" s="98">
        <v>19952.537410000004</v>
      </c>
      <c r="W238" s="98">
        <v>7055.5500499999998</v>
      </c>
      <c r="X238" s="52"/>
      <c r="Y238" s="52"/>
      <c r="Z238" s="52"/>
    </row>
    <row r="239" spans="1:26">
      <c r="A239" s="805" t="s">
        <v>56</v>
      </c>
      <c r="B239" s="64"/>
      <c r="C239" s="85">
        <v>0</v>
      </c>
      <c r="D239" s="85">
        <v>0</v>
      </c>
      <c r="E239" s="80">
        <v>618.67902000000004</v>
      </c>
      <c r="F239" s="80">
        <v>574.60297000000003</v>
      </c>
      <c r="G239" s="80">
        <v>575</v>
      </c>
      <c r="H239" s="80">
        <v>505</v>
      </c>
      <c r="I239" s="80">
        <v>658</v>
      </c>
      <c r="J239" s="80">
        <v>1568</v>
      </c>
      <c r="K239" s="80">
        <v>438</v>
      </c>
      <c r="L239" s="80">
        <v>393</v>
      </c>
      <c r="M239" s="80">
        <v>361</v>
      </c>
      <c r="N239" s="80">
        <v>311</v>
      </c>
      <c r="O239" s="80">
        <v>260</v>
      </c>
      <c r="P239" s="80">
        <v>208</v>
      </c>
      <c r="Q239" s="80">
        <v>153</v>
      </c>
      <c r="R239" s="80">
        <v>32073</v>
      </c>
      <c r="S239" s="80">
        <v>41</v>
      </c>
      <c r="T239" s="80">
        <v>44829.919529999999</v>
      </c>
      <c r="U239" s="80">
        <v>51447.579170000005</v>
      </c>
      <c r="V239" s="80">
        <v>63603.918840000006</v>
      </c>
      <c r="W239" s="80">
        <v>63603.918840000006</v>
      </c>
      <c r="X239" s="52"/>
      <c r="Y239" s="52"/>
      <c r="Z239" s="52"/>
    </row>
    <row r="240" spans="1:26">
      <c r="A240" s="804" t="s">
        <v>25</v>
      </c>
      <c r="B240" s="633"/>
      <c r="C240" s="638">
        <v>34835.892679999997</v>
      </c>
      <c r="D240" s="638">
        <v>34481.34777</v>
      </c>
      <c r="E240" s="639">
        <v>33636.045469999997</v>
      </c>
      <c r="F240" s="639">
        <v>32365.626910000003</v>
      </c>
      <c r="G240" s="639">
        <v>32268</v>
      </c>
      <c r="H240" s="639">
        <v>32600</v>
      </c>
      <c r="I240" s="639">
        <v>33957</v>
      </c>
      <c r="J240" s="639">
        <v>35552</v>
      </c>
      <c r="K240" s="639">
        <v>39107</v>
      </c>
      <c r="L240" s="639">
        <v>44692</v>
      </c>
      <c r="M240" s="639">
        <v>51620</v>
      </c>
      <c r="N240" s="639">
        <v>41854</v>
      </c>
      <c r="O240" s="639">
        <v>48735</v>
      </c>
      <c r="P240" s="639">
        <v>48647</v>
      </c>
      <c r="Q240" s="639">
        <v>50998</v>
      </c>
      <c r="R240" s="639">
        <v>45179</v>
      </c>
      <c r="S240" s="639">
        <v>56399</v>
      </c>
      <c r="T240" s="639">
        <v>69475.945309999996</v>
      </c>
      <c r="U240" s="639">
        <v>84508.695459999988</v>
      </c>
      <c r="V240" s="79">
        <v>59417.681710000033</v>
      </c>
      <c r="W240" s="79">
        <v>68902.741079999993</v>
      </c>
      <c r="X240" s="52"/>
      <c r="Y240" s="52"/>
      <c r="Z240" s="52"/>
    </row>
    <row r="241" spans="6:23"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F174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55EEE-14AB-447F-B97B-887A3A23035F}">
  <dimension ref="A1:AG15"/>
  <sheetViews>
    <sheetView showGridLines="0" showRowColHeaders="0" zoomScale="80" zoomScaleNormal="80" workbookViewId="0">
      <selection activeCell="H9" sqref="G9:H9"/>
    </sheetView>
  </sheetViews>
  <sheetFormatPr defaultColWidth="9.42578125" defaultRowHeight="15"/>
  <cols>
    <col min="1" max="1" width="46.42578125" style="20" customWidth="1"/>
    <col min="2" max="2" width="43.5703125" style="20" bestFit="1" customWidth="1"/>
    <col min="3" max="16384" width="9.42578125" style="20"/>
  </cols>
  <sheetData>
    <row r="1" spans="1:33" customFormat="1" ht="15" customHeight="1">
      <c r="A1" s="619"/>
      <c r="B1" s="631"/>
    </row>
    <row r="2" spans="1:33" customFormat="1" ht="15" customHeight="1">
      <c r="A2" s="621"/>
      <c r="B2" s="632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</row>
    <row r="3" spans="1:33" customFormat="1" ht="50.1" customHeight="1">
      <c r="A3" s="619"/>
      <c r="B3" s="631"/>
    </row>
    <row r="4" spans="1:33" customFormat="1">
      <c r="A4" s="619"/>
      <c r="B4" s="631"/>
    </row>
    <row r="5" spans="1:33" customFormat="1" ht="15.75">
      <c r="A5" s="621"/>
      <c r="B5" s="632"/>
      <c r="C5" s="693"/>
      <c r="D5" s="693"/>
      <c r="E5" s="693"/>
      <c r="F5" s="693"/>
      <c r="G5" s="693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  <c r="U5" s="693"/>
      <c r="V5" s="693"/>
      <c r="W5" s="693"/>
      <c r="X5" s="693"/>
      <c r="Y5" s="693"/>
      <c r="Z5" s="693"/>
      <c r="AA5" s="693"/>
      <c r="AB5" s="693"/>
      <c r="AC5" s="693"/>
      <c r="AD5" s="693"/>
      <c r="AE5" s="693"/>
      <c r="AF5" s="693"/>
      <c r="AG5" s="693"/>
    </row>
    <row r="6" spans="1:33" customFormat="1" ht="45.75" customHeight="1">
      <c r="A6" s="619"/>
      <c r="B6" s="631"/>
    </row>
    <row r="7" spans="1:33" ht="23.25">
      <c r="A7" s="50"/>
      <c r="B7" s="50"/>
    </row>
    <row r="8" spans="1:33" hidden="1">
      <c r="A8" s="28" t="s">
        <v>430</v>
      </c>
      <c r="B8" s="28" t="s">
        <v>537</v>
      </c>
    </row>
    <row r="9" spans="1:33">
      <c r="A9" s="625" t="s">
        <v>1099</v>
      </c>
      <c r="B9" s="675" t="s">
        <v>437</v>
      </c>
    </row>
    <row r="10" spans="1:33">
      <c r="A10" s="20" t="s">
        <v>1100</v>
      </c>
      <c r="B10" s="20" t="s">
        <v>1101</v>
      </c>
    </row>
    <row r="11" spans="1:33">
      <c r="A11" s="20" t="s">
        <v>1102</v>
      </c>
    </row>
    <row r="12" spans="1:33">
      <c r="A12" s="20" t="s">
        <v>1103</v>
      </c>
    </row>
    <row r="13" spans="1:33">
      <c r="A13" s="20" t="s">
        <v>1104</v>
      </c>
    </row>
    <row r="14" spans="1:33">
      <c r="A14" s="20" t="s">
        <v>1105</v>
      </c>
    </row>
    <row r="15" spans="1:33">
      <c r="B15" s="10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A461-122B-4778-877F-71FCC0B9E613}">
  <dimension ref="A1:AG51"/>
  <sheetViews>
    <sheetView showGridLines="0" showRowColHeaders="0" zoomScale="75" zoomScaleNormal="75" workbookViewId="0">
      <pane xSplit="2" ySplit="3" topLeftCell="O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2.28515625" customWidth="1"/>
    <col min="2" max="2" width="70.7109375" customWidth="1"/>
    <col min="3" max="19" width="15.42578125" customWidth="1"/>
    <col min="20" max="31" width="14.42578125" customWidth="1"/>
  </cols>
  <sheetData>
    <row r="1" spans="1:33" ht="15" customHeight="1">
      <c r="A1" s="619"/>
      <c r="B1" s="619"/>
      <c r="C1" s="620"/>
      <c r="D1" s="620"/>
      <c r="E1" s="620"/>
      <c r="F1" s="620" t="s">
        <v>36</v>
      </c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31"/>
      <c r="S1" s="630"/>
    </row>
    <row r="2" spans="1:33" ht="15" customHeight="1">
      <c r="A2" s="622"/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32"/>
      <c r="S2" s="630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</row>
    <row r="3" spans="1:33" ht="50.1" customHeight="1">
      <c r="A3" s="635"/>
      <c r="B3" s="766" t="s">
        <v>150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31"/>
      <c r="S3" s="630"/>
    </row>
    <row r="4" spans="1:33" ht="16.350000000000001" customHeight="1"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1:33" ht="23.25">
      <c r="A5" s="74"/>
      <c r="B5" s="74" t="s">
        <v>38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</row>
    <row r="6" spans="1:33" ht="10.35" customHeight="1"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</row>
    <row r="7" spans="1:33" ht="25.35" customHeight="1">
      <c r="A7" s="625"/>
      <c r="B7" s="625" t="s">
        <v>39</v>
      </c>
      <c r="C7" s="643">
        <v>44621</v>
      </c>
      <c r="D7" s="643">
        <v>44713</v>
      </c>
      <c r="E7" s="643">
        <v>44805</v>
      </c>
      <c r="F7" s="643">
        <v>44896</v>
      </c>
      <c r="G7" s="643">
        <v>44986</v>
      </c>
      <c r="H7" s="643">
        <v>45078</v>
      </c>
      <c r="I7" s="643">
        <v>45170</v>
      </c>
      <c r="J7" s="643">
        <v>45261</v>
      </c>
      <c r="K7" s="643">
        <v>45352</v>
      </c>
      <c r="L7" s="643">
        <v>45444</v>
      </c>
      <c r="M7" s="643">
        <v>45536</v>
      </c>
      <c r="N7" s="643">
        <v>45627</v>
      </c>
      <c r="O7" s="643">
        <v>45717</v>
      </c>
      <c r="P7" s="643">
        <v>45809</v>
      </c>
      <c r="Q7" s="643">
        <v>45901</v>
      </c>
      <c r="R7" s="644">
        <v>45992</v>
      </c>
      <c r="S7" s="645">
        <v>46082</v>
      </c>
    </row>
    <row r="8" spans="1:33">
      <c r="A8" s="633"/>
      <c r="B8" s="633" t="s">
        <v>5</v>
      </c>
      <c r="C8" s="639"/>
      <c r="D8" s="639"/>
      <c r="E8" s="639"/>
      <c r="F8" s="639">
        <v>152178493</v>
      </c>
      <c r="G8" s="639">
        <v>157800455</v>
      </c>
      <c r="H8" s="639">
        <v>162013087</v>
      </c>
      <c r="I8" s="639">
        <v>168768316</v>
      </c>
      <c r="J8" s="639">
        <v>174173324</v>
      </c>
      <c r="K8" s="639">
        <v>179254565.41734299</v>
      </c>
      <c r="L8" s="639">
        <v>182193799.15673098</v>
      </c>
      <c r="M8" s="639">
        <v>186814212.935047</v>
      </c>
      <c r="N8" s="639">
        <v>190875719</v>
      </c>
      <c r="O8" s="639">
        <f>SUM(O9:O17)</f>
        <v>197090299.18901998</v>
      </c>
      <c r="P8" s="639">
        <f>SUM(P9:P17)</f>
        <v>203168111.79232001</v>
      </c>
      <c r="Q8" s="639">
        <f>SUM(Q9:Q17)</f>
        <v>210128003.95551997</v>
      </c>
      <c r="R8" s="639">
        <f>SUM(R9:R17)</f>
        <v>216870746.23301098</v>
      </c>
      <c r="S8" s="639">
        <f>SUM(S9:S17)</f>
        <v>225253047.24773002</v>
      </c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spans="1:33">
      <c r="A9" s="245"/>
      <c r="B9" s="245" t="s">
        <v>7</v>
      </c>
      <c r="C9" s="81"/>
      <c r="D9" s="81"/>
      <c r="E9" s="81"/>
      <c r="F9" s="81">
        <v>189283</v>
      </c>
      <c r="G9" s="81">
        <v>59790</v>
      </c>
      <c r="H9" s="81">
        <v>172955</v>
      </c>
      <c r="I9" s="81">
        <v>892944</v>
      </c>
      <c r="J9" s="81">
        <v>205230</v>
      </c>
      <c r="K9" s="81">
        <v>182632.57788</v>
      </c>
      <c r="L9" s="81">
        <v>212334.45560000089</v>
      </c>
      <c r="M9" s="81">
        <v>188641.88175999981</v>
      </c>
      <c r="N9" s="81">
        <v>174132</v>
      </c>
      <c r="O9" s="81">
        <v>140159.93682</v>
      </c>
      <c r="P9" s="81">
        <v>110488.22153</v>
      </c>
      <c r="Q9" s="81">
        <v>145657.641</v>
      </c>
      <c r="R9" s="81">
        <v>117772.253</v>
      </c>
      <c r="S9" s="81">
        <v>160191.08600000001</v>
      </c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3">
      <c r="A10" s="246"/>
      <c r="B10" s="246" t="s">
        <v>61</v>
      </c>
      <c r="C10" s="81"/>
      <c r="D10" s="81"/>
      <c r="E10" s="81"/>
      <c r="F10" s="81">
        <v>140842520</v>
      </c>
      <c r="G10" s="81">
        <v>148340179</v>
      </c>
      <c r="H10" s="81">
        <v>153192907</v>
      </c>
      <c r="I10" s="81">
        <v>158425831</v>
      </c>
      <c r="J10" s="81">
        <v>165429300</v>
      </c>
      <c r="K10" s="81">
        <v>170509343.12364098</v>
      </c>
      <c r="L10" s="81">
        <v>173392836.14496553</v>
      </c>
      <c r="M10" s="81">
        <v>178234503.19438836</v>
      </c>
      <c r="N10" s="81">
        <v>183354495</v>
      </c>
      <c r="O10" s="81">
        <v>189840699.71583</v>
      </c>
      <c r="P10" s="81">
        <v>195915785.55177999</v>
      </c>
      <c r="Q10" s="81">
        <v>202981064.01398998</v>
      </c>
      <c r="R10" s="81">
        <v>209890213.43480301</v>
      </c>
      <c r="S10" s="81">
        <v>217910582.47742897</v>
      </c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</row>
    <row r="11" spans="1:33">
      <c r="A11" s="247"/>
      <c r="B11" s="247" t="s">
        <v>151</v>
      </c>
      <c r="C11" s="81"/>
      <c r="D11" s="81"/>
      <c r="E11" s="81"/>
      <c r="F11" s="81">
        <v>1186507</v>
      </c>
      <c r="G11" s="81">
        <v>1441831</v>
      </c>
      <c r="H11" s="81">
        <v>1234075</v>
      </c>
      <c r="I11" s="81">
        <v>1688435</v>
      </c>
      <c r="J11" s="81">
        <v>1171623</v>
      </c>
      <c r="K11" s="81">
        <v>1110727.8670000001</v>
      </c>
      <c r="L11" s="81">
        <v>1001470.883</v>
      </c>
      <c r="M11" s="81">
        <v>915526.58094000001</v>
      </c>
      <c r="N11" s="81">
        <v>814675</v>
      </c>
      <c r="O11" s="81">
        <v>736100.88898000005</v>
      </c>
      <c r="P11" s="81">
        <v>759226.29553999996</v>
      </c>
      <c r="Q11" s="81">
        <v>722959.696</v>
      </c>
      <c r="R11" s="81">
        <v>668496.47499999998</v>
      </c>
      <c r="S11" s="81">
        <v>605132.19900000002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spans="1:33">
      <c r="A12" s="11"/>
      <c r="B12" s="11" t="s">
        <v>152</v>
      </c>
      <c r="C12" s="81"/>
      <c r="D12" s="81"/>
      <c r="E12" s="81"/>
      <c r="F12" s="81">
        <v>806</v>
      </c>
      <c r="G12" s="81">
        <v>5175</v>
      </c>
      <c r="H12" s="81">
        <v>4394</v>
      </c>
      <c r="I12" s="81">
        <v>3626</v>
      </c>
      <c r="J12" s="81">
        <v>5265</v>
      </c>
      <c r="K12" s="81">
        <v>5089.0575199999994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spans="1:33">
      <c r="A13" s="11"/>
      <c r="B13" s="11" t="s">
        <v>66</v>
      </c>
      <c r="C13" s="81"/>
      <c r="D13" s="81"/>
      <c r="E13" s="81"/>
      <c r="F13" s="81">
        <v>2472481</v>
      </c>
      <c r="G13" s="81">
        <v>390348</v>
      </c>
      <c r="H13" s="81">
        <v>0</v>
      </c>
      <c r="I13" s="81">
        <v>163757</v>
      </c>
      <c r="J13" s="81">
        <v>95079</v>
      </c>
      <c r="K13" s="81">
        <v>200641.32392223901</v>
      </c>
      <c r="L13" s="81">
        <v>342416.43377571861</v>
      </c>
      <c r="M13" s="81">
        <v>295336.3481384507</v>
      </c>
      <c r="N13" s="81">
        <v>276314</v>
      </c>
      <c r="O13" s="81">
        <v>181920.02594999998</v>
      </c>
      <c r="P13" s="81">
        <v>247012.65175997399</v>
      </c>
      <c r="Q13" s="81">
        <v>199624.13079</v>
      </c>
      <c r="R13" s="81">
        <v>162711.03840818399</v>
      </c>
      <c r="S13" s="81">
        <v>602296.76451112202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spans="1:33">
      <c r="A14" s="245"/>
      <c r="B14" s="245" t="s">
        <v>153</v>
      </c>
      <c r="C14" s="81"/>
      <c r="D14" s="81"/>
      <c r="E14" s="81"/>
      <c r="F14" s="81">
        <v>396608</v>
      </c>
      <c r="G14" s="81">
        <v>545147</v>
      </c>
      <c r="H14" s="81">
        <v>71646</v>
      </c>
      <c r="I14" s="81">
        <v>241132</v>
      </c>
      <c r="J14" s="81">
        <v>164024</v>
      </c>
      <c r="K14" s="81">
        <v>193270.68844999999</v>
      </c>
      <c r="L14" s="81">
        <v>236242.17669999998</v>
      </c>
      <c r="M14" s="81">
        <v>230577.89947</v>
      </c>
      <c r="N14" s="81">
        <v>71310</v>
      </c>
      <c r="O14" s="81">
        <v>74991.835500000001</v>
      </c>
      <c r="P14" s="81">
        <v>79230.690480000005</v>
      </c>
      <c r="Q14" s="81">
        <v>82302.123999999996</v>
      </c>
      <c r="R14" s="81">
        <v>72960.153999999995</v>
      </c>
      <c r="S14" s="81">
        <v>66724.726999999999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spans="1:33">
      <c r="A15" s="245"/>
      <c r="B15" s="245" t="s">
        <v>76</v>
      </c>
      <c r="C15" s="81"/>
      <c r="D15" s="81"/>
      <c r="E15" s="81"/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1.0000038146972657E-4</v>
      </c>
      <c r="N15" s="81">
        <v>0</v>
      </c>
      <c r="O15" s="81">
        <v>3.8000106811523398E-4</v>
      </c>
      <c r="P15" s="81">
        <v>-7.9999923706054697E-5</v>
      </c>
      <c r="Q15" s="81">
        <v>0</v>
      </c>
      <c r="R15" s="81">
        <v>0</v>
      </c>
      <c r="S15" s="81">
        <v>0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spans="1:33">
      <c r="A16" s="245"/>
      <c r="B16" s="245" t="s">
        <v>78</v>
      </c>
      <c r="C16" s="81"/>
      <c r="D16" s="81"/>
      <c r="E16" s="81"/>
      <c r="F16" s="81">
        <v>6461355</v>
      </c>
      <c r="G16" s="81">
        <v>6391890</v>
      </c>
      <c r="H16" s="81">
        <v>6324690</v>
      </c>
      <c r="I16" s="81">
        <v>6259435</v>
      </c>
      <c r="J16" s="81">
        <v>6201505</v>
      </c>
      <c r="K16" s="81">
        <v>6132875.8865499999</v>
      </c>
      <c r="L16" s="81">
        <v>6066130.5169599988</v>
      </c>
      <c r="M16" s="81">
        <v>5998931.3695899993</v>
      </c>
      <c r="N16" s="81">
        <v>5950920</v>
      </c>
      <c r="O16" s="81">
        <v>5884799.99407</v>
      </c>
      <c r="P16" s="81">
        <v>5819689.5168999992</v>
      </c>
      <c r="Q16" s="81">
        <v>5756373.7889999999</v>
      </c>
      <c r="R16" s="81">
        <v>5701245.5439999998</v>
      </c>
      <c r="S16" s="81">
        <v>5633772.7089999998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</row>
    <row r="17" spans="1:33">
      <c r="A17" s="245"/>
      <c r="B17" s="245" t="s">
        <v>13</v>
      </c>
      <c r="C17" s="81"/>
      <c r="D17" s="81"/>
      <c r="E17" s="81"/>
      <c r="F17" s="81">
        <v>628933</v>
      </c>
      <c r="G17" s="81">
        <v>626095</v>
      </c>
      <c r="H17" s="81">
        <v>1012420</v>
      </c>
      <c r="I17" s="81">
        <v>1093156</v>
      </c>
      <c r="J17" s="81">
        <v>901298</v>
      </c>
      <c r="K17" s="81">
        <v>919984.89248973131</v>
      </c>
      <c r="L17" s="81">
        <v>942368.54572975636</v>
      </c>
      <c r="M17" s="81">
        <v>950695.66066017747</v>
      </c>
      <c r="N17" s="81">
        <v>233873</v>
      </c>
      <c r="O17" s="81">
        <v>231626.79148995876</v>
      </c>
      <c r="P17" s="81">
        <v>236678.86441004276</v>
      </c>
      <c r="Q17" s="81">
        <v>240022.56073996425</v>
      </c>
      <c r="R17" s="81">
        <v>257347.33379977942</v>
      </c>
      <c r="S17" s="81">
        <v>274347.28478994966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</row>
    <row r="18" spans="1:33">
      <c r="A18" s="633"/>
      <c r="B18" s="633" t="s">
        <v>17</v>
      </c>
      <c r="C18" s="639"/>
      <c r="D18" s="639"/>
      <c r="E18" s="639"/>
      <c r="F18" s="639">
        <v>140245057</v>
      </c>
      <c r="G18" s="639">
        <v>145579813</v>
      </c>
      <c r="H18" s="639">
        <v>149415869</v>
      </c>
      <c r="I18" s="639">
        <v>156921756</v>
      </c>
      <c r="J18" s="639">
        <v>161780987</v>
      </c>
      <c r="K18" s="639">
        <v>167054311.99704</v>
      </c>
      <c r="L18" s="639">
        <v>170357430.97551802</v>
      </c>
      <c r="M18" s="639">
        <v>174681122.13900203</v>
      </c>
      <c r="N18" s="639">
        <v>178863073</v>
      </c>
      <c r="O18" s="639">
        <f>SUM(O19:O24)</f>
        <v>184988881.88316</v>
      </c>
      <c r="P18" s="639">
        <f>SUM(P19:P24)</f>
        <v>191008558.94767001</v>
      </c>
      <c r="Q18" s="639">
        <f>SUM(Q19:Q24)</f>
        <v>197923792.51152</v>
      </c>
      <c r="R18" s="639">
        <f>SUM(R19:R24)</f>
        <v>204609642.61201099</v>
      </c>
      <c r="S18" s="639">
        <f>SUM(S19:S24)</f>
        <v>213011083.71373001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</row>
    <row r="19" spans="1:33">
      <c r="A19" s="245"/>
      <c r="B19" s="245" t="s">
        <v>154</v>
      </c>
      <c r="C19" s="52"/>
      <c r="D19" s="52"/>
      <c r="E19" s="52"/>
      <c r="F19" s="52">
        <v>0</v>
      </c>
      <c r="G19" s="52">
        <v>0</v>
      </c>
      <c r="H19" s="52">
        <v>146653041</v>
      </c>
      <c r="I19" s="52">
        <v>0</v>
      </c>
      <c r="J19" s="52">
        <v>13567</v>
      </c>
      <c r="K19" s="52">
        <v>240147.053552044</v>
      </c>
      <c r="L19" s="52">
        <v>235930.43813947498</v>
      </c>
      <c r="M19" s="52">
        <v>246723.30232644998</v>
      </c>
      <c r="N19" s="52">
        <v>14369</v>
      </c>
      <c r="O19" s="52">
        <v>221158.88493000099</v>
      </c>
      <c r="P19" s="52">
        <v>475132.57199999999</v>
      </c>
      <c r="Q19" s="52">
        <v>176806.94378</v>
      </c>
      <c r="R19" s="52">
        <v>146851.964210754</v>
      </c>
      <c r="S19" s="52">
        <v>559152.70194000006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</row>
    <row r="20" spans="1:33">
      <c r="A20" s="245"/>
      <c r="B20" s="245" t="s">
        <v>155</v>
      </c>
      <c r="C20" s="52"/>
      <c r="D20" s="52"/>
      <c r="E20" s="52"/>
      <c r="F20" s="52">
        <v>1432249</v>
      </c>
      <c r="G20" s="52">
        <v>1403592</v>
      </c>
      <c r="H20" s="52">
        <v>1527465</v>
      </c>
      <c r="I20" s="52">
        <v>1479716</v>
      </c>
      <c r="J20" s="52">
        <v>1531921</v>
      </c>
      <c r="K20" s="52">
        <v>1203905.4990833499</v>
      </c>
      <c r="L20" s="52">
        <v>1154741.5219673801</v>
      </c>
      <c r="M20" s="52">
        <v>1160456.6569854701</v>
      </c>
      <c r="N20" s="52">
        <v>1022083</v>
      </c>
      <c r="O20" s="52">
        <v>1002411.1300499999</v>
      </c>
      <c r="P20" s="52">
        <v>1010721.18074</v>
      </c>
      <c r="Q20" s="52">
        <v>1012708.648</v>
      </c>
      <c r="R20" s="52">
        <v>984871.87899999996</v>
      </c>
      <c r="S20" s="52">
        <v>1016169.53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3">
      <c r="A21" s="245"/>
      <c r="B21" s="245" t="s">
        <v>156</v>
      </c>
      <c r="C21" s="52"/>
      <c r="D21" s="52"/>
      <c r="E21" s="52"/>
      <c r="F21" s="52">
        <v>137155461</v>
      </c>
      <c r="G21" s="52">
        <v>142228602</v>
      </c>
      <c r="H21" s="52">
        <v>0</v>
      </c>
      <c r="I21" s="52">
        <v>153916281</v>
      </c>
      <c r="J21" s="52">
        <v>158705290</v>
      </c>
      <c r="K21" s="52">
        <v>163633774.095945</v>
      </c>
      <c r="L21" s="52">
        <v>167334239.76486099</v>
      </c>
      <c r="M21" s="52">
        <v>171965040.3071</v>
      </c>
      <c r="N21" s="52">
        <v>176725834</v>
      </c>
      <c r="O21" s="52">
        <v>182643260.00033998</v>
      </c>
      <c r="P21" s="52">
        <v>188490243.61357</v>
      </c>
      <c r="Q21" s="52">
        <v>195686593.94999999</v>
      </c>
      <c r="R21" s="52">
        <v>202975010.70699999</v>
      </c>
      <c r="S21" s="52">
        <v>210317116.20199999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spans="1:33">
      <c r="A22" s="245"/>
      <c r="B22" s="245" t="s">
        <v>52</v>
      </c>
      <c r="C22" s="52"/>
      <c r="D22" s="52"/>
      <c r="E22" s="52"/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</row>
    <row r="23" spans="1:33">
      <c r="A23" s="538"/>
      <c r="B23" s="538" t="s">
        <v>157</v>
      </c>
      <c r="C23" s="52"/>
      <c r="D23" s="52"/>
      <c r="E23" s="52"/>
      <c r="F23" s="52">
        <v>593956</v>
      </c>
      <c r="G23" s="52">
        <v>600234</v>
      </c>
      <c r="H23" s="52">
        <v>605018</v>
      </c>
      <c r="I23" s="52">
        <v>873694</v>
      </c>
      <c r="J23" s="52">
        <v>870636</v>
      </c>
      <c r="K23" s="52">
        <v>887682.31350000005</v>
      </c>
      <c r="L23" s="52">
        <v>904505.9659500001</v>
      </c>
      <c r="M23" s="52">
        <v>917445.77533000009</v>
      </c>
      <c r="N23" s="52">
        <v>212737</v>
      </c>
      <c r="O23" s="52">
        <v>222845.807</v>
      </c>
      <c r="P23" s="52">
        <v>213869.27294999998</v>
      </c>
      <c r="Q23" s="52">
        <v>211598.141</v>
      </c>
      <c r="R23" s="52">
        <v>211328.997</v>
      </c>
      <c r="S23" s="52">
        <v>210029.16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</row>
    <row r="24" spans="1:33">
      <c r="A24" s="245"/>
      <c r="B24" s="245" t="s">
        <v>33</v>
      </c>
      <c r="C24" s="52"/>
      <c r="D24" s="52"/>
      <c r="E24" s="52"/>
      <c r="F24" s="52">
        <v>1063391</v>
      </c>
      <c r="G24" s="52">
        <v>1347385</v>
      </c>
      <c r="H24" s="52">
        <v>630345</v>
      </c>
      <c r="I24" s="52">
        <v>652065</v>
      </c>
      <c r="J24" s="52">
        <v>659573</v>
      </c>
      <c r="K24" s="52">
        <v>1088803.0349596143</v>
      </c>
      <c r="L24" s="52">
        <v>728013.28460016847</v>
      </c>
      <c r="M24" s="52">
        <v>391456.09726008773</v>
      </c>
      <c r="N24" s="52">
        <v>888050</v>
      </c>
      <c r="O24" s="52">
        <v>899206.06084001064</v>
      </c>
      <c r="P24" s="52">
        <v>818592.30841001868</v>
      </c>
      <c r="Q24" s="52">
        <v>836084.82874000072</v>
      </c>
      <c r="R24" s="52">
        <v>291579.06480023265</v>
      </c>
      <c r="S24" s="52">
        <v>908616.1197900176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3">
      <c r="A25" s="633"/>
      <c r="B25" s="633" t="s">
        <v>25</v>
      </c>
      <c r="C25" s="639"/>
      <c r="D25" s="639"/>
      <c r="E25" s="639"/>
      <c r="F25" s="639">
        <v>11933436</v>
      </c>
      <c r="G25" s="639">
        <v>12220642</v>
      </c>
      <c r="H25" s="639">
        <v>12597218</v>
      </c>
      <c r="I25" s="639">
        <v>11846560</v>
      </c>
      <c r="J25" s="639">
        <v>12392337</v>
      </c>
      <c r="K25" s="639">
        <v>12200253.420090001</v>
      </c>
      <c r="L25" s="639">
        <v>11836368.181430001</v>
      </c>
      <c r="M25" s="639">
        <v>12133090.795806</v>
      </c>
      <c r="N25" s="639">
        <v>12012646.04582</v>
      </c>
      <c r="O25" s="639">
        <v>12101417.30548</v>
      </c>
      <c r="P25" s="639">
        <v>12159552.844839999</v>
      </c>
      <c r="Q25" s="639">
        <v>12204211.444610002</v>
      </c>
      <c r="R25" s="639">
        <v>12261103.619580001</v>
      </c>
      <c r="S25" s="639">
        <v>12241963.53358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  <row r="26" spans="1:33"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  <row r="27" spans="1:33"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</row>
    <row r="28" spans="1:33"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</row>
    <row r="29" spans="1:33" ht="23.25">
      <c r="A29" s="74"/>
      <c r="B29" s="74" t="s">
        <v>94</v>
      </c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105"/>
      <c r="AG29" s="105"/>
    </row>
    <row r="30" spans="1:33" ht="10.35" customHeight="1"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</row>
    <row r="31" spans="1:33" ht="25.35" customHeight="1">
      <c r="A31" s="625"/>
      <c r="B31" s="625" t="s">
        <v>95</v>
      </c>
      <c r="C31" s="643">
        <v>44621</v>
      </c>
      <c r="D31" s="643">
        <v>44713</v>
      </c>
      <c r="E31" s="643">
        <v>44805</v>
      </c>
      <c r="F31" s="643">
        <v>44896</v>
      </c>
      <c r="G31" s="643">
        <v>44986</v>
      </c>
      <c r="H31" s="643">
        <v>45078</v>
      </c>
      <c r="I31" s="643">
        <v>45170</v>
      </c>
      <c r="J31" s="643" t="s">
        <v>158</v>
      </c>
      <c r="K31" s="643">
        <v>45352</v>
      </c>
      <c r="L31" s="643">
        <v>45444</v>
      </c>
      <c r="M31" s="643">
        <v>45536</v>
      </c>
      <c r="N31" s="643">
        <v>45627</v>
      </c>
      <c r="O31" s="643">
        <v>45717</v>
      </c>
      <c r="P31" s="643">
        <v>45809</v>
      </c>
      <c r="Q31" s="643">
        <v>45901</v>
      </c>
      <c r="R31" s="644">
        <v>45992</v>
      </c>
      <c r="S31" s="645">
        <v>46082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1:33">
      <c r="A32" s="633"/>
      <c r="B32" s="633" t="s">
        <v>5</v>
      </c>
      <c r="C32" s="639"/>
      <c r="D32" s="639"/>
      <c r="E32" s="639"/>
      <c r="F32" s="639">
        <v>2437869</v>
      </c>
      <c r="G32" s="639">
        <v>2610689</v>
      </c>
      <c r="H32" s="639">
        <v>2436145</v>
      </c>
      <c r="I32" s="639">
        <v>2795819</v>
      </c>
      <c r="J32" s="639">
        <v>3076904</v>
      </c>
      <c r="K32" s="639">
        <v>2393970.12293872</v>
      </c>
      <c r="L32" s="639">
        <v>2890084.764426</v>
      </c>
      <c r="M32" s="639">
        <v>2956164.7703319998</v>
      </c>
      <c r="N32" s="639">
        <v>3095143</v>
      </c>
      <c r="O32" s="639">
        <f>SUM(O33:O41)</f>
        <v>3273772.90369015</v>
      </c>
      <c r="P32" s="639">
        <f>SUM(P33:P41)</f>
        <v>3642910.8669801503</v>
      </c>
      <c r="Q32" s="639">
        <f>SUM(Q33:Q41)</f>
        <v>3980883.8774701501</v>
      </c>
      <c r="R32" s="639">
        <f>SUM(R33:R41)</f>
        <v>4182794.4201101498</v>
      </c>
      <c r="S32" s="639">
        <f>SUM(S33:S41)</f>
        <v>3837010.9102741499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</row>
    <row r="33" spans="1:31">
      <c r="A33" s="245"/>
      <c r="B33" s="245" t="s">
        <v>7</v>
      </c>
      <c r="C33" s="87"/>
      <c r="D33" s="87"/>
      <c r="E33" s="87"/>
      <c r="F33" s="87">
        <v>8281</v>
      </c>
      <c r="G33" s="87">
        <v>8563</v>
      </c>
      <c r="H33" s="87">
        <v>4994</v>
      </c>
      <c r="I33" s="87">
        <v>3998</v>
      </c>
      <c r="J33" s="87">
        <v>133</v>
      </c>
      <c r="K33" s="87">
        <v>193.95812000000501</v>
      </c>
      <c r="L33" s="87">
        <v>539.08443999999793</v>
      </c>
      <c r="M33" s="87">
        <v>34.026499999999999</v>
      </c>
      <c r="N33" s="87">
        <v>811.94089999994605</v>
      </c>
      <c r="O33" s="87">
        <v>37922.798520000004</v>
      </c>
      <c r="P33" s="87">
        <v>2583.8373799996398</v>
      </c>
      <c r="Q33" s="87">
        <v>2576.3314999999998</v>
      </c>
      <c r="R33" s="87">
        <v>89.421769999504107</v>
      </c>
      <c r="S33" s="87">
        <v>3477.8968800001098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</row>
    <row r="34" spans="1:31">
      <c r="A34" s="246"/>
      <c r="B34" s="246" t="s">
        <v>61</v>
      </c>
      <c r="C34" s="87"/>
      <c r="D34" s="87"/>
      <c r="E34" s="87"/>
      <c r="F34" s="87">
        <v>803500</v>
      </c>
      <c r="G34" s="87">
        <v>913336</v>
      </c>
      <c r="H34" s="87">
        <v>898313</v>
      </c>
      <c r="I34" s="87">
        <v>1089784</v>
      </c>
      <c r="J34" s="87">
        <v>1104425</v>
      </c>
      <c r="K34" s="87">
        <v>990699.65330453508</v>
      </c>
      <c r="L34" s="87">
        <v>1230636.81605</v>
      </c>
      <c r="M34" s="87">
        <v>1327352.7504799999</v>
      </c>
      <c r="N34" s="87">
        <v>1476410.8873099999</v>
      </c>
      <c r="O34" s="87">
        <v>1227264.26165</v>
      </c>
      <c r="P34" s="87">
        <v>1515712.74034</v>
      </c>
      <c r="Q34" s="87">
        <v>1710635.8702499999</v>
      </c>
      <c r="R34" s="87">
        <v>1649780.5750799999</v>
      </c>
      <c r="S34" s="87">
        <v>1440406.84849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</row>
    <row r="35" spans="1:31">
      <c r="A35" s="247"/>
      <c r="B35" s="247" t="s">
        <v>151</v>
      </c>
      <c r="C35" s="87"/>
      <c r="D35" s="87"/>
      <c r="E35" s="87"/>
      <c r="F35" s="87">
        <v>154160</v>
      </c>
      <c r="G35" s="87">
        <v>323969</v>
      </c>
      <c r="H35" s="87">
        <v>295236</v>
      </c>
      <c r="I35" s="87">
        <v>490539</v>
      </c>
      <c r="J35" s="87">
        <v>654563</v>
      </c>
      <c r="K35" s="87">
        <v>106036.31450418601</v>
      </c>
      <c r="L35" s="87">
        <v>374812.94373599999</v>
      </c>
      <c r="M35" s="87">
        <v>366242.66759199899</v>
      </c>
      <c r="N35" s="87">
        <v>363864.988532149</v>
      </c>
      <c r="O35" s="87">
        <v>778491.99553014699</v>
      </c>
      <c r="P35" s="87">
        <v>869634.30270014796</v>
      </c>
      <c r="Q35" s="87">
        <v>1033417.07167015</v>
      </c>
      <c r="R35" s="87">
        <v>1310886.7190501499</v>
      </c>
      <c r="S35" s="87">
        <v>1194575.6348341501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</row>
    <row r="36" spans="1:31">
      <c r="A36" s="11"/>
      <c r="B36" s="11" t="s">
        <v>152</v>
      </c>
      <c r="C36" s="87"/>
      <c r="D36" s="87"/>
      <c r="E36" s="87"/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</row>
    <row r="37" spans="1:31">
      <c r="A37" s="11"/>
      <c r="B37" s="11" t="s">
        <v>66</v>
      </c>
      <c r="C37" s="87"/>
      <c r="D37" s="87"/>
      <c r="E37" s="87"/>
      <c r="F37" s="87">
        <v>53117</v>
      </c>
      <c r="G37" s="87">
        <v>-29280</v>
      </c>
      <c r="H37" s="87">
        <v>-115770</v>
      </c>
      <c r="I37" s="87">
        <v>-119242</v>
      </c>
      <c r="J37" s="87">
        <v>3525</v>
      </c>
      <c r="K37" s="87">
        <v>4956.2747199999994</v>
      </c>
      <c r="L37" s="87">
        <v>6236.6505700000007</v>
      </c>
      <c r="M37" s="87">
        <v>5178.7424199999996</v>
      </c>
      <c r="N37" s="87">
        <v>5882</v>
      </c>
      <c r="O37" s="87">
        <v>3123.6754900000001</v>
      </c>
      <c r="P37" s="87">
        <v>5972.8932500000001</v>
      </c>
      <c r="Q37" s="87">
        <v>5810.4318800000001</v>
      </c>
      <c r="R37" s="87">
        <v>6623.7352699999992</v>
      </c>
      <c r="S37" s="87">
        <v>2938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</row>
    <row r="38" spans="1:31">
      <c r="A38" s="245"/>
      <c r="B38" s="245" t="s">
        <v>153</v>
      </c>
      <c r="C38" s="87"/>
      <c r="D38" s="87"/>
      <c r="E38" s="87"/>
      <c r="F38" s="87">
        <v>0</v>
      </c>
      <c r="G38" s="87">
        <v>0</v>
      </c>
      <c r="H38" s="87">
        <v>0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31">
      <c r="A39" s="245"/>
      <c r="B39" s="245" t="s">
        <v>76</v>
      </c>
      <c r="C39" s="87"/>
      <c r="D39" s="87"/>
      <c r="E39" s="87"/>
      <c r="F39" s="87">
        <v>0</v>
      </c>
      <c r="G39" s="87">
        <v>0</v>
      </c>
      <c r="H39" s="87">
        <v>0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</row>
    <row r="40" spans="1:31">
      <c r="A40" s="245"/>
      <c r="B40" s="245" t="s">
        <v>78</v>
      </c>
      <c r="C40" s="87"/>
      <c r="D40" s="87"/>
      <c r="E40" s="87"/>
      <c r="F40" s="87">
        <v>1415796</v>
      </c>
      <c r="G40" s="87">
        <v>1391127</v>
      </c>
      <c r="H40" s="87">
        <v>1350605</v>
      </c>
      <c r="I40" s="87">
        <v>1327607</v>
      </c>
      <c r="J40" s="87">
        <v>1311231</v>
      </c>
      <c r="K40" s="87">
        <v>1289267.2907199999</v>
      </c>
      <c r="L40" s="87">
        <v>1274729.9308399998</v>
      </c>
      <c r="M40" s="87">
        <v>1254057.64573</v>
      </c>
      <c r="N40" s="87">
        <v>1244942.07935</v>
      </c>
      <c r="O40" s="87">
        <v>1223786.71196</v>
      </c>
      <c r="P40" s="87">
        <v>1210356.7668699999</v>
      </c>
      <c r="Q40" s="87">
        <v>1187796.7389500001</v>
      </c>
      <c r="R40" s="87">
        <v>1170424.4258099999</v>
      </c>
      <c r="S40" s="87">
        <v>1149866.4160799999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>
      <c r="A41" s="245"/>
      <c r="B41" s="245" t="s">
        <v>13</v>
      </c>
      <c r="C41" s="52"/>
      <c r="D41" s="52"/>
      <c r="E41" s="52"/>
      <c r="F41" s="52">
        <v>3015</v>
      </c>
      <c r="G41" s="52">
        <v>2974</v>
      </c>
      <c r="H41" s="52">
        <v>2767</v>
      </c>
      <c r="I41" s="52">
        <v>3133</v>
      </c>
      <c r="J41" s="52">
        <v>3027</v>
      </c>
      <c r="K41" s="52">
        <v>2816.6315700020641</v>
      </c>
      <c r="L41" s="52">
        <v>3129.3387899999507</v>
      </c>
      <c r="M41" s="52">
        <v>3298.9376100008376</v>
      </c>
      <c r="N41" s="52">
        <v>3230.8778100009076</v>
      </c>
      <c r="O41" s="52">
        <v>3183.4605400031433</v>
      </c>
      <c r="P41" s="52">
        <v>38650.326440002769</v>
      </c>
      <c r="Q41" s="52">
        <v>40647.433220000006</v>
      </c>
      <c r="R41" s="52">
        <v>44989.543130000588</v>
      </c>
      <c r="S41" s="87">
        <v>45746.113989999518</v>
      </c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</row>
    <row r="42" spans="1:31">
      <c r="A42" s="633"/>
      <c r="B42" s="633" t="s">
        <v>101</v>
      </c>
      <c r="C42" s="639"/>
      <c r="D42" s="639"/>
      <c r="E42" s="639"/>
      <c r="F42" s="639">
        <v>819617</v>
      </c>
      <c r="G42" s="639">
        <v>862804</v>
      </c>
      <c r="H42" s="639">
        <v>510109</v>
      </c>
      <c r="I42" s="639">
        <v>758589</v>
      </c>
      <c r="J42" s="639">
        <v>1166442</v>
      </c>
      <c r="K42" s="639">
        <v>507290.32411785197</v>
      </c>
      <c r="L42" s="639">
        <v>1006562.07437785</v>
      </c>
      <c r="M42" s="639">
        <v>1014284.94479785</v>
      </c>
      <c r="N42" s="639">
        <v>1207985</v>
      </c>
      <c r="O42" s="639">
        <f>SUM(O43:O48)</f>
        <v>1263055.919522</v>
      </c>
      <c r="P42" s="639">
        <f>SUM(P43:P48)</f>
        <v>1428757.6164420005</v>
      </c>
      <c r="Q42" s="639">
        <f>SUM(Q43:Q48)</f>
        <v>1893734.4372640001</v>
      </c>
      <c r="R42" s="639">
        <f>SUM(R43:R48)</f>
        <v>2076698.3808639999</v>
      </c>
      <c r="S42" s="639">
        <f>SUM(S43:S48)</f>
        <v>1710420.004004</v>
      </c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</row>
    <row r="43" spans="1:31">
      <c r="A43" s="244"/>
      <c r="B43" s="244" t="s">
        <v>154</v>
      </c>
      <c r="C43" s="87"/>
      <c r="D43" s="87"/>
      <c r="E43" s="87"/>
      <c r="F43" s="87">
        <v>788587</v>
      </c>
      <c r="G43" s="87">
        <v>828564</v>
      </c>
      <c r="H43" s="87">
        <v>459969</v>
      </c>
      <c r="I43" s="87">
        <v>661134</v>
      </c>
      <c r="J43" s="87">
        <v>1016462</v>
      </c>
      <c r="K43" s="87">
        <v>231376.70325999902</v>
      </c>
      <c r="L43" s="87">
        <v>505219.75580000103</v>
      </c>
      <c r="M43" s="87">
        <v>513880.75003000099</v>
      </c>
      <c r="N43" s="87">
        <v>953971</v>
      </c>
      <c r="O43" s="87">
        <v>1264102.5225220001</v>
      </c>
      <c r="P43" s="87">
        <v>1388209.3973119999</v>
      </c>
      <c r="Q43" s="87">
        <v>1852630.4982040001</v>
      </c>
      <c r="R43" s="87">
        <v>2034669.539084</v>
      </c>
      <c r="S43" s="87">
        <v>1668193.1721940001</v>
      </c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</row>
    <row r="44" spans="1:31">
      <c r="A44" s="244"/>
      <c r="B44" s="244" t="s">
        <v>155</v>
      </c>
      <c r="C44" s="87"/>
      <c r="D44" s="87"/>
      <c r="E44" s="87"/>
      <c r="F44" s="87">
        <v>28939</v>
      </c>
      <c r="G44" s="87">
        <v>36044</v>
      </c>
      <c r="H44" s="87">
        <v>47597</v>
      </c>
      <c r="I44" s="87">
        <v>98147</v>
      </c>
      <c r="J44" s="87">
        <v>145406</v>
      </c>
      <c r="K44" s="87">
        <v>1506.9317599999999</v>
      </c>
      <c r="L44" s="87">
        <v>3219.6223399999999</v>
      </c>
      <c r="M44" s="87">
        <v>20.46997</v>
      </c>
      <c r="N44" s="87">
        <v>255041</v>
      </c>
      <c r="O44" s="87">
        <v>10570.192220000001</v>
      </c>
      <c r="P44" s="87">
        <v>57.904089999999997</v>
      </c>
      <c r="Q44" s="87">
        <v>185.56120000000001</v>
      </c>
      <c r="R44" s="87">
        <v>-4.36599</v>
      </c>
      <c r="S44" s="87">
        <v>183.85538</v>
      </c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</row>
    <row r="45" spans="1:31">
      <c r="A45" s="244"/>
      <c r="B45" s="244" t="s">
        <v>159</v>
      </c>
      <c r="C45" s="87"/>
      <c r="D45" s="87"/>
      <c r="E45" s="87"/>
      <c r="F45" s="87">
        <v>0</v>
      </c>
      <c r="G45" s="87">
        <v>0</v>
      </c>
      <c r="H45" s="87">
        <v>0</v>
      </c>
      <c r="I45" s="87">
        <v>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87">
        <v>0</v>
      </c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  <row r="46" spans="1:31">
      <c r="A46" s="244"/>
      <c r="B46" s="244" t="s">
        <v>52</v>
      </c>
      <c r="C46" s="87"/>
      <c r="D46" s="87"/>
      <c r="E46" s="87"/>
      <c r="F46" s="87">
        <v>0</v>
      </c>
      <c r="G46" s="87">
        <v>0</v>
      </c>
      <c r="H46" s="87">
        <v>0</v>
      </c>
      <c r="I46" s="87">
        <v>0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0</v>
      </c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</row>
    <row r="47" spans="1:31">
      <c r="A47" s="244"/>
      <c r="B47" s="244" t="s">
        <v>157</v>
      </c>
      <c r="C47" s="87"/>
      <c r="D47" s="87"/>
      <c r="E47" s="87"/>
      <c r="F47" s="87">
        <v>62</v>
      </c>
      <c r="G47" s="87">
        <v>149</v>
      </c>
      <c r="H47" s="87">
        <v>156</v>
      </c>
      <c r="I47" s="87">
        <v>242</v>
      </c>
      <c r="J47" s="87">
        <v>287</v>
      </c>
      <c r="K47" s="87">
        <v>391.65183000000002</v>
      </c>
      <c r="L47" s="87">
        <v>408.60025000000002</v>
      </c>
      <c r="M47" s="87">
        <v>333.64625000000001</v>
      </c>
      <c r="N47" s="87">
        <v>463.14833000000004</v>
      </c>
      <c r="O47" s="87">
        <v>518.96773999999994</v>
      </c>
      <c r="P47" s="87">
        <v>599.00578000000007</v>
      </c>
      <c r="Q47" s="87">
        <v>590.27436999999998</v>
      </c>
      <c r="R47" s="87">
        <v>801.05143999999996</v>
      </c>
      <c r="S47" s="87">
        <v>757.14118000000008</v>
      </c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</row>
    <row r="48" spans="1:31">
      <c r="A48" s="244"/>
      <c r="B48" s="244" t="s">
        <v>33</v>
      </c>
      <c r="C48" s="87"/>
      <c r="D48" s="87"/>
      <c r="E48" s="87"/>
      <c r="F48" s="87">
        <v>2029</v>
      </c>
      <c r="G48" s="87">
        <v>-1953</v>
      </c>
      <c r="H48" s="87">
        <v>2387</v>
      </c>
      <c r="I48" s="87">
        <v>-934</v>
      </c>
      <c r="J48" s="87">
        <v>4287</v>
      </c>
      <c r="K48" s="87">
        <v>274015.03726785304</v>
      </c>
      <c r="L48" s="87">
        <v>497714.095987849</v>
      </c>
      <c r="M48" s="87">
        <v>500050.07854784903</v>
      </c>
      <c r="N48" s="87">
        <v>-1490.0877400001045</v>
      </c>
      <c r="O48" s="87">
        <v>-12135.762960000196</v>
      </c>
      <c r="P48" s="87">
        <v>39891.309260000475</v>
      </c>
      <c r="Q48" s="87">
        <v>40328.103489999892</v>
      </c>
      <c r="R48" s="87">
        <v>41232.156329999911</v>
      </c>
      <c r="S48" s="87">
        <v>41285.835249999771</v>
      </c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</row>
    <row r="49" spans="1:31">
      <c r="A49" s="633"/>
      <c r="B49" s="633" t="s">
        <v>25</v>
      </c>
      <c r="C49" s="639"/>
      <c r="D49" s="639"/>
      <c r="E49" s="639"/>
      <c r="F49" s="639">
        <v>1618252</v>
      </c>
      <c r="G49" s="639">
        <v>1747885</v>
      </c>
      <c r="H49" s="639">
        <v>1926036</v>
      </c>
      <c r="I49" s="639">
        <v>2037230</v>
      </c>
      <c r="J49" s="639">
        <v>1910462</v>
      </c>
      <c r="K49" s="639">
        <v>1886679.79882087</v>
      </c>
      <c r="L49" s="639">
        <v>1883522.69004815</v>
      </c>
      <c r="M49" s="639">
        <v>1941879.8255341498</v>
      </c>
      <c r="N49" s="639">
        <v>1887158</v>
      </c>
      <c r="O49" s="639">
        <v>2010716.98416815</v>
      </c>
      <c r="P49" s="639">
        <v>2214153</v>
      </c>
      <c r="Q49" s="639">
        <v>2087149.4402061501</v>
      </c>
      <c r="R49" s="639">
        <v>2106096.0392461498</v>
      </c>
      <c r="S49" s="639">
        <v>2126591.4859601501</v>
      </c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</row>
    <row r="50" spans="1:31"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</row>
    <row r="51" spans="1:31"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0464-6C3C-47C5-9B99-94E5A9C1F18B}">
  <dimension ref="A1:AW129"/>
  <sheetViews>
    <sheetView showGridLines="0" showRowColHeaders="0" zoomScale="75" zoomScaleNormal="75" workbookViewId="0">
      <pane xSplit="3" topLeftCell="AJ1" activePane="topRight" state="frozen"/>
      <selection activeCell="M8" sqref="M8"/>
      <selection pane="topRight"/>
    </sheetView>
  </sheetViews>
  <sheetFormatPr defaultColWidth="36.5703125" defaultRowHeight="15"/>
  <cols>
    <col min="1" max="1" width="2.5703125" customWidth="1"/>
    <col min="2" max="2" width="70.7109375" customWidth="1"/>
    <col min="3" max="3" width="4" hidden="1" customWidth="1"/>
    <col min="4" max="40" width="18.5703125" customWidth="1"/>
    <col min="41" max="42" width="20.42578125" customWidth="1"/>
    <col min="43" max="43" width="24.42578125" customWidth="1"/>
  </cols>
  <sheetData>
    <row r="1" spans="1:49" ht="15" customHeight="1">
      <c r="A1" s="641"/>
      <c r="B1" s="641"/>
      <c r="C1" s="641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31"/>
      <c r="AN1" s="630"/>
    </row>
    <row r="2" spans="1:49" ht="15" customHeight="1">
      <c r="A2" s="641"/>
      <c r="B2" s="641"/>
      <c r="C2" s="64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32"/>
      <c r="AN2" s="630"/>
    </row>
    <row r="3" spans="1:49" ht="50.1" customHeight="1">
      <c r="A3" s="694"/>
      <c r="B3" s="767" t="s">
        <v>160</v>
      </c>
      <c r="C3" s="641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31"/>
      <c r="AN3" s="630"/>
    </row>
    <row r="4" spans="1:49" ht="10.35" customHeight="1">
      <c r="D4" s="8"/>
      <c r="E4" s="8"/>
      <c r="F4" s="8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</row>
    <row r="5" spans="1:49" ht="25.35" customHeight="1">
      <c r="A5" s="625"/>
      <c r="B5" s="625" t="s">
        <v>161</v>
      </c>
      <c r="C5" s="642"/>
      <c r="D5" s="643">
        <v>42825</v>
      </c>
      <c r="E5" s="643">
        <v>42916</v>
      </c>
      <c r="F5" s="643">
        <v>43008</v>
      </c>
      <c r="G5" s="643">
        <v>43100</v>
      </c>
      <c r="H5" s="643">
        <v>43190</v>
      </c>
      <c r="I5" s="643">
        <v>43281</v>
      </c>
      <c r="J5" s="643">
        <v>43373</v>
      </c>
      <c r="K5" s="643">
        <v>43465</v>
      </c>
      <c r="L5" s="643">
        <v>43555</v>
      </c>
      <c r="M5" s="643">
        <v>43646</v>
      </c>
      <c r="N5" s="643">
        <v>43738</v>
      </c>
      <c r="O5" s="643">
        <v>43830</v>
      </c>
      <c r="P5" s="643">
        <v>43921</v>
      </c>
      <c r="Q5" s="643">
        <v>44012</v>
      </c>
      <c r="R5" s="643">
        <v>44104</v>
      </c>
      <c r="S5" s="643">
        <v>44196</v>
      </c>
      <c r="T5" s="643">
        <v>44286</v>
      </c>
      <c r="U5" s="643">
        <v>44377</v>
      </c>
      <c r="V5" s="643">
        <v>44440</v>
      </c>
      <c r="W5" s="643">
        <v>44531</v>
      </c>
      <c r="X5" s="643">
        <v>44621</v>
      </c>
      <c r="Y5" s="643">
        <v>44713</v>
      </c>
      <c r="Z5" s="643">
        <v>44805</v>
      </c>
      <c r="AA5" s="643">
        <v>44896</v>
      </c>
      <c r="AB5" s="643">
        <v>44986</v>
      </c>
      <c r="AC5" s="643">
        <v>45078</v>
      </c>
      <c r="AD5" s="643">
        <v>45170</v>
      </c>
      <c r="AE5" s="643">
        <v>45261</v>
      </c>
      <c r="AF5" s="643">
        <v>45352</v>
      </c>
      <c r="AG5" s="643">
        <v>45444</v>
      </c>
      <c r="AH5" s="643">
        <v>45536</v>
      </c>
      <c r="AI5" s="643">
        <v>45627</v>
      </c>
      <c r="AJ5" s="643">
        <v>45717</v>
      </c>
      <c r="AK5" s="643">
        <v>45809</v>
      </c>
      <c r="AL5" s="643">
        <v>45901</v>
      </c>
      <c r="AM5" s="644">
        <v>45992</v>
      </c>
      <c r="AN5" s="751">
        <v>46082</v>
      </c>
    </row>
    <row r="6" spans="1:49" ht="14.25" customHeight="1">
      <c r="A6" s="633"/>
      <c r="B6" s="633" t="s">
        <v>5</v>
      </c>
      <c r="C6" s="647"/>
      <c r="D6" s="648">
        <v>12486369.556799987</v>
      </c>
      <c r="E6" s="648">
        <v>12125035.35967999</v>
      </c>
      <c r="F6" s="648">
        <v>12288566.850609994</v>
      </c>
      <c r="G6" s="648">
        <v>12872260.172449993</v>
      </c>
      <c r="H6" s="648">
        <v>13658121.199090002</v>
      </c>
      <c r="I6" s="648">
        <v>13712643.564649999</v>
      </c>
      <c r="J6" s="648">
        <v>13604081.268439997</v>
      </c>
      <c r="K6" s="648">
        <v>14598140.038940003</v>
      </c>
      <c r="L6" s="648">
        <v>15451817.680979999</v>
      </c>
      <c r="M6" s="648">
        <v>15810985.566500004</v>
      </c>
      <c r="N6" s="648">
        <v>16308365.029169993</v>
      </c>
      <c r="O6" s="648">
        <v>16713483.647220001</v>
      </c>
      <c r="P6" s="648">
        <v>17171316.24126</v>
      </c>
      <c r="Q6" s="648">
        <v>17511982.850959994</v>
      </c>
      <c r="R6" s="648">
        <v>10218192.204</v>
      </c>
      <c r="S6" s="648">
        <v>10221605.356369995</v>
      </c>
      <c r="T6" s="648">
        <v>10609407.125809999</v>
      </c>
      <c r="U6" s="648">
        <v>9759731.0891699959</v>
      </c>
      <c r="V6" s="634">
        <v>9167639.485880008</v>
      </c>
      <c r="W6" s="634">
        <v>9353664.8562399987</v>
      </c>
      <c r="X6" s="634">
        <v>9320936</v>
      </c>
      <c r="Y6" s="634">
        <v>9003671</v>
      </c>
      <c r="Z6" s="634">
        <v>9301505</v>
      </c>
      <c r="AA6" s="634">
        <v>9227653</v>
      </c>
      <c r="AB6" s="634">
        <v>9216106</v>
      </c>
      <c r="AC6" s="634">
        <v>9358768</v>
      </c>
      <c r="AD6" s="634">
        <v>9184859</v>
      </c>
      <c r="AE6" s="634">
        <v>10345318</v>
      </c>
      <c r="AF6" s="634">
        <v>10207081</v>
      </c>
      <c r="AG6" s="634">
        <v>9929278</v>
      </c>
      <c r="AH6" s="634">
        <v>10277597</v>
      </c>
      <c r="AI6" s="634">
        <v>10101261.362610001</v>
      </c>
      <c r="AJ6" s="634">
        <f>AJ7+AJ16</f>
        <v>9937894.0120000001</v>
      </c>
      <c r="AK6" s="634">
        <f>AK7+AK16</f>
        <v>10141029</v>
      </c>
      <c r="AL6" s="634">
        <f>AL7+AL16</f>
        <v>10543387.654999999</v>
      </c>
      <c r="AM6" s="634">
        <f>AM7+AM16</f>
        <v>10747981</v>
      </c>
      <c r="AN6" s="634">
        <f>AN7+AN16</f>
        <v>10832961</v>
      </c>
      <c r="AO6" s="8"/>
      <c r="AP6" s="8"/>
      <c r="AQ6" s="8"/>
      <c r="AR6" s="8"/>
      <c r="AS6" s="8"/>
      <c r="AT6" s="8"/>
      <c r="AU6" s="8"/>
      <c r="AV6" s="8"/>
      <c r="AW6" s="8"/>
    </row>
    <row r="7" spans="1:49">
      <c r="A7" s="64"/>
      <c r="B7" s="64" t="s">
        <v>40</v>
      </c>
      <c r="C7" s="64"/>
      <c r="D7" s="218">
        <v>8100587.3611699864</v>
      </c>
      <c r="E7" s="218">
        <v>7143365.2936499901</v>
      </c>
      <c r="F7" s="218">
        <v>5895382.6568399919</v>
      </c>
      <c r="G7" s="218">
        <v>5948030.8916899897</v>
      </c>
      <c r="H7" s="218">
        <v>9110785.9032000024</v>
      </c>
      <c r="I7" s="218">
        <v>8424433.8826100007</v>
      </c>
      <c r="J7" s="218">
        <v>8048573.9995699981</v>
      </c>
      <c r="K7" s="218">
        <v>8545514.059700001</v>
      </c>
      <c r="L7" s="218">
        <v>7003978.1485900003</v>
      </c>
      <c r="M7" s="218">
        <v>6652690.6723500015</v>
      </c>
      <c r="N7" s="218">
        <v>4814220.8380300021</v>
      </c>
      <c r="O7" s="218">
        <v>4518492.4382400028</v>
      </c>
      <c r="P7" s="218">
        <v>5429160.649240002</v>
      </c>
      <c r="Q7" s="218">
        <v>6657463.4419599995</v>
      </c>
      <c r="R7" s="218">
        <v>3605028.2958400012</v>
      </c>
      <c r="S7" s="218">
        <v>3340616.4619999952</v>
      </c>
      <c r="T7" s="218">
        <v>3674336.8310400001</v>
      </c>
      <c r="U7" s="218">
        <v>2977907.9249099954</v>
      </c>
      <c r="V7" s="219">
        <v>2460358.6981500071</v>
      </c>
      <c r="W7" s="219">
        <v>2551788.6331599974</v>
      </c>
      <c r="X7" s="219">
        <v>4149532</v>
      </c>
      <c r="Y7" s="219">
        <v>3586544</v>
      </c>
      <c r="Z7" s="219">
        <v>4252060</v>
      </c>
      <c r="AA7" s="219">
        <v>3287714</v>
      </c>
      <c r="AB7" s="219">
        <v>4390468</v>
      </c>
      <c r="AC7" s="219">
        <v>4069636</v>
      </c>
      <c r="AD7" s="219">
        <v>3878987</v>
      </c>
      <c r="AE7" s="219">
        <v>2148990</v>
      </c>
      <c r="AF7" s="219">
        <v>4807647</v>
      </c>
      <c r="AG7" s="219">
        <v>4052634</v>
      </c>
      <c r="AH7" s="219">
        <v>3768238</v>
      </c>
      <c r="AI7" s="219">
        <v>2586059.3626100002</v>
      </c>
      <c r="AJ7" s="219">
        <f>SUM(AJ8:AJ15)</f>
        <v>2647556.0119999996</v>
      </c>
      <c r="AK7" s="219">
        <f>SUM(AK8:AK15)</f>
        <v>3699550</v>
      </c>
      <c r="AL7" s="219">
        <f>SUM(AL8:AL15)</f>
        <v>3753346.9130000002</v>
      </c>
      <c r="AM7" s="219">
        <v>3888862</v>
      </c>
      <c r="AN7" s="219">
        <v>4314454</v>
      </c>
      <c r="AO7" s="8"/>
      <c r="AP7" s="8"/>
      <c r="AQ7" s="8"/>
      <c r="AR7" s="8"/>
      <c r="AS7" s="8"/>
      <c r="AT7" s="8"/>
      <c r="AU7" s="8"/>
      <c r="AV7" s="8"/>
      <c r="AW7" s="8"/>
    </row>
    <row r="8" spans="1:49">
      <c r="A8" s="11"/>
      <c r="B8" s="11" t="s">
        <v>89</v>
      </c>
      <c r="C8" s="66"/>
      <c r="D8" s="13">
        <v>44425.313829995248</v>
      </c>
      <c r="E8" s="13">
        <v>33420.916229995069</v>
      </c>
      <c r="F8" s="13">
        <v>16867.344859995126</v>
      </c>
      <c r="G8" s="13">
        <v>20226.367389995194</v>
      </c>
      <c r="H8" s="13">
        <v>3892.2436400036786</v>
      </c>
      <c r="I8" s="13">
        <v>8086.0774900033794</v>
      </c>
      <c r="J8" s="1">
        <v>23740.182379999707</v>
      </c>
      <c r="K8" s="1">
        <v>32093.900249999751</v>
      </c>
      <c r="L8" s="1">
        <v>25497.039799999897</v>
      </c>
      <c r="M8" s="1">
        <v>21860.296110000079</v>
      </c>
      <c r="N8" s="1">
        <v>17152.975410000305</v>
      </c>
      <c r="O8" s="1">
        <v>13522.454439999676</v>
      </c>
      <c r="P8" s="1">
        <v>7586.8469500003985</v>
      </c>
      <c r="Q8" s="1">
        <v>47885.307110000664</v>
      </c>
      <c r="R8" s="1">
        <v>7849.8056400002297</v>
      </c>
      <c r="S8" s="1">
        <v>3897.9805800002678</v>
      </c>
      <c r="T8" s="1">
        <v>5351.700179999365</v>
      </c>
      <c r="U8" s="1">
        <v>7636.532059999392</v>
      </c>
      <c r="V8" s="1">
        <v>216.25338999948534</v>
      </c>
      <c r="W8" s="1">
        <v>9648.2408999998443</v>
      </c>
      <c r="X8" s="1">
        <v>14118</v>
      </c>
      <c r="Y8" s="1">
        <v>33801</v>
      </c>
      <c r="Z8" s="1">
        <v>10281</v>
      </c>
      <c r="AA8" s="1">
        <v>16689</v>
      </c>
      <c r="AB8" s="1">
        <v>4432</v>
      </c>
      <c r="AC8" s="1">
        <v>11233</v>
      </c>
      <c r="AD8" s="1">
        <v>12725</v>
      </c>
      <c r="AE8" s="1">
        <v>10960</v>
      </c>
      <c r="AF8" s="1">
        <v>9637</v>
      </c>
      <c r="AG8" s="1">
        <v>12842</v>
      </c>
      <c r="AH8" s="1">
        <v>11679</v>
      </c>
      <c r="AI8" s="1">
        <v>10020.113759999935</v>
      </c>
      <c r="AJ8" s="1">
        <v>9440</v>
      </c>
      <c r="AK8" s="1">
        <v>7050</v>
      </c>
      <c r="AL8" s="1">
        <v>517771</v>
      </c>
      <c r="AM8" s="1">
        <v>443749</v>
      </c>
      <c r="AN8" s="1">
        <v>255955</v>
      </c>
      <c r="AO8" s="8"/>
      <c r="AP8" s="8"/>
      <c r="AQ8" s="8"/>
      <c r="AR8" s="8"/>
      <c r="AS8" s="8"/>
      <c r="AT8" s="8"/>
      <c r="AU8" s="8"/>
      <c r="AV8" s="8"/>
      <c r="AW8" s="8"/>
    </row>
    <row r="9" spans="1:49">
      <c r="A9" s="11"/>
      <c r="B9" s="11" t="s">
        <v>71</v>
      </c>
      <c r="C9" s="66"/>
      <c r="D9" s="13">
        <v>5112386.3913999982</v>
      </c>
      <c r="E9" s="13">
        <v>3922340.73141</v>
      </c>
      <c r="F9" s="13">
        <v>3304406.4298599996</v>
      </c>
      <c r="G9" s="13">
        <v>3816946.8379299995</v>
      </c>
      <c r="H9" s="13">
        <v>6263961.1487900019</v>
      </c>
      <c r="I9" s="13">
        <v>5413960.7867900003</v>
      </c>
      <c r="J9" s="1">
        <v>5888217.4420699999</v>
      </c>
      <c r="K9" s="1">
        <v>6069552.7258300018</v>
      </c>
      <c r="L9" s="1">
        <v>3706275.7620499996</v>
      </c>
      <c r="M9" s="1">
        <v>2736918.57565</v>
      </c>
      <c r="N9" s="1">
        <v>1741025.9034299997</v>
      </c>
      <c r="O9" s="1">
        <v>1984680.6622400002</v>
      </c>
      <c r="P9" s="1">
        <v>2061912.1683400003</v>
      </c>
      <c r="Q9" s="1">
        <v>3260408.6839599996</v>
      </c>
      <c r="R9" s="1">
        <v>1504289.8182700004</v>
      </c>
      <c r="S9" s="1">
        <v>1154025.3031199998</v>
      </c>
      <c r="T9" s="1">
        <v>1217738.6118100001</v>
      </c>
      <c r="U9" s="1">
        <v>574171.57591000001</v>
      </c>
      <c r="V9" s="1">
        <v>829332.67037999991</v>
      </c>
      <c r="W9" s="1">
        <v>1062619.3810399999</v>
      </c>
      <c r="X9" s="1">
        <v>2559702</v>
      </c>
      <c r="Y9" s="1">
        <v>2077168</v>
      </c>
      <c r="Z9" s="1">
        <v>2825295</v>
      </c>
      <c r="AA9" s="1">
        <v>2029143</v>
      </c>
      <c r="AB9" s="1">
        <v>3140413</v>
      </c>
      <c r="AC9" s="1">
        <v>2805718</v>
      </c>
      <c r="AD9" s="1">
        <v>2775027</v>
      </c>
      <c r="AE9" s="1">
        <v>1053871</v>
      </c>
      <c r="AF9" s="1">
        <v>3688154</v>
      </c>
      <c r="AG9" s="1">
        <v>2742799</v>
      </c>
      <c r="AH9" s="1">
        <v>2429748</v>
      </c>
      <c r="AI9" s="1">
        <v>1672008.55831</v>
      </c>
      <c r="AJ9" s="1">
        <v>1769556</v>
      </c>
      <c r="AK9" s="1">
        <v>2905484</v>
      </c>
      <c r="AL9" s="1">
        <v>2445252</v>
      </c>
      <c r="AM9" s="1">
        <v>2530646</v>
      </c>
      <c r="AN9" s="1">
        <v>3125309</v>
      </c>
      <c r="AO9" s="8"/>
      <c r="AP9" s="8"/>
      <c r="AQ9" s="8"/>
      <c r="AR9" s="8"/>
      <c r="AS9" s="8"/>
      <c r="AT9" s="8"/>
      <c r="AU9" s="8"/>
      <c r="AV9" s="8"/>
      <c r="AW9" s="8"/>
    </row>
    <row r="10" spans="1:49">
      <c r="A10" s="11"/>
      <c r="B10" s="11" t="s">
        <v>90</v>
      </c>
      <c r="C10" s="66"/>
      <c r="D10" s="13">
        <v>1361621.6387999996</v>
      </c>
      <c r="E10" s="13">
        <v>1508544.0174100006</v>
      </c>
      <c r="F10" s="13">
        <v>1617102.7315500011</v>
      </c>
      <c r="G10" s="13">
        <v>1037256.5357100003</v>
      </c>
      <c r="H10" s="13">
        <v>1166581.4521800003</v>
      </c>
      <c r="I10" s="13">
        <v>1207211.8256600001</v>
      </c>
      <c r="J10" s="1">
        <v>1013188.5089700001</v>
      </c>
      <c r="K10" s="1">
        <v>1135507.6570600003</v>
      </c>
      <c r="L10" s="1">
        <v>1220418.8157300004</v>
      </c>
      <c r="M10" s="1">
        <v>1828379.0650699998</v>
      </c>
      <c r="N10" s="1">
        <v>1932298.5042699997</v>
      </c>
      <c r="O10" s="1">
        <v>1268797.5797100004</v>
      </c>
      <c r="P10" s="1">
        <v>1378511.2581499999</v>
      </c>
      <c r="Q10" s="1">
        <v>1349482.85944</v>
      </c>
      <c r="R10" s="1">
        <v>1168864.96483</v>
      </c>
      <c r="S10" s="1">
        <v>1197038.7726300003</v>
      </c>
      <c r="T10" s="1">
        <v>1249271.4441099993</v>
      </c>
      <c r="U10" s="1">
        <v>1130841.9352200001</v>
      </c>
      <c r="V10" s="1">
        <v>1129763.9501599995</v>
      </c>
      <c r="W10" s="1">
        <v>1148772.0539300004</v>
      </c>
      <c r="X10" s="1">
        <v>1196390</v>
      </c>
      <c r="Y10" s="1">
        <v>1164125</v>
      </c>
      <c r="Z10" s="1">
        <v>1092884</v>
      </c>
      <c r="AA10" s="1">
        <v>811503</v>
      </c>
      <c r="AB10" s="1">
        <v>837353</v>
      </c>
      <c r="AC10" s="1">
        <v>799581</v>
      </c>
      <c r="AD10" s="1">
        <v>672373</v>
      </c>
      <c r="AE10" s="1">
        <v>640219</v>
      </c>
      <c r="AF10" s="1">
        <v>653806</v>
      </c>
      <c r="AG10" s="1">
        <v>737719</v>
      </c>
      <c r="AH10" s="1">
        <v>853415</v>
      </c>
      <c r="AI10" s="1">
        <v>682505.69054000021</v>
      </c>
      <c r="AJ10" s="1">
        <v>658151</v>
      </c>
      <c r="AK10" s="1">
        <v>581966</v>
      </c>
      <c r="AL10" s="1">
        <v>594462</v>
      </c>
      <c r="AM10" s="1">
        <v>691971</v>
      </c>
      <c r="AN10" s="1">
        <v>673428</v>
      </c>
      <c r="AO10" s="8"/>
      <c r="AP10" s="8"/>
      <c r="AQ10" s="8"/>
      <c r="AR10" s="8"/>
      <c r="AS10" s="8"/>
      <c r="AT10" s="8"/>
      <c r="AU10" s="8"/>
      <c r="AV10" s="8"/>
      <c r="AW10" s="8"/>
    </row>
    <row r="11" spans="1:49">
      <c r="A11" s="11"/>
      <c r="B11" s="11" t="s">
        <v>73</v>
      </c>
      <c r="C11" s="66"/>
      <c r="D11" s="13">
        <v>170690.86715999999</v>
      </c>
      <c r="E11" s="13">
        <v>167987.40124000001</v>
      </c>
      <c r="F11" s="13">
        <v>176781.56617999988</v>
      </c>
      <c r="G11" s="13">
        <v>177981.86509999997</v>
      </c>
      <c r="H11" s="13">
        <v>197549.03864999989</v>
      </c>
      <c r="I11" s="13">
        <v>197932.40734999991</v>
      </c>
      <c r="J11" s="1">
        <v>218244.55329999994</v>
      </c>
      <c r="K11" s="1">
        <v>222912.52811999997</v>
      </c>
      <c r="L11" s="1">
        <v>194824.78176000001</v>
      </c>
      <c r="M11" s="1">
        <v>160121.69035999995</v>
      </c>
      <c r="N11" s="1">
        <v>154709.27332000009</v>
      </c>
      <c r="O11" s="1">
        <v>166969.51617000013</v>
      </c>
      <c r="P11" s="1">
        <v>168927.96643000012</v>
      </c>
      <c r="Q11" s="1">
        <v>108946.08789000011</v>
      </c>
      <c r="R11" s="1">
        <v>98839.082619999986</v>
      </c>
      <c r="S11" s="1">
        <v>81119.842930000057</v>
      </c>
      <c r="T11" s="1">
        <v>96976.976739999998</v>
      </c>
      <c r="U11" s="1">
        <v>83850.675630000012</v>
      </c>
      <c r="V11" s="1">
        <v>38841.358590000018</v>
      </c>
      <c r="W11" s="1">
        <v>26723.837520000001</v>
      </c>
      <c r="X11" s="1">
        <v>24189</v>
      </c>
      <c r="Y11" s="1">
        <v>34922</v>
      </c>
      <c r="Z11" s="1">
        <v>29887</v>
      </c>
      <c r="AA11" s="1">
        <v>23258</v>
      </c>
      <c r="AB11" s="1">
        <v>15065</v>
      </c>
      <c r="AC11" s="1">
        <v>27656</v>
      </c>
      <c r="AD11" s="1">
        <v>21340</v>
      </c>
      <c r="AE11" s="1">
        <v>18193</v>
      </c>
      <c r="AF11" s="1">
        <v>14237</v>
      </c>
      <c r="AG11" s="1">
        <v>122348</v>
      </c>
      <c r="AH11" s="1">
        <v>46369</v>
      </c>
      <c r="AI11" s="1">
        <v>25507</v>
      </c>
      <c r="AJ11" s="1">
        <v>15551</v>
      </c>
      <c r="AK11" s="1">
        <v>43622</v>
      </c>
      <c r="AL11" s="1">
        <v>33151</v>
      </c>
      <c r="AM11" s="1">
        <v>22357</v>
      </c>
      <c r="AN11" s="1">
        <v>14334</v>
      </c>
      <c r="AO11" s="8"/>
      <c r="AP11" s="8"/>
      <c r="AQ11" s="8"/>
      <c r="AR11" s="8"/>
      <c r="AS11" s="8"/>
      <c r="AT11" s="8"/>
      <c r="AU11" s="8"/>
      <c r="AV11" s="8"/>
      <c r="AW11" s="8"/>
    </row>
    <row r="12" spans="1:49">
      <c r="A12" s="11"/>
      <c r="B12" s="11" t="s">
        <v>72</v>
      </c>
      <c r="C12" s="66"/>
      <c r="D12" s="13">
        <v>1039370.284269994</v>
      </c>
      <c r="E12" s="13">
        <v>1126793.6283399947</v>
      </c>
      <c r="F12" s="13">
        <v>332295.66191999445</v>
      </c>
      <c r="G12" s="13">
        <v>406844.70640999457</v>
      </c>
      <c r="H12" s="13">
        <v>984083.94739999843</v>
      </c>
      <c r="I12" s="13">
        <v>1085722.8788399976</v>
      </c>
      <c r="J12" s="110">
        <v>384303.29887999728</v>
      </c>
      <c r="K12" s="110">
        <v>538232.0824300003</v>
      </c>
      <c r="L12" s="110">
        <v>1278781.9636799998</v>
      </c>
      <c r="M12" s="110">
        <v>1309220.0934100018</v>
      </c>
      <c r="N12" s="110">
        <v>364344.82699000242</v>
      </c>
      <c r="O12" s="110">
        <v>444241.35629000224</v>
      </c>
      <c r="P12" s="110">
        <v>1178289.902410001</v>
      </c>
      <c r="Q12" s="110">
        <v>1264082.2770599981</v>
      </c>
      <c r="R12" s="110">
        <v>717083.02521000081</v>
      </c>
      <c r="S12" s="110">
        <v>786823.4822699948</v>
      </c>
      <c r="T12" s="110">
        <v>990567.69854000467</v>
      </c>
      <c r="U12" s="110">
        <v>1078476.718959996</v>
      </c>
      <c r="V12" s="110">
        <v>368383.10204000829</v>
      </c>
      <c r="W12" s="110">
        <v>217038.83017999737</v>
      </c>
      <c r="X12" s="110">
        <v>249834</v>
      </c>
      <c r="Y12" s="110">
        <v>190570</v>
      </c>
      <c r="Z12" s="110">
        <v>214357</v>
      </c>
      <c r="AA12" s="110">
        <v>343146</v>
      </c>
      <c r="AB12" s="110">
        <v>317905</v>
      </c>
      <c r="AC12" s="110">
        <v>367102</v>
      </c>
      <c r="AD12" s="110">
        <v>347272</v>
      </c>
      <c r="AE12" s="110">
        <v>381613</v>
      </c>
      <c r="AF12" s="110">
        <v>397423</v>
      </c>
      <c r="AG12" s="110">
        <v>386714</v>
      </c>
      <c r="AH12" s="110">
        <v>374539</v>
      </c>
      <c r="AI12" s="110">
        <v>151515</v>
      </c>
      <c r="AJ12" s="110">
        <v>150423.67199999999</v>
      </c>
      <c r="AK12" s="110">
        <v>119391</v>
      </c>
      <c r="AL12" s="110">
        <v>127831.83900000001</v>
      </c>
      <c r="AM12" s="110">
        <v>162227</v>
      </c>
      <c r="AN12" s="1">
        <v>170311</v>
      </c>
      <c r="AO12" s="8"/>
      <c r="AP12" s="8"/>
      <c r="AQ12" s="8"/>
      <c r="AR12" s="8"/>
      <c r="AS12" s="8"/>
      <c r="AT12" s="8"/>
      <c r="AU12" s="8"/>
      <c r="AV12" s="8"/>
      <c r="AW12" s="8"/>
    </row>
    <row r="13" spans="1:49">
      <c r="A13" s="11"/>
      <c r="B13" s="11" t="s">
        <v>74</v>
      </c>
      <c r="C13" s="66"/>
      <c r="D13" s="13">
        <v>12515.538949999984</v>
      </c>
      <c r="E13" s="13">
        <v>14877.000509999991</v>
      </c>
      <c r="F13" s="13">
        <v>13616.120179999989</v>
      </c>
      <c r="G13" s="13">
        <v>13869.908239999984</v>
      </c>
      <c r="H13" s="13">
        <v>15740.873940000003</v>
      </c>
      <c r="I13" s="13">
        <v>17367.177050000002</v>
      </c>
      <c r="J13" s="110">
        <v>14952.415170000002</v>
      </c>
      <c r="K13" s="110">
        <v>14919.134989999999</v>
      </c>
      <c r="L13" s="110">
        <v>16383.886650000002</v>
      </c>
      <c r="M13" s="110">
        <v>15437.169620000001</v>
      </c>
      <c r="N13" s="110">
        <v>13460.372429999998</v>
      </c>
      <c r="O13" s="110">
        <v>12818.9535</v>
      </c>
      <c r="P13" s="110">
        <v>14803.445659999998</v>
      </c>
      <c r="Q13" s="110">
        <v>18861.825949999999</v>
      </c>
      <c r="R13" s="110">
        <v>15533.73618</v>
      </c>
      <c r="S13" s="110">
        <v>19042.921009999998</v>
      </c>
      <c r="T13" s="110">
        <v>19051.723989999995</v>
      </c>
      <c r="U13" s="110">
        <v>19647.389459999999</v>
      </c>
      <c r="V13" s="110">
        <v>18405.145340000003</v>
      </c>
      <c r="W13" s="110">
        <v>18161.077729999997</v>
      </c>
      <c r="X13" s="110">
        <v>28100</v>
      </c>
      <c r="Y13" s="110">
        <v>35193</v>
      </c>
      <c r="Z13" s="110">
        <v>33842</v>
      </c>
      <c r="AA13" s="110">
        <v>23884</v>
      </c>
      <c r="AB13" s="110">
        <v>28815</v>
      </c>
      <c r="AC13" s="110">
        <v>23355</v>
      </c>
      <c r="AD13" s="110">
        <v>22356</v>
      </c>
      <c r="AE13" s="110">
        <v>18371</v>
      </c>
      <c r="AF13" s="110">
        <v>19593</v>
      </c>
      <c r="AG13" s="110">
        <v>23346</v>
      </c>
      <c r="AH13" s="110">
        <v>23440</v>
      </c>
      <c r="AI13" s="110">
        <v>20280</v>
      </c>
      <c r="AJ13" s="110">
        <v>23545</v>
      </c>
      <c r="AK13" s="110">
        <v>21110</v>
      </c>
      <c r="AL13" s="110">
        <v>17574</v>
      </c>
      <c r="AM13" s="110">
        <v>13757</v>
      </c>
      <c r="AN13" s="1">
        <v>18586</v>
      </c>
      <c r="AO13" s="8"/>
      <c r="AP13" s="8"/>
      <c r="AQ13" s="8"/>
      <c r="AS13" s="8"/>
      <c r="AT13" s="8"/>
      <c r="AU13" s="8"/>
      <c r="AV13" s="8"/>
      <c r="AW13" s="8"/>
    </row>
    <row r="14" spans="1:49">
      <c r="A14" s="11"/>
      <c r="B14" s="11" t="s">
        <v>162</v>
      </c>
      <c r="C14" s="66"/>
      <c r="D14" s="13">
        <v>7862.3918200000253</v>
      </c>
      <c r="E14" s="13">
        <v>11507.669470000023</v>
      </c>
      <c r="F14" s="13">
        <v>6709.6623100000197</v>
      </c>
      <c r="G14" s="13">
        <v>12474.223730000022</v>
      </c>
      <c r="H14" s="13">
        <v>12930.280710000034</v>
      </c>
      <c r="I14" s="13">
        <v>11692.731710000024</v>
      </c>
      <c r="J14" s="110">
        <v>6239.8168499999983</v>
      </c>
      <c r="K14" s="110">
        <v>20409.360319999996</v>
      </c>
      <c r="L14" s="110">
        <v>16891.109549999994</v>
      </c>
      <c r="M14" s="110">
        <v>13481.519819999992</v>
      </c>
      <c r="N14" s="110">
        <v>10144.919739999996</v>
      </c>
      <c r="O14" s="110">
        <v>14236.522079999999</v>
      </c>
      <c r="P14" s="110">
        <v>12961.072540000001</v>
      </c>
      <c r="Q14" s="110">
        <v>12580.615290000002</v>
      </c>
      <c r="R14" s="110">
        <v>8409.310390000006</v>
      </c>
      <c r="S14" s="110">
        <v>12280.241410000022</v>
      </c>
      <c r="T14" s="110">
        <v>12587.990019999987</v>
      </c>
      <c r="U14" s="110">
        <v>11820.495500000005</v>
      </c>
      <c r="V14" s="110">
        <v>12448.831520000029</v>
      </c>
      <c r="W14" s="110">
        <v>12417.711799999997</v>
      </c>
      <c r="X14" s="110">
        <v>18086</v>
      </c>
      <c r="Y14" s="110">
        <v>15958</v>
      </c>
      <c r="Z14" s="110">
        <v>14523</v>
      </c>
      <c r="AA14" s="110">
        <v>10533</v>
      </c>
      <c r="AB14" s="110">
        <v>12423</v>
      </c>
      <c r="AC14" s="110">
        <v>10867</v>
      </c>
      <c r="AD14" s="110">
        <v>7053</v>
      </c>
      <c r="AE14" s="110">
        <v>6312</v>
      </c>
      <c r="AF14" s="110">
        <v>5553</v>
      </c>
      <c r="AG14" s="110">
        <v>8121</v>
      </c>
      <c r="AH14" s="110">
        <v>12575</v>
      </c>
      <c r="AI14" s="110">
        <v>10145</v>
      </c>
      <c r="AJ14" s="110">
        <v>9723.34</v>
      </c>
      <c r="AK14" s="110">
        <v>11731</v>
      </c>
      <c r="AL14" s="110">
        <v>7727.0739999999996</v>
      </c>
      <c r="AM14" s="110">
        <v>11007</v>
      </c>
      <c r="AN14" s="1">
        <v>37231</v>
      </c>
      <c r="AO14" s="8"/>
      <c r="AP14" s="8"/>
      <c r="AQ14" s="8"/>
      <c r="AR14" s="8"/>
      <c r="AS14" s="8"/>
      <c r="AT14" s="8"/>
      <c r="AU14" s="8"/>
      <c r="AV14" s="8"/>
      <c r="AW14" s="8"/>
    </row>
    <row r="15" spans="1:49">
      <c r="A15" s="11"/>
      <c r="B15" s="11" t="s">
        <v>91</v>
      </c>
      <c r="C15" s="66"/>
      <c r="D15" s="13">
        <v>351714.93494000012</v>
      </c>
      <c r="E15" s="13">
        <v>357893.92904000025</v>
      </c>
      <c r="F15" s="13">
        <v>427603.13998000044</v>
      </c>
      <c r="G15" s="13">
        <v>462430.4471799999</v>
      </c>
      <c r="H15" s="13">
        <v>466046.91788999981</v>
      </c>
      <c r="I15" s="13">
        <v>482459.99772000004</v>
      </c>
      <c r="J15" s="110">
        <v>499687.78194999998</v>
      </c>
      <c r="K15" s="110">
        <v>511886.67070000008</v>
      </c>
      <c r="L15" s="110">
        <v>544904.78937000001</v>
      </c>
      <c r="M15" s="110">
        <v>567272.26231000014</v>
      </c>
      <c r="N15" s="110">
        <v>581084.06244000001</v>
      </c>
      <c r="O15" s="110">
        <v>613225.39380999992</v>
      </c>
      <c r="P15" s="110">
        <v>606167.98875999998</v>
      </c>
      <c r="Q15" s="110">
        <v>595215.7852599998</v>
      </c>
      <c r="R15" s="110">
        <v>84158.552699999986</v>
      </c>
      <c r="S15" s="110">
        <v>86387.918050000037</v>
      </c>
      <c r="T15" s="110">
        <v>82790.685650000014</v>
      </c>
      <c r="U15" s="110">
        <v>71462.602169999984</v>
      </c>
      <c r="V15" s="110">
        <v>62967.386730000006</v>
      </c>
      <c r="W15" s="110">
        <v>56407.500059999977</v>
      </c>
      <c r="X15" s="110">
        <v>59113</v>
      </c>
      <c r="Y15" s="110">
        <v>34807</v>
      </c>
      <c r="Z15" s="110">
        <v>30991</v>
      </c>
      <c r="AA15" s="110">
        <v>29558</v>
      </c>
      <c r="AB15" s="110">
        <v>34062</v>
      </c>
      <c r="AC15" s="110">
        <v>24124</v>
      </c>
      <c r="AD15" s="110">
        <v>20841</v>
      </c>
      <c r="AE15" s="110">
        <v>19451</v>
      </c>
      <c r="AF15" s="110">
        <v>19244</v>
      </c>
      <c r="AG15" s="110">
        <v>18745</v>
      </c>
      <c r="AH15" s="110">
        <v>16473</v>
      </c>
      <c r="AI15" s="110">
        <v>14078</v>
      </c>
      <c r="AJ15" s="110">
        <v>11166</v>
      </c>
      <c r="AK15" s="110">
        <v>9196</v>
      </c>
      <c r="AL15" s="110">
        <v>9578</v>
      </c>
      <c r="AM15" s="110">
        <v>13148</v>
      </c>
      <c r="AN15" s="1">
        <v>19300</v>
      </c>
      <c r="AO15" s="8"/>
      <c r="AP15" s="8"/>
      <c r="AQ15" s="8"/>
      <c r="AR15" s="8"/>
      <c r="AS15" s="8"/>
      <c r="AT15" s="8"/>
      <c r="AU15" s="8"/>
      <c r="AV15" s="8"/>
      <c r="AW15" s="8"/>
    </row>
    <row r="16" spans="1:49">
      <c r="A16" s="289"/>
      <c r="B16" s="289" t="s">
        <v>47</v>
      </c>
      <c r="C16" s="289"/>
      <c r="D16" s="111">
        <v>4385782.19563</v>
      </c>
      <c r="E16" s="111">
        <v>4981670.0660299994</v>
      </c>
      <c r="F16" s="111">
        <v>6393184.1937700007</v>
      </c>
      <c r="G16" s="111">
        <v>6924229.2807600033</v>
      </c>
      <c r="H16" s="111">
        <v>4547335.2958899997</v>
      </c>
      <c r="I16" s="111">
        <v>5288209.6820399994</v>
      </c>
      <c r="J16" s="111">
        <v>5555507.2688699989</v>
      </c>
      <c r="K16" s="111">
        <v>6052625.9792399993</v>
      </c>
      <c r="L16" s="111">
        <v>8447839.5323900003</v>
      </c>
      <c r="M16" s="111">
        <v>9158294.8941500019</v>
      </c>
      <c r="N16" s="111">
        <v>11494144.191139994</v>
      </c>
      <c r="O16" s="111">
        <v>12194991.208979998</v>
      </c>
      <c r="P16" s="111">
        <v>11742155.592019999</v>
      </c>
      <c r="Q16" s="111">
        <v>10854519.408999996</v>
      </c>
      <c r="R16" s="111">
        <v>6613163.9081600001</v>
      </c>
      <c r="S16" s="111">
        <v>6880988.8943699999</v>
      </c>
      <c r="T16" s="111">
        <v>6935070.2947699996</v>
      </c>
      <c r="U16" s="111">
        <v>6781823.16426</v>
      </c>
      <c r="V16" s="77">
        <v>6707280.7877300009</v>
      </c>
      <c r="W16" s="77">
        <v>6801876.2230799999</v>
      </c>
      <c r="X16" s="77">
        <v>5171404</v>
      </c>
      <c r="Y16" s="77">
        <v>5417127</v>
      </c>
      <c r="Z16" s="77">
        <v>5049445</v>
      </c>
      <c r="AA16" s="77">
        <v>5939939</v>
      </c>
      <c r="AB16" s="77">
        <v>4825638</v>
      </c>
      <c r="AC16" s="77">
        <v>5289132</v>
      </c>
      <c r="AD16" s="77">
        <v>5305872</v>
      </c>
      <c r="AE16" s="77">
        <v>8196328</v>
      </c>
      <c r="AF16" s="77">
        <v>5399434</v>
      </c>
      <c r="AG16" s="77">
        <v>5876643</v>
      </c>
      <c r="AH16" s="77">
        <v>6509359</v>
      </c>
      <c r="AI16" s="77">
        <v>7515202</v>
      </c>
      <c r="AJ16" s="77">
        <f>AJ17+AJ24+AJ25+AJ26</f>
        <v>7290338</v>
      </c>
      <c r="AK16" s="77">
        <f>AK17+AK24+AK25+AK26</f>
        <v>6441479</v>
      </c>
      <c r="AL16" s="77">
        <f>AL17+AL24+AL25+AL26</f>
        <v>6790040.7419999996</v>
      </c>
      <c r="AM16" s="77">
        <f>AM17+AM24+AM25+AM26</f>
        <v>6859119</v>
      </c>
      <c r="AN16" s="3">
        <f>AN17+AN24+AN25+AN26</f>
        <v>6518507</v>
      </c>
      <c r="AO16" s="8"/>
      <c r="AP16" s="8"/>
      <c r="AQ16" s="8"/>
      <c r="AR16" s="8"/>
      <c r="AS16" s="8"/>
      <c r="AT16" s="8"/>
      <c r="AU16" s="8"/>
      <c r="AV16" s="8"/>
      <c r="AW16" s="8"/>
    </row>
    <row r="17" spans="1:49">
      <c r="A17" s="730"/>
      <c r="B17" s="730" t="s">
        <v>70</v>
      </c>
      <c r="C17" s="731"/>
      <c r="D17" s="732">
        <v>3882686.1347400001</v>
      </c>
      <c r="E17" s="732">
        <v>4464093.5221199999</v>
      </c>
      <c r="F17" s="732">
        <v>5861643.37304</v>
      </c>
      <c r="G17" s="732">
        <v>6378126.5201200023</v>
      </c>
      <c r="H17" s="732">
        <v>4003508.5644099987</v>
      </c>
      <c r="I17" s="732">
        <v>4747633.4133499991</v>
      </c>
      <c r="J17" s="732">
        <v>5070869.2960899994</v>
      </c>
      <c r="K17" s="732">
        <v>5767558.1522700004</v>
      </c>
      <c r="L17" s="732">
        <v>8167189.1450699996</v>
      </c>
      <c r="M17" s="732">
        <v>8877624.4174800012</v>
      </c>
      <c r="N17" s="732">
        <v>11214297.142619995</v>
      </c>
      <c r="O17" s="732">
        <v>11923130.508179998</v>
      </c>
      <c r="P17" s="732">
        <v>11481395.637279999</v>
      </c>
      <c r="Q17" s="732">
        <v>10607589.376889998</v>
      </c>
      <c r="R17" s="732">
        <v>6381183.0585399996</v>
      </c>
      <c r="S17" s="732">
        <v>6686542.7334599998</v>
      </c>
      <c r="T17" s="732">
        <v>6621029.2047799993</v>
      </c>
      <c r="U17" s="732">
        <v>6484213.5163000003</v>
      </c>
      <c r="V17" s="732">
        <v>6426023.2599200001</v>
      </c>
      <c r="W17" s="732">
        <v>6533672.6250200002</v>
      </c>
      <c r="X17" s="732">
        <v>4916173</v>
      </c>
      <c r="Y17" s="732">
        <v>5156630</v>
      </c>
      <c r="Z17" s="732">
        <v>4796917</v>
      </c>
      <c r="AA17" s="732">
        <v>5685146</v>
      </c>
      <c r="AB17" s="732">
        <v>4677724</v>
      </c>
      <c r="AC17" s="732">
        <v>5044429</v>
      </c>
      <c r="AD17" s="732">
        <v>5057530</v>
      </c>
      <c r="AE17" s="732">
        <v>7943877</v>
      </c>
      <c r="AF17" s="732">
        <v>5161193</v>
      </c>
      <c r="AG17" s="732">
        <v>5673058</v>
      </c>
      <c r="AH17" s="732">
        <v>6320781</v>
      </c>
      <c r="AI17" s="732">
        <v>7338316</v>
      </c>
      <c r="AJ17" s="732">
        <f>SUM(AJ18:AJ23)</f>
        <v>7169544</v>
      </c>
      <c r="AK17" s="732">
        <f>SUM(AK18:AK23)</f>
        <v>6327030</v>
      </c>
      <c r="AL17" s="732">
        <f>SUM(AL18:AL23)</f>
        <v>6698520.7419999996</v>
      </c>
      <c r="AM17" s="732">
        <f>SUM(AM18:AM23)</f>
        <v>6768082</v>
      </c>
      <c r="AN17" s="224">
        <f>SUM(AN18:AN23)</f>
        <v>6432251</v>
      </c>
      <c r="AP17" s="8"/>
      <c r="AQ17" s="8"/>
      <c r="AR17" s="8"/>
      <c r="AS17" s="8"/>
      <c r="AT17" s="8"/>
      <c r="AU17" s="8"/>
      <c r="AV17" s="8"/>
      <c r="AW17" s="8"/>
    </row>
    <row r="18" spans="1:49">
      <c r="A18" s="11"/>
      <c r="B18" s="11" t="s">
        <v>71</v>
      </c>
      <c r="C18" s="456"/>
      <c r="D18" s="110">
        <v>1740727.4382999998</v>
      </c>
      <c r="E18" s="110">
        <v>2194125.6685199998</v>
      </c>
      <c r="F18" s="110">
        <v>3494277.1319399993</v>
      </c>
      <c r="G18" s="110">
        <v>3472996.5800500005</v>
      </c>
      <c r="H18" s="110">
        <v>1021268.0067399997</v>
      </c>
      <c r="I18" s="110">
        <v>1684548.1757400006</v>
      </c>
      <c r="J18" s="110">
        <v>1825214.3579599997</v>
      </c>
      <c r="K18" s="110">
        <v>2520854.6432299996</v>
      </c>
      <c r="L18" s="110">
        <v>4739005.0839399993</v>
      </c>
      <c r="M18" s="110">
        <v>5487847.0918500014</v>
      </c>
      <c r="N18" s="110">
        <v>7419690.5135399988</v>
      </c>
      <c r="O18" s="110">
        <v>7979411.711529999</v>
      </c>
      <c r="P18" s="110">
        <v>7293785.7933599995</v>
      </c>
      <c r="Q18" s="110">
        <v>6349647.2285900004</v>
      </c>
      <c r="R18" s="110">
        <v>3179073.88539</v>
      </c>
      <c r="S18" s="110">
        <v>3434879.3028399996</v>
      </c>
      <c r="T18" s="110">
        <v>3282426.0832200004</v>
      </c>
      <c r="U18" s="110">
        <v>3064952.1147500006</v>
      </c>
      <c r="V18" s="110">
        <v>2910234.5194300003</v>
      </c>
      <c r="W18" s="110">
        <v>3007213.1789300009</v>
      </c>
      <c r="X18" s="110">
        <v>1417243</v>
      </c>
      <c r="Y18" s="110">
        <v>1644624</v>
      </c>
      <c r="Z18" s="110">
        <v>1257843</v>
      </c>
      <c r="AA18" s="110">
        <v>2051799</v>
      </c>
      <c r="AB18" s="110">
        <v>1071296</v>
      </c>
      <c r="AC18" s="110">
        <v>1451091</v>
      </c>
      <c r="AD18" s="110">
        <v>1420542</v>
      </c>
      <c r="AE18" s="110">
        <v>3429932</v>
      </c>
      <c r="AF18" s="110">
        <v>620707</v>
      </c>
      <c r="AG18" s="110">
        <v>1091950</v>
      </c>
      <c r="AH18" s="110">
        <v>1696614</v>
      </c>
      <c r="AI18" s="110">
        <v>2536961</v>
      </c>
      <c r="AJ18" s="110">
        <v>2340961</v>
      </c>
      <c r="AK18" s="110">
        <v>1463950</v>
      </c>
      <c r="AL18" s="110">
        <v>1757314</v>
      </c>
      <c r="AM18" s="110">
        <v>1821311</v>
      </c>
      <c r="AN18" s="1">
        <v>1430572</v>
      </c>
      <c r="AO18" s="8"/>
      <c r="AP18" s="8"/>
      <c r="AQ18" s="8"/>
      <c r="AR18" s="8"/>
      <c r="AS18" s="8"/>
      <c r="AT18" s="8"/>
      <c r="AU18" s="8"/>
      <c r="AV18" s="8"/>
      <c r="AW18" s="8"/>
    </row>
    <row r="19" spans="1:49">
      <c r="A19" s="11"/>
      <c r="B19" s="11" t="s">
        <v>90</v>
      </c>
      <c r="C19" s="456"/>
      <c r="D19" s="110">
        <v>26308.288049999992</v>
      </c>
      <c r="E19" s="110">
        <v>15589.926119999993</v>
      </c>
      <c r="F19" s="110">
        <v>15589.926119999993</v>
      </c>
      <c r="G19" s="110">
        <v>539394.46331999998</v>
      </c>
      <c r="H19" s="110">
        <v>539394.46331999998</v>
      </c>
      <c r="I19" s="110">
        <v>539631.13605999993</v>
      </c>
      <c r="J19" s="110">
        <v>539631.13605999993</v>
      </c>
      <c r="K19" s="110">
        <v>535754.61135999998</v>
      </c>
      <c r="L19" s="110">
        <v>535754.61135999998</v>
      </c>
      <c r="M19" s="110">
        <v>535754.61135999998</v>
      </c>
      <c r="N19" s="110">
        <v>535754.61135999998</v>
      </c>
      <c r="O19" s="110">
        <v>616623.02816999995</v>
      </c>
      <c r="P19" s="110">
        <v>616623.02816999995</v>
      </c>
      <c r="Q19" s="110">
        <v>616623.02816999995</v>
      </c>
      <c r="R19" s="110">
        <v>616623.02816999995</v>
      </c>
      <c r="S19" s="110">
        <v>616623.02816999995</v>
      </c>
      <c r="T19" s="110">
        <v>616623.02816999995</v>
      </c>
      <c r="U19" s="110">
        <v>681601.10479000001</v>
      </c>
      <c r="V19" s="110">
        <v>682891.35047000006</v>
      </c>
      <c r="W19" s="110">
        <v>691706.21834999998</v>
      </c>
      <c r="X19" s="110">
        <v>686562</v>
      </c>
      <c r="Y19" s="110">
        <v>668862</v>
      </c>
      <c r="Z19" s="110">
        <v>661554</v>
      </c>
      <c r="AA19" s="110">
        <v>369073</v>
      </c>
      <c r="AB19" s="110">
        <v>365295</v>
      </c>
      <c r="AC19" s="110">
        <v>380027</v>
      </c>
      <c r="AD19" s="110">
        <v>421188</v>
      </c>
      <c r="AE19" s="110">
        <v>456911</v>
      </c>
      <c r="AF19" s="110">
        <v>457380</v>
      </c>
      <c r="AG19" s="110">
        <v>453778</v>
      </c>
      <c r="AH19" s="110">
        <v>457908</v>
      </c>
      <c r="AI19" s="110">
        <v>471320</v>
      </c>
      <c r="AJ19" s="110">
        <v>471317</v>
      </c>
      <c r="AK19" s="110">
        <v>476007</v>
      </c>
      <c r="AL19" s="110">
        <v>484637</v>
      </c>
      <c r="AM19" s="110">
        <v>475373</v>
      </c>
      <c r="AN19" s="1">
        <v>489045</v>
      </c>
      <c r="AO19" s="8"/>
      <c r="AP19" s="8"/>
      <c r="AQ19" s="8"/>
      <c r="AR19" s="8"/>
      <c r="AS19" s="8"/>
      <c r="AT19" s="8"/>
      <c r="AU19" s="8"/>
      <c r="AV19" s="8"/>
      <c r="AW19" s="8"/>
    </row>
    <row r="20" spans="1:49">
      <c r="A20" s="11"/>
      <c r="B20" s="11" t="s">
        <v>73</v>
      </c>
      <c r="C20" s="456"/>
      <c r="D20" s="110">
        <v>38319.673559999945</v>
      </c>
      <c r="E20" s="110">
        <v>59966.19407999995</v>
      </c>
      <c r="F20" s="110">
        <v>52584.754519999915</v>
      </c>
      <c r="G20" s="110">
        <v>37327.769629999915</v>
      </c>
      <c r="H20" s="110">
        <v>31778.165879999982</v>
      </c>
      <c r="I20" s="110">
        <v>26545.416459999979</v>
      </c>
      <c r="J20" s="110">
        <v>20376.385120000006</v>
      </c>
      <c r="K20" s="110">
        <v>14922.721089999997</v>
      </c>
      <c r="L20" s="110">
        <v>11040.86759</v>
      </c>
      <c r="M20" s="110">
        <v>8751.2470499999999</v>
      </c>
      <c r="N20" s="110">
        <v>7833.6937300000018</v>
      </c>
      <c r="O20" s="110">
        <v>7379.6509300000016</v>
      </c>
      <c r="P20" s="110">
        <v>6665.8647699999992</v>
      </c>
      <c r="Q20" s="110">
        <v>6266.9914600000002</v>
      </c>
      <c r="R20" s="110">
        <v>5814.4660300000014</v>
      </c>
      <c r="S20" s="110">
        <v>5422.7873</v>
      </c>
      <c r="T20" s="110">
        <v>5115.5622199999998</v>
      </c>
      <c r="U20" s="110">
        <v>4821.2185999999983</v>
      </c>
      <c r="V20" s="110">
        <v>45542.756669999995</v>
      </c>
      <c r="W20" s="110">
        <v>41197.981809999997</v>
      </c>
      <c r="X20" s="110">
        <v>40317</v>
      </c>
      <c r="Y20" s="110">
        <v>36770</v>
      </c>
      <c r="Z20" s="110">
        <v>35206</v>
      </c>
      <c r="AA20" s="110">
        <v>35012</v>
      </c>
      <c r="AB20" s="110">
        <v>28134</v>
      </c>
      <c r="AC20" s="110">
        <v>29352</v>
      </c>
      <c r="AD20" s="110">
        <v>29305</v>
      </c>
      <c r="AE20" s="110">
        <v>28203</v>
      </c>
      <c r="AF20" s="110">
        <v>28489</v>
      </c>
      <c r="AG20" s="110">
        <v>28007</v>
      </c>
      <c r="AH20" s="110">
        <v>27536</v>
      </c>
      <c r="AI20" s="110">
        <v>28814</v>
      </c>
      <c r="AJ20" s="110">
        <v>29658</v>
      </c>
      <c r="AK20" s="110">
        <v>31171</v>
      </c>
      <c r="AL20" s="110">
        <v>31470</v>
      </c>
      <c r="AM20" s="110">
        <v>29746</v>
      </c>
      <c r="AN20" s="1">
        <v>29424</v>
      </c>
      <c r="AO20" s="8"/>
      <c r="AP20" s="8"/>
      <c r="AQ20" s="8"/>
      <c r="AR20" s="8"/>
      <c r="AS20" s="8"/>
      <c r="AT20" s="8"/>
      <c r="AU20" s="8"/>
      <c r="AV20" s="8"/>
      <c r="AW20" s="8"/>
    </row>
    <row r="21" spans="1:49">
      <c r="A21" s="11"/>
      <c r="B21" s="11" t="s">
        <v>72</v>
      </c>
      <c r="C21" s="456"/>
      <c r="D21" s="110">
        <v>1664012.6059600001</v>
      </c>
      <c r="E21" s="110">
        <v>1692929.65078</v>
      </c>
      <c r="F21" s="110">
        <v>1746849.56684</v>
      </c>
      <c r="G21" s="110">
        <v>1736218.2708100001</v>
      </c>
      <c r="H21" s="110">
        <v>1787364.73954</v>
      </c>
      <c r="I21" s="110">
        <v>1815952.7076700001</v>
      </c>
      <c r="J21" s="110">
        <v>1941816.2934999999</v>
      </c>
      <c r="K21" s="110">
        <v>1907957.0974999999</v>
      </c>
      <c r="L21" s="110">
        <v>2034321.5539599997</v>
      </c>
      <c r="M21" s="110">
        <v>1929207.45478</v>
      </c>
      <c r="N21" s="110">
        <v>2268824.9250499993</v>
      </c>
      <c r="O21" s="110">
        <v>2271932.9730799999</v>
      </c>
      <c r="P21" s="110">
        <v>2462590.8198499996</v>
      </c>
      <c r="Q21" s="110">
        <v>2510287.4933999991</v>
      </c>
      <c r="R21" s="110">
        <v>2526358.3528299993</v>
      </c>
      <c r="S21" s="110">
        <v>2565557.1190999993</v>
      </c>
      <c r="T21" s="110">
        <v>2650829.9771099999</v>
      </c>
      <c r="U21" s="110">
        <v>2679263.9462799998</v>
      </c>
      <c r="V21" s="110">
        <v>2744881.3658099994</v>
      </c>
      <c r="W21" s="110">
        <v>2759993.9713199991</v>
      </c>
      <c r="X21" s="110">
        <v>2751635</v>
      </c>
      <c r="Y21" s="110">
        <v>2772831</v>
      </c>
      <c r="Z21" s="110">
        <v>2814460</v>
      </c>
      <c r="AA21" s="110">
        <v>3207952</v>
      </c>
      <c r="AB21" s="110">
        <v>3206855</v>
      </c>
      <c r="AC21" s="110">
        <v>3173305</v>
      </c>
      <c r="AD21" s="110">
        <v>3175675</v>
      </c>
      <c r="AE21" s="110">
        <v>4018347</v>
      </c>
      <c r="AF21" s="110">
        <v>4045109</v>
      </c>
      <c r="AG21" s="110">
        <v>4091381</v>
      </c>
      <c r="AH21" s="110">
        <v>4132805</v>
      </c>
      <c r="AI21" s="110">
        <v>4296829</v>
      </c>
      <c r="AJ21" s="110">
        <v>4323754</v>
      </c>
      <c r="AK21" s="110">
        <v>4352116</v>
      </c>
      <c r="AL21" s="110">
        <v>4398794.9560000002</v>
      </c>
      <c r="AM21" s="110">
        <v>4411396</v>
      </c>
      <c r="AN21" s="1">
        <v>4455817</v>
      </c>
      <c r="AO21" s="8"/>
      <c r="AP21" s="8"/>
      <c r="AQ21" s="8"/>
      <c r="AR21" s="8"/>
      <c r="AS21" s="8"/>
      <c r="AT21" s="8"/>
      <c r="AU21" s="8"/>
      <c r="AV21" s="8"/>
      <c r="AW21" s="8"/>
    </row>
    <row r="22" spans="1:49">
      <c r="A22" s="11"/>
      <c r="B22" s="11" t="s">
        <v>74</v>
      </c>
      <c r="C22" s="456"/>
      <c r="D22" s="110">
        <v>35.71255</v>
      </c>
      <c r="E22" s="110">
        <v>35.71255</v>
      </c>
      <c r="F22" s="110">
        <v>35.71255</v>
      </c>
      <c r="G22" s="110">
        <v>35.71255</v>
      </c>
      <c r="H22" s="110">
        <v>35.71255</v>
      </c>
      <c r="I22" s="110">
        <v>35.71255</v>
      </c>
      <c r="J22" s="110">
        <v>35.71255</v>
      </c>
      <c r="K22" s="110">
        <v>35.71255</v>
      </c>
      <c r="L22" s="110">
        <v>35.71255</v>
      </c>
      <c r="M22" s="110">
        <v>35.71255</v>
      </c>
      <c r="N22" s="110">
        <v>35.71255</v>
      </c>
      <c r="O22" s="110">
        <v>35.71255</v>
      </c>
      <c r="P22" s="110">
        <v>35.71255</v>
      </c>
      <c r="Q22" s="110">
        <v>35.71255</v>
      </c>
      <c r="R22" s="110">
        <v>35.71255</v>
      </c>
      <c r="S22" s="110">
        <v>35.71255</v>
      </c>
      <c r="T22" s="110">
        <v>1886.5147899999999</v>
      </c>
      <c r="U22" s="110">
        <v>1886.5147899999999</v>
      </c>
      <c r="V22" s="110">
        <v>989.62089000000003</v>
      </c>
      <c r="W22" s="110">
        <v>989.62089000000003</v>
      </c>
      <c r="X22" s="110">
        <v>990</v>
      </c>
      <c r="Y22" s="110">
        <v>990</v>
      </c>
      <c r="Z22" s="110">
        <v>1052</v>
      </c>
      <c r="AA22" s="110">
        <v>1052</v>
      </c>
      <c r="AB22" s="110">
        <v>1052</v>
      </c>
      <c r="AC22" s="110">
        <v>1052</v>
      </c>
      <c r="AD22" s="110">
        <v>1766</v>
      </c>
      <c r="AE22" s="110">
        <v>2064</v>
      </c>
      <c r="AF22" s="110">
        <v>2080</v>
      </c>
      <c r="AG22" s="110">
        <v>2091</v>
      </c>
      <c r="AH22" s="110">
        <v>2183</v>
      </c>
      <c r="AI22" s="110">
        <v>2135</v>
      </c>
      <c r="AJ22" s="110">
        <v>2154</v>
      </c>
      <c r="AK22" s="110">
        <v>1926</v>
      </c>
      <c r="AL22" s="110">
        <v>23406.464</v>
      </c>
      <c r="AM22" s="110">
        <v>24149</v>
      </c>
      <c r="AN22" s="1">
        <v>20413</v>
      </c>
      <c r="AO22" s="8"/>
      <c r="AP22" s="8"/>
      <c r="AQ22" s="8"/>
      <c r="AR22" s="8"/>
      <c r="AS22" s="8"/>
      <c r="AT22" s="8"/>
      <c r="AU22" s="8"/>
      <c r="AV22" s="8"/>
      <c r="AW22" s="8"/>
    </row>
    <row r="23" spans="1:49" ht="14.25" customHeight="1">
      <c r="A23" s="730"/>
      <c r="B23" s="730" t="s">
        <v>75</v>
      </c>
      <c r="C23" s="731"/>
      <c r="D23" s="732">
        <v>413282.41632000025</v>
      </c>
      <c r="E23" s="732">
        <v>501446.37007000012</v>
      </c>
      <c r="F23" s="732">
        <v>552306.28107000026</v>
      </c>
      <c r="G23" s="732">
        <v>592153.72376000066</v>
      </c>
      <c r="H23" s="732">
        <v>623667.47637999919</v>
      </c>
      <c r="I23" s="732">
        <v>680920.26486999926</v>
      </c>
      <c r="J23" s="732">
        <v>743795.4108999999</v>
      </c>
      <c r="K23" s="732">
        <v>788033.36653999984</v>
      </c>
      <c r="L23" s="732">
        <v>847031.31566999981</v>
      </c>
      <c r="M23" s="732">
        <v>916028.29988999991</v>
      </c>
      <c r="N23" s="732">
        <v>982157.68638999981</v>
      </c>
      <c r="O23" s="732">
        <v>1047747.4319200001</v>
      </c>
      <c r="P23" s="732">
        <v>1101694.4185799998</v>
      </c>
      <c r="Q23" s="732">
        <v>1124728.9227199999</v>
      </c>
      <c r="R23" s="732">
        <v>53277.613569999987</v>
      </c>
      <c r="S23" s="732">
        <v>64024.78349999999</v>
      </c>
      <c r="T23" s="732">
        <v>64148.039269999994</v>
      </c>
      <c r="U23" s="732">
        <v>51688.617090000014</v>
      </c>
      <c r="V23" s="732">
        <v>41483.646650000002</v>
      </c>
      <c r="W23" s="732">
        <v>32571.653720000006</v>
      </c>
      <c r="X23" s="732">
        <v>19426</v>
      </c>
      <c r="Y23" s="732">
        <v>32553</v>
      </c>
      <c r="Z23" s="732">
        <v>26802</v>
      </c>
      <c r="AA23" s="732">
        <v>20258</v>
      </c>
      <c r="AB23" s="732">
        <v>5092</v>
      </c>
      <c r="AC23" s="732">
        <v>9602</v>
      </c>
      <c r="AD23" s="732">
        <v>9054</v>
      </c>
      <c r="AE23" s="732">
        <v>8420</v>
      </c>
      <c r="AF23" s="732">
        <v>7428</v>
      </c>
      <c r="AG23" s="732">
        <v>5851</v>
      </c>
      <c r="AH23" s="732">
        <v>3735</v>
      </c>
      <c r="AI23" s="732">
        <v>2257</v>
      </c>
      <c r="AJ23" s="732">
        <v>1700</v>
      </c>
      <c r="AK23" s="732">
        <v>1860</v>
      </c>
      <c r="AL23" s="732">
        <v>2898.3220000000001</v>
      </c>
      <c r="AM23" s="732">
        <v>6107</v>
      </c>
      <c r="AN23" s="224">
        <v>6980</v>
      </c>
      <c r="AO23" s="8"/>
      <c r="AP23" s="8"/>
      <c r="AQ23" s="8"/>
      <c r="AR23" s="8"/>
      <c r="AS23" s="8"/>
      <c r="AT23" s="8"/>
      <c r="AU23" s="8"/>
      <c r="AV23" s="8"/>
      <c r="AW23" s="8"/>
    </row>
    <row r="24" spans="1:49">
      <c r="A24" s="11"/>
      <c r="B24" s="11" t="s">
        <v>163</v>
      </c>
      <c r="C24" s="456"/>
      <c r="D24" s="110">
        <v>36924.077169999997</v>
      </c>
      <c r="E24" s="110">
        <v>37627.784399999997</v>
      </c>
      <c r="F24" s="110">
        <v>37359.011140000002</v>
      </c>
      <c r="G24" s="110">
        <v>37090.238400000002</v>
      </c>
      <c r="H24" s="110">
        <v>36906.664400000001</v>
      </c>
      <c r="I24" s="110">
        <v>36637.891029999999</v>
      </c>
      <c r="J24" s="110">
        <v>36312.362789999999</v>
      </c>
      <c r="K24" s="110">
        <v>2142.74953</v>
      </c>
      <c r="L24" s="110">
        <v>1306.01974</v>
      </c>
      <c r="M24" s="110">
        <v>1306.01974</v>
      </c>
      <c r="N24" s="110">
        <v>1306.01974</v>
      </c>
      <c r="O24" s="110">
        <v>1306.01974</v>
      </c>
      <c r="P24" s="110">
        <v>1769.8353400000001</v>
      </c>
      <c r="Q24" s="110">
        <v>2056.2055499999997</v>
      </c>
      <c r="R24" s="110">
        <v>2077.9954399999997</v>
      </c>
      <c r="S24" s="110">
        <v>2077.9954400000001</v>
      </c>
      <c r="T24" s="110">
        <v>130447.64519999998</v>
      </c>
      <c r="U24" s="110">
        <v>123824.32326999998</v>
      </c>
      <c r="V24" s="110">
        <v>117837.36675999999</v>
      </c>
      <c r="W24" s="110">
        <v>112127.72799000003</v>
      </c>
      <c r="X24" s="110">
        <v>107810</v>
      </c>
      <c r="Y24" s="110">
        <v>120420</v>
      </c>
      <c r="Z24" s="110">
        <v>114279</v>
      </c>
      <c r="AA24" s="110">
        <v>108590</v>
      </c>
      <c r="AB24" s="110">
        <v>224</v>
      </c>
      <c r="AC24" s="110">
        <v>95744</v>
      </c>
      <c r="AD24" s="110">
        <v>93671</v>
      </c>
      <c r="AE24" s="110">
        <v>88130</v>
      </c>
      <c r="AF24" s="110">
        <v>82475</v>
      </c>
      <c r="AG24" s="110">
        <v>58186</v>
      </c>
      <c r="AH24" s="110">
        <v>48612</v>
      </c>
      <c r="AI24" s="110">
        <v>46817</v>
      </c>
      <c r="AJ24" s="110">
        <v>23301</v>
      </c>
      <c r="AK24" s="110">
        <v>21107</v>
      </c>
      <c r="AL24" s="110">
        <v>1177</v>
      </c>
      <c r="AM24" s="110">
        <v>1177</v>
      </c>
      <c r="AN24" s="1">
        <v>1177</v>
      </c>
      <c r="AO24" s="8"/>
      <c r="AP24" s="8"/>
      <c r="AQ24" s="8"/>
      <c r="AR24" s="8"/>
      <c r="AS24" s="8"/>
      <c r="AT24" s="8"/>
      <c r="AU24" s="8"/>
      <c r="AV24" s="8"/>
      <c r="AW24" s="8"/>
    </row>
    <row r="25" spans="1:49">
      <c r="A25" s="11"/>
      <c r="B25" s="11" t="s">
        <v>92</v>
      </c>
      <c r="C25" s="456"/>
      <c r="D25" s="110">
        <v>215848.07785999996</v>
      </c>
      <c r="E25" s="110">
        <v>213052.96805999996</v>
      </c>
      <c r="F25" s="110">
        <v>211616.77120999995</v>
      </c>
      <c r="G25" s="110">
        <v>210186.04538999993</v>
      </c>
      <c r="H25" s="110">
        <v>209140.75910999998</v>
      </c>
      <c r="I25" s="110">
        <v>206547.26387999998</v>
      </c>
      <c r="J25" s="110">
        <v>205511.45010999995</v>
      </c>
      <c r="K25" s="110">
        <v>28196.469940000003</v>
      </c>
      <c r="L25" s="110">
        <v>27793.399709999998</v>
      </c>
      <c r="M25" s="110">
        <v>26900.641940000001</v>
      </c>
      <c r="N25" s="110">
        <v>26946.948730000004</v>
      </c>
      <c r="O25" s="110">
        <v>28030.95981</v>
      </c>
      <c r="P25" s="110">
        <v>26431.383210000007</v>
      </c>
      <c r="Q25" s="110">
        <v>24562.816469999991</v>
      </c>
      <c r="R25" s="110">
        <v>25627.216059999995</v>
      </c>
      <c r="S25" s="110">
        <v>22940.939339999994</v>
      </c>
      <c r="T25" s="110">
        <v>21875.944990000004</v>
      </c>
      <c r="U25" s="110">
        <v>20806.837590000003</v>
      </c>
      <c r="V25" s="110">
        <v>19377.751100000001</v>
      </c>
      <c r="W25" s="110">
        <v>18801.262399999996</v>
      </c>
      <c r="X25" s="110">
        <v>18603</v>
      </c>
      <c r="Y25" s="110">
        <v>18675</v>
      </c>
      <c r="Z25" s="110">
        <v>17356</v>
      </c>
      <c r="AA25" s="110">
        <v>16544</v>
      </c>
      <c r="AB25" s="110">
        <v>15062</v>
      </c>
      <c r="AC25" s="110">
        <v>15150</v>
      </c>
      <c r="AD25" s="110">
        <v>17780</v>
      </c>
      <c r="AE25" s="110">
        <v>16387</v>
      </c>
      <c r="AF25" s="110">
        <v>15239</v>
      </c>
      <c r="AG25" s="110">
        <v>13144</v>
      </c>
      <c r="AH25" s="110">
        <v>12464</v>
      </c>
      <c r="AI25" s="110">
        <v>12837</v>
      </c>
      <c r="AJ25" s="110">
        <v>12092</v>
      </c>
      <c r="AK25" s="110">
        <v>11120</v>
      </c>
      <c r="AL25" s="110">
        <v>11270</v>
      </c>
      <c r="AM25" s="110">
        <v>11560</v>
      </c>
      <c r="AN25" s="1">
        <v>11536</v>
      </c>
      <c r="AO25" s="8"/>
      <c r="AP25" s="8"/>
      <c r="AQ25" s="8"/>
      <c r="AR25" s="8"/>
      <c r="AS25" s="8"/>
      <c r="AT25" s="8"/>
      <c r="AU25" s="8"/>
      <c r="AV25" s="8"/>
      <c r="AW25" s="8"/>
    </row>
    <row r="26" spans="1:49">
      <c r="A26" s="11"/>
      <c r="B26" s="11" t="s">
        <v>93</v>
      </c>
      <c r="C26" s="456"/>
      <c r="D26" s="110">
        <v>250323.90585999977</v>
      </c>
      <c r="E26" s="110">
        <v>266895.79145000014</v>
      </c>
      <c r="F26" s="110">
        <v>282565.0383800001</v>
      </c>
      <c r="G26" s="110">
        <v>298826.47685000027</v>
      </c>
      <c r="H26" s="110">
        <v>297779.30796999979</v>
      </c>
      <c r="I26" s="110">
        <v>297391.11377999978</v>
      </c>
      <c r="J26" s="110">
        <v>242814.15988000005</v>
      </c>
      <c r="K26" s="110">
        <v>254728.60750000001</v>
      </c>
      <c r="L26" s="110">
        <v>251550.96787000002</v>
      </c>
      <c r="M26" s="110">
        <v>252463.81498999998</v>
      </c>
      <c r="N26" s="110">
        <v>251594.08004999999</v>
      </c>
      <c r="O26" s="110">
        <v>242523.72124999997</v>
      </c>
      <c r="P26" s="110">
        <v>232558.73618999997</v>
      </c>
      <c r="Q26" s="110">
        <v>220311.01008999991</v>
      </c>
      <c r="R26" s="110">
        <v>204275.63812000002</v>
      </c>
      <c r="S26" s="110">
        <v>169427.22612999997</v>
      </c>
      <c r="T26" s="110">
        <v>161717.49980000002</v>
      </c>
      <c r="U26" s="110">
        <v>152978.48709999994</v>
      </c>
      <c r="V26" s="110">
        <v>144042.40994999994</v>
      </c>
      <c r="W26" s="110">
        <v>137274.60766999997</v>
      </c>
      <c r="X26" s="110">
        <v>128818</v>
      </c>
      <c r="Y26" s="110">
        <v>121402</v>
      </c>
      <c r="Z26" s="110">
        <v>120893</v>
      </c>
      <c r="AA26" s="110">
        <v>129659</v>
      </c>
      <c r="AB26" s="110">
        <v>132628</v>
      </c>
      <c r="AC26" s="110">
        <v>133809</v>
      </c>
      <c r="AD26" s="110">
        <v>136891</v>
      </c>
      <c r="AE26" s="110">
        <v>147934</v>
      </c>
      <c r="AF26" s="110">
        <v>140527</v>
      </c>
      <c r="AG26" s="110">
        <v>132254</v>
      </c>
      <c r="AH26" s="110">
        <v>127502</v>
      </c>
      <c r="AI26" s="110">
        <v>117232</v>
      </c>
      <c r="AJ26" s="110">
        <v>85401</v>
      </c>
      <c r="AK26" s="110">
        <v>82222</v>
      </c>
      <c r="AL26" s="110">
        <v>79073</v>
      </c>
      <c r="AM26" s="110">
        <v>78300</v>
      </c>
      <c r="AN26" s="1">
        <v>73543</v>
      </c>
      <c r="AO26" s="8"/>
      <c r="AP26" s="8"/>
      <c r="AQ26" s="8"/>
      <c r="AR26" s="8"/>
      <c r="AS26" s="8"/>
      <c r="AT26" s="8"/>
      <c r="AU26" s="8"/>
      <c r="AV26" s="8"/>
      <c r="AW26" s="8"/>
    </row>
    <row r="27" spans="1:49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8"/>
      <c r="AP27" s="8"/>
      <c r="AQ27" s="8"/>
      <c r="AR27" s="8"/>
      <c r="AS27" s="8"/>
      <c r="AT27" s="8"/>
      <c r="AU27" s="8"/>
      <c r="AV27" s="8"/>
      <c r="AW27" s="8"/>
    </row>
    <row r="28" spans="1:49">
      <c r="A28" s="633"/>
      <c r="B28" s="633" t="s">
        <v>17</v>
      </c>
      <c r="C28" s="647"/>
      <c r="D28" s="648">
        <v>10418933.209139997</v>
      </c>
      <c r="E28" s="648">
        <v>9770635.8496899903</v>
      </c>
      <c r="F28" s="648">
        <v>9632464.0710199941</v>
      </c>
      <c r="G28" s="648">
        <v>10184960.067609997</v>
      </c>
      <c r="H28" s="648">
        <v>10990394.421939993</v>
      </c>
      <c r="I28" s="648">
        <v>10800921.477880005</v>
      </c>
      <c r="J28" s="648">
        <v>10115452.74495</v>
      </c>
      <c r="K28" s="648">
        <v>11055063.048600009</v>
      </c>
      <c r="L28" s="648">
        <v>12258058.514250003</v>
      </c>
      <c r="M28" s="648">
        <v>12177927.690869998</v>
      </c>
      <c r="N28" s="648">
        <v>12209722.369730003</v>
      </c>
      <c r="O28" s="648">
        <v>12461032.106509995</v>
      </c>
      <c r="P28" s="648">
        <v>12532640.613279998</v>
      </c>
      <c r="Q28" s="648">
        <v>12720375.126510004</v>
      </c>
      <c r="R28" s="648">
        <v>6970775.2569200024</v>
      </c>
      <c r="S28" s="648">
        <v>7583172.0213199984</v>
      </c>
      <c r="T28" s="648">
        <v>8555142.6444300003</v>
      </c>
      <c r="U28" s="648">
        <v>7514218.8616099972</v>
      </c>
      <c r="V28" s="634">
        <v>6829389.8372700065</v>
      </c>
      <c r="W28" s="634">
        <v>7011505.488540004</v>
      </c>
      <c r="X28" s="634">
        <v>7151829</v>
      </c>
      <c r="Y28" s="634">
        <v>6664030</v>
      </c>
      <c r="Z28" s="634">
        <v>6711326</v>
      </c>
      <c r="AA28" s="634">
        <v>6706216</v>
      </c>
      <c r="AB28" s="634">
        <v>6670379</v>
      </c>
      <c r="AC28" s="634">
        <v>6579009</v>
      </c>
      <c r="AD28" s="634">
        <v>6144522</v>
      </c>
      <c r="AE28" s="634">
        <v>7253524</v>
      </c>
      <c r="AF28" s="634">
        <v>7351477</v>
      </c>
      <c r="AG28" s="634">
        <v>6938769</v>
      </c>
      <c r="AH28" s="634">
        <v>7070866</v>
      </c>
      <c r="AI28" s="634">
        <v>7026764</v>
      </c>
      <c r="AJ28" s="634">
        <f>AJ29+AJ35</f>
        <v>6951870</v>
      </c>
      <c r="AK28" s="634">
        <f>AK29+AK35</f>
        <v>6915923.9390000002</v>
      </c>
      <c r="AL28" s="634">
        <f>AL29+AL35</f>
        <v>7380077.9989999998</v>
      </c>
      <c r="AM28" s="634">
        <f>AM29+AM35</f>
        <v>9047064</v>
      </c>
      <c r="AN28" s="634">
        <f>AN29+AN35</f>
        <v>7523265</v>
      </c>
      <c r="AO28" s="8"/>
      <c r="AP28" s="8"/>
      <c r="AQ28" s="8"/>
      <c r="AR28" s="8"/>
      <c r="AS28" s="8"/>
      <c r="AT28" s="8"/>
      <c r="AU28" s="8"/>
      <c r="AV28" s="8"/>
      <c r="AW28" s="8"/>
    </row>
    <row r="29" spans="1:49">
      <c r="A29" s="64"/>
      <c r="B29" s="64" t="s">
        <v>51</v>
      </c>
      <c r="C29" s="64"/>
      <c r="D29" s="218">
        <v>7150030.1766499961</v>
      </c>
      <c r="E29" s="218">
        <v>6274080.8878699895</v>
      </c>
      <c r="F29" s="218">
        <v>5936597.5322699938</v>
      </c>
      <c r="G29" s="218">
        <v>6403541.167519995</v>
      </c>
      <c r="H29" s="218">
        <v>7080857.6728399899</v>
      </c>
      <c r="I29" s="218">
        <v>6704952.3763400046</v>
      </c>
      <c r="J29" s="218">
        <v>5622347.3630499998</v>
      </c>
      <c r="K29" s="218">
        <v>6445860.640000008</v>
      </c>
      <c r="L29" s="218">
        <v>7450695.4890800016</v>
      </c>
      <c r="M29" s="218">
        <v>7067987.8490299992</v>
      </c>
      <c r="N29" s="218">
        <v>6527243.542910004</v>
      </c>
      <c r="O29" s="218">
        <v>6521523.5199999949</v>
      </c>
      <c r="P29" s="218">
        <v>6380153.0707999989</v>
      </c>
      <c r="Q29" s="218">
        <v>6371909.3084000032</v>
      </c>
      <c r="R29" s="218">
        <v>3567363.3056600029</v>
      </c>
      <c r="S29" s="218">
        <v>4058844.6357599972</v>
      </c>
      <c r="T29" s="218">
        <v>4894936.703089999</v>
      </c>
      <c r="U29" s="218">
        <v>3893814.3701799982</v>
      </c>
      <c r="V29" s="219">
        <v>2279172.5163000063</v>
      </c>
      <c r="W29" s="219">
        <v>2452831.4723500032</v>
      </c>
      <c r="X29" s="219">
        <v>2575116</v>
      </c>
      <c r="Y29" s="219">
        <v>2079335</v>
      </c>
      <c r="Z29" s="219">
        <v>2138815</v>
      </c>
      <c r="AA29" s="219">
        <v>2169854</v>
      </c>
      <c r="AB29" s="219">
        <v>2226902</v>
      </c>
      <c r="AC29" s="219">
        <v>2015202</v>
      </c>
      <c r="AD29" s="219">
        <v>1572931</v>
      </c>
      <c r="AE29" s="219">
        <v>1811992</v>
      </c>
      <c r="AF29" s="219">
        <v>1886464</v>
      </c>
      <c r="AG29" s="219">
        <v>1445369</v>
      </c>
      <c r="AH29" s="219">
        <v>1705740</v>
      </c>
      <c r="AI29" s="219">
        <v>1595051</v>
      </c>
      <c r="AJ29" s="219">
        <v>1464839</v>
      </c>
      <c r="AK29" s="219">
        <v>1345596.939</v>
      </c>
      <c r="AL29" s="219">
        <f>SUM(AL30:AL34)</f>
        <v>1741932.9990000001</v>
      </c>
      <c r="AM29" s="219">
        <f>SUM(AM30:AO34)</f>
        <v>3351791</v>
      </c>
      <c r="AN29" s="219">
        <f>SUM(AN30:AP34)</f>
        <v>1714642</v>
      </c>
      <c r="AO29" s="8"/>
      <c r="AP29" s="8"/>
      <c r="AQ29" s="8"/>
      <c r="AR29" s="8"/>
      <c r="AS29" s="8"/>
      <c r="AT29" s="8"/>
      <c r="AU29" s="8"/>
      <c r="AV29" s="8"/>
      <c r="AW29" s="8"/>
    </row>
    <row r="30" spans="1:49">
      <c r="A30" s="243"/>
      <c r="B30" s="243" t="s">
        <v>79</v>
      </c>
      <c r="D30" s="110">
        <v>2469216.74914</v>
      </c>
      <c r="E30" s="110">
        <v>1484463.0372999988</v>
      </c>
      <c r="F30" s="110">
        <v>821626.62202999892</v>
      </c>
      <c r="G30" s="110">
        <v>1305607.4753299993</v>
      </c>
      <c r="H30" s="110">
        <v>1806622.2138100015</v>
      </c>
      <c r="I30" s="110">
        <v>1385181.2310500026</v>
      </c>
      <c r="J30" s="110">
        <v>1199238.4666099991</v>
      </c>
      <c r="K30" s="110">
        <v>1666648.6893800029</v>
      </c>
      <c r="L30" s="110">
        <v>2553436.9284199998</v>
      </c>
      <c r="M30" s="110">
        <v>1703344.7966199918</v>
      </c>
      <c r="N30" s="110">
        <v>921006.24486000068</v>
      </c>
      <c r="O30" s="110">
        <v>1656409.4689599986</v>
      </c>
      <c r="P30" s="110">
        <v>1933485.3632000003</v>
      </c>
      <c r="Q30" s="110">
        <v>1894182.1080000023</v>
      </c>
      <c r="R30" s="110">
        <v>1042043.3056300086</v>
      </c>
      <c r="S30" s="110">
        <v>1437730.7751000009</v>
      </c>
      <c r="T30" s="110">
        <v>2259217.1104500005</v>
      </c>
      <c r="U30" s="110">
        <v>1364336.3610400003</v>
      </c>
      <c r="V30" s="110">
        <v>709877.29689000372</v>
      </c>
      <c r="W30" s="110">
        <v>837919.68819000362</v>
      </c>
      <c r="X30" s="110">
        <v>973039</v>
      </c>
      <c r="Y30" s="110">
        <v>475243</v>
      </c>
      <c r="Z30" s="110">
        <v>561667</v>
      </c>
      <c r="AA30" s="110">
        <v>621259</v>
      </c>
      <c r="AB30" s="110">
        <v>673428</v>
      </c>
      <c r="AC30" s="110">
        <v>530053</v>
      </c>
      <c r="AD30" s="110">
        <v>673847</v>
      </c>
      <c r="AE30" s="110">
        <v>997060</v>
      </c>
      <c r="AF30" s="110">
        <v>1037847</v>
      </c>
      <c r="AG30" s="110">
        <v>405299</v>
      </c>
      <c r="AH30" s="110">
        <v>508789</v>
      </c>
      <c r="AI30" s="110">
        <v>606424.57182000147</v>
      </c>
      <c r="AJ30" s="110">
        <v>451844.266</v>
      </c>
      <c r="AK30" s="110">
        <v>380689.83799999999</v>
      </c>
      <c r="AL30" s="110">
        <v>767669.505</v>
      </c>
      <c r="AM30" s="110">
        <v>588255</v>
      </c>
      <c r="AN30" s="1">
        <v>660865</v>
      </c>
      <c r="AO30" s="8"/>
      <c r="AP30" s="8"/>
      <c r="AQ30" s="8"/>
      <c r="AR30" s="8"/>
      <c r="AS30" s="8"/>
      <c r="AT30" s="8"/>
      <c r="AU30" s="8"/>
      <c r="AV30" s="8"/>
      <c r="AW30" s="8"/>
    </row>
    <row r="31" spans="1:49">
      <c r="A31" s="243"/>
      <c r="B31" s="243" t="s">
        <v>80</v>
      </c>
      <c r="D31" s="110">
        <v>281234.61010999861</v>
      </c>
      <c r="E31" s="110">
        <v>320718.76839999866</v>
      </c>
      <c r="F31" s="110">
        <v>424907.88372999866</v>
      </c>
      <c r="G31" s="110">
        <v>421554.21927999781</v>
      </c>
      <c r="H31" s="110">
        <v>402071.69742999657</v>
      </c>
      <c r="I31" s="110">
        <v>343735.91635000095</v>
      </c>
      <c r="J31" s="110">
        <v>191105.7091700015</v>
      </c>
      <c r="K31" s="110">
        <v>610163.7415500005</v>
      </c>
      <c r="L31" s="110">
        <v>589203.22133999958</v>
      </c>
      <c r="M31" s="110">
        <v>962913.95118000172</v>
      </c>
      <c r="N31" s="110">
        <v>1061454.7021899999</v>
      </c>
      <c r="O31" s="110">
        <v>577815.67571999959</v>
      </c>
      <c r="P31" s="110">
        <v>624583.49810999981</v>
      </c>
      <c r="Q31" s="110">
        <v>668727.76944999781</v>
      </c>
      <c r="R31" s="110">
        <v>542114.33220999944</v>
      </c>
      <c r="S31" s="110">
        <v>584122.25122999842</v>
      </c>
      <c r="T31" s="110">
        <v>539180.76463999867</v>
      </c>
      <c r="U31" s="110">
        <v>521286.87210999982</v>
      </c>
      <c r="V31" s="110">
        <v>519404.29279000062</v>
      </c>
      <c r="W31" s="110">
        <v>552336.98989999865</v>
      </c>
      <c r="X31" s="110">
        <v>555821</v>
      </c>
      <c r="Y31" s="110">
        <v>568351</v>
      </c>
      <c r="Z31" s="110">
        <v>568462</v>
      </c>
      <c r="AA31" s="110">
        <v>573922</v>
      </c>
      <c r="AB31" s="110">
        <v>566318</v>
      </c>
      <c r="AC31" s="110">
        <v>605485</v>
      </c>
      <c r="AD31" s="110">
        <v>57814</v>
      </c>
      <c r="AE31" s="110">
        <v>56873</v>
      </c>
      <c r="AF31" s="110">
        <v>52367</v>
      </c>
      <c r="AG31" s="110">
        <v>78154</v>
      </c>
      <c r="AH31" s="110">
        <v>92796</v>
      </c>
      <c r="AI31" s="110">
        <v>60850.639020001356</v>
      </c>
      <c r="AJ31" s="110">
        <v>41638</v>
      </c>
      <c r="AK31" s="110">
        <v>57047</v>
      </c>
      <c r="AL31" s="110">
        <v>47423.995999999999</v>
      </c>
      <c r="AM31" s="110">
        <v>42346</v>
      </c>
      <c r="AN31" s="1">
        <v>43998</v>
      </c>
      <c r="AO31" s="8"/>
      <c r="AP31" s="8"/>
      <c r="AQ31" s="8"/>
      <c r="AR31" s="8"/>
      <c r="AS31" s="8"/>
      <c r="AT31" s="8"/>
      <c r="AU31" s="8"/>
      <c r="AV31" s="8"/>
      <c r="AW31" s="8"/>
    </row>
    <row r="32" spans="1:49">
      <c r="A32" s="243"/>
      <c r="B32" s="243" t="s">
        <v>82</v>
      </c>
      <c r="D32" s="110">
        <v>98344.709579999399</v>
      </c>
      <c r="E32" s="110">
        <v>113339.16549999922</v>
      </c>
      <c r="F32" s="110">
        <v>109154.75611999938</v>
      </c>
      <c r="G32" s="110">
        <v>106989.68553000057</v>
      </c>
      <c r="H32" s="110">
        <v>137519.56498999908</v>
      </c>
      <c r="I32" s="110">
        <v>159030.19979000004</v>
      </c>
      <c r="J32" s="110">
        <v>133824.29981999996</v>
      </c>
      <c r="K32" s="110">
        <v>137581.76233000003</v>
      </c>
      <c r="L32" s="110">
        <v>138610.48808000071</v>
      </c>
      <c r="M32" s="110">
        <v>150641.12501999998</v>
      </c>
      <c r="N32" s="110">
        <v>308542.29955000104</v>
      </c>
      <c r="O32" s="110">
        <v>155210.16721999654</v>
      </c>
      <c r="P32" s="110">
        <v>155778.46619999906</v>
      </c>
      <c r="Q32" s="110">
        <v>126125.53616999996</v>
      </c>
      <c r="R32" s="110">
        <v>133288.06021999914</v>
      </c>
      <c r="S32" s="110">
        <v>140805.15647999776</v>
      </c>
      <c r="T32" s="110">
        <v>117843.87851999953</v>
      </c>
      <c r="U32" s="110">
        <v>126492.45931000132</v>
      </c>
      <c r="V32" s="110">
        <v>129372.9918300022</v>
      </c>
      <c r="W32" s="110">
        <v>166680.33081000048</v>
      </c>
      <c r="X32" s="110">
        <v>161221</v>
      </c>
      <c r="Y32" s="110">
        <v>146700</v>
      </c>
      <c r="Z32" s="110">
        <v>137164</v>
      </c>
      <c r="AA32" s="110">
        <v>109846</v>
      </c>
      <c r="AB32" s="110">
        <v>132743</v>
      </c>
      <c r="AC32" s="110">
        <v>99175</v>
      </c>
      <c r="AD32" s="110">
        <v>99636</v>
      </c>
      <c r="AE32" s="110">
        <v>81430</v>
      </c>
      <c r="AF32" s="110">
        <v>80164</v>
      </c>
      <c r="AG32" s="110">
        <v>93403</v>
      </c>
      <c r="AH32" s="110">
        <v>170364</v>
      </c>
      <c r="AI32" s="110">
        <v>46561.275030003322</v>
      </c>
      <c r="AJ32" s="110">
        <v>89712</v>
      </c>
      <c r="AK32" s="110">
        <v>47412</v>
      </c>
      <c r="AL32" s="110">
        <v>52185</v>
      </c>
      <c r="AM32" s="110">
        <v>59384</v>
      </c>
      <c r="AN32" s="1">
        <v>81374</v>
      </c>
      <c r="AO32" s="8"/>
      <c r="AP32" s="8"/>
      <c r="AQ32" s="8"/>
      <c r="AR32" s="8"/>
      <c r="AS32" s="8"/>
      <c r="AT32" s="8"/>
      <c r="AU32" s="8"/>
      <c r="AV32" s="8"/>
      <c r="AW32" s="8"/>
    </row>
    <row r="33" spans="1:49">
      <c r="A33" s="243"/>
      <c r="B33" s="243" t="s">
        <v>83</v>
      </c>
      <c r="D33" s="110">
        <v>4301234.1078199977</v>
      </c>
      <c r="E33" s="110">
        <v>4355559.9166699927</v>
      </c>
      <c r="F33" s="110">
        <v>4580908.2703899965</v>
      </c>
      <c r="G33" s="110">
        <v>4569389.7873799969</v>
      </c>
      <c r="H33" s="110">
        <v>4734644.1966099916</v>
      </c>
      <c r="I33" s="110">
        <v>4817005.0291500017</v>
      </c>
      <c r="J33" s="110">
        <v>4098178.8874499993</v>
      </c>
      <c r="K33" s="110">
        <v>4031466.4467400038</v>
      </c>
      <c r="L33" s="110">
        <v>4169444.8512400016</v>
      </c>
      <c r="M33" s="110">
        <v>4251087.9762100047</v>
      </c>
      <c r="N33" s="110">
        <v>4236240.296310002</v>
      </c>
      <c r="O33" s="110">
        <v>4132088.2081000004</v>
      </c>
      <c r="P33" s="110">
        <v>3666305.7432900006</v>
      </c>
      <c r="Q33" s="110">
        <v>3682873.8947800035</v>
      </c>
      <c r="R33" s="110">
        <v>1849917.6075999953</v>
      </c>
      <c r="S33" s="110">
        <v>1896186.4529500005</v>
      </c>
      <c r="T33" s="110">
        <v>1978694.9494800004</v>
      </c>
      <c r="U33" s="110">
        <v>1881698.6777199965</v>
      </c>
      <c r="V33" s="110">
        <v>920517.93478999962</v>
      </c>
      <c r="W33" s="110">
        <v>895894.46345000027</v>
      </c>
      <c r="X33" s="110">
        <v>885035</v>
      </c>
      <c r="Y33" s="110">
        <v>889041</v>
      </c>
      <c r="Z33" s="110">
        <v>871522</v>
      </c>
      <c r="AA33" s="110">
        <v>844102</v>
      </c>
      <c r="AB33" s="110">
        <v>854413</v>
      </c>
      <c r="AC33" s="110">
        <v>780489</v>
      </c>
      <c r="AD33" s="110">
        <v>741634</v>
      </c>
      <c r="AE33" s="110">
        <v>676629</v>
      </c>
      <c r="AF33" s="110">
        <v>716086</v>
      </c>
      <c r="AG33" s="110">
        <v>868514</v>
      </c>
      <c r="AH33" s="110">
        <v>933791</v>
      </c>
      <c r="AI33" s="110">
        <v>881213.60001999978</v>
      </c>
      <c r="AJ33" s="110">
        <v>872342</v>
      </c>
      <c r="AK33" s="110">
        <v>851840</v>
      </c>
      <c r="AL33" s="110">
        <v>865405</v>
      </c>
      <c r="AM33" s="110">
        <v>947164</v>
      </c>
      <c r="AN33" s="1">
        <v>928405</v>
      </c>
      <c r="AO33" s="8"/>
      <c r="AP33" s="8"/>
      <c r="AQ33" s="8"/>
      <c r="AR33" s="8"/>
      <c r="AS33" s="8"/>
      <c r="AT33" s="8"/>
      <c r="AU33" s="8"/>
      <c r="AV33" s="8"/>
      <c r="AW33" s="8"/>
    </row>
    <row r="34" spans="1:49">
      <c r="A34" s="243"/>
      <c r="B34" s="243" t="s">
        <v>87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>
        <v>20724</v>
      </c>
      <c r="AB34" s="110">
        <v>0</v>
      </c>
      <c r="AC34" s="110">
        <v>0</v>
      </c>
      <c r="AD34" s="110">
        <v>0</v>
      </c>
      <c r="AE34" s="110">
        <v>0</v>
      </c>
      <c r="AF34" s="110">
        <v>0</v>
      </c>
      <c r="AG34" s="110">
        <v>0</v>
      </c>
      <c r="AH34" s="110">
        <v>0</v>
      </c>
      <c r="AI34" s="110">
        <v>0</v>
      </c>
      <c r="AJ34" s="110">
        <v>9303.1849999999995</v>
      </c>
      <c r="AK34" s="110">
        <v>8608.1010000000006</v>
      </c>
      <c r="AL34" s="110">
        <v>9249.4979999999996</v>
      </c>
      <c r="AM34" s="110">
        <v>0</v>
      </c>
      <c r="AN34" s="1">
        <v>0</v>
      </c>
      <c r="AO34" s="8"/>
      <c r="AP34" s="8"/>
      <c r="AQ34" s="8"/>
      <c r="AR34" s="8"/>
      <c r="AS34" s="8"/>
      <c r="AT34" s="8"/>
      <c r="AU34" s="8"/>
      <c r="AV34" s="8"/>
      <c r="AW34" s="8"/>
    </row>
    <row r="35" spans="1:49">
      <c r="A35" s="289"/>
      <c r="B35" s="289" t="s">
        <v>56</v>
      </c>
      <c r="C35" s="289"/>
      <c r="D35" s="111">
        <v>3268903.0324900006</v>
      </c>
      <c r="E35" s="111">
        <v>3496554.9618200012</v>
      </c>
      <c r="F35" s="111">
        <v>3695866.5387500008</v>
      </c>
      <c r="G35" s="111">
        <v>3781418.9000900029</v>
      </c>
      <c r="H35" s="111">
        <v>3909536.7491000039</v>
      </c>
      <c r="I35" s="111">
        <v>4095969.1015400011</v>
      </c>
      <c r="J35" s="111">
        <v>4493105.3818999995</v>
      </c>
      <c r="K35" s="111">
        <v>4609202.4086000007</v>
      </c>
      <c r="L35" s="111">
        <v>4807363.0251700003</v>
      </c>
      <c r="M35" s="111">
        <v>5109939.8418399999</v>
      </c>
      <c r="N35" s="111">
        <v>5682478.8268200001</v>
      </c>
      <c r="O35" s="111">
        <v>5939508.5865099989</v>
      </c>
      <c r="P35" s="111">
        <v>6152487.5424799994</v>
      </c>
      <c r="Q35" s="111">
        <v>6348465.8181100003</v>
      </c>
      <c r="R35" s="111">
        <v>3403411.95126</v>
      </c>
      <c r="S35" s="111">
        <v>3524327.3855600012</v>
      </c>
      <c r="T35" s="111">
        <v>3660205.9413400008</v>
      </c>
      <c r="U35" s="111">
        <v>3620404.4914299995</v>
      </c>
      <c r="V35" s="77">
        <v>4550217.3209700007</v>
      </c>
      <c r="W35" s="77">
        <v>4558674.0161900008</v>
      </c>
      <c r="X35" s="77">
        <v>4576713</v>
      </c>
      <c r="Y35" s="77">
        <v>4584695</v>
      </c>
      <c r="Z35" s="77">
        <v>4572511</v>
      </c>
      <c r="AA35" s="77">
        <v>4536362</v>
      </c>
      <c r="AB35" s="77">
        <v>4443477</v>
      </c>
      <c r="AC35" s="77">
        <v>4563807</v>
      </c>
      <c r="AD35" s="77">
        <v>4571591</v>
      </c>
      <c r="AE35" s="77">
        <v>5441532</v>
      </c>
      <c r="AF35" s="77">
        <v>5465013</v>
      </c>
      <c r="AG35" s="77">
        <v>5493400</v>
      </c>
      <c r="AH35" s="77">
        <v>5365126</v>
      </c>
      <c r="AI35" s="77">
        <v>5431713</v>
      </c>
      <c r="AJ35" s="77">
        <f>SUM(AJ36:AJ38)</f>
        <v>5487031</v>
      </c>
      <c r="AK35" s="77">
        <v>5570327</v>
      </c>
      <c r="AL35" s="77">
        <v>5638145</v>
      </c>
      <c r="AM35" s="77">
        <v>5695273</v>
      </c>
      <c r="AN35" s="3">
        <f>SUM(AN36:AN38)</f>
        <v>5808623</v>
      </c>
      <c r="AO35" s="8"/>
      <c r="AP35" s="8"/>
      <c r="AQ35" s="8"/>
      <c r="AR35" s="8"/>
      <c r="AS35" s="8"/>
      <c r="AT35" s="8"/>
      <c r="AU35" s="8"/>
      <c r="AV35" s="8"/>
      <c r="AW35" s="8"/>
    </row>
    <row r="36" spans="1:49">
      <c r="A36" s="243"/>
      <c r="B36" s="243" t="s">
        <v>79</v>
      </c>
      <c r="D36" s="1">
        <v>78.517229999999955</v>
      </c>
      <c r="E36" s="1">
        <v>52.13273999999992</v>
      </c>
      <c r="F36" s="1">
        <v>22971.918530000003</v>
      </c>
      <c r="G36" s="1">
        <v>243.68741999999986</v>
      </c>
      <c r="H36" s="1">
        <v>181.84020000000012</v>
      </c>
      <c r="I36" s="1">
        <v>17.903039999998985</v>
      </c>
      <c r="J36" s="1">
        <v>9959.3235700000005</v>
      </c>
      <c r="K36" s="1">
        <v>9370.3513299999995</v>
      </c>
      <c r="L36" s="1">
        <v>14172.26269</v>
      </c>
      <c r="M36" s="1">
        <v>97814.755270000009</v>
      </c>
      <c r="N36" s="1">
        <v>137190.17188000001</v>
      </c>
      <c r="O36" s="1">
        <v>148165.65650000001</v>
      </c>
      <c r="P36" s="1">
        <v>106212.13535000001</v>
      </c>
      <c r="Q36" s="1">
        <v>187972.80618000001</v>
      </c>
      <c r="R36" s="1">
        <v>57067.134580000005</v>
      </c>
      <c r="S36" s="1">
        <v>68161.238699999987</v>
      </c>
      <c r="T36" s="1">
        <v>113030.68299999999</v>
      </c>
      <c r="U36" s="1">
        <v>107700.43435</v>
      </c>
      <c r="V36" s="1">
        <v>101830.80028999998</v>
      </c>
      <c r="W36" s="1">
        <v>97345.163249999983</v>
      </c>
      <c r="X36" s="1">
        <v>93349</v>
      </c>
      <c r="Y36" s="1">
        <v>104637</v>
      </c>
      <c r="Z36" s="1">
        <v>99189</v>
      </c>
      <c r="AA36" s="1">
        <v>96058</v>
      </c>
      <c r="AB36" s="1">
        <v>269</v>
      </c>
      <c r="AC36" s="1">
        <v>85671</v>
      </c>
      <c r="AD36" s="1">
        <v>83567</v>
      </c>
      <c r="AE36" s="1">
        <v>76585</v>
      </c>
      <c r="AF36" s="1">
        <v>72691</v>
      </c>
      <c r="AG36" s="1">
        <v>49601</v>
      </c>
      <c r="AH36" s="1">
        <v>41925</v>
      </c>
      <c r="AI36" s="1">
        <v>39935</v>
      </c>
      <c r="AJ36" s="1">
        <v>22709</v>
      </c>
      <c r="AK36" s="1">
        <v>20737</v>
      </c>
      <c r="AL36" s="1">
        <v>0</v>
      </c>
      <c r="AM36" s="1">
        <v>0</v>
      </c>
      <c r="AN36" s="1">
        <v>18</v>
      </c>
      <c r="AO36" s="8"/>
      <c r="AP36" s="8"/>
      <c r="AQ36" s="8"/>
      <c r="AR36" s="8"/>
      <c r="AS36" s="8"/>
      <c r="AT36" s="8"/>
      <c r="AU36" s="8"/>
      <c r="AV36" s="8"/>
      <c r="AW36" s="8"/>
    </row>
    <row r="37" spans="1:49">
      <c r="A37" s="243"/>
      <c r="B37" s="243" t="s">
        <v>83</v>
      </c>
      <c r="D37" s="1">
        <v>1273874.6218200014</v>
      </c>
      <c r="E37" s="1">
        <v>1438137.7641400015</v>
      </c>
      <c r="F37" s="1">
        <v>1581414.9903800008</v>
      </c>
      <c r="G37" s="1">
        <v>1781503.7445600026</v>
      </c>
      <c r="H37" s="1">
        <v>1864071.8072600034</v>
      </c>
      <c r="I37" s="1">
        <v>2001898.2618000014</v>
      </c>
      <c r="J37" s="1">
        <v>2156718.3724099994</v>
      </c>
      <c r="K37" s="1">
        <v>2265944.5548600005</v>
      </c>
      <c r="L37" s="1">
        <v>2406317.6981700002</v>
      </c>
      <c r="M37" s="1">
        <v>2587323.50257</v>
      </c>
      <c r="N37" s="1">
        <v>2766110.4541899986</v>
      </c>
      <c r="O37" s="1">
        <v>2967122.5105299992</v>
      </c>
      <c r="P37" s="1">
        <v>3122308.9126200005</v>
      </c>
      <c r="Q37" s="1">
        <v>3189824.8442400009</v>
      </c>
      <c r="R37" s="1">
        <v>391242.61586000049</v>
      </c>
      <c r="S37" s="1">
        <v>451357.70995000156</v>
      </c>
      <c r="T37" s="1">
        <v>514637.00455000025</v>
      </c>
      <c r="U37" s="1">
        <v>488776.50192999933</v>
      </c>
      <c r="V37" s="1">
        <v>1407532.7284900011</v>
      </c>
      <c r="W37" s="1">
        <v>1401837.41123</v>
      </c>
      <c r="X37" s="1">
        <v>1422609</v>
      </c>
      <c r="Y37" s="1">
        <v>1397069</v>
      </c>
      <c r="Z37" s="1">
        <v>1377211</v>
      </c>
      <c r="AA37" s="1">
        <v>1471867</v>
      </c>
      <c r="AB37" s="1">
        <v>1467490</v>
      </c>
      <c r="AC37" s="1">
        <v>1447470</v>
      </c>
      <c r="AD37" s="1">
        <v>1444132</v>
      </c>
      <c r="AE37" s="1">
        <v>1446589</v>
      </c>
      <c r="AF37" s="1">
        <v>1420994</v>
      </c>
      <c r="AG37" s="1">
        <v>1417739</v>
      </c>
      <c r="AH37" s="1">
        <v>1242921</v>
      </c>
      <c r="AI37" s="1">
        <v>1208649</v>
      </c>
      <c r="AJ37" s="1">
        <v>1222453</v>
      </c>
      <c r="AK37" s="1">
        <v>1228867</v>
      </c>
      <c r="AL37" s="1">
        <v>1234643</v>
      </c>
      <c r="AM37" s="1">
        <v>1248032</v>
      </c>
      <c r="AN37" s="1">
        <v>1293515</v>
      </c>
      <c r="AO37" s="8"/>
      <c r="AP37" s="8"/>
      <c r="AQ37" s="8"/>
      <c r="AR37" s="8"/>
      <c r="AS37" s="8"/>
      <c r="AT37" s="8"/>
      <c r="AU37" s="8"/>
      <c r="AV37" s="8"/>
      <c r="AW37" s="8"/>
    </row>
    <row r="38" spans="1:49">
      <c r="A38" s="243"/>
      <c r="B38" s="243" t="s">
        <v>87</v>
      </c>
      <c r="D38" s="1">
        <v>1994949.8934399995</v>
      </c>
      <c r="E38" s="1">
        <v>2058365.0649399995</v>
      </c>
      <c r="F38" s="1">
        <v>2091479.6298399998</v>
      </c>
      <c r="G38" s="1">
        <v>1999671.4681100007</v>
      </c>
      <c r="H38" s="1">
        <v>2045283.1016400002</v>
      </c>
      <c r="I38" s="1">
        <v>2094052.9366999997</v>
      </c>
      <c r="J38" s="1">
        <v>2326427.6859200001</v>
      </c>
      <c r="K38" s="1">
        <v>2333887.5024099997</v>
      </c>
      <c r="L38" s="1">
        <v>2386873.0643099998</v>
      </c>
      <c r="M38" s="1">
        <v>2424801.5839999998</v>
      </c>
      <c r="N38" s="1">
        <v>2779178.2007500003</v>
      </c>
      <c r="O38" s="1">
        <v>2824220.4194800002</v>
      </c>
      <c r="P38" s="1">
        <v>2923966.4945099996</v>
      </c>
      <c r="Q38" s="1">
        <v>2970668.1676899996</v>
      </c>
      <c r="R38" s="1">
        <v>2955102.2008199999</v>
      </c>
      <c r="S38" s="1">
        <v>3004808.4369099997</v>
      </c>
      <c r="T38" s="1">
        <v>3032538.2537900005</v>
      </c>
      <c r="U38" s="1">
        <v>3023927.5551499999</v>
      </c>
      <c r="V38" s="1">
        <v>3040853.7921899995</v>
      </c>
      <c r="W38" s="1">
        <v>3059491.4417099999</v>
      </c>
      <c r="X38" s="1">
        <v>3060755</v>
      </c>
      <c r="Y38" s="1">
        <v>3082989</v>
      </c>
      <c r="Z38" s="1">
        <v>3096111</v>
      </c>
      <c r="AA38" s="1">
        <v>2968437</v>
      </c>
      <c r="AB38" s="1">
        <v>2975718</v>
      </c>
      <c r="AC38" s="1">
        <v>3030666</v>
      </c>
      <c r="AD38" s="1">
        <v>3043892</v>
      </c>
      <c r="AE38" s="1">
        <v>3918358</v>
      </c>
      <c r="AF38" s="1">
        <v>3971328</v>
      </c>
      <c r="AG38" s="1">
        <v>4026060</v>
      </c>
      <c r="AH38" s="1">
        <v>4080280</v>
      </c>
      <c r="AI38" s="1">
        <v>4183129</v>
      </c>
      <c r="AJ38" s="1">
        <v>4241869</v>
      </c>
      <c r="AK38" s="1">
        <v>4320723</v>
      </c>
      <c r="AL38" s="1">
        <v>4403502</v>
      </c>
      <c r="AM38" s="1">
        <v>4447241</v>
      </c>
      <c r="AN38" s="1">
        <v>4515090</v>
      </c>
      <c r="AO38" s="8"/>
      <c r="AP38" s="8"/>
      <c r="AQ38" s="8"/>
      <c r="AR38" s="8"/>
      <c r="AS38" s="8"/>
      <c r="AT38" s="8"/>
      <c r="AU38" s="8"/>
      <c r="AV38" s="8"/>
      <c r="AW38" s="8"/>
    </row>
    <row r="39" spans="1:49">
      <c r="A39" s="633"/>
      <c r="B39" s="633" t="s">
        <v>25</v>
      </c>
      <c r="C39" s="647"/>
      <c r="D39" s="648">
        <v>2067436.34766</v>
      </c>
      <c r="E39" s="648">
        <v>2354399.5099899997</v>
      </c>
      <c r="F39" s="648">
        <v>2656102.7795899999</v>
      </c>
      <c r="G39" s="648">
        <v>2687300.1048400002</v>
      </c>
      <c r="H39" s="648">
        <v>2667726.7771500004</v>
      </c>
      <c r="I39" s="648">
        <v>2911722.0867700004</v>
      </c>
      <c r="J39" s="648">
        <v>3488628.5234899996</v>
      </c>
      <c r="K39" s="648">
        <v>3543076.99034</v>
      </c>
      <c r="L39" s="648">
        <v>3193759.1667300006</v>
      </c>
      <c r="M39" s="648">
        <v>3633057.8756300001</v>
      </c>
      <c r="N39" s="648">
        <v>4098642.6594400001</v>
      </c>
      <c r="O39" s="648">
        <v>4252451.5407100003</v>
      </c>
      <c r="P39" s="648">
        <v>4638675.6279799994</v>
      </c>
      <c r="Q39" s="648">
        <v>4791607.7244499996</v>
      </c>
      <c r="R39" s="648">
        <v>3247416.9470799998</v>
      </c>
      <c r="S39" s="648">
        <v>2638433.3350499999</v>
      </c>
      <c r="T39" s="648">
        <v>2054264.48138</v>
      </c>
      <c r="U39" s="648">
        <v>2245512.2275600005</v>
      </c>
      <c r="V39" s="634">
        <v>2338249.64861</v>
      </c>
      <c r="W39" s="634">
        <v>2342159.3677000003</v>
      </c>
      <c r="X39" s="634">
        <v>2169107</v>
      </c>
      <c r="Y39" s="634">
        <v>2339641</v>
      </c>
      <c r="Z39" s="634">
        <v>2590179</v>
      </c>
      <c r="AA39" s="634">
        <v>2521437</v>
      </c>
      <c r="AB39" s="634">
        <v>2545727</v>
      </c>
      <c r="AC39" s="634">
        <v>2779759</v>
      </c>
      <c r="AD39" s="634">
        <v>3040337</v>
      </c>
      <c r="AE39" s="634">
        <v>3091794</v>
      </c>
      <c r="AF39" s="634">
        <v>2855604</v>
      </c>
      <c r="AG39" s="634">
        <v>2990508</v>
      </c>
      <c r="AH39" s="634">
        <v>3206731</v>
      </c>
      <c r="AI39" s="634">
        <v>3074496.6987999999</v>
      </c>
      <c r="AJ39" s="634">
        <v>2986024</v>
      </c>
      <c r="AK39" s="634">
        <v>3225105</v>
      </c>
      <c r="AL39" s="634">
        <v>3163311</v>
      </c>
      <c r="AM39" s="634">
        <v>3415559</v>
      </c>
      <c r="AN39" s="634">
        <v>3309696</v>
      </c>
      <c r="AO39" s="8"/>
      <c r="AP39" s="8"/>
      <c r="AQ39" s="8"/>
      <c r="AR39" s="8"/>
      <c r="AS39" s="8"/>
      <c r="AT39" s="8"/>
      <c r="AU39" s="8"/>
      <c r="AV39" s="8"/>
      <c r="AW39" s="8"/>
    </row>
    <row r="40" spans="1:49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8"/>
      <c r="AP40" s="8"/>
      <c r="AQ40" s="8"/>
      <c r="AR40" s="8"/>
      <c r="AS40" s="8"/>
      <c r="AT40" s="8"/>
      <c r="AU40" s="8"/>
      <c r="AV40" s="8"/>
      <c r="AW40" s="8"/>
    </row>
    <row r="41" spans="1:49"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AO41" s="8"/>
      <c r="AP41" s="8"/>
      <c r="AQ41" s="8"/>
      <c r="AR41" s="8"/>
      <c r="AS41" s="8"/>
      <c r="AT41" s="8"/>
      <c r="AU41" s="8"/>
      <c r="AV41" s="8"/>
      <c r="AW41" s="8"/>
    </row>
    <row r="42" spans="1:49" ht="25.35" customHeight="1">
      <c r="A42" s="646"/>
      <c r="B42" s="646" t="s">
        <v>164</v>
      </c>
      <c r="C42" s="643"/>
      <c r="D42" s="643">
        <v>42825</v>
      </c>
      <c r="E42" s="643">
        <v>42916</v>
      </c>
      <c r="F42" s="643">
        <v>43008</v>
      </c>
      <c r="G42" s="643">
        <v>43100</v>
      </c>
      <c r="H42" s="643">
        <v>43190</v>
      </c>
      <c r="I42" s="643">
        <v>43281</v>
      </c>
      <c r="J42" s="643">
        <v>43373</v>
      </c>
      <c r="K42" s="643">
        <v>43465</v>
      </c>
      <c r="L42" s="643">
        <v>43555</v>
      </c>
      <c r="M42" s="643">
        <v>43646</v>
      </c>
      <c r="N42" s="643">
        <v>43738</v>
      </c>
      <c r="O42" s="643">
        <v>43830</v>
      </c>
      <c r="P42" s="643">
        <v>43921</v>
      </c>
      <c r="Q42" s="643">
        <v>44012</v>
      </c>
      <c r="R42" s="643">
        <v>44104</v>
      </c>
      <c r="S42" s="643">
        <v>44196</v>
      </c>
      <c r="T42" s="643">
        <v>44286</v>
      </c>
      <c r="U42" s="643">
        <v>44377</v>
      </c>
      <c r="V42" s="643">
        <v>44440</v>
      </c>
      <c r="W42" s="643">
        <v>44531</v>
      </c>
      <c r="X42" s="643">
        <v>44621</v>
      </c>
      <c r="Y42" s="643">
        <v>44713</v>
      </c>
      <c r="Z42" s="643">
        <v>44805</v>
      </c>
      <c r="AA42" s="643">
        <v>44896</v>
      </c>
      <c r="AB42" s="643">
        <v>44986</v>
      </c>
      <c r="AC42" s="643">
        <v>45078</v>
      </c>
      <c r="AD42" s="643">
        <v>45170</v>
      </c>
      <c r="AE42" s="643">
        <v>45261</v>
      </c>
      <c r="AF42" s="643">
        <v>45352</v>
      </c>
      <c r="AG42" s="643">
        <v>45444</v>
      </c>
      <c r="AH42" s="643">
        <v>45536</v>
      </c>
      <c r="AI42" s="643">
        <v>45627</v>
      </c>
      <c r="AJ42" s="643">
        <v>45717</v>
      </c>
      <c r="AK42" s="643">
        <v>45809</v>
      </c>
      <c r="AL42" s="643">
        <v>45901</v>
      </c>
      <c r="AM42" s="644">
        <v>45992</v>
      </c>
      <c r="AN42" s="751">
        <v>46082</v>
      </c>
      <c r="AO42" s="8"/>
      <c r="AP42" s="8"/>
      <c r="AQ42" s="8"/>
      <c r="AR42" s="8"/>
      <c r="AS42" s="8"/>
      <c r="AT42" s="8"/>
      <c r="AU42" s="8"/>
      <c r="AV42" s="8"/>
      <c r="AW42" s="8"/>
    </row>
    <row r="43" spans="1:49">
      <c r="A43" s="633"/>
      <c r="B43" s="633" t="s">
        <v>5</v>
      </c>
      <c r="C43" s="647"/>
      <c r="D43" s="648">
        <v>41325179.488499992</v>
      </c>
      <c r="E43" s="648">
        <v>43311440.221690007</v>
      </c>
      <c r="F43" s="648">
        <v>46520279.807259999</v>
      </c>
      <c r="G43" s="648">
        <v>49434879.857170016</v>
      </c>
      <c r="H43" s="648">
        <v>52792144.804639995</v>
      </c>
      <c r="I43" s="648">
        <v>55590255.021820001</v>
      </c>
      <c r="J43" s="648">
        <v>58361791.46864</v>
      </c>
      <c r="K43" s="648">
        <v>62123491.080050014</v>
      </c>
      <c r="L43" s="648">
        <v>65876039.11065001</v>
      </c>
      <c r="M43" s="648">
        <v>70082030.864189982</v>
      </c>
      <c r="N43" s="648">
        <v>74440634.462400004</v>
      </c>
      <c r="O43" s="648">
        <v>79535670.690269962</v>
      </c>
      <c r="P43" s="648">
        <v>80570253.341769993</v>
      </c>
      <c r="Q43" s="648">
        <v>82312022.807359979</v>
      </c>
      <c r="R43" s="648">
        <v>94764548.250560001</v>
      </c>
      <c r="S43" s="648">
        <v>101941495.38574</v>
      </c>
      <c r="T43" s="648"/>
      <c r="U43" s="648"/>
      <c r="V43" s="634"/>
      <c r="W43" s="634"/>
      <c r="X43" s="634"/>
      <c r="Y43" s="634"/>
      <c r="Z43" s="634"/>
      <c r="AA43" s="634"/>
      <c r="AB43" s="634"/>
      <c r="AC43" s="634"/>
      <c r="AD43" s="634"/>
      <c r="AE43" s="634"/>
      <c r="AF43" s="634"/>
      <c r="AG43" s="634"/>
      <c r="AH43" s="634"/>
      <c r="AI43" s="634"/>
      <c r="AJ43" s="634"/>
      <c r="AK43" s="634"/>
      <c r="AL43" s="634"/>
      <c r="AM43" s="634"/>
      <c r="AN43" s="634"/>
      <c r="AO43" s="8"/>
      <c r="AP43" s="8"/>
      <c r="AQ43" s="8"/>
      <c r="AR43" s="8"/>
      <c r="AS43" s="8"/>
      <c r="AT43" s="8"/>
      <c r="AU43" s="8"/>
      <c r="AV43" s="8"/>
      <c r="AW43" s="8"/>
    </row>
    <row r="44" spans="1:49">
      <c r="A44" s="64"/>
      <c r="B44" s="64" t="s">
        <v>40</v>
      </c>
      <c r="C44" s="64"/>
      <c r="D44" s="218">
        <v>40787546.654219992</v>
      </c>
      <c r="E44" s="218">
        <v>42924717.956520014</v>
      </c>
      <c r="F44" s="218">
        <v>46096212.565670006</v>
      </c>
      <c r="G44" s="218">
        <v>48979605.46963001</v>
      </c>
      <c r="H44" s="218">
        <v>52297570.544469997</v>
      </c>
      <c r="I44" s="218">
        <v>55085243.321159996</v>
      </c>
      <c r="J44" s="218">
        <v>57819580.955879994</v>
      </c>
      <c r="K44" s="218">
        <v>61657951.704880014</v>
      </c>
      <c r="L44" s="218">
        <v>65394461.958540007</v>
      </c>
      <c r="M44" s="218">
        <v>69576370.770049989</v>
      </c>
      <c r="N44" s="218">
        <v>73749879.147270009</v>
      </c>
      <c r="O44" s="218">
        <v>78784345.793869957</v>
      </c>
      <c r="P44" s="218">
        <v>79825143.186399996</v>
      </c>
      <c r="Q44" s="218">
        <v>81600428.399929985</v>
      </c>
      <c r="R44" s="218">
        <v>89420696.102369994</v>
      </c>
      <c r="S44" s="218">
        <v>95955077.16835998</v>
      </c>
      <c r="T44" s="64"/>
      <c r="U44" s="64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8"/>
      <c r="AP44" s="8"/>
      <c r="AQ44" s="8"/>
      <c r="AR44" s="8"/>
      <c r="AS44" s="8"/>
      <c r="AT44" s="8"/>
      <c r="AU44" s="8"/>
      <c r="AV44" s="8"/>
      <c r="AW44" s="8"/>
    </row>
    <row r="45" spans="1:49">
      <c r="A45" s="65"/>
      <c r="B45" s="65" t="s">
        <v>89</v>
      </c>
      <c r="C45" s="65"/>
      <c r="D45" s="1">
        <v>48580.753409993631</v>
      </c>
      <c r="E45" s="1">
        <v>40536.680819993599</v>
      </c>
      <c r="F45" s="1">
        <v>74584.65280999268</v>
      </c>
      <c r="G45" s="1">
        <v>83620.001459992127</v>
      </c>
      <c r="H45" s="1">
        <v>102116.45013999259</v>
      </c>
      <c r="I45" s="1">
        <v>128542.00228999343</v>
      </c>
      <c r="J45" s="1">
        <v>119915.55417000002</v>
      </c>
      <c r="K45" s="1">
        <v>107947.03221999999</v>
      </c>
      <c r="L45" s="1">
        <v>116166.44415000002</v>
      </c>
      <c r="M45" s="1">
        <v>117929.66686000017</v>
      </c>
      <c r="N45" s="1">
        <v>184958.29835999993</v>
      </c>
      <c r="O45" s="1">
        <v>200450.96864000044</v>
      </c>
      <c r="P45" s="1">
        <v>25405.579490000542</v>
      </c>
      <c r="Q45" s="1">
        <v>146653.25957999961</v>
      </c>
      <c r="R45" s="1">
        <v>298707.59638000006</v>
      </c>
      <c r="S45" s="1">
        <v>389006.79820000014</v>
      </c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8"/>
      <c r="AP45" s="8"/>
      <c r="AQ45" s="8"/>
      <c r="AR45" s="8"/>
      <c r="AS45" s="8"/>
      <c r="AT45" s="8"/>
      <c r="AU45" s="8"/>
      <c r="AV45" s="8"/>
      <c r="AW45" s="8"/>
    </row>
    <row r="46" spans="1:49">
      <c r="A46" s="65"/>
      <c r="B46" s="65" t="s">
        <v>71</v>
      </c>
      <c r="C46" s="65"/>
      <c r="D46" s="1">
        <v>40342016.798880003</v>
      </c>
      <c r="E46" s="1">
        <v>42443826.161180012</v>
      </c>
      <c r="F46" s="1">
        <v>45679543.84591002</v>
      </c>
      <c r="G46" s="1">
        <v>48494720.84213002</v>
      </c>
      <c r="H46" s="1">
        <v>51677110.94686</v>
      </c>
      <c r="I46" s="1">
        <v>54391551.538010001</v>
      </c>
      <c r="J46" s="1">
        <v>57287056.26884</v>
      </c>
      <c r="K46" s="1">
        <v>61044611.738360003</v>
      </c>
      <c r="L46" s="1">
        <v>64698379.390530005</v>
      </c>
      <c r="M46" s="1">
        <v>68795721.288709998</v>
      </c>
      <c r="N46" s="1">
        <v>73075833.760330006</v>
      </c>
      <c r="O46" s="1">
        <v>77979284.984929994</v>
      </c>
      <c r="P46" s="1">
        <v>79064153.171870008</v>
      </c>
      <c r="Q46" s="1">
        <v>80769433.500279993</v>
      </c>
      <c r="R46" s="1">
        <v>87760717.838130012</v>
      </c>
      <c r="S46" s="1">
        <v>94117885.949839994</v>
      </c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8"/>
      <c r="AP46" s="8"/>
      <c r="AQ46" s="8"/>
      <c r="AR46" s="8"/>
      <c r="AS46" s="8"/>
      <c r="AT46" s="8"/>
      <c r="AU46" s="8"/>
      <c r="AV46" s="8"/>
      <c r="AW46" s="8"/>
    </row>
    <row r="47" spans="1:49">
      <c r="A47" s="65"/>
      <c r="B47" s="65" t="s">
        <v>90</v>
      </c>
      <c r="C47" s="65"/>
      <c r="D47" s="1">
        <v>3640.9620199999808</v>
      </c>
      <c r="E47" s="1">
        <v>2983.3644899999817</v>
      </c>
      <c r="F47" s="1">
        <v>3309.3103799999785</v>
      </c>
      <c r="G47" s="1">
        <v>3321.873299999957</v>
      </c>
      <c r="H47" s="1">
        <v>3756.3144299999803</v>
      </c>
      <c r="I47" s="1">
        <v>3045.7641200000012</v>
      </c>
      <c r="J47" s="1">
        <v>3218.5700999999999</v>
      </c>
      <c r="K47" s="1">
        <v>4510.6224000000002</v>
      </c>
      <c r="L47" s="1">
        <v>4140.5975600000002</v>
      </c>
      <c r="M47" s="1">
        <v>3599.0803700000006</v>
      </c>
      <c r="N47" s="1">
        <v>6109.4859400000005</v>
      </c>
      <c r="O47" s="1">
        <v>5756.3355499999998</v>
      </c>
      <c r="P47" s="1">
        <v>7294.3182299999999</v>
      </c>
      <c r="Q47" s="1">
        <v>7058.2172099999998</v>
      </c>
      <c r="R47" s="1">
        <v>254268.59752000033</v>
      </c>
      <c r="S47" s="1">
        <v>257050.52055999998</v>
      </c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8"/>
      <c r="AP47" s="8"/>
      <c r="AQ47" s="8"/>
      <c r="AR47" s="8"/>
      <c r="AS47" s="8"/>
      <c r="AT47" s="8"/>
      <c r="AU47" s="8"/>
      <c r="AV47" s="8"/>
      <c r="AW47" s="8"/>
    </row>
    <row r="48" spans="1:49">
      <c r="A48" s="65"/>
      <c r="B48" s="65" t="s">
        <v>165</v>
      </c>
      <c r="C48" s="65"/>
      <c r="D48" s="1">
        <v>0</v>
      </c>
      <c r="E48" s="1">
        <v>1152.046</v>
      </c>
      <c r="F48" s="1">
        <v>926.89200000000005</v>
      </c>
      <c r="G48" s="1">
        <v>739.45</v>
      </c>
      <c r="H48" s="1">
        <v>1094.441</v>
      </c>
      <c r="I48" s="1">
        <v>1141.165</v>
      </c>
      <c r="J48" s="1">
        <v>1019.522</v>
      </c>
      <c r="K48" s="1">
        <v>737.26</v>
      </c>
      <c r="L48" s="1">
        <v>1087.1753299999998</v>
      </c>
      <c r="M48" s="1">
        <v>796.86211999999989</v>
      </c>
      <c r="N48" s="1">
        <v>425.68610999999999</v>
      </c>
      <c r="O48" s="1">
        <v>372.90207999999996</v>
      </c>
      <c r="P48" s="1">
        <v>480.66345999999999</v>
      </c>
      <c r="Q48" s="1">
        <v>279.53408999999999</v>
      </c>
      <c r="R48" s="1">
        <v>285.82172000000003</v>
      </c>
      <c r="S48" s="1">
        <v>268.44130000000001</v>
      </c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8"/>
      <c r="AP48" s="8"/>
      <c r="AQ48" s="8"/>
      <c r="AR48" s="8"/>
      <c r="AS48" s="8"/>
      <c r="AT48" s="8"/>
      <c r="AU48" s="8"/>
      <c r="AV48" s="8"/>
      <c r="AW48" s="8"/>
    </row>
    <row r="49" spans="1:49">
      <c r="A49" s="65"/>
      <c r="B49" s="65" t="s">
        <v>73</v>
      </c>
      <c r="C49" s="65"/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626.37960999999996</v>
      </c>
      <c r="O49" s="1">
        <v>416.07918000000001</v>
      </c>
      <c r="P49" s="1">
        <v>0</v>
      </c>
      <c r="Q49" s="1">
        <v>0</v>
      </c>
      <c r="R49" s="1">
        <v>49.090249999999997</v>
      </c>
      <c r="S49" s="1">
        <v>5046.7884100000001</v>
      </c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8"/>
      <c r="AP49" s="8"/>
      <c r="AQ49" s="8"/>
      <c r="AR49" s="8"/>
      <c r="AS49" s="8"/>
      <c r="AT49" s="8"/>
      <c r="AU49" s="8"/>
      <c r="AV49" s="8"/>
      <c r="AW49" s="8"/>
    </row>
    <row r="50" spans="1:49">
      <c r="A50" s="65"/>
      <c r="B50" s="65" t="s">
        <v>72</v>
      </c>
      <c r="C50" s="65"/>
      <c r="D50" s="1">
        <v>392401.58904000255</v>
      </c>
      <c r="E50" s="1">
        <v>435409.36984000204</v>
      </c>
      <c r="F50" s="1">
        <v>324746.63939000206</v>
      </c>
      <c r="G50" s="1">
        <v>354419.47796000226</v>
      </c>
      <c r="H50" s="1">
        <v>468876.23249999969</v>
      </c>
      <c r="I50" s="1">
        <v>517328.90007999219</v>
      </c>
      <c r="J50" s="1">
        <v>364130.94245000521</v>
      </c>
      <c r="K50" s="1">
        <v>456885.33799000474</v>
      </c>
      <c r="L50" s="1">
        <v>533548.76166000566</v>
      </c>
      <c r="M50" s="1">
        <v>616438.01857000077</v>
      </c>
      <c r="N50" s="1">
        <v>438729.74162000261</v>
      </c>
      <c r="O50" s="1">
        <v>539845.05730998237</v>
      </c>
      <c r="P50" s="1">
        <v>669786.03357997199</v>
      </c>
      <c r="Q50" s="1">
        <v>621063.93683998997</v>
      </c>
      <c r="R50" s="1">
        <v>456636.96016997681</v>
      </c>
      <c r="S50" s="1">
        <v>505244.59570999647</v>
      </c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8"/>
      <c r="AP50" s="8"/>
      <c r="AQ50" s="8"/>
      <c r="AR50" s="8"/>
      <c r="AS50" s="8"/>
      <c r="AT50" s="8"/>
      <c r="AU50" s="8"/>
      <c r="AV50" s="8"/>
      <c r="AW50" s="8"/>
    </row>
    <row r="51" spans="1:49">
      <c r="A51" s="65"/>
      <c r="B51" s="65" t="s">
        <v>74</v>
      </c>
      <c r="C51" s="65"/>
      <c r="D51" s="1">
        <v>173.02412999999999</v>
      </c>
      <c r="E51" s="1">
        <v>176.24953999999997</v>
      </c>
      <c r="F51" s="1">
        <v>184.69345999999999</v>
      </c>
      <c r="G51" s="1">
        <v>224.13300000000001</v>
      </c>
      <c r="H51" s="1">
        <v>228.15153999999998</v>
      </c>
      <c r="I51" s="1">
        <v>236.68999999999994</v>
      </c>
      <c r="J51" s="1">
        <v>245.73420999999999</v>
      </c>
      <c r="K51" s="1">
        <v>235.12438999999998</v>
      </c>
      <c r="L51" s="1">
        <v>235.36528999999999</v>
      </c>
      <c r="M51" s="1">
        <v>429.70158999999995</v>
      </c>
      <c r="N51" s="1">
        <v>467.60902999999996</v>
      </c>
      <c r="O51" s="1">
        <v>496.20592999999997</v>
      </c>
      <c r="P51" s="1">
        <v>503.39089000000001</v>
      </c>
      <c r="Q51" s="1">
        <v>507.22489000000002</v>
      </c>
      <c r="R51" s="1">
        <v>400.46269999999998</v>
      </c>
      <c r="S51" s="1">
        <v>403.17409999999995</v>
      </c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8"/>
      <c r="AP51" s="8"/>
      <c r="AQ51" s="8"/>
      <c r="AR51" s="8"/>
      <c r="AS51" s="8"/>
      <c r="AT51" s="8"/>
      <c r="AU51" s="8"/>
      <c r="AV51" s="8"/>
      <c r="AW51" s="8"/>
    </row>
    <row r="52" spans="1:49">
      <c r="A52" s="65"/>
      <c r="B52" s="65" t="s">
        <v>162</v>
      </c>
      <c r="C52" s="65"/>
      <c r="D52" s="1">
        <v>733.52673999999922</v>
      </c>
      <c r="E52" s="1">
        <v>634.08464999999899</v>
      </c>
      <c r="F52" s="1">
        <v>183.59999999999911</v>
      </c>
      <c r="G52" s="1">
        <v>870.42732999999919</v>
      </c>
      <c r="H52" s="1">
        <v>367.9493499999997</v>
      </c>
      <c r="I52" s="1">
        <v>107.67993999999389</v>
      </c>
      <c r="J52" s="1">
        <v>34.456579999997281</v>
      </c>
      <c r="K52" s="1">
        <v>197.08333000000928</v>
      </c>
      <c r="L52" s="1">
        <v>143.33332000000496</v>
      </c>
      <c r="M52" s="1">
        <v>414.93025999999259</v>
      </c>
      <c r="N52" s="1">
        <v>443.55582999999638</v>
      </c>
      <c r="O52" s="1">
        <v>96.57559000000775</v>
      </c>
      <c r="P52" s="1">
        <v>726.24785999998596</v>
      </c>
      <c r="Q52" s="1">
        <v>1023.5623900000199</v>
      </c>
      <c r="R52" s="1">
        <v>891.6702700000011</v>
      </c>
      <c r="S52" s="1">
        <v>1676.0491799999793</v>
      </c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8"/>
      <c r="AP52" s="8"/>
      <c r="AQ52" s="8"/>
      <c r="AR52" s="8"/>
      <c r="AS52" s="8"/>
      <c r="AT52" s="8"/>
      <c r="AU52" s="8"/>
      <c r="AV52" s="8"/>
      <c r="AW52" s="8"/>
    </row>
    <row r="53" spans="1:49">
      <c r="B53" t="s">
        <v>91</v>
      </c>
      <c r="D53" s="1">
        <v>0</v>
      </c>
      <c r="E53" s="1">
        <v>0</v>
      </c>
      <c r="F53" s="1">
        <v>12732.931719999997</v>
      </c>
      <c r="G53" s="1">
        <v>41689.264449999988</v>
      </c>
      <c r="H53" s="1">
        <v>44020.058649999992</v>
      </c>
      <c r="I53" s="1">
        <v>43289.581720000002</v>
      </c>
      <c r="J53" s="1">
        <v>43959.907530000011</v>
      </c>
      <c r="K53" s="1">
        <v>42827.506190000022</v>
      </c>
      <c r="L53" s="1">
        <v>40760.890700000011</v>
      </c>
      <c r="M53" s="1">
        <v>41041.221570000002</v>
      </c>
      <c r="N53" s="1">
        <v>42284.630439999986</v>
      </c>
      <c r="O53" s="1">
        <v>57626.684660000014</v>
      </c>
      <c r="P53" s="1">
        <v>56793.781020000002</v>
      </c>
      <c r="Q53" s="1">
        <v>54409.164649999992</v>
      </c>
      <c r="R53" s="1">
        <v>648738.06523000007</v>
      </c>
      <c r="S53" s="1">
        <v>678494.85106000013</v>
      </c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8"/>
      <c r="AP53" s="8"/>
      <c r="AQ53" s="8"/>
      <c r="AR53" s="8"/>
      <c r="AS53" s="8"/>
      <c r="AT53" s="8"/>
      <c r="AU53" s="8"/>
      <c r="AV53" s="8"/>
      <c r="AW53" s="8"/>
    </row>
    <row r="54" spans="1:49">
      <c r="A54" s="64"/>
      <c r="B54" s="64" t="s">
        <v>47</v>
      </c>
      <c r="C54" s="64"/>
      <c r="D54" s="218">
        <v>537632.83427999995</v>
      </c>
      <c r="E54" s="218">
        <v>386722.26517000003</v>
      </c>
      <c r="F54" s="218">
        <v>424067.24159000005</v>
      </c>
      <c r="G54" s="218">
        <v>455274.38753999997</v>
      </c>
      <c r="H54" s="218">
        <v>494574.26017000008</v>
      </c>
      <c r="I54" s="218">
        <v>505011.70066000003</v>
      </c>
      <c r="J54" s="218">
        <v>542210.51275999995</v>
      </c>
      <c r="K54" s="218">
        <v>465539.37517000001</v>
      </c>
      <c r="L54" s="218">
        <v>481577.15210999991</v>
      </c>
      <c r="M54" s="218">
        <v>505660.09413999988</v>
      </c>
      <c r="N54" s="218">
        <v>690755.31512999989</v>
      </c>
      <c r="O54" s="218">
        <v>751324.89639999997</v>
      </c>
      <c r="P54" s="218">
        <v>745110.15537000005</v>
      </c>
      <c r="Q54" s="218">
        <v>711594.40743000002</v>
      </c>
      <c r="R54" s="218">
        <v>5343852.1481899982</v>
      </c>
      <c r="S54" s="218">
        <v>5986418.2173799993</v>
      </c>
      <c r="T54" s="64"/>
      <c r="U54" s="64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8"/>
      <c r="AP54" s="8"/>
      <c r="AQ54" s="8"/>
      <c r="AR54" s="8"/>
      <c r="AS54" s="8"/>
      <c r="AT54" s="8"/>
      <c r="AU54" s="8"/>
      <c r="AV54" s="8"/>
      <c r="AW54" s="8"/>
    </row>
    <row r="55" spans="1:49">
      <c r="A55" s="51"/>
      <c r="B55" s="51" t="s">
        <v>70</v>
      </c>
      <c r="C55" s="51"/>
      <c r="D55" s="224">
        <v>516810.23879000003</v>
      </c>
      <c r="E55" s="224">
        <v>366198.47950999998</v>
      </c>
      <c r="F55" s="224">
        <v>404406.35680000001</v>
      </c>
      <c r="G55" s="224">
        <v>436917.60146999999</v>
      </c>
      <c r="H55" s="224">
        <v>477665.93532000005</v>
      </c>
      <c r="I55" s="224">
        <v>489514.81429000001</v>
      </c>
      <c r="J55" s="224">
        <v>528090.73497999995</v>
      </c>
      <c r="K55" s="224">
        <v>449774.23574999999</v>
      </c>
      <c r="L55" s="224">
        <v>465631.05638999987</v>
      </c>
      <c r="M55" s="224">
        <v>490224.2056499999</v>
      </c>
      <c r="N55" s="224">
        <v>674631.42874999985</v>
      </c>
      <c r="O55" s="224">
        <v>735602.06571</v>
      </c>
      <c r="P55" s="224">
        <v>730107.51936000003</v>
      </c>
      <c r="Q55" s="224">
        <v>697069.94535000017</v>
      </c>
      <c r="R55" s="224">
        <v>5317826.4979299987</v>
      </c>
      <c r="S55" s="224">
        <v>5960741.0429100003</v>
      </c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8"/>
      <c r="AP55" s="8"/>
      <c r="AQ55" s="8"/>
      <c r="AR55" s="8"/>
      <c r="AS55" s="8"/>
      <c r="AT55" s="8"/>
      <c r="AU55" s="8"/>
      <c r="AV55" s="8"/>
      <c r="AW55" s="8"/>
    </row>
    <row r="56" spans="1:49">
      <c r="B56" t="s">
        <v>71</v>
      </c>
      <c r="D56" s="1">
        <v>256142.33498000001</v>
      </c>
      <c r="E56" s="1">
        <v>97702.14711000002</v>
      </c>
      <c r="F56" s="1">
        <v>100456.98778000001</v>
      </c>
      <c r="G56" s="1">
        <v>100160.04508</v>
      </c>
      <c r="H56" s="1">
        <v>122476.51277000002</v>
      </c>
      <c r="I56" s="1">
        <v>133412.32376999999</v>
      </c>
      <c r="J56" s="1">
        <v>157771.42335000003</v>
      </c>
      <c r="K56" s="1">
        <v>75092.304040000003</v>
      </c>
      <c r="L56" s="1">
        <v>75779.675480000005</v>
      </c>
      <c r="M56" s="1">
        <v>86887.83299000001</v>
      </c>
      <c r="N56" s="1">
        <v>253903.28180999999</v>
      </c>
      <c r="O56" s="1">
        <v>259316.26178999999</v>
      </c>
      <c r="P56" s="1">
        <v>223177.16460999995</v>
      </c>
      <c r="Q56" s="1">
        <v>173262.26776000002</v>
      </c>
      <c r="R56" s="1">
        <v>3318031.2555999998</v>
      </c>
      <c r="S56" s="1">
        <v>3809323.6289599999</v>
      </c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8"/>
      <c r="AP56" s="8"/>
      <c r="AQ56" s="8"/>
      <c r="AR56" s="8"/>
      <c r="AS56" s="8"/>
      <c r="AT56" s="8"/>
      <c r="AU56" s="8"/>
      <c r="AV56" s="8"/>
      <c r="AW56" s="8"/>
    </row>
    <row r="57" spans="1:49">
      <c r="B57" t="s">
        <v>72</v>
      </c>
      <c r="D57" s="1">
        <v>260667.90380999999</v>
      </c>
      <c r="E57" s="1">
        <v>268496.33239999996</v>
      </c>
      <c r="F57" s="1">
        <v>303949.36901999998</v>
      </c>
      <c r="G57" s="1">
        <v>315569.66892999999</v>
      </c>
      <c r="H57" s="1">
        <v>327817.40120000002</v>
      </c>
      <c r="I57" s="1">
        <v>324821.78783000004</v>
      </c>
      <c r="J57" s="1">
        <v>335395.17604999995</v>
      </c>
      <c r="K57" s="1">
        <v>339294.47291999997</v>
      </c>
      <c r="L57" s="1">
        <v>356784.63140999986</v>
      </c>
      <c r="M57" s="1">
        <v>368108.2412799999</v>
      </c>
      <c r="N57" s="1">
        <v>382637.36530999996</v>
      </c>
      <c r="O57" s="1">
        <v>414548.46243000007</v>
      </c>
      <c r="P57" s="1">
        <v>439797.15801000007</v>
      </c>
      <c r="Q57" s="1">
        <v>456672.75502000004</v>
      </c>
      <c r="R57" s="1">
        <v>580251.26353000011</v>
      </c>
      <c r="S57" s="1">
        <v>608039.38404000015</v>
      </c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8"/>
      <c r="AP57" s="8"/>
      <c r="AQ57" s="8"/>
      <c r="AR57" s="8"/>
      <c r="AS57" s="8"/>
      <c r="AT57" s="8"/>
      <c r="AU57" s="8"/>
      <c r="AV57" s="8"/>
      <c r="AW57" s="8"/>
    </row>
    <row r="58" spans="1:49">
      <c r="A58" s="51"/>
      <c r="B58" s="51" t="s">
        <v>75</v>
      </c>
      <c r="C58" s="51"/>
      <c r="D58" s="224">
        <v>0</v>
      </c>
      <c r="E58" s="224">
        <v>0</v>
      </c>
      <c r="F58" s="224">
        <v>0</v>
      </c>
      <c r="G58" s="224">
        <v>21187.887460000005</v>
      </c>
      <c r="H58" s="224">
        <v>27372.02135000001</v>
      </c>
      <c r="I58" s="224">
        <v>31280.702690000006</v>
      </c>
      <c r="J58" s="224">
        <v>34924.135580000009</v>
      </c>
      <c r="K58" s="224">
        <v>35387.458790000004</v>
      </c>
      <c r="L58" s="224">
        <v>33066.749499999998</v>
      </c>
      <c r="M58" s="224">
        <v>35228.131379999992</v>
      </c>
      <c r="N58" s="224">
        <v>38090.781630000012</v>
      </c>
      <c r="O58" s="224">
        <v>61737.341490000006</v>
      </c>
      <c r="P58" s="224">
        <v>67133.196739999999</v>
      </c>
      <c r="Q58" s="224">
        <v>67134.92257000001</v>
      </c>
      <c r="R58" s="224">
        <v>1419543.9787999988</v>
      </c>
      <c r="S58" s="224">
        <v>1543378.0299100003</v>
      </c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8"/>
      <c r="AP58" s="8"/>
      <c r="AQ58" s="8"/>
      <c r="AR58" s="8"/>
      <c r="AS58" s="8"/>
      <c r="AT58" s="8"/>
      <c r="AU58" s="8"/>
      <c r="AV58" s="8"/>
      <c r="AW58" s="8"/>
    </row>
    <row r="59" spans="1:49">
      <c r="B59" t="s">
        <v>163</v>
      </c>
      <c r="D59" s="1">
        <v>7.1200000000000005E-3</v>
      </c>
      <c r="E59" s="1">
        <v>7.1200000000000005E-3</v>
      </c>
      <c r="F59" s="1">
        <v>7.1200000000000005E-3</v>
      </c>
      <c r="G59" s="1">
        <v>7.1200000000000005E-3</v>
      </c>
      <c r="H59" s="1">
        <v>7.1200000000000005E-3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8"/>
      <c r="AP59" s="8"/>
      <c r="AQ59" s="8"/>
      <c r="AR59" s="8"/>
      <c r="AS59" s="8"/>
      <c r="AT59" s="8"/>
      <c r="AU59" s="8"/>
      <c r="AV59" s="8"/>
      <c r="AW59" s="8"/>
    </row>
    <row r="60" spans="1:49">
      <c r="B60" t="s">
        <v>92</v>
      </c>
      <c r="D60" s="1">
        <v>24.176879999999954</v>
      </c>
      <c r="E60" s="1">
        <v>19.953179999999957</v>
      </c>
      <c r="F60" s="1">
        <v>20.903569999999963</v>
      </c>
      <c r="G60" s="1">
        <v>18.925489999999961</v>
      </c>
      <c r="H60" s="1">
        <v>14.768049999999842</v>
      </c>
      <c r="I60" s="1">
        <v>145.17489999999981</v>
      </c>
      <c r="J60" s="1">
        <v>267.82601</v>
      </c>
      <c r="K60" s="1">
        <v>253.60734999999997</v>
      </c>
      <c r="L60" s="1">
        <v>239.38869000000003</v>
      </c>
      <c r="M60" s="1">
        <v>225.17003000000003</v>
      </c>
      <c r="N60" s="1">
        <v>212.05504999999999</v>
      </c>
      <c r="O60" s="1">
        <v>197.86277000000001</v>
      </c>
      <c r="P60" s="1">
        <v>183.69747999999998</v>
      </c>
      <c r="Q60" s="1">
        <v>169.53218000000001</v>
      </c>
      <c r="R60" s="1">
        <v>176.85428999999999</v>
      </c>
      <c r="S60" s="1">
        <v>162.12269000000003</v>
      </c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8"/>
      <c r="AP60" s="8"/>
      <c r="AQ60" s="8"/>
      <c r="AR60" s="8"/>
      <c r="AS60" s="8"/>
      <c r="AT60" s="8"/>
      <c r="AU60" s="8"/>
      <c r="AV60" s="8"/>
      <c r="AW60" s="8"/>
    </row>
    <row r="61" spans="1:49">
      <c r="B61" t="s">
        <v>93</v>
      </c>
      <c r="D61" s="1">
        <v>20798.411489999995</v>
      </c>
      <c r="E61" s="1">
        <v>20503.825359999995</v>
      </c>
      <c r="F61" s="1">
        <v>19639.974099999996</v>
      </c>
      <c r="G61" s="1">
        <v>18337.853459999991</v>
      </c>
      <c r="H61" s="1">
        <v>16893.549680000011</v>
      </c>
      <c r="I61" s="1">
        <v>15351.711470000009</v>
      </c>
      <c r="J61" s="1">
        <v>13851.95177</v>
      </c>
      <c r="K61" s="1">
        <v>15511.532070000001</v>
      </c>
      <c r="L61" s="1">
        <v>15706.707030000005</v>
      </c>
      <c r="M61" s="1">
        <v>15210.718459999998</v>
      </c>
      <c r="N61" s="1">
        <v>15911.831330000005</v>
      </c>
      <c r="O61" s="1">
        <v>15524.967920000006</v>
      </c>
      <c r="P61" s="1">
        <v>14818.938530000001</v>
      </c>
      <c r="Q61" s="1">
        <v>14354.929900000001</v>
      </c>
      <c r="R61" s="1">
        <v>25848.795970000003</v>
      </c>
      <c r="S61" s="1">
        <v>25515.051780000009</v>
      </c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8"/>
      <c r="AP61" s="8"/>
      <c r="AQ61" s="8"/>
      <c r="AR61" s="8"/>
      <c r="AS61" s="8"/>
      <c r="AT61" s="8"/>
      <c r="AU61" s="8"/>
      <c r="AV61" s="8"/>
      <c r="AW61" s="8"/>
    </row>
    <row r="62" spans="1:49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8"/>
      <c r="AP62" s="8"/>
      <c r="AQ62" s="8"/>
      <c r="AR62" s="8"/>
      <c r="AS62" s="8"/>
      <c r="AT62" s="8"/>
      <c r="AU62" s="8"/>
      <c r="AV62" s="8"/>
      <c r="AW62" s="8"/>
    </row>
    <row r="63" spans="1:49">
      <c r="A63" s="633"/>
      <c r="B63" s="633" t="s">
        <v>17</v>
      </c>
      <c r="C63" s="647"/>
      <c r="D63" s="648">
        <v>40687362.135819979</v>
      </c>
      <c r="E63" s="648">
        <v>42607151.758340038</v>
      </c>
      <c r="F63" s="648">
        <v>45716535.580619954</v>
      </c>
      <c r="G63" s="648">
        <v>48598862.720240138</v>
      </c>
      <c r="H63" s="648">
        <v>51962298.244019918</v>
      </c>
      <c r="I63" s="648">
        <v>54672837.658039965</v>
      </c>
      <c r="J63" s="648">
        <v>57348272.64745</v>
      </c>
      <c r="K63" s="648">
        <v>61096140.354660012</v>
      </c>
      <c r="L63" s="648">
        <v>65002597.356720023</v>
      </c>
      <c r="M63" s="648">
        <v>69081009.670949966</v>
      </c>
      <c r="N63" s="648">
        <v>73306739.251039967</v>
      </c>
      <c r="O63" s="648">
        <v>78389850.261899933</v>
      </c>
      <c r="P63" s="648">
        <v>79306211.229459956</v>
      </c>
      <c r="Q63" s="648">
        <v>81013921.284490049</v>
      </c>
      <c r="R63" s="648">
        <v>92445340.341559872</v>
      </c>
      <c r="S63" s="648">
        <v>100163364.49764997</v>
      </c>
      <c r="T63" s="648"/>
      <c r="U63" s="648"/>
      <c r="V63" s="634"/>
      <c r="W63" s="634"/>
      <c r="X63" s="634"/>
      <c r="Y63" s="634"/>
      <c r="Z63" s="634"/>
      <c r="AA63" s="634"/>
      <c r="AB63" s="634"/>
      <c r="AC63" s="634"/>
      <c r="AD63" s="634"/>
      <c r="AE63" s="634"/>
      <c r="AF63" s="634"/>
      <c r="AG63" s="634"/>
      <c r="AH63" s="634"/>
      <c r="AI63" s="634"/>
      <c r="AJ63" s="634"/>
      <c r="AK63" s="634"/>
      <c r="AL63" s="634"/>
      <c r="AM63" s="634"/>
      <c r="AN63" s="634"/>
      <c r="AO63" s="8"/>
      <c r="AP63" s="8"/>
      <c r="AQ63" s="8"/>
      <c r="AR63" s="8"/>
      <c r="AS63" s="8"/>
      <c r="AT63" s="8"/>
      <c r="AU63" s="8"/>
      <c r="AV63" s="8"/>
      <c r="AW63" s="8"/>
    </row>
    <row r="64" spans="1:49">
      <c r="A64" s="64"/>
      <c r="B64" s="64" t="s">
        <v>51</v>
      </c>
      <c r="C64" s="64"/>
      <c r="D64" s="218">
        <v>40463739.304239981</v>
      </c>
      <c r="E64" s="218">
        <v>42376182.889380038</v>
      </c>
      <c r="F64" s="218">
        <v>45467305.342819951</v>
      </c>
      <c r="G64" s="218">
        <v>48343927.646930136</v>
      </c>
      <c r="H64" s="218">
        <v>51694659.243519917</v>
      </c>
      <c r="I64" s="218">
        <v>54395226.533309966</v>
      </c>
      <c r="J64" s="218">
        <v>57058386.48116</v>
      </c>
      <c r="K64" s="218">
        <v>60796581.874220014</v>
      </c>
      <c r="L64" s="218">
        <v>64690930.603780024</v>
      </c>
      <c r="M64" s="218">
        <v>68755527.699769959</v>
      </c>
      <c r="N64" s="218">
        <v>72963280.45810996</v>
      </c>
      <c r="O64" s="218">
        <v>78028180.212619931</v>
      </c>
      <c r="P64" s="218">
        <v>78932837.44817996</v>
      </c>
      <c r="Q64" s="218">
        <v>80623274.739050046</v>
      </c>
      <c r="R64" s="218">
        <v>88403181.209429875</v>
      </c>
      <c r="S64" s="218">
        <v>95781674.144029975</v>
      </c>
      <c r="T64" s="64"/>
      <c r="U64" s="64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8"/>
      <c r="AP64" s="8"/>
      <c r="AQ64" s="8"/>
      <c r="AR64" s="8"/>
      <c r="AS64" s="8"/>
      <c r="AT64" s="8"/>
      <c r="AU64" s="8"/>
      <c r="AV64" s="8"/>
      <c r="AW64" s="8"/>
    </row>
    <row r="65" spans="1:49">
      <c r="B65" t="s">
        <v>79</v>
      </c>
      <c r="D65" s="1">
        <v>579552.51162999996</v>
      </c>
      <c r="E65" s="1">
        <v>331334.10152999993</v>
      </c>
      <c r="F65" s="1">
        <v>211962.80419999998</v>
      </c>
      <c r="G65" s="1">
        <v>371721.15372000006</v>
      </c>
      <c r="H65" s="1">
        <v>565441.99845999957</v>
      </c>
      <c r="I65" s="1">
        <v>418170.20144999999</v>
      </c>
      <c r="J65" s="1">
        <v>254855.52639000025</v>
      </c>
      <c r="K65" s="1">
        <v>398641.85426999995</v>
      </c>
      <c r="L65" s="1">
        <v>744289.30925000017</v>
      </c>
      <c r="M65" s="1">
        <v>435200.68004999997</v>
      </c>
      <c r="N65" s="1">
        <v>268056.28794000077</v>
      </c>
      <c r="O65" s="1">
        <v>517504.50647000084</v>
      </c>
      <c r="P65" s="1">
        <v>587248.52080999978</v>
      </c>
      <c r="Q65" s="1">
        <v>560828.48557000002</v>
      </c>
      <c r="R65" s="1">
        <v>513617.16393000045</v>
      </c>
      <c r="S65" s="1">
        <v>832176.40753999958</v>
      </c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8"/>
      <c r="AP65" s="8"/>
      <c r="AQ65" s="8"/>
      <c r="AR65" s="8"/>
      <c r="AS65" s="8"/>
      <c r="AT65" s="8"/>
      <c r="AU65" s="8"/>
      <c r="AV65" s="8"/>
      <c r="AW65" s="8"/>
    </row>
    <row r="66" spans="1:49">
      <c r="B66" t="s">
        <v>80</v>
      </c>
      <c r="D66" s="1">
        <v>7231.9855899999975</v>
      </c>
      <c r="E66" s="1">
        <v>11414.653250000005</v>
      </c>
      <c r="F66" s="1">
        <v>18782.581169999998</v>
      </c>
      <c r="G66" s="1">
        <v>32911.928710000007</v>
      </c>
      <c r="H66" s="1">
        <v>35976.068679999946</v>
      </c>
      <c r="I66" s="1">
        <v>11326.60227999999</v>
      </c>
      <c r="J66" s="1">
        <v>10226.507330000017</v>
      </c>
      <c r="K66" s="1">
        <v>13392.237940000026</v>
      </c>
      <c r="L66" s="1">
        <v>12589.223670000019</v>
      </c>
      <c r="M66" s="1">
        <v>13605.404710000008</v>
      </c>
      <c r="N66" s="1">
        <v>13823.267480000015</v>
      </c>
      <c r="O66" s="1">
        <v>42308.521600000015</v>
      </c>
      <c r="P66" s="1">
        <v>36375.456689999977</v>
      </c>
      <c r="Q66" s="1">
        <v>38933.547680000018</v>
      </c>
      <c r="R66" s="1">
        <v>283670.08706999995</v>
      </c>
      <c r="S66" s="1">
        <v>236125.03039999999</v>
      </c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8"/>
      <c r="AP66" s="8"/>
      <c r="AQ66" s="8"/>
      <c r="AR66" s="8"/>
      <c r="AS66" s="8"/>
      <c r="AT66" s="8"/>
      <c r="AU66" s="8"/>
      <c r="AV66" s="8"/>
      <c r="AW66" s="8"/>
    </row>
    <row r="67" spans="1:49">
      <c r="B67" t="s">
        <v>81</v>
      </c>
      <c r="D67" s="1">
        <v>5682.717199999991</v>
      </c>
      <c r="E67" s="1">
        <v>819.61702999999727</v>
      </c>
      <c r="F67" s="1">
        <v>8982.6803200000177</v>
      </c>
      <c r="G67" s="1">
        <v>19344.93728000002</v>
      </c>
      <c r="H67" s="1">
        <v>18102.623279999869</v>
      </c>
      <c r="I67" s="1">
        <v>3575.9373000000924</v>
      </c>
      <c r="J67" s="1">
        <v>4009.9137299999179</v>
      </c>
      <c r="K67" s="1">
        <v>4356.1183799998944</v>
      </c>
      <c r="L67" s="1">
        <v>3302.1651199999205</v>
      </c>
      <c r="M67" s="1">
        <v>3512.2267400000183</v>
      </c>
      <c r="N67" s="1">
        <v>3120.7843099999636</v>
      </c>
      <c r="O67" s="1">
        <v>3566.8594200000712</v>
      </c>
      <c r="P67" s="1">
        <v>5580.2998499999812</v>
      </c>
      <c r="Q67" s="1">
        <v>4606.0024700000149</v>
      </c>
      <c r="R67" s="1">
        <v>11969.655279999879</v>
      </c>
      <c r="S67" s="1">
        <v>7111.0083099999429</v>
      </c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8"/>
      <c r="AP67" s="8"/>
      <c r="AQ67" s="8"/>
      <c r="AR67" s="8"/>
      <c r="AS67" s="8"/>
      <c r="AT67" s="8"/>
      <c r="AU67" s="8"/>
      <c r="AV67" s="8"/>
      <c r="AW67" s="8"/>
    </row>
    <row r="68" spans="1:49">
      <c r="B68" t="s">
        <v>82</v>
      </c>
      <c r="D68" s="1">
        <v>134159.87825998358</v>
      </c>
      <c r="E68" s="1">
        <v>114176.2694599846</v>
      </c>
      <c r="F68" s="1">
        <v>184371.09245998535</v>
      </c>
      <c r="G68" s="1">
        <v>186944.63035998505</v>
      </c>
      <c r="H68" s="1">
        <v>290202.97165000963</v>
      </c>
      <c r="I68" s="1">
        <v>340194.28594996245</v>
      </c>
      <c r="J68" s="1">
        <v>265035.70467000088</v>
      </c>
      <c r="K68" s="1">
        <v>332164.3270700046</v>
      </c>
      <c r="L68" s="1">
        <v>268743.13579996064</v>
      </c>
      <c r="M68" s="1">
        <v>266244.0833899295</v>
      </c>
      <c r="N68" s="1">
        <v>277082.71854999237</v>
      </c>
      <c r="O68" s="1">
        <v>364484.80141994689</v>
      </c>
      <c r="P68" s="1">
        <v>68909.224310001518</v>
      </c>
      <c r="Q68" s="1">
        <v>98718.826489996965</v>
      </c>
      <c r="R68" s="1">
        <v>159205.76552999142</v>
      </c>
      <c r="S68" s="1">
        <v>228752.90893997913</v>
      </c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8"/>
      <c r="AP68" s="8"/>
      <c r="AQ68" s="8"/>
      <c r="AR68" s="8"/>
      <c r="AS68" s="8"/>
      <c r="AT68" s="8"/>
      <c r="AU68" s="8"/>
      <c r="AV68" s="8"/>
      <c r="AW68" s="8"/>
    </row>
    <row r="69" spans="1:49">
      <c r="B69" t="s">
        <v>83</v>
      </c>
      <c r="D69" s="1">
        <v>32499543.353459999</v>
      </c>
      <c r="E69" s="1">
        <v>34593411.547250047</v>
      </c>
      <c r="F69" s="1">
        <v>37545041.450039968</v>
      </c>
      <c r="G69" s="1">
        <v>39988658.688510157</v>
      </c>
      <c r="H69" s="1">
        <v>42930238.889349908</v>
      </c>
      <c r="I69" s="1">
        <v>45740254.845920004</v>
      </c>
      <c r="J69" s="1">
        <v>48532695.79291001</v>
      </c>
      <c r="K69" s="1">
        <v>51922276.334430009</v>
      </c>
      <c r="L69" s="1">
        <v>55488936.610310063</v>
      </c>
      <c r="M69" s="1">
        <v>59783477.964910038</v>
      </c>
      <c r="N69" s="1">
        <v>64108042.536279969</v>
      </c>
      <c r="O69" s="1">
        <v>68751264.394879997</v>
      </c>
      <c r="P69" s="1">
        <v>70083013.431309968</v>
      </c>
      <c r="Q69" s="1">
        <v>71693419.193210065</v>
      </c>
      <c r="R69" s="1">
        <v>79257653.024239883</v>
      </c>
      <c r="S69" s="1">
        <v>86127050.337850004</v>
      </c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8"/>
      <c r="AP69" s="8"/>
      <c r="AQ69" s="8"/>
      <c r="AR69" s="8"/>
      <c r="AS69" s="8"/>
      <c r="AT69" s="8"/>
      <c r="AU69" s="8"/>
      <c r="AV69" s="8"/>
      <c r="AW69" s="8"/>
    </row>
    <row r="70" spans="1:49">
      <c r="B70" t="s">
        <v>84</v>
      </c>
      <c r="D70" s="1">
        <v>7237568.8581000017</v>
      </c>
      <c r="E70" s="1">
        <v>7325026.7008600058</v>
      </c>
      <c r="F70" s="1">
        <v>7498164.7346299971</v>
      </c>
      <c r="G70" s="1">
        <v>7744346.3083500015</v>
      </c>
      <c r="H70" s="1">
        <v>7854696.6921000052</v>
      </c>
      <c r="I70" s="1">
        <v>7881704.6604099954</v>
      </c>
      <c r="J70" s="1">
        <v>7991563.0361299915</v>
      </c>
      <c r="K70" s="1">
        <v>8125751.0021300009</v>
      </c>
      <c r="L70" s="1">
        <v>8173070.1596299978</v>
      </c>
      <c r="M70" s="1">
        <v>8253487.3399699973</v>
      </c>
      <c r="N70" s="1">
        <v>8293154.8635500018</v>
      </c>
      <c r="O70" s="1">
        <v>8349051.128829998</v>
      </c>
      <c r="P70" s="1">
        <v>8151710.5152099952</v>
      </c>
      <c r="Q70" s="1">
        <v>8226768.6836299952</v>
      </c>
      <c r="R70" s="1">
        <v>8177065.5133799957</v>
      </c>
      <c r="S70" s="1">
        <v>8350458.4509899952</v>
      </c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8"/>
      <c r="AP70" s="8"/>
      <c r="AQ70" s="8"/>
      <c r="AR70" s="8"/>
      <c r="AS70" s="8"/>
      <c r="AT70" s="8"/>
      <c r="AU70" s="8"/>
      <c r="AV70" s="8"/>
      <c r="AW70" s="8"/>
    </row>
    <row r="71" spans="1:49">
      <c r="A71" s="64"/>
      <c r="B71" s="64" t="s">
        <v>56</v>
      </c>
      <c r="C71" s="64"/>
      <c r="D71" s="218">
        <v>223622.83157999997</v>
      </c>
      <c r="E71" s="218">
        <v>230968.86895999999</v>
      </c>
      <c r="F71" s="218">
        <v>249230.23779999997</v>
      </c>
      <c r="G71" s="218">
        <v>254935.07330999998</v>
      </c>
      <c r="H71" s="218">
        <v>267639.00049999997</v>
      </c>
      <c r="I71" s="218">
        <v>277611.12473000004</v>
      </c>
      <c r="J71" s="218">
        <v>289886.16629000002</v>
      </c>
      <c r="K71" s="218">
        <v>299558.48044000007</v>
      </c>
      <c r="L71" s="218">
        <v>311666.75293999998</v>
      </c>
      <c r="M71" s="218">
        <v>325481.97117999999</v>
      </c>
      <c r="N71" s="218">
        <v>343458.79293</v>
      </c>
      <c r="O71" s="218">
        <v>361670.04928000004</v>
      </c>
      <c r="P71" s="218">
        <v>373373.78128000005</v>
      </c>
      <c r="Q71" s="218">
        <v>390646.54544000002</v>
      </c>
      <c r="R71" s="218">
        <v>4042159.1321300007</v>
      </c>
      <c r="S71" s="218">
        <v>4381690.3536200002</v>
      </c>
      <c r="T71" s="64"/>
      <c r="U71" s="64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8"/>
      <c r="AP71" s="8"/>
      <c r="AQ71" s="8"/>
      <c r="AR71" s="8"/>
      <c r="AS71" s="8"/>
      <c r="AT71" s="8"/>
      <c r="AU71" s="8"/>
      <c r="AV71" s="8"/>
      <c r="AW71" s="8"/>
    </row>
    <row r="72" spans="1:49">
      <c r="B72" t="s">
        <v>79</v>
      </c>
      <c r="D72" s="1">
        <v>1218.0161800000001</v>
      </c>
      <c r="E72" s="1">
        <v>521.27949999999998</v>
      </c>
      <c r="F72" s="1">
        <v>1291.6486100000002</v>
      </c>
      <c r="G72" s="1">
        <v>560.62400000000002</v>
      </c>
      <c r="H72" s="1">
        <v>111.29328</v>
      </c>
      <c r="I72" s="1">
        <v>0</v>
      </c>
      <c r="J72" s="1">
        <v>0</v>
      </c>
      <c r="K72" s="1">
        <v>622.40996999999993</v>
      </c>
      <c r="L72" s="1">
        <v>670.8676999999999</v>
      </c>
      <c r="M72" s="1">
        <v>1266.4768000000001</v>
      </c>
      <c r="N72" s="1">
        <v>3371.5248799999999</v>
      </c>
      <c r="O72" s="1">
        <v>3911.69337</v>
      </c>
      <c r="P72" s="1">
        <v>1210.9931999999999</v>
      </c>
      <c r="Q72" s="1">
        <v>4069.4663700000001</v>
      </c>
      <c r="R72" s="1">
        <v>75347.539940000002</v>
      </c>
      <c r="S72" s="1">
        <v>80887.238689999984</v>
      </c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8"/>
      <c r="AP72" s="8"/>
      <c r="AQ72" s="8"/>
      <c r="AR72" s="8"/>
      <c r="AS72" s="8"/>
      <c r="AT72" s="8"/>
      <c r="AU72" s="8"/>
      <c r="AV72" s="8"/>
      <c r="AW72" s="8"/>
    </row>
    <row r="73" spans="1:49">
      <c r="B73" t="s">
        <v>86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3476968.7910200004</v>
      </c>
      <c r="S73" s="1">
        <v>3762180.3694700003</v>
      </c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8"/>
      <c r="AP73" s="8"/>
      <c r="AQ73" s="8"/>
      <c r="AR73" s="8"/>
      <c r="AS73" s="8"/>
      <c r="AT73" s="8"/>
      <c r="AU73" s="8"/>
      <c r="AV73" s="8"/>
      <c r="AW73" s="8"/>
    </row>
    <row r="74" spans="1:49">
      <c r="B74" t="s">
        <v>87</v>
      </c>
      <c r="D74" s="1">
        <v>222404.81539999996</v>
      </c>
      <c r="E74" s="1">
        <v>230447.58945999999</v>
      </c>
      <c r="F74" s="1">
        <v>247938.58918999997</v>
      </c>
      <c r="G74" s="1">
        <v>254374.44930999997</v>
      </c>
      <c r="H74" s="1">
        <v>267527.70721999998</v>
      </c>
      <c r="I74" s="1">
        <v>277611.12473000004</v>
      </c>
      <c r="J74" s="1">
        <v>289886.16629000002</v>
      </c>
      <c r="K74" s="1">
        <v>298936.07047000004</v>
      </c>
      <c r="L74" s="1">
        <v>310995.88524000003</v>
      </c>
      <c r="M74" s="1">
        <v>324215.49437999999</v>
      </c>
      <c r="N74" s="1">
        <v>340087.26805000001</v>
      </c>
      <c r="O74" s="1">
        <v>357758.35591000004</v>
      </c>
      <c r="P74" s="1">
        <v>372162.78808000003</v>
      </c>
      <c r="Q74" s="1">
        <v>386577.07906999998</v>
      </c>
      <c r="R74" s="1">
        <v>489842.80116999993</v>
      </c>
      <c r="S74" s="1">
        <v>538622.74545999989</v>
      </c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8"/>
      <c r="AP74" s="8"/>
      <c r="AQ74" s="8"/>
      <c r="AR74" s="8"/>
      <c r="AS74" s="8"/>
      <c r="AT74" s="8"/>
      <c r="AU74" s="8"/>
      <c r="AV74" s="8"/>
      <c r="AW74" s="8"/>
    </row>
    <row r="75" spans="1:49">
      <c r="A75" s="633"/>
      <c r="B75" s="633" t="s">
        <v>25</v>
      </c>
      <c r="C75" s="647"/>
      <c r="D75" s="648">
        <v>637817.35267999978</v>
      </c>
      <c r="E75" s="648">
        <v>704288.46334999986</v>
      </c>
      <c r="F75" s="648">
        <v>803744.22664000001</v>
      </c>
      <c r="G75" s="648">
        <v>836017.13692999992</v>
      </c>
      <c r="H75" s="648">
        <v>829846.56062</v>
      </c>
      <c r="I75" s="648">
        <v>917417.36378000001</v>
      </c>
      <c r="J75" s="648">
        <v>1013518.82119</v>
      </c>
      <c r="K75" s="648">
        <v>1027350.7253900002</v>
      </c>
      <c r="L75" s="648">
        <v>873441.75393000012</v>
      </c>
      <c r="M75" s="648">
        <v>1001021.1932400001</v>
      </c>
      <c r="N75" s="648">
        <v>1133895.2113600001</v>
      </c>
      <c r="O75" s="648">
        <v>1145820.4283699999</v>
      </c>
      <c r="P75" s="648">
        <v>1264042.11231</v>
      </c>
      <c r="Q75" s="648">
        <v>1298101.52287</v>
      </c>
      <c r="R75" s="648">
        <v>2319207.909</v>
      </c>
      <c r="S75" s="648">
        <v>1778130.8880900003</v>
      </c>
      <c r="T75" s="648"/>
      <c r="U75" s="648"/>
      <c r="V75" s="634"/>
      <c r="W75" s="634"/>
      <c r="X75" s="634"/>
      <c r="Y75" s="634"/>
      <c r="Z75" s="634"/>
      <c r="AA75" s="634"/>
      <c r="AB75" s="634"/>
      <c r="AC75" s="634"/>
      <c r="AD75" s="634"/>
      <c r="AE75" s="634"/>
      <c r="AF75" s="634"/>
      <c r="AG75" s="634"/>
      <c r="AH75" s="634"/>
      <c r="AI75" s="634"/>
      <c r="AJ75" s="634"/>
      <c r="AK75" s="634"/>
      <c r="AL75" s="634"/>
      <c r="AM75" s="634"/>
      <c r="AN75" s="634"/>
      <c r="AO75" s="8"/>
      <c r="AP75" s="8"/>
      <c r="AQ75" s="8"/>
      <c r="AR75" s="8"/>
      <c r="AS75" s="8"/>
      <c r="AT75" s="8"/>
      <c r="AU75" s="8"/>
      <c r="AV75" s="8"/>
      <c r="AW75" s="8"/>
    </row>
    <row r="76" spans="1:49"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8"/>
      <c r="AP76" s="8"/>
      <c r="AQ76" s="8"/>
      <c r="AR76" s="8"/>
      <c r="AS76" s="8"/>
      <c r="AT76" s="8"/>
      <c r="AU76" s="8"/>
      <c r="AV76" s="8"/>
      <c r="AW76" s="8"/>
    </row>
    <row r="77" spans="1:49"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8"/>
      <c r="AP77" s="8"/>
      <c r="AQ77" s="8"/>
      <c r="AR77" s="8"/>
      <c r="AS77" s="8"/>
      <c r="AT77" s="8"/>
      <c r="AU77" s="8"/>
      <c r="AV77" s="8"/>
      <c r="AW77" s="8"/>
    </row>
    <row r="78" spans="1:49" ht="25.35" customHeight="1">
      <c r="A78" s="646"/>
      <c r="B78" s="646" t="s">
        <v>166</v>
      </c>
      <c r="C78" s="643"/>
      <c r="D78" s="643">
        <v>42825</v>
      </c>
      <c r="E78" s="643">
        <v>42916</v>
      </c>
      <c r="F78" s="643">
        <v>43008</v>
      </c>
      <c r="G78" s="643">
        <v>43100</v>
      </c>
      <c r="H78" s="643">
        <v>43190</v>
      </c>
      <c r="I78" s="643">
        <v>43281</v>
      </c>
      <c r="J78" s="643">
        <v>43373</v>
      </c>
      <c r="K78" s="643">
        <v>43465</v>
      </c>
      <c r="L78" s="643">
        <v>43555</v>
      </c>
      <c r="M78" s="643">
        <v>43646</v>
      </c>
      <c r="N78" s="643">
        <v>43738</v>
      </c>
      <c r="O78" s="643">
        <v>43830</v>
      </c>
      <c r="P78" s="643">
        <v>43921</v>
      </c>
      <c r="Q78" s="643">
        <v>44012</v>
      </c>
      <c r="R78" s="643">
        <v>44104</v>
      </c>
      <c r="S78" s="643">
        <v>44196</v>
      </c>
      <c r="T78" s="643">
        <v>44286</v>
      </c>
      <c r="U78" s="643">
        <v>44377</v>
      </c>
      <c r="V78" s="643">
        <v>44440</v>
      </c>
      <c r="W78" s="643">
        <v>44531</v>
      </c>
      <c r="X78" s="643">
        <v>44621</v>
      </c>
      <c r="Y78" s="643">
        <v>44713</v>
      </c>
      <c r="Z78" s="643">
        <v>44805</v>
      </c>
      <c r="AA78" s="643">
        <v>44896</v>
      </c>
      <c r="AB78" s="643">
        <v>44986</v>
      </c>
      <c r="AC78" s="643">
        <v>45078</v>
      </c>
      <c r="AD78" s="643">
        <v>45170</v>
      </c>
      <c r="AE78" s="643">
        <v>45261</v>
      </c>
      <c r="AF78" s="643">
        <v>45352</v>
      </c>
      <c r="AG78" s="643">
        <v>45444</v>
      </c>
      <c r="AH78" s="643">
        <v>45536</v>
      </c>
      <c r="AI78" s="643">
        <v>45627</v>
      </c>
      <c r="AJ78" s="643">
        <v>45717</v>
      </c>
      <c r="AK78" s="643">
        <v>45809</v>
      </c>
      <c r="AL78" s="643">
        <v>45901</v>
      </c>
      <c r="AM78" s="644">
        <v>45992</v>
      </c>
      <c r="AN78" s="751">
        <v>46082</v>
      </c>
      <c r="AO78" s="8"/>
      <c r="AP78" s="8"/>
      <c r="AQ78" s="8"/>
      <c r="AR78" s="8"/>
      <c r="AS78" s="8"/>
      <c r="AT78" s="8"/>
      <c r="AU78" s="8"/>
      <c r="AV78" s="8"/>
      <c r="AW78" s="8"/>
    </row>
    <row r="79" spans="1:49">
      <c r="A79" s="633"/>
      <c r="B79" s="633" t="s">
        <v>5</v>
      </c>
      <c r="C79" s="647"/>
      <c r="D79" s="648">
        <v>3323579.2611499997</v>
      </c>
      <c r="E79" s="648">
        <v>3244723.9644999998</v>
      </c>
      <c r="F79" s="648">
        <v>3276773.1305899993</v>
      </c>
      <c r="G79" s="648">
        <v>3306742.2727700006</v>
      </c>
      <c r="H79" s="648">
        <v>3151546.7863599989</v>
      </c>
      <c r="I79" s="648">
        <v>3160308.5058299983</v>
      </c>
      <c r="J79" s="648">
        <v>3191956.2220699997</v>
      </c>
      <c r="K79" s="648">
        <v>3396136.0489599989</v>
      </c>
      <c r="L79" s="648">
        <v>3565870.5778800012</v>
      </c>
      <c r="M79" s="648">
        <v>3674495.5625699996</v>
      </c>
      <c r="N79" s="648">
        <v>3725900.2803999996</v>
      </c>
      <c r="O79" s="648">
        <v>3844920.5726599996</v>
      </c>
      <c r="P79" s="648">
        <v>3999467.8704999997</v>
      </c>
      <c r="Q79" s="648">
        <v>3993627.4027799992</v>
      </c>
      <c r="R79" s="648">
        <v>3941640.3222199995</v>
      </c>
      <c r="S79" s="648">
        <v>4034190.4289099998</v>
      </c>
      <c r="T79" s="648">
        <v>3999992.41291</v>
      </c>
      <c r="U79" s="648">
        <v>3906107.0977999996</v>
      </c>
      <c r="V79" s="634">
        <v>3959622.6520399991</v>
      </c>
      <c r="W79" s="634">
        <v>3669115.7464299998</v>
      </c>
      <c r="X79" s="634">
        <v>3577856</v>
      </c>
      <c r="Y79" s="634">
        <v>3263584</v>
      </c>
      <c r="Z79" s="634">
        <v>3268983</v>
      </c>
      <c r="AA79" s="634">
        <v>3292295</v>
      </c>
      <c r="AB79" s="634"/>
      <c r="AC79" s="634"/>
      <c r="AD79" s="634"/>
      <c r="AE79" s="634"/>
      <c r="AF79" s="634"/>
      <c r="AG79" s="634"/>
      <c r="AH79" s="634"/>
      <c r="AI79" s="634"/>
      <c r="AJ79" s="634"/>
      <c r="AK79" s="634"/>
      <c r="AL79" s="634"/>
      <c r="AM79" s="634"/>
      <c r="AN79" s="634"/>
      <c r="AO79" s="8"/>
      <c r="AP79" s="8"/>
      <c r="AQ79" s="8"/>
      <c r="AR79" s="8"/>
      <c r="AS79" s="8"/>
      <c r="AT79" s="8"/>
      <c r="AU79" s="8"/>
      <c r="AV79" s="8"/>
      <c r="AW79" s="8"/>
    </row>
    <row r="80" spans="1:49">
      <c r="A80" s="21"/>
      <c r="B80" s="21" t="s">
        <v>40</v>
      </c>
      <c r="C80" s="21"/>
      <c r="D80" s="219">
        <v>1315880.2332499998</v>
      </c>
      <c r="E80" s="219">
        <v>1148157.5813799996</v>
      </c>
      <c r="F80" s="219">
        <v>1032812.8743499997</v>
      </c>
      <c r="G80" s="219">
        <v>1181742.3734500003</v>
      </c>
      <c r="H80" s="219">
        <v>1853453.0725199988</v>
      </c>
      <c r="I80" s="219">
        <v>740366.37309999845</v>
      </c>
      <c r="J80" s="219">
        <v>743121.66904999991</v>
      </c>
      <c r="K80" s="219">
        <v>588527.91659999988</v>
      </c>
      <c r="L80" s="219">
        <v>912347.75614000007</v>
      </c>
      <c r="M80" s="219">
        <v>646024.61222999985</v>
      </c>
      <c r="N80" s="219">
        <v>461797.21879000007</v>
      </c>
      <c r="O80" s="219">
        <v>367221.72619000019</v>
      </c>
      <c r="P80" s="219">
        <v>829716.71850999969</v>
      </c>
      <c r="Q80" s="219">
        <v>770806.27743999974</v>
      </c>
      <c r="R80" s="219">
        <v>1047983.3248899998</v>
      </c>
      <c r="S80" s="219">
        <v>1105603.1477499998</v>
      </c>
      <c r="T80" s="219">
        <v>1190499.2191999995</v>
      </c>
      <c r="U80" s="219">
        <v>326878.71766000002</v>
      </c>
      <c r="V80" s="219">
        <v>1022100.6730599988</v>
      </c>
      <c r="W80" s="219">
        <v>844675.07884000021</v>
      </c>
      <c r="X80" s="219">
        <v>2133797</v>
      </c>
      <c r="Y80" s="219">
        <v>1689017</v>
      </c>
      <c r="Z80" s="219">
        <v>2665453</v>
      </c>
      <c r="AA80" s="219">
        <v>2048760</v>
      </c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8"/>
      <c r="AP80" s="8"/>
      <c r="AQ80" s="8"/>
      <c r="AR80" s="8"/>
      <c r="AS80" s="8"/>
      <c r="AT80" s="8"/>
      <c r="AU80" s="8"/>
      <c r="AV80" s="8"/>
      <c r="AW80" s="8"/>
    </row>
    <row r="81" spans="1:49">
      <c r="B81" t="s">
        <v>89</v>
      </c>
      <c r="D81" s="1">
        <v>1645.6676099999122</v>
      </c>
      <c r="E81" s="1">
        <v>1537.9568799999138</v>
      </c>
      <c r="F81" s="1">
        <v>2511.0245499998919</v>
      </c>
      <c r="G81" s="1">
        <v>3379.5383399999</v>
      </c>
      <c r="H81" s="1">
        <v>3934.8157799987684</v>
      </c>
      <c r="I81" s="1">
        <v>4599.7453799988025</v>
      </c>
      <c r="J81" s="1">
        <v>5075.3419300000005</v>
      </c>
      <c r="K81" s="1">
        <v>5622.9441499999994</v>
      </c>
      <c r="L81" s="1">
        <v>3343.0570899999998</v>
      </c>
      <c r="M81" s="1">
        <v>5718.4059299999999</v>
      </c>
      <c r="N81" s="1">
        <v>6870.4884699999993</v>
      </c>
      <c r="O81" s="1">
        <v>6841.2986600000004</v>
      </c>
      <c r="P81" s="1">
        <v>4024.8887600000003</v>
      </c>
      <c r="Q81" s="1">
        <v>6414.7991100000017</v>
      </c>
      <c r="R81" s="1">
        <v>1212.5923300000202</v>
      </c>
      <c r="S81" s="1">
        <v>1416.7942100000087</v>
      </c>
      <c r="T81" s="1">
        <v>1428.6980300000012</v>
      </c>
      <c r="U81" s="1">
        <v>1259.2286300000003</v>
      </c>
      <c r="V81" s="1">
        <v>-104.31709000015313</v>
      </c>
      <c r="W81" s="1">
        <v>561.37031000000013</v>
      </c>
      <c r="X81" s="1">
        <v>599</v>
      </c>
      <c r="Y81" s="1">
        <v>408</v>
      </c>
      <c r="Z81" s="1">
        <v>741</v>
      </c>
      <c r="AA81" s="1">
        <v>2546</v>
      </c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8"/>
      <c r="AP81" s="8"/>
      <c r="AQ81" s="8"/>
      <c r="AR81" s="8"/>
      <c r="AS81" s="8"/>
      <c r="AT81" s="8"/>
      <c r="AU81" s="8"/>
      <c r="AV81" s="8"/>
      <c r="AW81" s="8"/>
    </row>
    <row r="82" spans="1:49">
      <c r="B82" t="s">
        <v>71</v>
      </c>
      <c r="D82" s="1">
        <v>1177166.2556799999</v>
      </c>
      <c r="E82" s="1">
        <v>1004178.08401</v>
      </c>
      <c r="F82" s="1">
        <v>963345.92793000001</v>
      </c>
      <c r="G82" s="1">
        <v>1122173.5798600002</v>
      </c>
      <c r="H82" s="1">
        <v>1731771.5956100004</v>
      </c>
      <c r="I82" s="1">
        <v>615234.16006999998</v>
      </c>
      <c r="J82" s="1">
        <v>690561.41268000007</v>
      </c>
      <c r="K82" s="1">
        <v>528841.87017000001</v>
      </c>
      <c r="L82" s="1">
        <v>780227.62771999999</v>
      </c>
      <c r="M82" s="1">
        <v>501478.24777999998</v>
      </c>
      <c r="N82" s="1">
        <v>401650.72372000001</v>
      </c>
      <c r="O82" s="1">
        <v>298701.27923000004</v>
      </c>
      <c r="P82" s="1">
        <v>684838.00051999989</v>
      </c>
      <c r="Q82" s="1">
        <v>616201.78548999992</v>
      </c>
      <c r="R82" s="1">
        <v>993618.75962000014</v>
      </c>
      <c r="S82" s="1">
        <v>1054025.7711999998</v>
      </c>
      <c r="T82" s="1">
        <v>1094953.2127400001</v>
      </c>
      <c r="U82" s="1">
        <v>227541.93305000002</v>
      </c>
      <c r="V82" s="1">
        <v>1035158.9427699998</v>
      </c>
      <c r="W82" s="1">
        <v>820570.11780000001</v>
      </c>
      <c r="X82" s="1">
        <v>2106705</v>
      </c>
      <c r="Y82" s="1">
        <v>1673157</v>
      </c>
      <c r="Z82" s="1">
        <v>2647643</v>
      </c>
      <c r="AA82" s="1">
        <v>2040926</v>
      </c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8"/>
      <c r="AP82" s="8"/>
      <c r="AQ82" s="8"/>
      <c r="AR82" s="8"/>
      <c r="AS82" s="8"/>
      <c r="AT82" s="8"/>
      <c r="AU82" s="8"/>
      <c r="AV82" s="8"/>
      <c r="AW82" s="8"/>
    </row>
    <row r="83" spans="1:49">
      <c r="B83" t="s">
        <v>72</v>
      </c>
      <c r="D83" s="1">
        <v>136043.56053999986</v>
      </c>
      <c r="E83" s="1">
        <v>141725.25210999988</v>
      </c>
      <c r="F83" s="1">
        <v>66463.703359999912</v>
      </c>
      <c r="G83" s="1">
        <v>52012.283700000058</v>
      </c>
      <c r="H83" s="1">
        <v>112961.59894999956</v>
      </c>
      <c r="I83" s="1">
        <v>115130.68320999967</v>
      </c>
      <c r="J83" s="1">
        <v>39534.406900000002</v>
      </c>
      <c r="K83" s="1">
        <v>43997.726040000009</v>
      </c>
      <c r="L83" s="1">
        <v>117567.09147</v>
      </c>
      <c r="M83" s="1">
        <v>127396.34770999996</v>
      </c>
      <c r="N83" s="1">
        <v>41753.423459999976</v>
      </c>
      <c r="O83" s="1">
        <v>50238.491070000091</v>
      </c>
      <c r="P83" s="1">
        <v>129331.9982899999</v>
      </c>
      <c r="Q83" s="1">
        <v>137489.24869999988</v>
      </c>
      <c r="R83" s="1">
        <v>43852.083249999792</v>
      </c>
      <c r="S83" s="1">
        <v>41701.765629999776</v>
      </c>
      <c r="T83" s="1">
        <v>86213.690429999537</v>
      </c>
      <c r="U83" s="1">
        <v>90951.808930000014</v>
      </c>
      <c r="V83" s="1">
        <v>-20792.07217000096</v>
      </c>
      <c r="W83" s="1">
        <v>18698.302130000204</v>
      </c>
      <c r="X83" s="1">
        <v>22470</v>
      </c>
      <c r="Y83" s="1">
        <v>12113</v>
      </c>
      <c r="Z83" s="1">
        <v>13743</v>
      </c>
      <c r="AA83" s="1">
        <v>2216</v>
      </c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8"/>
      <c r="AP83" s="8"/>
      <c r="AQ83" s="8"/>
      <c r="AR83" s="8"/>
      <c r="AS83" s="8"/>
      <c r="AT83" s="8"/>
      <c r="AU83" s="8"/>
      <c r="AV83" s="8"/>
      <c r="AW83" s="8"/>
    </row>
    <row r="84" spans="1:49">
      <c r="B84" t="s">
        <v>74</v>
      </c>
      <c r="D84" s="1">
        <v>296.46941999999979</v>
      </c>
      <c r="E84" s="1">
        <v>302.86880999999983</v>
      </c>
      <c r="F84" s="1">
        <v>306.92250999999982</v>
      </c>
      <c r="G84" s="1">
        <v>344.30548999999979</v>
      </c>
      <c r="H84" s="1">
        <v>347.21112999999991</v>
      </c>
      <c r="I84" s="1">
        <v>354.1347199999999</v>
      </c>
      <c r="J84" s="1">
        <v>366.11531000000002</v>
      </c>
      <c r="K84" s="1">
        <v>347.80128999999999</v>
      </c>
      <c r="L84" s="1">
        <v>349.49509</v>
      </c>
      <c r="M84" s="1">
        <v>352.51240000000001</v>
      </c>
      <c r="N84" s="1">
        <v>366.74221999999997</v>
      </c>
      <c r="O84" s="1">
        <v>391.96458000000001</v>
      </c>
      <c r="P84" s="1">
        <v>402.45299999999997</v>
      </c>
      <c r="Q84" s="1">
        <v>402.45299999999997</v>
      </c>
      <c r="R84" s="1">
        <v>210.8098</v>
      </c>
      <c r="S84" s="1">
        <v>210.64439000000002</v>
      </c>
      <c r="T84" s="1">
        <v>210.64439000000002</v>
      </c>
      <c r="U84" s="1">
        <v>210.55463</v>
      </c>
      <c r="V84" s="1">
        <v>210.64438999999999</v>
      </c>
      <c r="W84" s="1">
        <v>208.4991</v>
      </c>
      <c r="X84" s="1">
        <v>214</v>
      </c>
      <c r="Y84" s="1">
        <v>232</v>
      </c>
      <c r="Z84" s="1">
        <v>228</v>
      </c>
      <c r="AA84" s="1">
        <v>138</v>
      </c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8"/>
      <c r="AP84" s="8"/>
      <c r="AQ84" s="8"/>
      <c r="AR84" s="8"/>
      <c r="AS84" s="8"/>
      <c r="AT84" s="8"/>
      <c r="AU84" s="8"/>
      <c r="AV84" s="8"/>
      <c r="AW84" s="8"/>
    </row>
    <row r="85" spans="1:49">
      <c r="B85" t="s">
        <v>162</v>
      </c>
      <c r="D85" s="1">
        <v>728.27999999999906</v>
      </c>
      <c r="E85" s="1">
        <v>413.419569999999</v>
      </c>
      <c r="F85" s="1">
        <v>185.295999999999</v>
      </c>
      <c r="G85" s="1">
        <v>340.01391000000001</v>
      </c>
      <c r="H85" s="1">
        <v>207.37695000000286</v>
      </c>
      <c r="I85" s="1">
        <v>71.298120000002754</v>
      </c>
      <c r="J85" s="1">
        <v>33.892730000000256</v>
      </c>
      <c r="K85" s="1">
        <v>50.02800000000029</v>
      </c>
      <c r="L85" s="1">
        <v>108.28922000000127</v>
      </c>
      <c r="M85" s="1">
        <v>61.073359999999177</v>
      </c>
      <c r="N85" s="1">
        <v>152.71516999999562</v>
      </c>
      <c r="O85" s="1">
        <v>64.703849999999548</v>
      </c>
      <c r="P85" s="1">
        <v>284.69239000000329</v>
      </c>
      <c r="Q85" s="1">
        <v>394.68704000000685</v>
      </c>
      <c r="R85" s="1">
        <v>138.72508999998914</v>
      </c>
      <c r="S85" s="1">
        <v>132.03046999999665</v>
      </c>
      <c r="T85" s="1">
        <v>156.76351000001168</v>
      </c>
      <c r="U85" s="1">
        <v>139.06311000000758</v>
      </c>
      <c r="V85" s="1">
        <v>162.18161000001462</v>
      </c>
      <c r="W85" s="1">
        <v>108.31226000000767</v>
      </c>
      <c r="X85" s="1">
        <v>167</v>
      </c>
      <c r="Y85" s="1">
        <v>136</v>
      </c>
      <c r="Z85" s="1">
        <v>125</v>
      </c>
      <c r="AA85" s="1">
        <v>106</v>
      </c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8"/>
      <c r="AP85" s="8"/>
      <c r="AQ85" s="8"/>
      <c r="AR85" s="8"/>
      <c r="AS85" s="8"/>
      <c r="AT85" s="8"/>
      <c r="AU85" s="8"/>
      <c r="AV85" s="8"/>
      <c r="AW85" s="8"/>
    </row>
    <row r="86" spans="1:49">
      <c r="B86" t="s">
        <v>91</v>
      </c>
      <c r="D86" s="1">
        <v>0</v>
      </c>
      <c r="E86" s="1">
        <v>0</v>
      </c>
      <c r="F86" s="1">
        <v>0</v>
      </c>
      <c r="G86" s="1">
        <v>3492.6521499999994</v>
      </c>
      <c r="H86" s="1">
        <v>4230.4740999999876</v>
      </c>
      <c r="I86" s="1">
        <v>4976.351599999989</v>
      </c>
      <c r="J86" s="1">
        <v>7550.4994999999999</v>
      </c>
      <c r="K86" s="1">
        <v>9667.5469499999999</v>
      </c>
      <c r="L86" s="1">
        <v>10752.19555</v>
      </c>
      <c r="M86" s="1">
        <v>11018.02505</v>
      </c>
      <c r="N86" s="1">
        <v>11003.125749999999</v>
      </c>
      <c r="O86" s="1">
        <v>10983.988800000001</v>
      </c>
      <c r="P86" s="1">
        <v>10834.68555</v>
      </c>
      <c r="Q86" s="1">
        <v>9903.3041000000012</v>
      </c>
      <c r="R86" s="1">
        <v>8950.354800000001</v>
      </c>
      <c r="S86" s="1">
        <v>8116.14185</v>
      </c>
      <c r="T86" s="1">
        <v>7536.2100999999993</v>
      </c>
      <c r="U86" s="1">
        <v>6776.1293100000003</v>
      </c>
      <c r="V86" s="1">
        <v>7465.2935500000003</v>
      </c>
      <c r="W86" s="1">
        <v>4528.4772400000002</v>
      </c>
      <c r="X86" s="1">
        <v>3642</v>
      </c>
      <c r="Y86" s="1">
        <v>2971</v>
      </c>
      <c r="Z86" s="1">
        <v>2973</v>
      </c>
      <c r="AA86" s="1">
        <v>2828</v>
      </c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8"/>
      <c r="AP86" s="8"/>
      <c r="AQ86" s="8"/>
      <c r="AR86" s="8"/>
      <c r="AS86" s="8"/>
      <c r="AT86" s="8"/>
      <c r="AU86" s="8"/>
      <c r="AV86" s="8"/>
      <c r="AW86" s="8"/>
    </row>
    <row r="87" spans="1:49">
      <c r="A87" s="21"/>
      <c r="B87" s="21" t="s">
        <v>47</v>
      </c>
      <c r="C87" s="21"/>
      <c r="D87" s="219">
        <v>2007699.0278999996</v>
      </c>
      <c r="E87" s="219">
        <v>2096566.3831200004</v>
      </c>
      <c r="F87" s="219">
        <v>2243960.2562399996</v>
      </c>
      <c r="G87" s="219">
        <v>2124999.8993200003</v>
      </c>
      <c r="H87" s="219">
        <v>1298093.7138400001</v>
      </c>
      <c r="I87" s="219">
        <v>2419942.1327300002</v>
      </c>
      <c r="J87" s="219">
        <v>2448834.55302</v>
      </c>
      <c r="K87" s="219">
        <v>2807608.1323599992</v>
      </c>
      <c r="L87" s="219">
        <v>2653522.8217400005</v>
      </c>
      <c r="M87" s="219">
        <v>3028470.9503399995</v>
      </c>
      <c r="N87" s="219">
        <v>3264103.0616099997</v>
      </c>
      <c r="O87" s="219">
        <v>3477698.8464699993</v>
      </c>
      <c r="P87" s="219">
        <v>3169751.1519899997</v>
      </c>
      <c r="Q87" s="219">
        <v>3222821.1253399998</v>
      </c>
      <c r="R87" s="219">
        <v>2893656.9973299992</v>
      </c>
      <c r="S87" s="219">
        <v>2928587.2811600002</v>
      </c>
      <c r="T87" s="219">
        <v>2809493.1937100007</v>
      </c>
      <c r="U87" s="219">
        <v>3579228.38014</v>
      </c>
      <c r="V87" s="219">
        <v>2937521.9789800006</v>
      </c>
      <c r="W87" s="219">
        <v>2824440.6675899997</v>
      </c>
      <c r="X87" s="219">
        <v>1444059</v>
      </c>
      <c r="Y87" s="219">
        <v>1574567</v>
      </c>
      <c r="Z87" s="219">
        <v>603530</v>
      </c>
      <c r="AA87" s="219">
        <v>1243535</v>
      </c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8"/>
      <c r="AP87" s="8"/>
      <c r="AQ87" s="8"/>
      <c r="AR87" s="8"/>
      <c r="AS87" s="8"/>
      <c r="AT87" s="8"/>
      <c r="AU87" s="8"/>
      <c r="AV87" s="8"/>
      <c r="AW87" s="8"/>
    </row>
    <row r="88" spans="1:49">
      <c r="A88" s="51"/>
      <c r="B88" s="51" t="s">
        <v>70</v>
      </c>
      <c r="C88" s="51"/>
      <c r="D88" s="224">
        <v>2007422.1130399995</v>
      </c>
      <c r="E88" s="224">
        <v>2096304.5597000003</v>
      </c>
      <c r="F88" s="224">
        <v>2243716.7651200001</v>
      </c>
      <c r="G88" s="224">
        <v>2124770.80913</v>
      </c>
      <c r="H88" s="224">
        <v>1297751.2607700003</v>
      </c>
      <c r="I88" s="224">
        <v>2419621.0011700001</v>
      </c>
      <c r="J88" s="224">
        <v>2448534.7428699997</v>
      </c>
      <c r="K88" s="224">
        <v>2807301.5195399993</v>
      </c>
      <c r="L88" s="224">
        <v>2653088.9028700003</v>
      </c>
      <c r="M88" s="224">
        <v>3027719.6099999994</v>
      </c>
      <c r="N88" s="224">
        <v>3261292.9081000001</v>
      </c>
      <c r="O88" s="224">
        <v>3474310.7574699991</v>
      </c>
      <c r="P88" s="224">
        <v>3166506.3061599997</v>
      </c>
      <c r="Q88" s="224">
        <v>3219757.7081299997</v>
      </c>
      <c r="R88" s="224">
        <v>2890772.8174299998</v>
      </c>
      <c r="S88" s="224">
        <v>2925880.3763200003</v>
      </c>
      <c r="T88" s="224">
        <v>2801750.6238300004</v>
      </c>
      <c r="U88" s="224">
        <v>3571826.8203199995</v>
      </c>
      <c r="V88" s="224">
        <v>2934928.7725999998</v>
      </c>
      <c r="W88" s="224">
        <v>2817752.9896199992</v>
      </c>
      <c r="X88" s="224">
        <v>1437700</v>
      </c>
      <c r="Y88" s="224">
        <v>1572889</v>
      </c>
      <c r="Z88" s="224">
        <v>602001</v>
      </c>
      <c r="AA88" s="224">
        <v>1242167</v>
      </c>
      <c r="AB88" s="224"/>
      <c r="AC88" s="224"/>
      <c r="AD88" s="224"/>
      <c r="AE88" s="224"/>
      <c r="AF88" s="224"/>
      <c r="AG88" s="162"/>
      <c r="AH88" s="162"/>
      <c r="AI88" s="162"/>
      <c r="AJ88" s="162"/>
      <c r="AK88" s="162"/>
      <c r="AL88" s="162"/>
      <c r="AM88" s="162"/>
      <c r="AN88" s="1"/>
      <c r="AO88" s="8"/>
      <c r="AP88" s="8"/>
      <c r="AQ88" s="8"/>
      <c r="AR88" s="8"/>
      <c r="AS88" s="8"/>
      <c r="AT88" s="8"/>
      <c r="AU88" s="8"/>
      <c r="AV88" s="8"/>
      <c r="AW88" s="8"/>
    </row>
    <row r="89" spans="1:49">
      <c r="A89" s="69"/>
      <c r="B89" s="69" t="s">
        <v>71</v>
      </c>
      <c r="C89" s="69"/>
      <c r="D89" s="257">
        <v>1757926.8134799995</v>
      </c>
      <c r="E89" s="257">
        <v>1845439.8209900002</v>
      </c>
      <c r="F89" s="257">
        <v>1984168.2172199998</v>
      </c>
      <c r="G89" s="257">
        <v>1853447.1016900002</v>
      </c>
      <c r="H89" s="257">
        <v>1001709.2541200001</v>
      </c>
      <c r="I89" s="257">
        <v>2075783.5224199998</v>
      </c>
      <c r="J89" s="257">
        <v>2090945.20104</v>
      </c>
      <c r="K89" s="257">
        <v>2485918.2232499993</v>
      </c>
      <c r="L89" s="257">
        <v>2304551.2564200005</v>
      </c>
      <c r="M89" s="257">
        <v>2672609.6213499997</v>
      </c>
      <c r="N89" s="257">
        <v>2901482.69154</v>
      </c>
      <c r="O89" s="257">
        <v>3112508.5344799994</v>
      </c>
      <c r="P89" s="257">
        <v>2787965.4184699999</v>
      </c>
      <c r="Q89" s="257">
        <v>2848094.7829799997</v>
      </c>
      <c r="R89" s="257">
        <v>2523486.9967999998</v>
      </c>
      <c r="S89" s="257">
        <v>2560901.5694499998</v>
      </c>
      <c r="T89" s="257">
        <v>2432628.39463</v>
      </c>
      <c r="U89" s="257">
        <v>3201821.9489999996</v>
      </c>
      <c r="V89" s="257">
        <v>2554935.1953199999</v>
      </c>
      <c r="W89" s="257">
        <v>2400166.0378599996</v>
      </c>
      <c r="X89" s="257">
        <v>1023704</v>
      </c>
      <c r="Y89" s="257">
        <v>1347319</v>
      </c>
      <c r="Z89" s="257">
        <v>394089</v>
      </c>
      <c r="AA89" s="257">
        <v>1051359</v>
      </c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8"/>
      <c r="AP89" s="8"/>
      <c r="AQ89" s="8"/>
      <c r="AR89" s="8"/>
      <c r="AS89" s="8"/>
      <c r="AT89" s="8"/>
      <c r="AU89" s="8"/>
      <c r="AV89" s="8"/>
      <c r="AW89" s="8"/>
    </row>
    <row r="90" spans="1:49">
      <c r="B90" t="s">
        <v>72</v>
      </c>
      <c r="D90" s="162">
        <v>249495.29956000001</v>
      </c>
      <c r="E90" s="162">
        <v>250864.73871000001</v>
      </c>
      <c r="F90" s="162">
        <v>259548.54790000001</v>
      </c>
      <c r="G90" s="162">
        <v>257649.94270000001</v>
      </c>
      <c r="H90" s="162">
        <v>279720.14173999999</v>
      </c>
      <c r="I90" s="162">
        <v>324443.45941000001</v>
      </c>
      <c r="J90" s="162">
        <v>328900.26332999999</v>
      </c>
      <c r="K90" s="162">
        <v>285880.92522000003</v>
      </c>
      <c r="L90" s="162">
        <v>310096.03548999992</v>
      </c>
      <c r="M90" s="162">
        <v>312380.60025999992</v>
      </c>
      <c r="N90" s="162">
        <v>313154.84493999992</v>
      </c>
      <c r="O90" s="162">
        <v>312422.22126999998</v>
      </c>
      <c r="P90" s="162">
        <v>329390.30132999999</v>
      </c>
      <c r="Q90" s="162">
        <v>327371.34587999998</v>
      </c>
      <c r="R90" s="162">
        <v>328086.56940000004</v>
      </c>
      <c r="S90" s="162">
        <v>329477.45731999999</v>
      </c>
      <c r="T90" s="162">
        <v>337052.46732</v>
      </c>
      <c r="U90" s="162">
        <v>341780.65505</v>
      </c>
      <c r="V90" s="1">
        <v>346121.49347000004</v>
      </c>
      <c r="W90" s="1">
        <v>397040.80336999998</v>
      </c>
      <c r="X90" s="1">
        <v>396542</v>
      </c>
      <c r="Y90" s="1">
        <v>210616</v>
      </c>
      <c r="Z90" s="1">
        <v>195735</v>
      </c>
      <c r="AA90" s="1">
        <v>180838</v>
      </c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8"/>
      <c r="AP90" s="8"/>
      <c r="AQ90" s="8"/>
      <c r="AR90" s="8"/>
      <c r="AS90" s="8"/>
      <c r="AT90" s="8"/>
      <c r="AU90" s="8"/>
      <c r="AV90" s="8"/>
      <c r="AW90" s="8"/>
    </row>
    <row r="91" spans="1:49">
      <c r="A91" s="51"/>
      <c r="B91" s="51" t="s">
        <v>75</v>
      </c>
      <c r="C91" s="51"/>
      <c r="D91" s="224">
        <v>0</v>
      </c>
      <c r="E91" s="224">
        <v>0</v>
      </c>
      <c r="F91" s="224">
        <v>0</v>
      </c>
      <c r="G91" s="224">
        <v>13673.764740000001</v>
      </c>
      <c r="H91" s="224">
        <v>16321.864909999998</v>
      </c>
      <c r="I91" s="224">
        <v>19394.019339999999</v>
      </c>
      <c r="J91" s="224">
        <v>28689.2785</v>
      </c>
      <c r="K91" s="224">
        <v>35502.371070000001</v>
      </c>
      <c r="L91" s="224">
        <v>38441.610959999998</v>
      </c>
      <c r="M91" s="224">
        <v>42729.38839</v>
      </c>
      <c r="N91" s="224">
        <v>46655.371619999998</v>
      </c>
      <c r="O91" s="224">
        <v>49380.00172</v>
      </c>
      <c r="P91" s="224">
        <v>49150.586360000001</v>
      </c>
      <c r="Q91" s="224">
        <v>44291.579269999995</v>
      </c>
      <c r="R91" s="224">
        <v>39199.251229999994</v>
      </c>
      <c r="S91" s="224">
        <v>35501.349549999999</v>
      </c>
      <c r="T91" s="224">
        <v>32069.761879999998</v>
      </c>
      <c r="U91" s="224">
        <v>28224.216269999997</v>
      </c>
      <c r="V91" s="224">
        <v>33872.083810000004</v>
      </c>
      <c r="W91" s="224">
        <v>20546.148390000002</v>
      </c>
      <c r="X91" s="224">
        <v>17454</v>
      </c>
      <c r="Y91" s="224">
        <v>14954</v>
      </c>
      <c r="Z91" s="224">
        <v>12177</v>
      </c>
      <c r="AA91" s="224">
        <v>9970</v>
      </c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8"/>
      <c r="AP91" s="8"/>
      <c r="AQ91" s="8"/>
      <c r="AR91" s="8"/>
      <c r="AS91" s="8"/>
      <c r="AT91" s="8"/>
      <c r="AU91" s="8"/>
      <c r="AV91" s="8"/>
      <c r="AW91" s="8"/>
    </row>
    <row r="92" spans="1:49">
      <c r="B92" t="s">
        <v>163</v>
      </c>
      <c r="D92" s="1">
        <v>4.0490000000000004</v>
      </c>
      <c r="E92" s="1">
        <v>4.0490000000000004</v>
      </c>
      <c r="F92" s="1">
        <v>4.0490000000000004</v>
      </c>
      <c r="G92" s="1">
        <v>4.0490000000000004</v>
      </c>
      <c r="H92" s="1">
        <v>4.0490000000000004</v>
      </c>
      <c r="I92" s="1">
        <v>4.0490000000000004</v>
      </c>
      <c r="J92" s="1">
        <v>4.0490000000000004</v>
      </c>
      <c r="K92" s="1">
        <v>4.0490000000000004</v>
      </c>
      <c r="L92" s="1">
        <v>4.0490000000000004</v>
      </c>
      <c r="M92" s="1">
        <v>4.0490000000000004</v>
      </c>
      <c r="N92" s="1">
        <v>4.0490000000000004</v>
      </c>
      <c r="O92" s="1">
        <v>4.0490000000000004</v>
      </c>
      <c r="P92" s="1">
        <v>4.0490000000000004</v>
      </c>
      <c r="Q92" s="1">
        <v>4.0490000000000004</v>
      </c>
      <c r="R92" s="1">
        <v>4.0490000000000004</v>
      </c>
      <c r="S92" s="1">
        <v>4.0490000000000004</v>
      </c>
      <c r="T92" s="1">
        <v>5209.1280800000004</v>
      </c>
      <c r="U92" s="1">
        <v>5037.5320599999995</v>
      </c>
      <c r="V92" s="1">
        <v>-53.149680000000004</v>
      </c>
      <c r="W92" s="1">
        <v>4694.3399799999997</v>
      </c>
      <c r="X92" s="1">
        <v>4523</v>
      </c>
      <c r="Y92" s="1">
        <v>4</v>
      </c>
      <c r="Z92" s="1">
        <v>4</v>
      </c>
      <c r="AA92" s="1">
        <v>4</v>
      </c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8"/>
      <c r="AP92" s="8"/>
      <c r="AQ92" s="8"/>
      <c r="AR92" s="8"/>
      <c r="AS92" s="8"/>
      <c r="AT92" s="8"/>
      <c r="AU92" s="8"/>
      <c r="AV92" s="8"/>
      <c r="AW92" s="8"/>
    </row>
    <row r="93" spans="1:49">
      <c r="B93" t="s">
        <v>92</v>
      </c>
      <c r="D93" s="1">
        <v>221.83120999999994</v>
      </c>
      <c r="E93" s="1">
        <v>204.53592999999987</v>
      </c>
      <c r="F93" s="1">
        <v>187.24080999999987</v>
      </c>
      <c r="G93" s="1">
        <v>173.87702999999985</v>
      </c>
      <c r="H93" s="1">
        <v>281.58426999999989</v>
      </c>
      <c r="I93" s="1">
        <v>261.64249999999998</v>
      </c>
      <c r="J93" s="1">
        <v>241.70086999999992</v>
      </c>
      <c r="K93" s="1">
        <v>221.75924000000006</v>
      </c>
      <c r="L93" s="1">
        <v>201.81760999999997</v>
      </c>
      <c r="M93" s="1">
        <v>186.22151999999997</v>
      </c>
      <c r="N93" s="1">
        <v>166.17065999999997</v>
      </c>
      <c r="O93" s="1">
        <v>148.73549999999994</v>
      </c>
      <c r="P93" s="1">
        <v>128.42435000000009</v>
      </c>
      <c r="Q93" s="1">
        <v>108.65980999999999</v>
      </c>
      <c r="R93" s="1">
        <v>89.215219999999974</v>
      </c>
      <c r="S93" s="1">
        <v>73.701019999999957</v>
      </c>
      <c r="T93" s="1">
        <v>66.04789999999997</v>
      </c>
      <c r="U93" s="1">
        <v>58.394780000000026</v>
      </c>
      <c r="V93" s="1">
        <v>71.150009999999853</v>
      </c>
      <c r="W93" s="1">
        <v>13.013529999999969</v>
      </c>
      <c r="X93" s="1">
        <v>17</v>
      </c>
      <c r="Y93" s="1">
        <v>16</v>
      </c>
      <c r="Z93" s="1">
        <v>14</v>
      </c>
      <c r="AA93" s="1">
        <v>13</v>
      </c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8"/>
      <c r="AP93" s="8"/>
      <c r="AQ93" s="8"/>
      <c r="AR93" s="8"/>
      <c r="AS93" s="8"/>
      <c r="AT93" s="8"/>
      <c r="AU93" s="8"/>
      <c r="AV93" s="8"/>
      <c r="AW93" s="8"/>
    </row>
    <row r="94" spans="1:49">
      <c r="B94" t="s">
        <v>93</v>
      </c>
      <c r="D94" s="1">
        <v>51.034650000000156</v>
      </c>
      <c r="E94" s="1">
        <v>53.23849000000002</v>
      </c>
      <c r="F94" s="1">
        <v>52.201310000000021</v>
      </c>
      <c r="G94" s="1">
        <v>51.164160000000017</v>
      </c>
      <c r="H94" s="1">
        <v>56.819800000000015</v>
      </c>
      <c r="I94" s="1">
        <v>55.440060000000017</v>
      </c>
      <c r="J94" s="1">
        <v>54.060280000000013</v>
      </c>
      <c r="K94" s="1">
        <v>80.804580000000072</v>
      </c>
      <c r="L94" s="1">
        <v>228.05226000000005</v>
      </c>
      <c r="M94" s="1">
        <v>561.06981999999982</v>
      </c>
      <c r="N94" s="1">
        <v>2639.9338499999994</v>
      </c>
      <c r="O94" s="1">
        <v>3235.3044999999997</v>
      </c>
      <c r="P94" s="1">
        <v>3112.3724799999995</v>
      </c>
      <c r="Q94" s="1">
        <v>2950.7084</v>
      </c>
      <c r="R94" s="1">
        <v>2790.9156799999996</v>
      </c>
      <c r="S94" s="1">
        <v>2629.1548199999993</v>
      </c>
      <c r="T94" s="1">
        <v>2467.3939</v>
      </c>
      <c r="U94" s="1">
        <v>2305.6329799999994</v>
      </c>
      <c r="V94" s="1">
        <v>2575.2060499999993</v>
      </c>
      <c r="W94" s="1">
        <v>1980.3244599999991</v>
      </c>
      <c r="X94" s="1">
        <v>1819</v>
      </c>
      <c r="Y94" s="1">
        <v>1658</v>
      </c>
      <c r="Z94" s="1">
        <v>1511</v>
      </c>
      <c r="AA94" s="1">
        <v>1351</v>
      </c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8"/>
      <c r="AP94" s="8"/>
      <c r="AQ94" s="8"/>
      <c r="AR94" s="8"/>
      <c r="AS94" s="8"/>
      <c r="AT94" s="8"/>
      <c r="AU94" s="8"/>
      <c r="AV94" s="8"/>
      <c r="AW94" s="8"/>
    </row>
    <row r="95" spans="1:49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8"/>
      <c r="AP95" s="8"/>
      <c r="AQ95" s="8"/>
      <c r="AR95" s="8"/>
      <c r="AS95" s="8"/>
      <c r="AT95" s="8"/>
      <c r="AU95" s="8"/>
      <c r="AV95" s="8"/>
      <c r="AW95" s="8"/>
    </row>
    <row r="96" spans="1:49">
      <c r="A96" s="633"/>
      <c r="B96" s="633" t="s">
        <v>101</v>
      </c>
      <c r="C96" s="647"/>
      <c r="D96" s="648">
        <v>2956628.4397499994</v>
      </c>
      <c r="E96" s="648">
        <v>2849687.4323399994</v>
      </c>
      <c r="F96" s="648">
        <v>2810025.1263899999</v>
      </c>
      <c r="G96" s="648">
        <v>2858196.5981300003</v>
      </c>
      <c r="H96" s="648">
        <v>2882914.1358399973</v>
      </c>
      <c r="I96" s="648">
        <v>2928124.156179999</v>
      </c>
      <c r="J96" s="648">
        <v>2925654.6836600034</v>
      </c>
      <c r="K96" s="648">
        <v>3056127.5778400032</v>
      </c>
      <c r="L96" s="648">
        <v>3273024.6047200002</v>
      </c>
      <c r="M96" s="648">
        <v>3281226.9470199998</v>
      </c>
      <c r="N96" s="648">
        <v>3255738.4427400017</v>
      </c>
      <c r="O96" s="648">
        <v>3381468.8003699998</v>
      </c>
      <c r="P96" s="648">
        <v>3494972.1316400003</v>
      </c>
      <c r="Q96" s="648">
        <v>3558054.5755900005</v>
      </c>
      <c r="R96" s="648">
        <v>3507141.0437399996</v>
      </c>
      <c r="S96" s="648">
        <v>3610100.7957599992</v>
      </c>
      <c r="T96" s="648">
        <v>3698860.8367000003</v>
      </c>
      <c r="U96" s="648">
        <v>3597134.6479000039</v>
      </c>
      <c r="V96" s="634">
        <v>3543378.1417800002</v>
      </c>
      <c r="W96" s="634">
        <v>3424275.6557400003</v>
      </c>
      <c r="X96" s="634">
        <v>3386506</v>
      </c>
      <c r="Y96" s="634">
        <v>3051293</v>
      </c>
      <c r="Z96" s="634">
        <v>3019739</v>
      </c>
      <c r="AA96" s="634">
        <v>3025148</v>
      </c>
      <c r="AB96" s="634"/>
      <c r="AC96" s="634"/>
      <c r="AD96" s="634"/>
      <c r="AE96" s="634"/>
      <c r="AF96" s="634"/>
      <c r="AG96" s="634"/>
      <c r="AH96" s="634"/>
      <c r="AI96" s="634"/>
      <c r="AJ96" s="634"/>
      <c r="AK96" s="634"/>
      <c r="AL96" s="634"/>
      <c r="AM96" s="634"/>
      <c r="AN96" s="634"/>
      <c r="AO96" s="8"/>
      <c r="AP96" s="8"/>
      <c r="AQ96" s="8"/>
      <c r="AR96" s="8"/>
      <c r="AS96" s="8"/>
      <c r="AT96" s="8"/>
      <c r="AU96" s="8"/>
      <c r="AV96" s="8"/>
      <c r="AW96" s="8"/>
    </row>
    <row r="97" spans="1:49">
      <c r="A97" s="21"/>
      <c r="B97" s="21" t="s">
        <v>51</v>
      </c>
      <c r="C97" s="21"/>
      <c r="D97" s="219">
        <v>2752107.8101599994</v>
      </c>
      <c r="E97" s="219">
        <v>2640226.7023299993</v>
      </c>
      <c r="F97" s="219">
        <v>2572588.2226799997</v>
      </c>
      <c r="G97" s="219">
        <v>2625036.6213900005</v>
      </c>
      <c r="H97" s="219">
        <v>2650182.3583299974</v>
      </c>
      <c r="I97" s="219">
        <v>2689363.3499499988</v>
      </c>
      <c r="J97" s="219">
        <v>2680174.7449900033</v>
      </c>
      <c r="K97" s="219">
        <v>2798578.0021400033</v>
      </c>
      <c r="L97" s="219">
        <v>3005197.5443900004</v>
      </c>
      <c r="M97" s="219">
        <v>2970189.1396699999</v>
      </c>
      <c r="N97" s="219">
        <v>2925428.3968800018</v>
      </c>
      <c r="O97" s="219">
        <v>3046731.9379699999</v>
      </c>
      <c r="P97" s="219">
        <v>3148518.6731100003</v>
      </c>
      <c r="Q97" s="219">
        <v>3189814.8413400007</v>
      </c>
      <c r="R97" s="219">
        <v>3156478.8918299996</v>
      </c>
      <c r="S97" s="219">
        <v>3262479.9496999993</v>
      </c>
      <c r="T97" s="219">
        <v>3396703.7419300005</v>
      </c>
      <c r="U97" s="219">
        <v>3304467.7846800042</v>
      </c>
      <c r="V97" s="219">
        <v>3195775.9183500004</v>
      </c>
      <c r="W97" s="219">
        <v>3136568.7873500003</v>
      </c>
      <c r="X97" s="219">
        <v>3099139</v>
      </c>
      <c r="Y97" s="219">
        <v>2949883</v>
      </c>
      <c r="Z97" s="219">
        <v>2919086</v>
      </c>
      <c r="AA97" s="219">
        <v>2924548</v>
      </c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8"/>
      <c r="AP97" s="8"/>
      <c r="AQ97" s="8"/>
      <c r="AR97" s="8"/>
      <c r="AS97" s="8"/>
      <c r="AT97" s="8"/>
      <c r="AU97" s="8"/>
      <c r="AV97" s="8"/>
      <c r="AW97" s="8"/>
    </row>
    <row r="98" spans="1:49">
      <c r="B98" t="s">
        <v>79</v>
      </c>
      <c r="D98" s="1">
        <v>247033.73636999997</v>
      </c>
      <c r="E98" s="1">
        <v>140552.44061999995</v>
      </c>
      <c r="F98" s="1">
        <v>80015.182439999975</v>
      </c>
      <c r="G98" s="1">
        <v>125111.74253999986</v>
      </c>
      <c r="H98" s="1">
        <v>146167.63420999999</v>
      </c>
      <c r="I98" s="1">
        <v>145925.49178000007</v>
      </c>
      <c r="J98" s="1">
        <v>87087.083989999999</v>
      </c>
      <c r="K98" s="1">
        <v>138372.09264000002</v>
      </c>
      <c r="L98" s="1">
        <v>267470.74157999997</v>
      </c>
      <c r="M98" s="1">
        <v>160687.74384999997</v>
      </c>
      <c r="N98" s="1">
        <v>101212.12862999999</v>
      </c>
      <c r="O98" s="1">
        <v>153759.00165000005</v>
      </c>
      <c r="P98" s="1">
        <v>182074.01680999997</v>
      </c>
      <c r="Q98" s="1">
        <v>146158.54801</v>
      </c>
      <c r="R98" s="1">
        <v>64712.770040000003</v>
      </c>
      <c r="S98" s="1">
        <v>101114.46636999999</v>
      </c>
      <c r="T98" s="1">
        <v>199413.41158999995</v>
      </c>
      <c r="U98" s="1">
        <v>110707.89975</v>
      </c>
      <c r="V98" s="1">
        <v>45195.58470000013</v>
      </c>
      <c r="W98" s="1">
        <v>89015.283670000019</v>
      </c>
      <c r="X98" s="1">
        <v>127837</v>
      </c>
      <c r="Y98" s="1">
        <v>29329</v>
      </c>
      <c r="Z98" s="1">
        <v>31563</v>
      </c>
      <c r="AA98" s="1">
        <v>54087</v>
      </c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8"/>
      <c r="AP98" s="8"/>
      <c r="AQ98" s="8"/>
      <c r="AR98" s="8"/>
      <c r="AS98" s="8"/>
      <c r="AT98" s="8"/>
      <c r="AU98" s="8"/>
      <c r="AV98" s="8"/>
      <c r="AW98" s="8"/>
    </row>
    <row r="99" spans="1:49">
      <c r="B99" t="s">
        <v>167</v>
      </c>
      <c r="D99" s="1">
        <v>11497.60548999998</v>
      </c>
      <c r="E99" s="1">
        <v>11963.647949999986</v>
      </c>
      <c r="F99" s="1">
        <v>11915.127789999984</v>
      </c>
      <c r="G99" s="1">
        <v>11870.42407999999</v>
      </c>
      <c r="H99" s="1">
        <v>13560.018040000001</v>
      </c>
      <c r="I99" s="1">
        <v>14196.302409999988</v>
      </c>
      <c r="J99" s="1">
        <v>17851.864320000001</v>
      </c>
      <c r="K99" s="1">
        <v>16331.214480000001</v>
      </c>
      <c r="L99" s="1">
        <v>15293.329169999999</v>
      </c>
      <c r="M99" s="1">
        <v>16656.533780000002</v>
      </c>
      <c r="N99" s="1">
        <v>17118.447179999999</v>
      </c>
      <c r="O99" s="1">
        <v>14593.058939999997</v>
      </c>
      <c r="P99" s="1">
        <v>13210.645530000002</v>
      </c>
      <c r="Q99" s="1">
        <v>12651.82927</v>
      </c>
      <c r="R99" s="1">
        <v>12124.539590000002</v>
      </c>
      <c r="S99" s="1">
        <v>11651.737099999998</v>
      </c>
      <c r="T99" s="1">
        <v>11836.58265</v>
      </c>
      <c r="U99" s="1">
        <v>11675.962940000003</v>
      </c>
      <c r="V99" s="1">
        <v>11673.127029999998</v>
      </c>
      <c r="W99" s="1">
        <v>10836.239979999998</v>
      </c>
      <c r="X99" s="1">
        <v>10903</v>
      </c>
      <c r="Y99" s="1">
        <v>11045</v>
      </c>
      <c r="Z99" s="1">
        <v>11066</v>
      </c>
      <c r="AA99" s="1">
        <v>11010</v>
      </c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8"/>
      <c r="AP99" s="8"/>
      <c r="AQ99" s="8"/>
      <c r="AR99" s="8"/>
      <c r="AS99" s="8"/>
      <c r="AT99" s="8"/>
      <c r="AU99" s="8"/>
      <c r="AV99" s="8"/>
      <c r="AW99" s="8"/>
    </row>
    <row r="100" spans="1:49">
      <c r="B100" t="s">
        <v>82</v>
      </c>
      <c r="D100" s="1">
        <v>1863.0192100016745</v>
      </c>
      <c r="E100" s="1">
        <v>1797.317820001665</v>
      </c>
      <c r="F100" s="1">
        <v>1760.4727500016795</v>
      </c>
      <c r="G100" s="1">
        <v>1906.7302100018003</v>
      </c>
      <c r="H100" s="1">
        <v>2376.6625300004398</v>
      </c>
      <c r="I100" s="1">
        <v>2429.0643800003545</v>
      </c>
      <c r="J100" s="1">
        <v>3426.0224800039291</v>
      </c>
      <c r="K100" s="1">
        <v>535.62161000220533</v>
      </c>
      <c r="L100" s="1">
        <v>1395.2083600003241</v>
      </c>
      <c r="M100" s="1">
        <v>4701.4492400004483</v>
      </c>
      <c r="N100" s="1">
        <v>7724.3461000006482</v>
      </c>
      <c r="O100" s="1">
        <v>3200.225359999351</v>
      </c>
      <c r="P100" s="1">
        <v>3978.5578700001097</v>
      </c>
      <c r="Q100" s="1">
        <v>6230.85898000013</v>
      </c>
      <c r="R100" s="1">
        <v>1266.7528799994097</v>
      </c>
      <c r="S100" s="1">
        <v>716.86570999900812</v>
      </c>
      <c r="T100" s="1">
        <v>1337.3627600005343</v>
      </c>
      <c r="U100" s="1">
        <v>1372.915960003357</v>
      </c>
      <c r="V100" s="1">
        <v>-1344.0831999987579</v>
      </c>
      <c r="W100" s="1">
        <v>748.64340000022901</v>
      </c>
      <c r="X100" s="1">
        <v>1071</v>
      </c>
      <c r="Y100" s="1">
        <v>953</v>
      </c>
      <c r="Z100" s="1">
        <v>1094</v>
      </c>
      <c r="AA100" s="1">
        <v>384</v>
      </c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>
      <c r="B101" t="s">
        <v>168</v>
      </c>
      <c r="D101" s="1">
        <v>2491713.4490899979</v>
      </c>
      <c r="E101" s="1">
        <v>2485913.2959399978</v>
      </c>
      <c r="F101" s="1">
        <v>2478897.4396999986</v>
      </c>
      <c r="G101" s="1">
        <v>2486147.7245599986</v>
      </c>
      <c r="H101" s="1">
        <v>2488078.0435499973</v>
      </c>
      <c r="I101" s="1">
        <v>2526812.4913799982</v>
      </c>
      <c r="J101" s="1">
        <v>2571809.7741999994</v>
      </c>
      <c r="K101" s="1">
        <v>2643339.0734100007</v>
      </c>
      <c r="L101" s="1">
        <v>2721038.2652800004</v>
      </c>
      <c r="M101" s="1">
        <v>2788143.4127999996</v>
      </c>
      <c r="N101" s="1">
        <v>2799373.4749700008</v>
      </c>
      <c r="O101" s="1">
        <v>2875179.6520200004</v>
      </c>
      <c r="P101" s="1">
        <v>2949255.4528999999</v>
      </c>
      <c r="Q101" s="1">
        <v>3024773.6050800006</v>
      </c>
      <c r="R101" s="1">
        <v>3078374.82932</v>
      </c>
      <c r="S101" s="1">
        <v>3148996.8805200006</v>
      </c>
      <c r="T101" s="1">
        <v>3184116.3849299997</v>
      </c>
      <c r="U101" s="1">
        <v>3180711.0060300007</v>
      </c>
      <c r="V101" s="1">
        <v>3140251.2898199991</v>
      </c>
      <c r="W101" s="1">
        <v>3035968.6203000001</v>
      </c>
      <c r="X101" s="1">
        <v>2959328</v>
      </c>
      <c r="Y101" s="1">
        <v>2908556</v>
      </c>
      <c r="Z101" s="1">
        <v>2875363</v>
      </c>
      <c r="AA101" s="1">
        <v>2859067</v>
      </c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>
      <c r="A102" s="21"/>
      <c r="B102" s="21" t="s">
        <v>56</v>
      </c>
      <c r="C102" s="21"/>
      <c r="D102" s="219">
        <v>204520.62959</v>
      </c>
      <c r="E102" s="219">
        <v>209460.73000999997</v>
      </c>
      <c r="F102" s="219">
        <v>237436.90370999998</v>
      </c>
      <c r="G102" s="219">
        <v>233159.97673999998</v>
      </c>
      <c r="H102" s="219">
        <v>232731.77751000004</v>
      </c>
      <c r="I102" s="219">
        <v>238760.80622999999</v>
      </c>
      <c r="J102" s="219">
        <v>245479.93866999997</v>
      </c>
      <c r="K102" s="219">
        <v>257549.57570000002</v>
      </c>
      <c r="L102" s="219">
        <v>267827.06033000001</v>
      </c>
      <c r="M102" s="219">
        <v>311037.80735000002</v>
      </c>
      <c r="N102" s="219">
        <v>330310.04585999995</v>
      </c>
      <c r="O102" s="219">
        <v>334736.86240000004</v>
      </c>
      <c r="P102" s="219">
        <v>346453.45852999995</v>
      </c>
      <c r="Q102" s="219">
        <v>368239.73424999998</v>
      </c>
      <c r="R102" s="219">
        <v>350662.15190999996</v>
      </c>
      <c r="S102" s="219">
        <v>347620.84606000007</v>
      </c>
      <c r="T102" s="219">
        <v>302157.09477000003</v>
      </c>
      <c r="U102" s="219">
        <v>292666.86321999994</v>
      </c>
      <c r="V102" s="219">
        <v>347602.22343000001</v>
      </c>
      <c r="W102" s="219">
        <v>287706.86839000002</v>
      </c>
      <c r="X102" s="219">
        <v>287367</v>
      </c>
      <c r="Y102" s="219">
        <v>101410</v>
      </c>
      <c r="Z102" s="219">
        <v>100653</v>
      </c>
      <c r="AA102" s="219">
        <v>100600</v>
      </c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>
      <c r="B103" t="s">
        <v>79</v>
      </c>
      <c r="D103" s="1">
        <v>0</v>
      </c>
      <c r="E103" s="1">
        <v>0</v>
      </c>
      <c r="F103" s="1">
        <v>19909.33944</v>
      </c>
      <c r="G103" s="1">
        <v>9922.1118100000022</v>
      </c>
      <c r="H103" s="1">
        <v>88.501940000000417</v>
      </c>
      <c r="I103" s="1">
        <v>0</v>
      </c>
      <c r="J103" s="1">
        <v>0</v>
      </c>
      <c r="K103" s="1">
        <v>5493.9693600000001</v>
      </c>
      <c r="L103" s="1">
        <v>11098.69781</v>
      </c>
      <c r="M103" s="1">
        <v>50322.850209999997</v>
      </c>
      <c r="N103" s="1">
        <v>64026.605149999996</v>
      </c>
      <c r="O103" s="1">
        <v>65467.244060000005</v>
      </c>
      <c r="P103" s="1">
        <v>73828.727809999997</v>
      </c>
      <c r="Q103" s="1">
        <v>93159.464289999989</v>
      </c>
      <c r="R103" s="1">
        <v>72416.093890000004</v>
      </c>
      <c r="S103" s="1">
        <v>66278.002529999998</v>
      </c>
      <c r="T103" s="1">
        <v>16886.47091</v>
      </c>
      <c r="U103" s="1">
        <v>4558.70633</v>
      </c>
      <c r="V103" s="1">
        <v>66229.476490000001</v>
      </c>
      <c r="W103" s="1">
        <v>4266.6981599999999</v>
      </c>
      <c r="X103" s="1">
        <v>4117</v>
      </c>
      <c r="Y103" s="1">
        <v>0</v>
      </c>
      <c r="Z103" s="1">
        <v>0</v>
      </c>
      <c r="AA103" s="1">
        <v>0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>
      <c r="B104" t="s">
        <v>87</v>
      </c>
      <c r="D104" s="1">
        <v>204520.62959</v>
      </c>
      <c r="E104" s="1">
        <v>209460.73000999997</v>
      </c>
      <c r="F104" s="1">
        <v>217527.56426999997</v>
      </c>
      <c r="G104" s="1">
        <v>223237.86492999998</v>
      </c>
      <c r="H104" s="1">
        <v>232643.27557000006</v>
      </c>
      <c r="I104" s="1">
        <v>238760.80622999999</v>
      </c>
      <c r="J104" s="1">
        <v>245479.93866999997</v>
      </c>
      <c r="K104" s="1">
        <v>252055.60634</v>
      </c>
      <c r="L104" s="1">
        <v>256728.36252</v>
      </c>
      <c r="M104" s="1">
        <v>260714.95714000001</v>
      </c>
      <c r="N104" s="1">
        <v>266283.44071</v>
      </c>
      <c r="O104" s="1">
        <v>269269.61834000004</v>
      </c>
      <c r="P104" s="1">
        <v>272624.73071999999</v>
      </c>
      <c r="Q104" s="1">
        <v>275080.26996000001</v>
      </c>
      <c r="R104" s="1">
        <v>278246.05802</v>
      </c>
      <c r="S104" s="1">
        <v>281342.84353000001</v>
      </c>
      <c r="T104" s="1">
        <v>285270.62385999999</v>
      </c>
      <c r="U104" s="1">
        <v>288108.15688999998</v>
      </c>
      <c r="V104" s="1">
        <v>281372.74693999998</v>
      </c>
      <c r="W104" s="1">
        <v>283440.17023000005</v>
      </c>
      <c r="X104" s="1">
        <v>283250</v>
      </c>
      <c r="Y104" s="1">
        <v>101410</v>
      </c>
      <c r="Z104" s="1">
        <v>100653</v>
      </c>
      <c r="AA104" s="1">
        <v>100600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>
      <c r="A105" s="633"/>
      <c r="B105" s="633" t="s">
        <v>25</v>
      </c>
      <c r="C105" s="647"/>
      <c r="D105" s="648">
        <v>366950.82140000002</v>
      </c>
      <c r="E105" s="648">
        <v>395036.53216</v>
      </c>
      <c r="F105" s="648">
        <v>466748.00420000002</v>
      </c>
      <c r="G105" s="648">
        <v>448545.67464000004</v>
      </c>
      <c r="H105" s="648">
        <v>268632.65051999997</v>
      </c>
      <c r="I105" s="648">
        <v>232184.34964999996</v>
      </c>
      <c r="J105" s="648">
        <v>266301.53840999998</v>
      </c>
      <c r="K105" s="648">
        <v>340008.47112</v>
      </c>
      <c r="L105" s="648">
        <v>292845.97316000005</v>
      </c>
      <c r="M105" s="648">
        <v>393268.61555000005</v>
      </c>
      <c r="N105" s="648">
        <v>470161.83765999996</v>
      </c>
      <c r="O105" s="648">
        <v>463451.77228999999</v>
      </c>
      <c r="P105" s="648">
        <v>504495.7388600001</v>
      </c>
      <c r="Q105" s="648">
        <v>435572.82718999992</v>
      </c>
      <c r="R105" s="648">
        <v>434499.27848000004</v>
      </c>
      <c r="S105" s="648">
        <v>424089.63314999995</v>
      </c>
      <c r="T105" s="648">
        <v>301131.57621000003</v>
      </c>
      <c r="U105" s="648">
        <v>308972.44989999995</v>
      </c>
      <c r="V105" s="634">
        <v>416244.51026000001</v>
      </c>
      <c r="W105" s="634">
        <v>244840.09069000001</v>
      </c>
      <c r="X105" s="634">
        <v>191350</v>
      </c>
      <c r="Y105" s="634">
        <v>212291</v>
      </c>
      <c r="Z105" s="634">
        <v>249244</v>
      </c>
      <c r="AA105" s="634">
        <v>267147</v>
      </c>
      <c r="AB105" s="634"/>
      <c r="AC105" s="634"/>
      <c r="AD105" s="634"/>
      <c r="AE105" s="634"/>
      <c r="AF105" s="634"/>
      <c r="AG105" s="634"/>
      <c r="AH105" s="634"/>
      <c r="AI105" s="634"/>
      <c r="AJ105" s="634"/>
      <c r="AK105" s="634"/>
      <c r="AL105" s="634"/>
      <c r="AM105" s="634"/>
      <c r="AN105" s="634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ht="25.35" customHeight="1">
      <c r="A108" s="646"/>
      <c r="B108" s="646" t="s">
        <v>169</v>
      </c>
      <c r="C108" s="643"/>
      <c r="D108" s="643">
        <v>42825</v>
      </c>
      <c r="E108" s="643">
        <v>42916</v>
      </c>
      <c r="F108" s="643">
        <v>43008</v>
      </c>
      <c r="G108" s="643">
        <v>43100</v>
      </c>
      <c r="H108" s="643">
        <v>43190</v>
      </c>
      <c r="I108" s="643">
        <v>43281</v>
      </c>
      <c r="J108" s="643">
        <v>43373</v>
      </c>
      <c r="K108" s="643">
        <v>43465</v>
      </c>
      <c r="L108" s="643">
        <v>43555</v>
      </c>
      <c r="M108" s="643">
        <v>43646</v>
      </c>
      <c r="N108" s="643">
        <v>43738</v>
      </c>
      <c r="O108" s="643">
        <v>43830</v>
      </c>
      <c r="P108" s="643">
        <v>43921</v>
      </c>
      <c r="Q108" s="643">
        <v>44012</v>
      </c>
      <c r="R108" s="643">
        <v>44104</v>
      </c>
      <c r="S108" s="643">
        <v>44196</v>
      </c>
      <c r="T108" s="643">
        <v>44286</v>
      </c>
      <c r="U108" s="643">
        <v>44377</v>
      </c>
      <c r="V108" s="643">
        <v>44440</v>
      </c>
      <c r="W108" s="643">
        <v>44531</v>
      </c>
      <c r="X108" s="643">
        <v>44621</v>
      </c>
      <c r="Y108" s="643">
        <v>44713</v>
      </c>
      <c r="Z108" s="643">
        <v>44805</v>
      </c>
      <c r="AA108" s="643">
        <v>44896</v>
      </c>
      <c r="AB108" s="643">
        <v>44986</v>
      </c>
      <c r="AC108" s="643">
        <v>45078</v>
      </c>
      <c r="AD108" s="643">
        <v>45170</v>
      </c>
      <c r="AE108" s="643">
        <v>45261</v>
      </c>
      <c r="AF108" s="643">
        <v>45352</v>
      </c>
      <c r="AG108" s="643">
        <v>45444</v>
      </c>
      <c r="AH108" s="643">
        <v>45536</v>
      </c>
      <c r="AI108" s="643">
        <v>45627</v>
      </c>
      <c r="AJ108" s="643">
        <v>45717</v>
      </c>
      <c r="AK108" s="643">
        <v>45809</v>
      </c>
      <c r="AL108" s="643">
        <v>45901</v>
      </c>
      <c r="AM108" s="644">
        <v>45992</v>
      </c>
      <c r="AN108" s="751">
        <v>46082</v>
      </c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>
      <c r="A109" s="633"/>
      <c r="B109" s="633" t="s">
        <v>5</v>
      </c>
      <c r="C109" s="647"/>
      <c r="D109" s="648">
        <v>455442.22416999994</v>
      </c>
      <c r="E109" s="648">
        <v>416337.5090699998</v>
      </c>
      <c r="F109" s="648">
        <v>411060.73151999986</v>
      </c>
      <c r="G109" s="648">
        <v>417674.92334999994</v>
      </c>
      <c r="H109" s="648">
        <v>434924.1019400002</v>
      </c>
      <c r="I109" s="648">
        <v>388566.40007000015</v>
      </c>
      <c r="J109" s="648">
        <v>374606.09103000001</v>
      </c>
      <c r="K109" s="648">
        <v>399020.56638999999</v>
      </c>
      <c r="L109" s="648">
        <v>428584.75550999993</v>
      </c>
      <c r="M109" s="648">
        <v>396930.07146999997</v>
      </c>
      <c r="N109" s="648">
        <v>396207.20584000001</v>
      </c>
      <c r="O109" s="648">
        <v>424272.13640999998</v>
      </c>
      <c r="P109" s="648">
        <v>462832.13241000002</v>
      </c>
      <c r="Q109" s="648">
        <v>503385.60440999985</v>
      </c>
      <c r="R109" s="648">
        <v>514234.72464999999</v>
      </c>
      <c r="S109" s="648">
        <v>551829.79637</v>
      </c>
      <c r="T109" s="648">
        <v>581935.53200999997</v>
      </c>
      <c r="U109" s="648">
        <v>601789.26061</v>
      </c>
      <c r="V109" s="634">
        <v>489292.4466199993</v>
      </c>
      <c r="W109" s="634">
        <v>518649.93979000003</v>
      </c>
      <c r="X109" s="634">
        <v>535047</v>
      </c>
      <c r="Y109" s="634">
        <v>403769</v>
      </c>
      <c r="Z109" s="634">
        <v>435721</v>
      </c>
      <c r="AA109" s="634">
        <v>498083</v>
      </c>
      <c r="AB109" s="634"/>
      <c r="AC109" s="634"/>
      <c r="AD109" s="634"/>
      <c r="AE109" s="634"/>
      <c r="AF109" s="634"/>
      <c r="AG109" s="634"/>
      <c r="AH109" s="634"/>
      <c r="AI109" s="634"/>
      <c r="AJ109" s="634"/>
      <c r="AK109" s="634"/>
      <c r="AL109" s="634"/>
      <c r="AM109" s="634"/>
      <c r="AN109" s="634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>
      <c r="A110" s="21"/>
      <c r="B110" s="21" t="s">
        <v>40</v>
      </c>
      <c r="C110" s="21"/>
      <c r="D110" s="219">
        <v>439016.77719999995</v>
      </c>
      <c r="E110" s="219">
        <v>362593.05127999984</v>
      </c>
      <c r="F110" s="219">
        <v>309193.85655999987</v>
      </c>
      <c r="G110" s="219">
        <v>315939.91678999999</v>
      </c>
      <c r="H110" s="219">
        <v>412892.22367000021</v>
      </c>
      <c r="I110" s="219">
        <v>363103.84181000019</v>
      </c>
      <c r="J110" s="219">
        <v>343362.09487999999</v>
      </c>
      <c r="K110" s="219">
        <v>371286.30238000001</v>
      </c>
      <c r="L110" s="219">
        <v>330574.70505999995</v>
      </c>
      <c r="M110" s="219">
        <v>250224.51031000001</v>
      </c>
      <c r="N110" s="219">
        <v>245414.40252</v>
      </c>
      <c r="O110" s="219">
        <v>269781.98240999994</v>
      </c>
      <c r="P110" s="219">
        <v>310266.20906000002</v>
      </c>
      <c r="Q110" s="219">
        <v>446469.7326799999</v>
      </c>
      <c r="R110" s="219">
        <v>433073.98176</v>
      </c>
      <c r="S110" s="219">
        <v>467742.51389999996</v>
      </c>
      <c r="T110" s="219">
        <v>446940.18183000002</v>
      </c>
      <c r="U110" s="219">
        <v>465654.16735</v>
      </c>
      <c r="V110" s="219">
        <v>353292.40114999929</v>
      </c>
      <c r="W110" s="219">
        <v>361827.67719000007</v>
      </c>
      <c r="X110" s="219">
        <v>378393</v>
      </c>
      <c r="Y110" s="219">
        <v>103921</v>
      </c>
      <c r="Z110" s="219">
        <v>191191</v>
      </c>
      <c r="AA110" s="219">
        <v>138293</v>
      </c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>
      <c r="A111" s="243"/>
      <c r="B111" s="243" t="s">
        <v>128</v>
      </c>
      <c r="D111" s="1">
        <v>3154.4762399999845</v>
      </c>
      <c r="E111" s="1">
        <v>3274.834600000006</v>
      </c>
      <c r="F111" s="1">
        <v>3733.6110500000214</v>
      </c>
      <c r="G111" s="1">
        <v>285.24864000002736</v>
      </c>
      <c r="H111" s="1">
        <v>389.43152000022565</v>
      </c>
      <c r="I111" s="1">
        <v>61.431000000225062</v>
      </c>
      <c r="J111" s="1">
        <v>78.510949999999866</v>
      </c>
      <c r="K111" s="1">
        <v>286.43700000000007</v>
      </c>
      <c r="L111" s="1">
        <v>1154.45534</v>
      </c>
      <c r="M111" s="1">
        <v>118.56261000000011</v>
      </c>
      <c r="N111" s="1">
        <v>-1085.2645999999995</v>
      </c>
      <c r="O111" s="1">
        <v>435.85115000000013</v>
      </c>
      <c r="P111" s="1">
        <v>314.3044900000001</v>
      </c>
      <c r="Q111" s="1">
        <v>1074.1355899999996</v>
      </c>
      <c r="R111" s="1">
        <v>672.16980999999998</v>
      </c>
      <c r="S111" s="1">
        <v>947.32514999999989</v>
      </c>
      <c r="T111" s="1">
        <v>693.06013000000007</v>
      </c>
      <c r="U111" s="1">
        <v>875.51362999999981</v>
      </c>
      <c r="V111" s="1">
        <v>-7350.6820300006348</v>
      </c>
      <c r="W111" s="1">
        <v>303.76797000000005</v>
      </c>
      <c r="X111" s="1">
        <v>978</v>
      </c>
      <c r="Y111" s="1">
        <v>229</v>
      </c>
      <c r="Z111" s="1">
        <v>251</v>
      </c>
      <c r="AA111" s="1">
        <v>599</v>
      </c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>
      <c r="A112" s="243"/>
      <c r="B112" s="243" t="s">
        <v>129</v>
      </c>
      <c r="D112" s="1">
        <v>320570.75231999991</v>
      </c>
      <c r="E112" s="1">
        <v>250002.84795999993</v>
      </c>
      <c r="F112" s="1">
        <v>232098.71461999993</v>
      </c>
      <c r="G112" s="1">
        <v>233192.90318999992</v>
      </c>
      <c r="H112" s="1">
        <v>317870.69099999993</v>
      </c>
      <c r="I112" s="1">
        <v>256598.18434999994</v>
      </c>
      <c r="J112" s="1">
        <v>261539.90012000001</v>
      </c>
      <c r="K112" s="1">
        <v>279694.29407999996</v>
      </c>
      <c r="L112" s="1">
        <v>225065.50882999998</v>
      </c>
      <c r="M112" s="1">
        <v>138770.75562000001</v>
      </c>
      <c r="N112" s="1">
        <v>163876.79499000002</v>
      </c>
      <c r="O112" s="1">
        <v>179625.77273</v>
      </c>
      <c r="P112" s="1">
        <v>211464.17594999998</v>
      </c>
      <c r="Q112" s="1">
        <v>332908.37908999989</v>
      </c>
      <c r="R112" s="1">
        <v>337732.19154000003</v>
      </c>
      <c r="S112" s="1">
        <v>360621.06213999999</v>
      </c>
      <c r="T112" s="1">
        <v>325625.75707000005</v>
      </c>
      <c r="U112" s="1">
        <v>334896.99866000004</v>
      </c>
      <c r="V112" s="1">
        <v>305477.12805999996</v>
      </c>
      <c r="W112" s="1">
        <v>350454.19256</v>
      </c>
      <c r="X112" s="1">
        <v>365420</v>
      </c>
      <c r="Y112" s="1">
        <v>71422</v>
      </c>
      <c r="Z112" s="1">
        <v>152883</v>
      </c>
      <c r="AA112" s="1">
        <v>91712</v>
      </c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>
      <c r="A113" s="243"/>
      <c r="B113" s="243" t="s">
        <v>130</v>
      </c>
      <c r="D113" s="1">
        <v>114263.21124</v>
      </c>
      <c r="E113" s="1">
        <v>108471.16868999999</v>
      </c>
      <c r="F113" s="1">
        <v>72877.192419999992</v>
      </c>
      <c r="G113" s="1">
        <v>81779.701360000006</v>
      </c>
      <c r="H113" s="1">
        <v>94034.403140000024</v>
      </c>
      <c r="I113" s="1">
        <v>105993.28910000002</v>
      </c>
      <c r="J113" s="1">
        <v>81289.309259999995</v>
      </c>
      <c r="K113" s="1">
        <v>90791.785870000007</v>
      </c>
      <c r="L113" s="1">
        <v>103895.44914999997</v>
      </c>
      <c r="M113" s="1">
        <v>110810.88024999997</v>
      </c>
      <c r="N113" s="1">
        <v>82071.044660000014</v>
      </c>
      <c r="O113" s="1">
        <v>88897.708909999987</v>
      </c>
      <c r="P113" s="1">
        <v>97490.722660000014</v>
      </c>
      <c r="Q113" s="1">
        <v>111374.13390999999</v>
      </c>
      <c r="R113" s="1">
        <v>94060.942009999999</v>
      </c>
      <c r="S113" s="1">
        <v>105478.29349</v>
      </c>
      <c r="T113" s="1">
        <v>120005.55954000002</v>
      </c>
      <c r="U113" s="1">
        <v>129182.60158000002</v>
      </c>
      <c r="V113" s="1">
        <v>54253.180100000041</v>
      </c>
      <c r="W113" s="1">
        <v>10909.815749999998</v>
      </c>
      <c r="X113" s="1">
        <v>11836</v>
      </c>
      <c r="Y113" s="1">
        <v>25572</v>
      </c>
      <c r="Z113" s="1">
        <v>29668</v>
      </c>
      <c r="AA113" s="1">
        <v>35714</v>
      </c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>
      <c r="A114" s="243"/>
      <c r="B114" s="243" t="s">
        <v>67</v>
      </c>
      <c r="D114" s="1">
        <v>1028.3373999999974</v>
      </c>
      <c r="E114" s="1">
        <v>844.20002999999735</v>
      </c>
      <c r="F114" s="1">
        <v>484.33846999999736</v>
      </c>
      <c r="G114" s="1">
        <v>682.06359999999756</v>
      </c>
      <c r="H114" s="1">
        <v>597.69801000000029</v>
      </c>
      <c r="I114" s="1">
        <v>450.93736000000024</v>
      </c>
      <c r="J114" s="1">
        <v>454.37455000000006</v>
      </c>
      <c r="K114" s="1">
        <v>513.78543000000002</v>
      </c>
      <c r="L114" s="1">
        <v>459.29174</v>
      </c>
      <c r="M114" s="1">
        <v>524.31182999999999</v>
      </c>
      <c r="N114" s="1">
        <v>551.82746999999995</v>
      </c>
      <c r="O114" s="1">
        <v>822.6496199999998</v>
      </c>
      <c r="P114" s="1">
        <v>997.00595999999996</v>
      </c>
      <c r="Q114" s="1">
        <v>1113.0840899999998</v>
      </c>
      <c r="R114" s="1">
        <v>608.6783999999999</v>
      </c>
      <c r="S114" s="1">
        <v>695.83311999999989</v>
      </c>
      <c r="T114" s="1">
        <v>615.80508999999984</v>
      </c>
      <c r="U114" s="1">
        <v>699.05348000000004</v>
      </c>
      <c r="V114" s="1">
        <v>912.77501999999822</v>
      </c>
      <c r="W114" s="1">
        <v>159.90091000000001</v>
      </c>
      <c r="X114" s="1">
        <v>159</v>
      </c>
      <c r="Y114" s="1">
        <v>163</v>
      </c>
      <c r="Z114" s="1">
        <v>168</v>
      </c>
      <c r="AA114" s="1">
        <v>82</v>
      </c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>
      <c r="A115" s="243"/>
      <c r="B115" s="243" t="s">
        <v>68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6535</v>
      </c>
      <c r="Z115" s="1">
        <v>8221</v>
      </c>
      <c r="AA115" s="1">
        <v>10186</v>
      </c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>
      <c r="A116" s="70"/>
      <c r="B116" s="70" t="s">
        <v>170</v>
      </c>
      <c r="C116" s="70"/>
      <c r="D116" s="258">
        <v>13681.488810000001</v>
      </c>
      <c r="E116" s="258">
        <v>50793.168449999997</v>
      </c>
      <c r="F116" s="258">
        <v>98736.668889999986</v>
      </c>
      <c r="G116" s="258">
        <v>98384.236250000002</v>
      </c>
      <c r="H116" s="258">
        <v>18743.576200000003</v>
      </c>
      <c r="I116" s="258">
        <v>22106.349080000004</v>
      </c>
      <c r="J116" s="258">
        <v>28071.863109999998</v>
      </c>
      <c r="K116" s="258">
        <v>24608.058230000002</v>
      </c>
      <c r="L116" s="258">
        <v>95065.724780000004</v>
      </c>
      <c r="M116" s="258">
        <v>143802.77769999998</v>
      </c>
      <c r="N116" s="258">
        <v>147863.39772000004</v>
      </c>
      <c r="O116" s="258">
        <v>151712.88926999999</v>
      </c>
      <c r="P116" s="258">
        <v>149907.79128999999</v>
      </c>
      <c r="Q116" s="258">
        <v>54352.006890000004</v>
      </c>
      <c r="R116" s="258">
        <v>77862.773360000007</v>
      </c>
      <c r="S116" s="258">
        <v>79826.366739999998</v>
      </c>
      <c r="T116" s="258">
        <v>130470.25829000001</v>
      </c>
      <c r="U116" s="258">
        <v>131927.34219</v>
      </c>
      <c r="V116" s="258">
        <v>131849.86320999998</v>
      </c>
      <c r="W116" s="258">
        <v>153263.60227</v>
      </c>
      <c r="X116" s="258">
        <v>153124</v>
      </c>
      <c r="Y116" s="258">
        <v>296602</v>
      </c>
      <c r="Z116" s="258">
        <v>241431</v>
      </c>
      <c r="AA116" s="258">
        <v>356803</v>
      </c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>
      <c r="A117" s="243"/>
      <c r="B117" s="243" t="s">
        <v>129</v>
      </c>
      <c r="D117" s="162">
        <v>5566.7108799999996</v>
      </c>
      <c r="E117" s="162">
        <v>43037.131369999996</v>
      </c>
      <c r="F117" s="162">
        <v>90888.64525999999</v>
      </c>
      <c r="G117" s="162">
        <v>91323.02098999999</v>
      </c>
      <c r="H117" s="162">
        <v>12657.41696</v>
      </c>
      <c r="I117" s="162">
        <v>15417.655650000002</v>
      </c>
      <c r="J117" s="162">
        <v>20281.74366</v>
      </c>
      <c r="K117" s="162">
        <v>17130.455300000001</v>
      </c>
      <c r="L117" s="162">
        <v>87736.225379999989</v>
      </c>
      <c r="M117" s="162">
        <v>135233.19975999999</v>
      </c>
      <c r="N117" s="162">
        <v>138333.06545000002</v>
      </c>
      <c r="O117" s="162">
        <v>140505.35255999997</v>
      </c>
      <c r="P117" s="162">
        <v>138562.98574999999</v>
      </c>
      <c r="Q117" s="162">
        <v>43335.881670000002</v>
      </c>
      <c r="R117" s="162">
        <v>66408.150869999998</v>
      </c>
      <c r="S117" s="162">
        <v>67459.34921</v>
      </c>
      <c r="T117" s="162">
        <v>116942.75871000001</v>
      </c>
      <c r="U117" s="162">
        <v>118294.75847</v>
      </c>
      <c r="V117" s="1">
        <v>66894.767370000001</v>
      </c>
      <c r="W117" s="1">
        <v>84760.503929999992</v>
      </c>
      <c r="X117" s="1">
        <v>85541</v>
      </c>
      <c r="Y117" s="1">
        <v>171253</v>
      </c>
      <c r="Z117" s="1">
        <v>89656</v>
      </c>
      <c r="AA117" s="1">
        <v>166178</v>
      </c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>
      <c r="A118" s="243"/>
      <c r="B118" s="243" t="s">
        <v>130</v>
      </c>
      <c r="D118" s="1">
        <v>8114.7779300000002</v>
      </c>
      <c r="E118" s="1">
        <v>7756.0370800000001</v>
      </c>
      <c r="F118" s="1">
        <v>7848.0236300000006</v>
      </c>
      <c r="G118" s="1">
        <v>7061.2152600000018</v>
      </c>
      <c r="H118" s="1">
        <v>6086.15924</v>
      </c>
      <c r="I118" s="1">
        <v>6688.6934299999994</v>
      </c>
      <c r="J118" s="1">
        <v>7790.1194500000011</v>
      </c>
      <c r="K118" s="1">
        <v>7477.6029300000018</v>
      </c>
      <c r="L118" s="1">
        <v>7329.4994000000006</v>
      </c>
      <c r="M118" s="1">
        <v>8569.577940000001</v>
      </c>
      <c r="N118" s="1">
        <v>9530.332269999999</v>
      </c>
      <c r="O118" s="1">
        <v>11207.53671</v>
      </c>
      <c r="P118" s="1">
        <v>11344.805540000001</v>
      </c>
      <c r="Q118" s="1">
        <v>11016.12522</v>
      </c>
      <c r="R118" s="1">
        <v>11454.62249</v>
      </c>
      <c r="S118" s="1">
        <v>12367.017530000003</v>
      </c>
      <c r="T118" s="1">
        <v>13527.499579999998</v>
      </c>
      <c r="U118" s="1">
        <v>13632.583720000001</v>
      </c>
      <c r="V118" s="1">
        <v>64955.095839999987</v>
      </c>
      <c r="W118" s="1">
        <v>68503.098340000011</v>
      </c>
      <c r="X118" s="1">
        <v>67583</v>
      </c>
      <c r="Y118" s="1">
        <v>69531</v>
      </c>
      <c r="Z118" s="1">
        <v>79407</v>
      </c>
      <c r="AA118" s="1">
        <v>106110</v>
      </c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>
      <c r="A119" s="243"/>
      <c r="B119" s="243" t="s">
        <v>68</v>
      </c>
      <c r="C119" s="51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>
        <v>0</v>
      </c>
      <c r="Y119" s="224">
        <v>55818</v>
      </c>
      <c r="Z119" s="224">
        <v>72368</v>
      </c>
      <c r="AA119" s="224">
        <v>84515</v>
      </c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>
      <c r="A120" s="71"/>
      <c r="B120" s="71" t="s">
        <v>171</v>
      </c>
      <c r="C120" s="71"/>
      <c r="D120" s="259">
        <v>2743.9581599999997</v>
      </c>
      <c r="E120" s="259">
        <v>2951.2893400000003</v>
      </c>
      <c r="F120" s="259">
        <v>3130.2060700000002</v>
      </c>
      <c r="G120" s="259">
        <v>3350.7703099999994</v>
      </c>
      <c r="H120" s="259">
        <v>3288.3020700000006</v>
      </c>
      <c r="I120" s="259">
        <v>3356.2091799999998</v>
      </c>
      <c r="J120" s="259">
        <v>3172.1330400000002</v>
      </c>
      <c r="K120" s="259">
        <v>3126.2057799999998</v>
      </c>
      <c r="L120" s="259">
        <v>2944.3256699999993</v>
      </c>
      <c r="M120" s="259">
        <v>2902.7834600000001</v>
      </c>
      <c r="N120" s="259">
        <v>2929.4056</v>
      </c>
      <c r="O120" s="259">
        <v>2777.2647299999994</v>
      </c>
      <c r="P120" s="259">
        <v>2658.1320600000004</v>
      </c>
      <c r="Q120" s="259">
        <v>2563.8648400000006</v>
      </c>
      <c r="R120" s="259">
        <v>3297.9695300000003</v>
      </c>
      <c r="S120" s="259">
        <v>4260.9157299999997</v>
      </c>
      <c r="T120" s="259">
        <v>4525.0918899999988</v>
      </c>
      <c r="U120" s="259">
        <v>4207.7510699999993</v>
      </c>
      <c r="V120" s="259">
        <v>4150.1822600000005</v>
      </c>
      <c r="W120" s="259">
        <v>3558.6603299999988</v>
      </c>
      <c r="X120" s="259">
        <v>3530</v>
      </c>
      <c r="Y120" s="259">
        <v>3246</v>
      </c>
      <c r="Z120" s="259">
        <v>3099</v>
      </c>
      <c r="AA120" s="259">
        <v>2987</v>
      </c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>
      <c r="A121" s="243"/>
      <c r="B121" s="243" t="s">
        <v>76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>
      <c r="A122" s="243"/>
      <c r="B122" s="243" t="s">
        <v>172</v>
      </c>
      <c r="D122" s="1">
        <v>55.906779999999969</v>
      </c>
      <c r="E122" s="1">
        <v>51.494489999999963</v>
      </c>
      <c r="F122" s="1">
        <v>52.599169999999987</v>
      </c>
      <c r="G122" s="1">
        <v>38.257759999999934</v>
      </c>
      <c r="H122" s="1">
        <v>33.067350000000033</v>
      </c>
      <c r="I122" s="1">
        <v>159.58696000000003</v>
      </c>
      <c r="J122" s="1">
        <v>156.14286999999999</v>
      </c>
      <c r="K122" s="1">
        <v>290.84765000000004</v>
      </c>
      <c r="L122" s="1">
        <v>289.59957000000003</v>
      </c>
      <c r="M122" s="1">
        <v>283.10851000000002</v>
      </c>
      <c r="N122" s="1">
        <v>268.54755999999998</v>
      </c>
      <c r="O122" s="1">
        <v>263.78424000000001</v>
      </c>
      <c r="P122" s="1">
        <v>247.24676000000002</v>
      </c>
      <c r="Q122" s="1">
        <v>230.70928000000004</v>
      </c>
      <c r="R122" s="1">
        <v>214.17183000000003</v>
      </c>
      <c r="S122" s="1">
        <v>275.61267000000004</v>
      </c>
      <c r="T122" s="1">
        <v>199.46561</v>
      </c>
      <c r="U122" s="1">
        <v>185.64048</v>
      </c>
      <c r="V122" s="1">
        <v>271.00431000000003</v>
      </c>
      <c r="W122" s="1">
        <v>157.99023</v>
      </c>
      <c r="X122" s="1">
        <v>175</v>
      </c>
      <c r="Y122" s="1">
        <v>161</v>
      </c>
      <c r="Z122" s="1">
        <v>145</v>
      </c>
      <c r="AA122" s="1">
        <v>155</v>
      </c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>
      <c r="A123" s="243"/>
      <c r="B123" s="243" t="s">
        <v>78</v>
      </c>
      <c r="D123" s="1">
        <v>2688.0513799999999</v>
      </c>
      <c r="E123" s="1">
        <v>2899.7948500000007</v>
      </c>
      <c r="F123" s="1">
        <v>3077.6069000000002</v>
      </c>
      <c r="G123" s="1">
        <v>3312.5125499999999</v>
      </c>
      <c r="H123" s="1">
        <v>3255.2347200000008</v>
      </c>
      <c r="I123" s="1">
        <v>3196.6222199999997</v>
      </c>
      <c r="J123" s="1">
        <v>3015.99017</v>
      </c>
      <c r="K123" s="1">
        <v>2835.3581300000001</v>
      </c>
      <c r="L123" s="1">
        <v>2654.7260999999994</v>
      </c>
      <c r="M123" s="1">
        <v>2619.6749500000001</v>
      </c>
      <c r="N123" s="1">
        <v>2660.8580400000001</v>
      </c>
      <c r="O123" s="1">
        <v>2513.4804899999999</v>
      </c>
      <c r="P123" s="1">
        <v>2410.8853000000004</v>
      </c>
      <c r="Q123" s="1">
        <v>2333.1555600000006</v>
      </c>
      <c r="R123" s="1">
        <v>3083.7977000000001</v>
      </c>
      <c r="S123" s="1">
        <v>3985.3030599999997</v>
      </c>
      <c r="T123" s="1">
        <v>4325.6262799999986</v>
      </c>
      <c r="U123" s="1">
        <v>4022.1105899999989</v>
      </c>
      <c r="V123" s="1">
        <v>3879.1779500000002</v>
      </c>
      <c r="W123" s="1">
        <v>3400.6700999999989</v>
      </c>
      <c r="X123" s="1">
        <v>3355</v>
      </c>
      <c r="Y123" s="1">
        <v>3085</v>
      </c>
      <c r="Z123" s="1">
        <v>2954</v>
      </c>
      <c r="AA123" s="1">
        <v>2832</v>
      </c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>
      <c r="A124" s="633"/>
      <c r="B124" s="633" t="s">
        <v>17</v>
      </c>
      <c r="C124" s="647"/>
      <c r="D124" s="648">
        <v>271511.96399999998</v>
      </c>
      <c r="E124" s="648">
        <v>224221.10795000003</v>
      </c>
      <c r="F124" s="648">
        <v>198737.65288000001</v>
      </c>
      <c r="G124" s="648">
        <v>199255.86257000006</v>
      </c>
      <c r="H124" s="648">
        <v>245965.64418999976</v>
      </c>
      <c r="I124" s="648">
        <v>192077.57959999982</v>
      </c>
      <c r="J124" s="648">
        <v>163342.91079999995</v>
      </c>
      <c r="K124" s="648">
        <v>177372.47697000002</v>
      </c>
      <c r="L124" s="648">
        <v>235651.79256000012</v>
      </c>
      <c r="M124" s="648">
        <v>185887.1873100001</v>
      </c>
      <c r="N124" s="648">
        <v>180035.59034000005</v>
      </c>
      <c r="O124" s="648">
        <v>211094.78329000008</v>
      </c>
      <c r="P124" s="648">
        <v>228840.35242999997</v>
      </c>
      <c r="Q124" s="648">
        <v>266928.61209000013</v>
      </c>
      <c r="R124" s="648">
        <v>258469.8202600001</v>
      </c>
      <c r="S124" s="648">
        <v>273371.98158000002</v>
      </c>
      <c r="T124" s="648">
        <v>357482.89718999993</v>
      </c>
      <c r="U124" s="648">
        <v>362688.88987000001</v>
      </c>
      <c r="V124" s="634">
        <v>208307.15677000006</v>
      </c>
      <c r="W124" s="634">
        <v>231708.41769999993</v>
      </c>
      <c r="X124" s="634">
        <v>318904</v>
      </c>
      <c r="Y124" s="634">
        <v>151024</v>
      </c>
      <c r="Z124" s="634">
        <v>173683</v>
      </c>
      <c r="AA124" s="634">
        <v>261294</v>
      </c>
      <c r="AB124" s="634"/>
      <c r="AC124" s="634"/>
      <c r="AD124" s="634"/>
      <c r="AE124" s="634"/>
      <c r="AF124" s="634"/>
      <c r="AG124" s="634"/>
      <c r="AH124" s="634"/>
      <c r="AI124" s="634"/>
      <c r="AJ124" s="634"/>
      <c r="AK124" s="634"/>
      <c r="AL124" s="634"/>
      <c r="AM124" s="634"/>
      <c r="AN124" s="634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>
      <c r="A125" s="243"/>
      <c r="B125" s="243" t="s">
        <v>173</v>
      </c>
      <c r="D125" s="1">
        <v>261085.29083999997</v>
      </c>
      <c r="E125" s="1">
        <v>216552.24604000003</v>
      </c>
      <c r="F125" s="1">
        <v>190686.07024</v>
      </c>
      <c r="G125" s="1">
        <v>192046.57069000002</v>
      </c>
      <c r="H125" s="1">
        <v>239942.00952999975</v>
      </c>
      <c r="I125" s="1">
        <v>186658.82768999983</v>
      </c>
      <c r="J125" s="1">
        <v>158394.65422999996</v>
      </c>
      <c r="K125" s="1">
        <v>172303.12798000002</v>
      </c>
      <c r="L125" s="1">
        <v>230418.25706000012</v>
      </c>
      <c r="M125" s="1">
        <v>179075.7140200001</v>
      </c>
      <c r="N125" s="1">
        <v>173335.07435000007</v>
      </c>
      <c r="O125" s="1">
        <v>204065.30917000008</v>
      </c>
      <c r="P125" s="1">
        <v>221289.74558999998</v>
      </c>
      <c r="Q125" s="1">
        <v>259158.96557000012</v>
      </c>
      <c r="R125" s="1">
        <v>251473.81135000009</v>
      </c>
      <c r="S125" s="1">
        <v>266558.49940000003</v>
      </c>
      <c r="T125" s="1">
        <v>352189.80678999994</v>
      </c>
      <c r="U125" s="1">
        <v>357901.48713000002</v>
      </c>
      <c r="V125" s="1">
        <v>201365.9007400001</v>
      </c>
      <c r="W125" s="1">
        <v>225495.64837999994</v>
      </c>
      <c r="X125" s="1">
        <v>312686</v>
      </c>
      <c r="Y125" s="1">
        <v>94463</v>
      </c>
      <c r="Z125" s="1">
        <v>97161</v>
      </c>
      <c r="AA125" s="1">
        <v>159773</v>
      </c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>
      <c r="A126" s="243"/>
      <c r="B126" s="243" t="s">
        <v>174</v>
      </c>
      <c r="D126" s="1">
        <v>10426.673160000017</v>
      </c>
      <c r="E126" s="1">
        <v>7668.8619100000142</v>
      </c>
      <c r="F126" s="1">
        <v>8051.5826400000115</v>
      </c>
      <c r="G126" s="1">
        <v>7209.2918800000343</v>
      </c>
      <c r="H126" s="1">
        <v>6023.634660000007</v>
      </c>
      <c r="I126" s="1">
        <v>5418.7519099999981</v>
      </c>
      <c r="J126" s="1">
        <v>4948.2565699999996</v>
      </c>
      <c r="K126" s="1">
        <v>5069.3489899999986</v>
      </c>
      <c r="L126" s="1">
        <v>5233.5355</v>
      </c>
      <c r="M126" s="1">
        <v>6811.4732899999999</v>
      </c>
      <c r="N126" s="1">
        <v>6700.5159899999999</v>
      </c>
      <c r="O126" s="1">
        <v>7029.4741199999999</v>
      </c>
      <c r="P126" s="1">
        <v>7550.6068400000004</v>
      </c>
      <c r="Q126" s="1">
        <v>7769.6465199999993</v>
      </c>
      <c r="R126" s="1">
        <v>6996.0089100000005</v>
      </c>
      <c r="S126" s="1">
        <v>6813.48218</v>
      </c>
      <c r="T126" s="1">
        <v>5293.0904</v>
      </c>
      <c r="U126" s="1">
        <v>4787.4027400000004</v>
      </c>
      <c r="V126" s="1">
        <v>6941.2560299999732</v>
      </c>
      <c r="W126" s="1">
        <v>6212.7693200000003</v>
      </c>
      <c r="X126" s="1">
        <v>6218</v>
      </c>
      <c r="Y126" s="1">
        <v>56561</v>
      </c>
      <c r="Z126" s="1">
        <v>76522</v>
      </c>
      <c r="AA126" s="1">
        <v>101521</v>
      </c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>
      <c r="A127" s="633"/>
      <c r="B127" s="633" t="s">
        <v>25</v>
      </c>
      <c r="C127" s="647"/>
      <c r="D127" s="648">
        <v>183930.26017000005</v>
      </c>
      <c r="E127" s="648">
        <v>192116.40112000011</v>
      </c>
      <c r="F127" s="648">
        <v>212323.07864000002</v>
      </c>
      <c r="G127" s="648">
        <v>218419.0607800002</v>
      </c>
      <c r="H127" s="648">
        <v>188958.45775000009</v>
      </c>
      <c r="I127" s="648">
        <v>196488.82047000004</v>
      </c>
      <c r="J127" s="648">
        <v>211263.18023000009</v>
      </c>
      <c r="K127" s="648">
        <v>221648.08941999997</v>
      </c>
      <c r="L127" s="648">
        <v>192932.96295000007</v>
      </c>
      <c r="M127" s="648">
        <v>211042.88416000007</v>
      </c>
      <c r="N127" s="648">
        <v>216171.61550000007</v>
      </c>
      <c r="O127" s="648">
        <v>213177.3531200001</v>
      </c>
      <c r="P127" s="648">
        <v>233991.78047000011</v>
      </c>
      <c r="Q127" s="648">
        <v>236456.99281000005</v>
      </c>
      <c r="R127" s="648">
        <v>255764.90488000005</v>
      </c>
      <c r="S127" s="648">
        <v>278457.81527999998</v>
      </c>
      <c r="T127" s="648">
        <v>224452.63531000007</v>
      </c>
      <c r="U127" s="648">
        <v>239100.37123000008</v>
      </c>
      <c r="V127" s="634">
        <v>280985.29034000007</v>
      </c>
      <c r="W127" s="634">
        <v>286941.52208999998</v>
      </c>
      <c r="X127" s="634">
        <v>216143</v>
      </c>
      <c r="Y127" s="634">
        <v>252745</v>
      </c>
      <c r="Z127" s="634">
        <v>262038</v>
      </c>
      <c r="AA127" s="634">
        <v>236789</v>
      </c>
      <c r="AB127" s="634"/>
      <c r="AC127" s="634"/>
      <c r="AD127" s="634"/>
      <c r="AE127" s="634"/>
      <c r="AF127" s="634"/>
      <c r="AG127" s="634"/>
      <c r="AH127" s="634"/>
      <c r="AI127" s="634"/>
      <c r="AJ127" s="634"/>
      <c r="AK127" s="634"/>
      <c r="AL127" s="634"/>
      <c r="AM127" s="634"/>
      <c r="AN127" s="634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5:5">
      <c r="E129" s="65"/>
    </row>
  </sheetData>
  <conditionalFormatting sqref="AO6:AQ16 AP17:AQ17 AO18:AQ127">
    <cfRule type="cellIs" dxfId="169" priority="1" operator="lessThan">
      <formula>-1</formula>
    </cfRule>
    <cfRule type="cellIs" dxfId="168" priority="2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3CB0-1AD1-49B1-A666-ADDAB5F61308}">
  <dimension ref="A1:AM23"/>
  <sheetViews>
    <sheetView showGridLines="0" showRowColHeaders="0" zoomScale="75" zoomScaleNormal="75" workbookViewId="0">
      <pane xSplit="1" topLeftCell="O1" activePane="topRight" state="frozen"/>
      <selection activeCell="M8" sqref="M8"/>
      <selection pane="topRight"/>
    </sheetView>
  </sheetViews>
  <sheetFormatPr defaultRowHeight="15"/>
  <cols>
    <col min="1" max="1" width="70.7109375" customWidth="1"/>
    <col min="2" max="2" width="1.5703125" customWidth="1"/>
    <col min="3" max="3" width="7.140625" bestFit="1" customWidth="1"/>
    <col min="4" max="4" width="10.42578125" customWidth="1"/>
    <col min="5" max="5" width="13.5703125" customWidth="1"/>
    <col min="6" max="6" width="13.7109375" bestFit="1" customWidth="1"/>
    <col min="7" max="19" width="13.5703125" customWidth="1"/>
  </cols>
  <sheetData>
    <row r="1" spans="1:39" ht="15" customHeight="1">
      <c r="A1" s="641"/>
      <c r="B1" s="641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31"/>
      <c r="S1" s="630"/>
    </row>
    <row r="2" spans="1:39" ht="15" customHeight="1">
      <c r="A2" s="641"/>
      <c r="B2" s="64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32"/>
      <c r="S2" s="630"/>
    </row>
    <row r="3" spans="1:39" ht="50.1" customHeight="1">
      <c r="A3" s="795" t="s">
        <v>175</v>
      </c>
      <c r="B3" s="635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31"/>
      <c r="S3" s="630"/>
    </row>
    <row r="4" spans="1:39" ht="10.35" customHeight="1"/>
    <row r="5" spans="1:39" ht="25.35" customHeight="1">
      <c r="A5" s="637" t="s">
        <v>176</v>
      </c>
      <c r="B5" s="626"/>
      <c r="C5" s="643">
        <v>44621</v>
      </c>
      <c r="D5" s="643">
        <v>44713</v>
      </c>
      <c r="E5" s="643">
        <v>44805</v>
      </c>
      <c r="F5" s="643">
        <v>44896</v>
      </c>
      <c r="G5" s="643">
        <v>44986</v>
      </c>
      <c r="H5" s="643">
        <v>45078</v>
      </c>
      <c r="I5" s="643">
        <v>45170</v>
      </c>
      <c r="J5" s="643">
        <v>45261</v>
      </c>
      <c r="K5" s="643">
        <v>45352</v>
      </c>
      <c r="L5" s="643">
        <v>45444</v>
      </c>
      <c r="M5" s="643">
        <v>45536</v>
      </c>
      <c r="N5" s="643">
        <v>45627</v>
      </c>
      <c r="O5" s="643">
        <v>45717</v>
      </c>
      <c r="P5" s="643">
        <v>45809</v>
      </c>
      <c r="Q5" s="643">
        <v>45901</v>
      </c>
      <c r="R5" s="748">
        <v>45992</v>
      </c>
      <c r="S5" s="749">
        <v>46082</v>
      </c>
    </row>
    <row r="6" spans="1:39" ht="20.100000000000001" customHeight="1">
      <c r="A6" s="633" t="s">
        <v>5</v>
      </c>
      <c r="B6" s="633"/>
      <c r="C6" s="647"/>
      <c r="D6" s="634"/>
      <c r="E6" s="634"/>
      <c r="F6" s="634">
        <v>9141839</v>
      </c>
      <c r="G6" s="634">
        <v>9445688</v>
      </c>
      <c r="H6" s="634">
        <v>9564173</v>
      </c>
      <c r="I6" s="634">
        <v>10415965</v>
      </c>
      <c r="J6" s="634">
        <v>10945274</v>
      </c>
      <c r="K6" s="634">
        <v>10855046.969559601</v>
      </c>
      <c r="L6" s="634">
        <v>10530314.8279268</v>
      </c>
      <c r="M6" s="634">
        <v>10960982.5308687</v>
      </c>
      <c r="N6" s="634">
        <v>10272532</v>
      </c>
      <c r="O6" s="634">
        <f>SUM(O7:O15)</f>
        <v>10802385.885695102</v>
      </c>
      <c r="P6" s="634">
        <f>SUM(P7:P15)</f>
        <v>11021557.482144101</v>
      </c>
      <c r="Q6" s="634">
        <f>SUM(Q7:Q15)</f>
        <v>11526575.188414199</v>
      </c>
      <c r="R6" s="634">
        <f>SUM(R7:R15)</f>
        <v>11462736.4131431</v>
      </c>
      <c r="S6" s="634">
        <f>SUM(S7:S15)</f>
        <v>10945396.643572871</v>
      </c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>
      <c r="A7" s="11" t="s">
        <v>7</v>
      </c>
      <c r="B7" s="66"/>
      <c r="C7" s="1"/>
      <c r="D7" s="1"/>
      <c r="E7" s="1"/>
      <c r="F7" s="1">
        <v>16878</v>
      </c>
      <c r="G7" s="1">
        <v>10273</v>
      </c>
      <c r="H7" s="1">
        <v>11584</v>
      </c>
      <c r="I7" s="1">
        <v>13033</v>
      </c>
      <c r="J7" s="1">
        <v>12020</v>
      </c>
      <c r="K7" s="1">
        <v>10083.47271</v>
      </c>
      <c r="L7" s="1">
        <v>12864.178139999985</v>
      </c>
      <c r="M7" s="1">
        <v>11742.397890000033</v>
      </c>
      <c r="N7" s="1">
        <v>10051</v>
      </c>
      <c r="O7" s="1">
        <v>9510.9715700000088</v>
      </c>
      <c r="P7" s="1">
        <v>7130.0628399999996</v>
      </c>
      <c r="Q7" s="1">
        <v>637348.0629299999</v>
      </c>
      <c r="R7" s="1">
        <v>660629.07084000006</v>
      </c>
      <c r="S7" s="1">
        <v>469600.92563000001</v>
      </c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>
      <c r="A8" s="11" t="s">
        <v>61</v>
      </c>
      <c r="B8" s="66"/>
      <c r="C8" s="1"/>
      <c r="D8" s="1"/>
      <c r="E8" s="1"/>
      <c r="F8" s="1">
        <v>5692323</v>
      </c>
      <c r="G8" s="1">
        <v>5784060</v>
      </c>
      <c r="H8" s="1">
        <v>5845754</v>
      </c>
      <c r="I8" s="1">
        <v>5809751</v>
      </c>
      <c r="J8" s="1">
        <v>6118858</v>
      </c>
      <c r="K8" s="1">
        <v>5955592.3175799996</v>
      </c>
      <c r="L8" s="1">
        <v>5746860.4295600001</v>
      </c>
      <c r="M8" s="1">
        <v>5796266.2395900004</v>
      </c>
      <c r="N8" s="1">
        <v>5855158</v>
      </c>
      <c r="O8" s="1">
        <v>5981404.4405699996</v>
      </c>
      <c r="P8" s="1">
        <v>6245201.9224075004</v>
      </c>
      <c r="Q8" s="1">
        <v>5987927.8987924997</v>
      </c>
      <c r="R8" s="1">
        <v>5979454.6191999996</v>
      </c>
      <c r="S8" s="1">
        <v>6124243.4300699998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>
      <c r="A9" s="11" t="s">
        <v>151</v>
      </c>
      <c r="B9" s="66"/>
      <c r="C9" s="1"/>
      <c r="D9" s="1"/>
      <c r="E9" s="1"/>
      <c r="F9" s="1">
        <v>40466</v>
      </c>
      <c r="G9" s="1">
        <v>80545</v>
      </c>
      <c r="H9" s="1">
        <v>61076</v>
      </c>
      <c r="I9" s="1">
        <v>0</v>
      </c>
      <c r="J9" s="1">
        <v>758193</v>
      </c>
      <c r="K9" s="1">
        <v>1023694.03075047</v>
      </c>
      <c r="L9" s="1">
        <v>509545.43918380101</v>
      </c>
      <c r="M9" s="1">
        <v>796146.70483888697</v>
      </c>
      <c r="N9" s="1">
        <v>457850</v>
      </c>
      <c r="O9" s="1">
        <v>306194.15392803802</v>
      </c>
      <c r="P9" s="1">
        <v>580248.27153803897</v>
      </c>
      <c r="Q9" s="1">
        <v>470994.49562803999</v>
      </c>
      <c r="R9" s="1">
        <v>564028.73466470698</v>
      </c>
      <c r="S9" s="1">
        <v>575210.00245729194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>
      <c r="A10" s="11" t="s">
        <v>152</v>
      </c>
      <c r="B10" s="66"/>
      <c r="C10" s="1"/>
      <c r="D10" s="1"/>
      <c r="E10" s="1"/>
      <c r="F10" s="1">
        <v>60452</v>
      </c>
      <c r="G10" s="1">
        <v>44862</v>
      </c>
      <c r="H10" s="1">
        <v>59445</v>
      </c>
      <c r="I10" s="1">
        <v>49714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>
      <c r="A11" s="11" t="s">
        <v>66</v>
      </c>
      <c r="B11" s="66"/>
      <c r="C11" s="1"/>
      <c r="D11" s="1"/>
      <c r="E11" s="1"/>
      <c r="F11" s="1">
        <v>1644350</v>
      </c>
      <c r="G11" s="1">
        <v>1633179</v>
      </c>
      <c r="H11" s="1">
        <v>1746900</v>
      </c>
      <c r="I11" s="1">
        <v>2693457</v>
      </c>
      <c r="J11" s="1">
        <v>371486</v>
      </c>
      <c r="K11" s="1">
        <v>396252.92514463101</v>
      </c>
      <c r="L11" s="1">
        <v>424434.25883999997</v>
      </c>
      <c r="M11" s="1">
        <v>368654.73633706308</v>
      </c>
      <c r="N11" s="1">
        <v>162470</v>
      </c>
      <c r="O11" s="1">
        <v>380071.13377464499</v>
      </c>
      <c r="P11" s="1">
        <v>130585.204314645</v>
      </c>
      <c r="Q11" s="1">
        <v>333362.37732464599</v>
      </c>
      <c r="R11" s="1">
        <v>44685.037484631997</v>
      </c>
      <c r="S11" s="1">
        <v>112142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>
      <c r="A12" s="11" t="s">
        <v>153</v>
      </c>
      <c r="B12" s="66"/>
      <c r="C12" s="1"/>
      <c r="D12" s="1"/>
      <c r="E12" s="1"/>
      <c r="F12" s="1">
        <v>1099347</v>
      </c>
      <c r="G12" s="1">
        <v>1301927</v>
      </c>
      <c r="H12" s="1">
        <v>1236630</v>
      </c>
      <c r="I12" s="1">
        <v>1225908</v>
      </c>
      <c r="J12" s="1">
        <v>813885</v>
      </c>
      <c r="K12" s="1">
        <v>767437.41712314798</v>
      </c>
      <c r="L12" s="1">
        <v>876107.23749489873</v>
      </c>
      <c r="M12" s="1">
        <v>862712.93724317977</v>
      </c>
      <c r="N12" s="1">
        <v>731448</v>
      </c>
      <c r="O12" s="1">
        <v>1210942.0322195499</v>
      </c>
      <c r="P12" s="1">
        <v>1105717.3148515502</v>
      </c>
      <c r="Q12" s="1">
        <v>1097395.9394415501</v>
      </c>
      <c r="R12" s="1">
        <v>1139400.3781787499</v>
      </c>
      <c r="S12" s="1">
        <v>571880.6948192789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>
      <c r="A13" s="11" t="s">
        <v>76</v>
      </c>
      <c r="B13" s="66"/>
      <c r="C13" s="1"/>
      <c r="D13" s="1"/>
      <c r="E13" s="1"/>
      <c r="F13" s="1">
        <v>114191</v>
      </c>
      <c r="G13" s="1">
        <v>98675</v>
      </c>
      <c r="H13" s="1">
        <v>102290</v>
      </c>
      <c r="I13" s="1">
        <v>112334</v>
      </c>
      <c r="J13" s="1">
        <v>122865</v>
      </c>
      <c r="K13" s="1">
        <v>130395.609230003</v>
      </c>
      <c r="L13" s="1">
        <v>136460.26393999957</v>
      </c>
      <c r="M13" s="1">
        <v>151778.6008500004</v>
      </c>
      <c r="N13" s="1">
        <v>144955</v>
      </c>
      <c r="O13" s="1">
        <v>953.90833999919903</v>
      </c>
      <c r="P13" s="1">
        <v>953.90834000015309</v>
      </c>
      <c r="Q13" s="1">
        <v>953.90834000015309</v>
      </c>
      <c r="R13" s="1">
        <v>0</v>
      </c>
      <c r="S13" s="1"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>
      <c r="A14" s="11" t="s">
        <v>78</v>
      </c>
      <c r="B14" s="66"/>
      <c r="C14" s="1"/>
      <c r="D14" s="1"/>
      <c r="E14" s="1"/>
      <c r="F14" s="1">
        <v>173887</v>
      </c>
      <c r="G14" s="1">
        <v>176845</v>
      </c>
      <c r="H14" s="1">
        <v>184399</v>
      </c>
      <c r="I14" s="1">
        <v>180640</v>
      </c>
      <c r="J14" s="1">
        <v>192804</v>
      </c>
      <c r="K14" s="1">
        <v>185396.11524000001</v>
      </c>
      <c r="L14" s="1">
        <v>177123.71610999998</v>
      </c>
      <c r="M14" s="1">
        <v>172370.79625999994</v>
      </c>
      <c r="N14" s="1">
        <v>162101</v>
      </c>
      <c r="O14" s="1">
        <v>88412.213380000001</v>
      </c>
      <c r="P14" s="1">
        <v>85233.039579999997</v>
      </c>
      <c r="Q14" s="1">
        <v>82083.852709999992</v>
      </c>
      <c r="R14" s="1">
        <v>81310.306590000007</v>
      </c>
      <c r="S14" s="1">
        <v>76553.768079999994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>
      <c r="A15" s="11" t="s">
        <v>13</v>
      </c>
      <c r="B15" s="66"/>
      <c r="C15" s="1"/>
      <c r="D15" s="1"/>
      <c r="E15" s="1"/>
      <c r="F15" s="1">
        <v>299945</v>
      </c>
      <c r="G15" s="1">
        <v>315322</v>
      </c>
      <c r="H15" s="1">
        <v>316095</v>
      </c>
      <c r="I15" s="1">
        <v>331128</v>
      </c>
      <c r="J15" s="1">
        <v>2555163</v>
      </c>
      <c r="K15" s="1">
        <v>2386195.0817813482</v>
      </c>
      <c r="L15" s="1">
        <v>2646919.3046580981</v>
      </c>
      <c r="M15" s="1">
        <v>2801310.1178595703</v>
      </c>
      <c r="N15" s="1">
        <v>2748499</v>
      </c>
      <c r="O15" s="1">
        <v>2824897.0319128707</v>
      </c>
      <c r="P15" s="1">
        <v>2866487.7582723657</v>
      </c>
      <c r="Q15" s="1">
        <v>2916508.6532474644</v>
      </c>
      <c r="R15" s="1">
        <v>2993228.2661850117</v>
      </c>
      <c r="S15" s="1">
        <v>3015765.8225162989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>
      <c r="A16" s="633" t="s">
        <v>17</v>
      </c>
      <c r="B16" s="633"/>
      <c r="C16" s="647"/>
      <c r="D16" s="634"/>
      <c r="E16" s="634"/>
      <c r="F16" s="634">
        <v>4902477</v>
      </c>
      <c r="G16" s="634">
        <v>5255983</v>
      </c>
      <c r="H16" s="634">
        <v>4880221</v>
      </c>
      <c r="I16" s="634">
        <v>5224656</v>
      </c>
      <c r="J16" s="634">
        <v>5744775</v>
      </c>
      <c r="K16" s="634">
        <v>5767604.5915440796</v>
      </c>
      <c r="L16" s="634">
        <v>5418557.1897508893</v>
      </c>
      <c r="M16" s="634">
        <v>5561815.4434564896</v>
      </c>
      <c r="N16" s="634">
        <v>5384904</v>
      </c>
      <c r="O16" s="634">
        <f>SUM(O17:O22)</f>
        <v>5959669.9874688098</v>
      </c>
      <c r="P16" s="634">
        <f>SUM(P17:P22)</f>
        <v>5766805.1446688809</v>
      </c>
      <c r="Q16" s="634">
        <f>SUM(Q17:Q22)</f>
        <v>6358398.07043947</v>
      </c>
      <c r="R16" s="634">
        <f>SUM(R17:R22)</f>
        <v>6056901.0013896199</v>
      </c>
      <c r="S16" s="634">
        <f>SUM(S17:S22)</f>
        <v>5560647.7523745606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9">
      <c r="A17" s="11" t="s">
        <v>154</v>
      </c>
      <c r="C17" s="1"/>
      <c r="D17" s="1"/>
      <c r="E17" s="1"/>
      <c r="F17" s="110">
        <v>265061</v>
      </c>
      <c r="G17" s="1">
        <v>254287</v>
      </c>
      <c r="H17" s="1">
        <v>284874</v>
      </c>
      <c r="I17" s="1">
        <v>279498</v>
      </c>
      <c r="J17" s="1">
        <v>260457</v>
      </c>
      <c r="K17" s="1">
        <v>65496.966679999998</v>
      </c>
      <c r="L17" s="1">
        <v>73405.059520001727</v>
      </c>
      <c r="M17" s="1">
        <v>78659.458670017411</v>
      </c>
      <c r="N17" s="1">
        <v>83677</v>
      </c>
      <c r="O17" s="1">
        <v>76475.503550007299</v>
      </c>
      <c r="P17" s="1">
        <v>79079.10212000001</v>
      </c>
      <c r="Q17" s="1">
        <v>98178.574530000406</v>
      </c>
      <c r="R17" s="1">
        <v>93166.058260011196</v>
      </c>
      <c r="S17" s="1">
        <v>96610.707420004794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39">
      <c r="A18" s="11" t="s">
        <v>155</v>
      </c>
      <c r="C18" s="1"/>
      <c r="D18" s="1"/>
      <c r="E18" s="1"/>
      <c r="F18" s="110">
        <v>945602</v>
      </c>
      <c r="G18" s="1">
        <v>734926</v>
      </c>
      <c r="H18" s="1">
        <v>833674</v>
      </c>
      <c r="I18" s="1">
        <v>962861</v>
      </c>
      <c r="J18" s="1">
        <v>1036919</v>
      </c>
      <c r="K18" s="1">
        <v>656300.2529036029</v>
      </c>
      <c r="L18" s="1">
        <v>702524.79609684669</v>
      </c>
      <c r="M18" s="1">
        <v>814739.50651177496</v>
      </c>
      <c r="N18" s="1">
        <v>407708</v>
      </c>
      <c r="O18" s="1">
        <v>631913.01218027598</v>
      </c>
      <c r="P18" s="1">
        <v>725777.60507022496</v>
      </c>
      <c r="Q18" s="1">
        <v>825792.17927979596</v>
      </c>
      <c r="R18" s="1">
        <v>934885.96139522502</v>
      </c>
      <c r="S18" s="1">
        <v>159395.168577075</v>
      </c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</row>
    <row r="19" spans="1:39">
      <c r="A19" s="11" t="s">
        <v>156</v>
      </c>
      <c r="C19" s="1"/>
      <c r="D19" s="1"/>
      <c r="E19" s="1"/>
      <c r="F19" s="110">
        <v>703123</v>
      </c>
      <c r="G19" s="1">
        <v>844281</v>
      </c>
      <c r="H19" s="1">
        <v>503903</v>
      </c>
      <c r="I19" s="1">
        <v>778328</v>
      </c>
      <c r="J19" s="1">
        <v>253825</v>
      </c>
      <c r="K19" s="1">
        <v>216380.87268999699</v>
      </c>
      <c r="L19" s="1">
        <v>468343.57633991598</v>
      </c>
      <c r="M19" s="1">
        <v>361671.19836530602</v>
      </c>
      <c r="N19" s="1">
        <v>574449</v>
      </c>
      <c r="O19" s="1">
        <v>701291.70880982303</v>
      </c>
      <c r="P19" s="1">
        <v>515255.52036991698</v>
      </c>
      <c r="Q19" s="1">
        <v>592747.40330991801</v>
      </c>
      <c r="R19" s="1">
        <v>505945.50451983797</v>
      </c>
      <c r="S19" s="1">
        <v>383300.12599981704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</row>
    <row r="20" spans="1:39">
      <c r="A20" s="11" t="s">
        <v>52</v>
      </c>
      <c r="C20" s="1"/>
      <c r="D20" s="1"/>
      <c r="E20" s="1"/>
      <c r="F20" s="110">
        <v>14374</v>
      </c>
      <c r="G20" s="1">
        <v>10143</v>
      </c>
      <c r="H20" s="1">
        <v>3864</v>
      </c>
      <c r="I20" s="1">
        <v>3814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12441.910430004</v>
      </c>
      <c r="Q20" s="1">
        <v>0</v>
      </c>
      <c r="R20" s="1">
        <v>0</v>
      </c>
      <c r="S20" s="1">
        <v>0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</row>
    <row r="21" spans="1:39">
      <c r="A21" s="11" t="s">
        <v>157</v>
      </c>
      <c r="C21" s="110"/>
      <c r="D21" s="110"/>
      <c r="E21" s="110"/>
      <c r="F21" s="110">
        <v>2968492</v>
      </c>
      <c r="G21" s="110">
        <v>2976061</v>
      </c>
      <c r="H21" s="110">
        <v>3031153</v>
      </c>
      <c r="I21" s="110">
        <v>3063932</v>
      </c>
      <c r="J21" s="110">
        <v>3920506</v>
      </c>
      <c r="K21" s="110">
        <v>3973441.8371799998</v>
      </c>
      <c r="L21" s="1">
        <v>4027751.49248</v>
      </c>
      <c r="M21" s="1">
        <v>4081924.8712200196</v>
      </c>
      <c r="N21" s="1">
        <v>4184287</v>
      </c>
      <c r="O21" s="1">
        <v>4242978.0867900299</v>
      </c>
      <c r="P21" s="1">
        <v>4321824.0050100004</v>
      </c>
      <c r="Q21" s="1">
        <v>4384507.4785500001</v>
      </c>
      <c r="R21" s="1">
        <v>4428402.8129600203</v>
      </c>
      <c r="S21" s="1">
        <v>4500204.4435600303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</row>
    <row r="22" spans="1:39">
      <c r="A22" s="11" t="s">
        <v>33</v>
      </c>
      <c r="B22" s="289"/>
      <c r="C22" s="110"/>
      <c r="D22" s="110"/>
      <c r="E22" s="110"/>
      <c r="F22" s="110">
        <v>5825</v>
      </c>
      <c r="G22" s="110">
        <v>436285</v>
      </c>
      <c r="H22" s="110">
        <v>222753</v>
      </c>
      <c r="I22" s="110">
        <v>136223</v>
      </c>
      <c r="J22" s="110">
        <v>273068</v>
      </c>
      <c r="K22" s="110">
        <v>855984.66209048033</v>
      </c>
      <c r="L22" s="1">
        <v>146532.26531412452</v>
      </c>
      <c r="M22" s="1">
        <v>224820.40868937131</v>
      </c>
      <c r="N22" s="1">
        <v>134783</v>
      </c>
      <c r="O22" s="1">
        <v>307011.67613867391</v>
      </c>
      <c r="P22" s="1">
        <v>112427.00166873448</v>
      </c>
      <c r="Q22" s="1">
        <v>457172.43476975523</v>
      </c>
      <c r="R22" s="1">
        <v>94500.664254525676</v>
      </c>
      <c r="S22" s="1">
        <v>421137.3068176331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</row>
    <row r="23" spans="1:39">
      <c r="A23" s="633" t="s">
        <v>25</v>
      </c>
      <c r="B23" s="647"/>
      <c r="C23" s="634"/>
      <c r="D23" s="634"/>
      <c r="E23" s="634"/>
      <c r="F23" s="634">
        <v>4239362</v>
      </c>
      <c r="G23" s="634">
        <v>4189705</v>
      </c>
      <c r="H23" s="634">
        <v>4683952</v>
      </c>
      <c r="I23" s="634">
        <v>5191309</v>
      </c>
      <c r="J23" s="634">
        <v>5200499</v>
      </c>
      <c r="K23" s="634">
        <v>5087442.3780121896</v>
      </c>
      <c r="L23" s="634">
        <v>5111757.6381767904</v>
      </c>
      <c r="M23" s="634">
        <v>5399167.0874157306</v>
      </c>
      <c r="N23" s="634">
        <v>4887628</v>
      </c>
      <c r="O23" s="634">
        <v>4842715.8982261494</v>
      </c>
      <c r="P23" s="634">
        <f>P6-P16</f>
        <v>5254752.3374752197</v>
      </c>
      <c r="Q23" s="634">
        <v>5168177.11797118</v>
      </c>
      <c r="R23" s="634">
        <v>5405835.4117534803</v>
      </c>
      <c r="S23" s="634">
        <v>5384749.5803559599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1DD8-CF60-494B-AE41-8F388C4F1049}">
  <dimension ref="A1:AT47"/>
  <sheetViews>
    <sheetView showGridLines="0" showRowColHeaders="0" zoomScale="75" zoomScaleNormal="75" workbookViewId="0">
      <pane xSplit="2" ySplit="5" topLeftCell="AM6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5"/>
  <cols>
    <col min="1" max="1" width="70.7109375" customWidth="1"/>
    <col min="2" max="2" width="14.42578125" hidden="1" customWidth="1"/>
    <col min="3" max="27" width="14.42578125" customWidth="1"/>
    <col min="28" max="30" width="14" customWidth="1"/>
    <col min="31" max="31" width="14.42578125" customWidth="1"/>
    <col min="32" max="43" width="14" customWidth="1"/>
    <col min="44" max="46" width="14.42578125" customWidth="1"/>
  </cols>
  <sheetData>
    <row r="1" spans="1:46" ht="15" customHeight="1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31"/>
      <c r="AQ1" s="630"/>
    </row>
    <row r="2" spans="1:46" ht="15" customHeight="1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49"/>
      <c r="W2" s="649"/>
      <c r="X2" s="649"/>
      <c r="Y2" s="649"/>
      <c r="Z2" s="649"/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32"/>
      <c r="AQ2" s="630"/>
    </row>
    <row r="3" spans="1:46" ht="50.1" customHeight="1">
      <c r="A3" s="795" t="s">
        <v>177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31"/>
      <c r="AQ3" s="630"/>
    </row>
    <row r="4" spans="1:46" ht="10.35" customHeight="1"/>
    <row r="5" spans="1:46" ht="25.35" customHeight="1">
      <c r="A5" s="625" t="s">
        <v>178</v>
      </c>
      <c r="B5" s="643">
        <v>42369</v>
      </c>
      <c r="C5" s="643">
        <v>42460</v>
      </c>
      <c r="D5" s="643">
        <v>42551</v>
      </c>
      <c r="E5" s="643">
        <v>42643</v>
      </c>
      <c r="F5" s="643">
        <v>42735</v>
      </c>
      <c r="G5" s="643">
        <v>42825</v>
      </c>
      <c r="H5" s="643">
        <v>42916</v>
      </c>
      <c r="I5" s="643">
        <v>43008</v>
      </c>
      <c r="J5" s="643">
        <v>43100</v>
      </c>
      <c r="K5" s="643">
        <v>43190</v>
      </c>
      <c r="L5" s="643">
        <v>43281</v>
      </c>
      <c r="M5" s="643">
        <v>43373</v>
      </c>
      <c r="N5" s="643">
        <v>43465</v>
      </c>
      <c r="O5" s="643">
        <v>43555</v>
      </c>
      <c r="P5" s="643">
        <v>43646</v>
      </c>
      <c r="Q5" s="643">
        <v>43738</v>
      </c>
      <c r="R5" s="643">
        <v>43830</v>
      </c>
      <c r="S5" s="643">
        <v>43921</v>
      </c>
      <c r="T5" s="643">
        <v>44012</v>
      </c>
      <c r="U5" s="643">
        <v>44104</v>
      </c>
      <c r="V5" s="643">
        <v>44196</v>
      </c>
      <c r="W5" s="643">
        <v>44286</v>
      </c>
      <c r="X5" s="643">
        <v>44377</v>
      </c>
      <c r="Y5" s="643">
        <v>44440</v>
      </c>
      <c r="Z5" s="643">
        <v>44531</v>
      </c>
      <c r="AA5" s="643">
        <v>44621</v>
      </c>
      <c r="AB5" s="643">
        <v>44713</v>
      </c>
      <c r="AC5" s="643">
        <v>44805</v>
      </c>
      <c r="AD5" s="643">
        <v>44896</v>
      </c>
      <c r="AE5" s="643">
        <v>44986</v>
      </c>
      <c r="AF5" s="643">
        <v>45078</v>
      </c>
      <c r="AG5" s="643">
        <v>45170</v>
      </c>
      <c r="AH5" s="643">
        <v>45261</v>
      </c>
      <c r="AI5" s="643">
        <v>45352</v>
      </c>
      <c r="AJ5" s="643">
        <v>45444</v>
      </c>
      <c r="AK5" s="643">
        <v>45536</v>
      </c>
      <c r="AL5" s="643">
        <v>45627</v>
      </c>
      <c r="AM5" s="643">
        <v>45717</v>
      </c>
      <c r="AN5" s="643">
        <v>45809</v>
      </c>
      <c r="AO5" s="643">
        <v>45901</v>
      </c>
      <c r="AP5" s="644">
        <v>45992</v>
      </c>
      <c r="AQ5" s="645">
        <v>46082</v>
      </c>
    </row>
    <row r="6" spans="1:46">
      <c r="A6" s="62" t="s">
        <v>5</v>
      </c>
      <c r="B6" s="79">
        <v>1892068</v>
      </c>
      <c r="C6" s="79">
        <v>1938588</v>
      </c>
      <c r="D6" s="79">
        <v>2055380</v>
      </c>
      <c r="E6" s="79">
        <v>2155263</v>
      </c>
      <c r="F6" s="79">
        <v>2325447</v>
      </c>
      <c r="G6" s="79">
        <v>2448338</v>
      </c>
      <c r="H6" s="79">
        <v>2583637</v>
      </c>
      <c r="I6" s="79">
        <v>2755719</v>
      </c>
      <c r="J6" s="79">
        <v>2702955</v>
      </c>
      <c r="K6" s="79">
        <v>2744649</v>
      </c>
      <c r="L6" s="79">
        <v>2651295</v>
      </c>
      <c r="M6" s="79">
        <v>2762885</v>
      </c>
      <c r="N6" s="79">
        <v>2586471</v>
      </c>
      <c r="O6" s="79">
        <v>2814073</v>
      </c>
      <c r="P6" s="79">
        <v>2797102</v>
      </c>
      <c r="Q6" s="79">
        <v>2641897</v>
      </c>
      <c r="R6" s="79">
        <v>2620118</v>
      </c>
      <c r="S6" s="79">
        <v>2362687</v>
      </c>
      <c r="T6" s="79">
        <v>2363418</v>
      </c>
      <c r="U6" s="79">
        <v>2559119</v>
      </c>
      <c r="V6" s="79">
        <v>2605936</v>
      </c>
      <c r="W6" s="79">
        <v>2512659</v>
      </c>
      <c r="X6" s="79">
        <v>2517090</v>
      </c>
      <c r="Y6" s="79">
        <v>2637554</v>
      </c>
      <c r="Z6" s="79">
        <v>2570115</v>
      </c>
      <c r="AA6" s="79">
        <v>2885432</v>
      </c>
      <c r="AB6" s="79">
        <v>2884596</v>
      </c>
      <c r="AC6" s="79">
        <v>2866529</v>
      </c>
      <c r="AD6" s="79">
        <v>3029456</v>
      </c>
      <c r="AE6" s="79">
        <v>3248528</v>
      </c>
      <c r="AF6" s="79">
        <v>3653270</v>
      </c>
      <c r="AG6" s="79">
        <v>3611835</v>
      </c>
      <c r="AH6" s="79">
        <v>3622148</v>
      </c>
      <c r="AI6" s="79">
        <v>3709260</v>
      </c>
      <c r="AJ6" s="79">
        <v>3846286</v>
      </c>
      <c r="AK6" s="79">
        <v>4047289</v>
      </c>
      <c r="AL6" s="79">
        <v>4136659</v>
      </c>
      <c r="AM6" s="79">
        <f>AM7+AM17</f>
        <v>4146355</v>
      </c>
      <c r="AN6" s="79">
        <f>AN7+AN17</f>
        <v>4124917</v>
      </c>
      <c r="AO6" s="79">
        <f>AO7+AO17</f>
        <v>3964499</v>
      </c>
      <c r="AP6" s="79">
        <f>AP7+AP17</f>
        <v>4108493</v>
      </c>
      <c r="AQ6" s="79">
        <f>AQ7+AQ17</f>
        <v>4257626</v>
      </c>
      <c r="AR6" s="8"/>
      <c r="AS6" s="8"/>
      <c r="AT6" s="8"/>
    </row>
    <row r="7" spans="1:46">
      <c r="A7" s="68" t="s">
        <v>6</v>
      </c>
      <c r="B7" s="80">
        <v>1263898</v>
      </c>
      <c r="C7" s="80">
        <v>1302643</v>
      </c>
      <c r="D7" s="80">
        <v>1164151</v>
      </c>
      <c r="E7" s="80">
        <v>1230823</v>
      </c>
      <c r="F7" s="80">
        <v>1383550</v>
      </c>
      <c r="G7" s="80">
        <v>1521144</v>
      </c>
      <c r="H7" s="80">
        <v>1673538</v>
      </c>
      <c r="I7" s="80">
        <v>1668669</v>
      </c>
      <c r="J7" s="80">
        <v>1602959</v>
      </c>
      <c r="K7" s="80">
        <v>1362259</v>
      </c>
      <c r="L7" s="80">
        <v>1321325</v>
      </c>
      <c r="M7" s="80">
        <v>1386345</v>
      </c>
      <c r="N7" s="80">
        <v>1277419</v>
      </c>
      <c r="O7" s="80">
        <v>1470785</v>
      </c>
      <c r="P7" s="80">
        <v>1512837</v>
      </c>
      <c r="Q7" s="80">
        <v>1467508</v>
      </c>
      <c r="R7" s="80">
        <v>1454968</v>
      </c>
      <c r="S7" s="80">
        <v>1174448</v>
      </c>
      <c r="T7" s="80">
        <v>1212768</v>
      </c>
      <c r="U7" s="80">
        <v>1363796</v>
      </c>
      <c r="V7" s="80">
        <v>1251214</v>
      </c>
      <c r="W7" s="80">
        <v>1470868</v>
      </c>
      <c r="X7" s="80">
        <v>1367344</v>
      </c>
      <c r="Y7" s="80">
        <v>1625169</v>
      </c>
      <c r="Z7" s="80">
        <v>1422199</v>
      </c>
      <c r="AA7" s="80">
        <v>1623078</v>
      </c>
      <c r="AB7" s="80">
        <v>1328349</v>
      </c>
      <c r="AC7" s="80">
        <v>1452882</v>
      </c>
      <c r="AD7" s="80">
        <v>1283742</v>
      </c>
      <c r="AE7" s="80">
        <v>1458263</v>
      </c>
      <c r="AF7" s="80">
        <v>1764715</v>
      </c>
      <c r="AG7" s="80">
        <v>1599872</v>
      </c>
      <c r="AH7" s="80">
        <v>1590791</v>
      </c>
      <c r="AI7" s="80">
        <v>1733721</v>
      </c>
      <c r="AJ7" s="80">
        <v>1858971</v>
      </c>
      <c r="AK7" s="80">
        <v>1978698</v>
      </c>
      <c r="AL7" s="80">
        <v>2033472</v>
      </c>
      <c r="AM7" s="80">
        <f>SUM(AM8:AM16)</f>
        <v>2070488</v>
      </c>
      <c r="AN7" s="80">
        <f>SUM(AN8:AN16)</f>
        <v>2110363</v>
      </c>
      <c r="AO7" s="80">
        <f>SUM(AO8:AO16)</f>
        <v>2151804</v>
      </c>
      <c r="AP7" s="80">
        <f>SUM(AP8:AP16)</f>
        <v>2221057</v>
      </c>
      <c r="AQ7" s="80">
        <f>SUM(AQ8:AQ16)</f>
        <v>2495232</v>
      </c>
      <c r="AR7" s="8"/>
      <c r="AS7" s="8"/>
      <c r="AT7" s="8"/>
    </row>
    <row r="8" spans="1:46">
      <c r="A8" s="11" t="s">
        <v>7</v>
      </c>
      <c r="B8" s="81">
        <v>861</v>
      </c>
      <c r="C8" s="81">
        <v>477</v>
      </c>
      <c r="D8" s="81">
        <v>460</v>
      </c>
      <c r="E8" s="81">
        <v>359</v>
      </c>
      <c r="F8" s="81">
        <v>2241</v>
      </c>
      <c r="G8" s="81">
        <v>2790</v>
      </c>
      <c r="H8" s="81">
        <v>2523</v>
      </c>
      <c r="I8" s="81">
        <v>1562</v>
      </c>
      <c r="J8" s="81">
        <v>254</v>
      </c>
      <c r="K8" s="81">
        <v>4328</v>
      </c>
      <c r="L8" s="81">
        <v>177</v>
      </c>
      <c r="M8" s="81">
        <v>776</v>
      </c>
      <c r="N8" s="81">
        <v>9762</v>
      </c>
      <c r="O8" s="81">
        <v>34</v>
      </c>
      <c r="P8" s="81">
        <v>357</v>
      </c>
      <c r="Q8" s="81">
        <v>1073</v>
      </c>
      <c r="R8" s="81">
        <v>2299</v>
      </c>
      <c r="S8" s="81">
        <v>177</v>
      </c>
      <c r="T8" s="81">
        <v>61</v>
      </c>
      <c r="U8" s="81">
        <v>83</v>
      </c>
      <c r="V8" s="81">
        <v>10517</v>
      </c>
      <c r="W8" s="81">
        <v>22082</v>
      </c>
      <c r="X8" s="81">
        <v>96</v>
      </c>
      <c r="Y8" s="81">
        <v>92</v>
      </c>
      <c r="Z8" s="81">
        <v>923</v>
      </c>
      <c r="AA8" s="81">
        <v>789</v>
      </c>
      <c r="AB8" s="81">
        <v>174</v>
      </c>
      <c r="AC8" s="81">
        <v>134</v>
      </c>
      <c r="AD8" s="81">
        <v>2712</v>
      </c>
      <c r="AE8" s="81">
        <v>1425</v>
      </c>
      <c r="AF8" s="81">
        <v>657</v>
      </c>
      <c r="AG8" s="81">
        <v>610</v>
      </c>
      <c r="AH8" s="81">
        <v>1915</v>
      </c>
      <c r="AI8" s="81">
        <v>415</v>
      </c>
      <c r="AJ8" s="81">
        <v>784</v>
      </c>
      <c r="AK8" s="81">
        <v>612</v>
      </c>
      <c r="AL8" s="81">
        <v>3609</v>
      </c>
      <c r="AM8" s="81">
        <v>3650</v>
      </c>
      <c r="AN8" s="81">
        <v>1634</v>
      </c>
      <c r="AO8" s="81">
        <v>2133</v>
      </c>
      <c r="AP8" s="81">
        <v>2741</v>
      </c>
      <c r="AQ8" s="81">
        <v>884</v>
      </c>
      <c r="AR8" s="8"/>
      <c r="AS8" s="8"/>
      <c r="AT8" s="8"/>
    </row>
    <row r="9" spans="1:46">
      <c r="A9" s="56" t="s">
        <v>41</v>
      </c>
      <c r="B9" s="81">
        <v>373920</v>
      </c>
      <c r="C9" s="81">
        <v>386693</v>
      </c>
      <c r="D9" s="81">
        <v>145004</v>
      </c>
      <c r="E9" s="81">
        <v>153272</v>
      </c>
      <c r="F9" s="81">
        <v>155672</v>
      </c>
      <c r="G9" s="81">
        <v>209167</v>
      </c>
      <c r="H9" s="81">
        <v>223441</v>
      </c>
      <c r="I9" s="81">
        <v>232307</v>
      </c>
      <c r="J9" s="81">
        <v>231580</v>
      </c>
      <c r="K9" s="81">
        <v>240688</v>
      </c>
      <c r="L9" s="81">
        <v>252151</v>
      </c>
      <c r="M9" s="81">
        <v>258376</v>
      </c>
      <c r="N9" s="81">
        <v>260602</v>
      </c>
      <c r="O9" s="81">
        <v>343964</v>
      </c>
      <c r="P9" s="81">
        <v>342071</v>
      </c>
      <c r="Q9" s="81">
        <v>318709</v>
      </c>
      <c r="R9" s="81">
        <v>358930</v>
      </c>
      <c r="S9" s="81">
        <v>175449</v>
      </c>
      <c r="T9" s="81">
        <v>179321</v>
      </c>
      <c r="U9" s="81">
        <v>159901</v>
      </c>
      <c r="V9" s="81">
        <v>217606</v>
      </c>
      <c r="W9" s="81">
        <v>343225</v>
      </c>
      <c r="X9" s="81">
        <v>430598</v>
      </c>
      <c r="Y9" s="81">
        <v>681194</v>
      </c>
      <c r="Z9" s="81">
        <v>499305</v>
      </c>
      <c r="AA9" s="81">
        <v>320743</v>
      </c>
      <c r="AB9" s="81">
        <v>267686</v>
      </c>
      <c r="AC9" s="81">
        <v>305183</v>
      </c>
      <c r="AD9" s="81">
        <v>311140</v>
      </c>
      <c r="AE9" s="81">
        <v>394264</v>
      </c>
      <c r="AF9" s="81">
        <v>387253</v>
      </c>
      <c r="AG9" s="81">
        <v>422885</v>
      </c>
      <c r="AH9" s="81">
        <v>447570</v>
      </c>
      <c r="AI9" s="81">
        <v>560257</v>
      </c>
      <c r="AJ9" s="81">
        <v>665859</v>
      </c>
      <c r="AK9" s="81">
        <v>754326</v>
      </c>
      <c r="AL9" s="81">
        <v>687059</v>
      </c>
      <c r="AM9" s="81">
        <v>666863</v>
      </c>
      <c r="AN9" s="81">
        <v>668846</v>
      </c>
      <c r="AO9" s="81">
        <v>750027</v>
      </c>
      <c r="AP9" s="81">
        <v>833241</v>
      </c>
      <c r="AQ9" s="81">
        <v>1017829</v>
      </c>
      <c r="AR9" s="8"/>
      <c r="AS9" s="8"/>
      <c r="AT9" s="8"/>
    </row>
    <row r="10" spans="1:46">
      <c r="A10" s="247" t="s">
        <v>42</v>
      </c>
      <c r="B10" s="81">
        <v>355717</v>
      </c>
      <c r="C10" s="81">
        <v>372786</v>
      </c>
      <c r="D10" s="81">
        <v>433187</v>
      </c>
      <c r="E10" s="81">
        <v>472808</v>
      </c>
      <c r="F10" s="81">
        <v>582721</v>
      </c>
      <c r="G10" s="81">
        <v>613414</v>
      </c>
      <c r="H10" s="81">
        <v>670671</v>
      </c>
      <c r="I10" s="81">
        <v>753684</v>
      </c>
      <c r="J10" s="81">
        <v>708455</v>
      </c>
      <c r="K10" s="81">
        <v>715572</v>
      </c>
      <c r="L10" s="81">
        <v>671550</v>
      </c>
      <c r="M10" s="81">
        <v>708090</v>
      </c>
      <c r="N10" s="81">
        <v>605603</v>
      </c>
      <c r="O10" s="81">
        <v>680120</v>
      </c>
      <c r="P10" s="81">
        <v>723032</v>
      </c>
      <c r="Q10" s="81">
        <v>695891</v>
      </c>
      <c r="R10" s="81">
        <v>690145</v>
      </c>
      <c r="S10" s="81">
        <v>548965</v>
      </c>
      <c r="T10" s="81">
        <v>605812</v>
      </c>
      <c r="U10" s="81">
        <v>650153</v>
      </c>
      <c r="V10" s="81">
        <v>533551</v>
      </c>
      <c r="W10" s="81">
        <v>513310</v>
      </c>
      <c r="X10" s="81">
        <v>513941</v>
      </c>
      <c r="Y10" s="81">
        <v>458435</v>
      </c>
      <c r="Z10" s="81">
        <v>471313</v>
      </c>
      <c r="AA10" s="81">
        <v>485461</v>
      </c>
      <c r="AB10" s="81">
        <v>496916</v>
      </c>
      <c r="AC10" s="81">
        <v>483371</v>
      </c>
      <c r="AD10" s="81">
        <v>516223</v>
      </c>
      <c r="AE10" s="81">
        <v>550553</v>
      </c>
      <c r="AF10" s="81">
        <v>657213</v>
      </c>
      <c r="AG10" s="81">
        <v>671977</v>
      </c>
      <c r="AH10" s="81">
        <v>657435</v>
      </c>
      <c r="AI10" s="81">
        <v>650203</v>
      </c>
      <c r="AJ10" s="81">
        <v>686936</v>
      </c>
      <c r="AK10" s="81">
        <v>671122</v>
      </c>
      <c r="AL10" s="81">
        <v>715274</v>
      </c>
      <c r="AM10" s="81">
        <v>725826</v>
      </c>
      <c r="AN10" s="81">
        <v>753027</v>
      </c>
      <c r="AO10" s="81">
        <v>677995</v>
      </c>
      <c r="AP10" s="81">
        <v>620382</v>
      </c>
      <c r="AQ10" s="81">
        <v>664048</v>
      </c>
      <c r="AR10" s="8"/>
      <c r="AS10" s="8"/>
      <c r="AT10" s="8"/>
    </row>
    <row r="11" spans="1:46">
      <c r="A11" s="11" t="s">
        <v>48</v>
      </c>
      <c r="B11" s="81">
        <v>439</v>
      </c>
      <c r="C11" s="81">
        <v>349</v>
      </c>
      <c r="D11" s="81">
        <v>454</v>
      </c>
      <c r="E11" s="81">
        <v>406</v>
      </c>
      <c r="F11" s="81">
        <v>621</v>
      </c>
      <c r="G11" s="81">
        <v>6275</v>
      </c>
      <c r="H11" s="81">
        <v>5666</v>
      </c>
      <c r="I11" s="81">
        <v>100</v>
      </c>
      <c r="J11" s="81"/>
      <c r="K11" s="81">
        <v>280</v>
      </c>
      <c r="L11" s="81">
        <v>607</v>
      </c>
      <c r="M11" s="81">
        <v>613</v>
      </c>
      <c r="N11" s="81">
        <v>623</v>
      </c>
      <c r="O11" s="81">
        <v>737</v>
      </c>
      <c r="P11" s="81">
        <v>628</v>
      </c>
      <c r="Q11" s="81">
        <v>952</v>
      </c>
      <c r="R11" s="81">
        <v>621</v>
      </c>
      <c r="S11" s="81">
        <v>620</v>
      </c>
      <c r="T11" s="81">
        <v>623</v>
      </c>
      <c r="U11" s="81">
        <v>609</v>
      </c>
      <c r="V11" s="81">
        <v>696</v>
      </c>
      <c r="W11" s="81">
        <v>636</v>
      </c>
      <c r="X11" s="81">
        <v>593</v>
      </c>
      <c r="Y11" s="81">
        <v>603</v>
      </c>
      <c r="Z11" s="81">
        <v>837</v>
      </c>
      <c r="AA11" s="81">
        <v>612</v>
      </c>
      <c r="AB11" s="81">
        <v>612</v>
      </c>
      <c r="AC11" s="81">
        <v>606</v>
      </c>
      <c r="AD11" s="81">
        <v>606</v>
      </c>
      <c r="AE11" s="81">
        <v>606</v>
      </c>
      <c r="AF11" s="81">
        <v>1384</v>
      </c>
      <c r="AG11" s="81">
        <v>564</v>
      </c>
      <c r="AH11" s="81">
        <v>564</v>
      </c>
      <c r="AI11" s="81">
        <v>563</v>
      </c>
      <c r="AJ11" s="81">
        <v>757</v>
      </c>
      <c r="AK11" s="81">
        <v>881</v>
      </c>
      <c r="AL11" s="81">
        <v>879</v>
      </c>
      <c r="AM11" s="81">
        <v>395</v>
      </c>
      <c r="AN11" s="81">
        <v>719</v>
      </c>
      <c r="AO11" s="81">
        <v>476</v>
      </c>
      <c r="AP11" s="81">
        <v>482</v>
      </c>
      <c r="AQ11" s="81">
        <v>470</v>
      </c>
      <c r="AR11" s="8"/>
      <c r="AS11" s="8"/>
      <c r="AT11" s="8"/>
    </row>
    <row r="12" spans="1:46">
      <c r="A12" s="11" t="s">
        <v>43</v>
      </c>
      <c r="B12" s="81">
        <v>387863</v>
      </c>
      <c r="C12" s="81">
        <v>392102</v>
      </c>
      <c r="D12" s="81">
        <v>418311</v>
      </c>
      <c r="E12" s="81">
        <v>432918</v>
      </c>
      <c r="F12" s="81">
        <v>461820</v>
      </c>
      <c r="G12" s="81">
        <v>494642</v>
      </c>
      <c r="H12" s="81">
        <v>547599</v>
      </c>
      <c r="I12" s="81">
        <v>451206</v>
      </c>
      <c r="J12" s="81">
        <v>447875</v>
      </c>
      <c r="K12" s="81">
        <v>258832</v>
      </c>
      <c r="L12" s="81">
        <v>261390</v>
      </c>
      <c r="M12" s="81">
        <v>276415</v>
      </c>
      <c r="N12" s="81">
        <v>281838</v>
      </c>
      <c r="O12" s="81">
        <v>301048</v>
      </c>
      <c r="P12" s="81">
        <v>311107</v>
      </c>
      <c r="Q12" s="81">
        <v>284245</v>
      </c>
      <c r="R12" s="81">
        <v>267175</v>
      </c>
      <c r="S12" s="81">
        <v>262614</v>
      </c>
      <c r="T12" s="81">
        <v>291864</v>
      </c>
      <c r="U12" s="81">
        <v>351417</v>
      </c>
      <c r="V12" s="81">
        <v>358550</v>
      </c>
      <c r="W12" s="81">
        <v>353110</v>
      </c>
      <c r="X12" s="81">
        <v>293634</v>
      </c>
      <c r="Y12" s="81">
        <v>347502</v>
      </c>
      <c r="Z12" s="81">
        <v>289124</v>
      </c>
      <c r="AA12" s="81">
        <v>438281</v>
      </c>
      <c r="AB12" s="81">
        <v>380365</v>
      </c>
      <c r="AC12" s="81">
        <v>254804</v>
      </c>
      <c r="AD12" s="81">
        <v>236211</v>
      </c>
      <c r="AE12" s="81">
        <v>268906</v>
      </c>
      <c r="AF12" s="81">
        <v>483146</v>
      </c>
      <c r="AG12" s="81">
        <v>227477</v>
      </c>
      <c r="AH12" s="81">
        <v>216967</v>
      </c>
      <c r="AI12" s="81">
        <v>220669</v>
      </c>
      <c r="AJ12" s="81">
        <v>203571</v>
      </c>
      <c r="AK12" s="81">
        <v>225217</v>
      </c>
      <c r="AL12" s="81">
        <v>271099</v>
      </c>
      <c r="AM12" s="81">
        <v>293456</v>
      </c>
      <c r="AN12" s="81">
        <v>275867</v>
      </c>
      <c r="AO12" s="81">
        <v>266633</v>
      </c>
      <c r="AP12" s="81">
        <v>268320</v>
      </c>
      <c r="AQ12" s="81">
        <v>285783</v>
      </c>
      <c r="AR12" s="8"/>
      <c r="AS12" s="8"/>
      <c r="AT12" s="8"/>
    </row>
    <row r="13" spans="1:46">
      <c r="A13" s="11" t="s">
        <v>44</v>
      </c>
      <c r="B13" s="81">
        <v>1227</v>
      </c>
      <c r="C13" s="81">
        <v>1227</v>
      </c>
      <c r="D13" s="81">
        <v>1350</v>
      </c>
      <c r="E13" s="81">
        <v>3614</v>
      </c>
      <c r="F13" s="81">
        <v>3654</v>
      </c>
      <c r="G13" s="81">
        <v>3746</v>
      </c>
      <c r="H13" s="81">
        <v>17149</v>
      </c>
      <c r="I13" s="81">
        <v>17260</v>
      </c>
      <c r="J13" s="81">
        <v>28466</v>
      </c>
      <c r="K13" s="81">
        <v>35278</v>
      </c>
      <c r="L13" s="81">
        <v>28379</v>
      </c>
      <c r="M13" s="81">
        <v>20419</v>
      </c>
      <c r="N13" s="81">
        <v>15892</v>
      </c>
      <c r="O13" s="81">
        <v>21881</v>
      </c>
      <c r="P13" s="81">
        <v>16657</v>
      </c>
      <c r="Q13" s="81">
        <v>11061</v>
      </c>
      <c r="R13" s="81">
        <v>5972</v>
      </c>
      <c r="S13" s="81">
        <v>12381</v>
      </c>
      <c r="T13" s="81">
        <v>12587</v>
      </c>
      <c r="U13" s="81">
        <v>3152</v>
      </c>
      <c r="V13" s="81">
        <v>25</v>
      </c>
      <c r="W13" s="81">
        <v>4967</v>
      </c>
      <c r="X13" s="81">
        <v>5002</v>
      </c>
      <c r="Y13" s="81">
        <v>5031</v>
      </c>
      <c r="Z13" s="81">
        <v>34</v>
      </c>
      <c r="AA13" s="81">
        <v>5318</v>
      </c>
      <c r="AB13" s="81">
        <v>5452</v>
      </c>
      <c r="AC13" s="81">
        <v>5630</v>
      </c>
      <c r="AD13" s="81">
        <v>229</v>
      </c>
      <c r="AE13" s="81">
        <v>28</v>
      </c>
      <c r="AF13" s="81">
        <v>34</v>
      </c>
      <c r="AG13" s="81">
        <v>30</v>
      </c>
      <c r="AH13" s="81">
        <v>31</v>
      </c>
      <c r="AI13" s="81">
        <v>32</v>
      </c>
      <c r="AJ13" s="81">
        <v>56</v>
      </c>
      <c r="AK13" s="81">
        <v>57</v>
      </c>
      <c r="AL13" s="81">
        <v>56</v>
      </c>
      <c r="AM13" s="81">
        <v>84</v>
      </c>
      <c r="AN13" s="81">
        <v>246</v>
      </c>
      <c r="AO13" s="81">
        <v>265</v>
      </c>
      <c r="AP13" s="81">
        <v>391</v>
      </c>
      <c r="AQ13" s="81">
        <v>539</v>
      </c>
      <c r="AR13" s="8"/>
      <c r="AS13" s="8"/>
      <c r="AT13" s="8"/>
    </row>
    <row r="14" spans="1:46">
      <c r="A14" s="11" t="s">
        <v>179</v>
      </c>
      <c r="B14" s="81"/>
      <c r="C14" s="81"/>
      <c r="D14" s="81"/>
      <c r="E14" s="81"/>
      <c r="F14" s="81">
        <v>3274</v>
      </c>
      <c r="G14" s="81">
        <v>3274</v>
      </c>
      <c r="H14" s="81">
        <v>3274</v>
      </c>
      <c r="I14" s="81">
        <v>3274</v>
      </c>
      <c r="J14" s="81">
        <v>3274</v>
      </c>
      <c r="K14" s="81">
        <v>3274</v>
      </c>
      <c r="L14" s="81">
        <v>3274</v>
      </c>
      <c r="M14" s="81">
        <v>3274</v>
      </c>
      <c r="N14" s="81">
        <v>3274</v>
      </c>
      <c r="O14" s="81">
        <v>3274</v>
      </c>
      <c r="P14" s="81">
        <v>3274</v>
      </c>
      <c r="Q14" s="81">
        <v>3274</v>
      </c>
      <c r="R14" s="81">
        <v>3274</v>
      </c>
      <c r="S14" s="81">
        <v>3274</v>
      </c>
      <c r="T14" s="81">
        <v>3274</v>
      </c>
      <c r="U14" s="81">
        <v>3274</v>
      </c>
      <c r="V14" s="81">
        <v>3274</v>
      </c>
      <c r="W14" s="81">
        <v>0</v>
      </c>
      <c r="X14" s="81">
        <v>0</v>
      </c>
      <c r="Y14" s="81">
        <v>0</v>
      </c>
      <c r="Z14" s="81">
        <v>1504</v>
      </c>
      <c r="AA14" s="81">
        <v>1504</v>
      </c>
      <c r="AB14" s="81">
        <v>1509</v>
      </c>
      <c r="AC14" s="81">
        <v>1509</v>
      </c>
      <c r="AD14" s="81">
        <v>1509</v>
      </c>
      <c r="AE14" s="81">
        <v>1509</v>
      </c>
      <c r="AF14" s="81">
        <v>1509</v>
      </c>
      <c r="AG14" s="81">
        <v>1509</v>
      </c>
      <c r="AH14" s="81">
        <v>1509</v>
      </c>
      <c r="AI14" s="81">
        <v>1504</v>
      </c>
      <c r="AJ14" s="81">
        <v>1504</v>
      </c>
      <c r="AK14" s="81">
        <v>1504</v>
      </c>
      <c r="AL14" s="81">
        <v>1504</v>
      </c>
      <c r="AM14" s="81">
        <v>1504</v>
      </c>
      <c r="AN14" s="81">
        <v>1430</v>
      </c>
      <c r="AO14" s="81">
        <v>1430</v>
      </c>
      <c r="AP14" s="81">
        <v>0</v>
      </c>
      <c r="AQ14" s="81">
        <v>0</v>
      </c>
      <c r="AR14" s="8"/>
      <c r="AS14" s="8"/>
      <c r="AT14" s="8"/>
    </row>
    <row r="15" spans="1:46">
      <c r="A15" s="11" t="s">
        <v>45</v>
      </c>
      <c r="B15" s="81">
        <v>143426</v>
      </c>
      <c r="C15" s="81">
        <v>149143</v>
      </c>
      <c r="D15" s="81">
        <v>164876</v>
      </c>
      <c r="E15" s="81">
        <v>166693</v>
      </c>
      <c r="F15" s="81">
        <v>172648</v>
      </c>
      <c r="G15" s="81">
        <v>187815</v>
      </c>
      <c r="H15" s="81">
        <v>201790</v>
      </c>
      <c r="I15" s="81">
        <v>207276</v>
      </c>
      <c r="J15" s="81">
        <v>181431</v>
      </c>
      <c r="K15" s="81">
        <v>103845</v>
      </c>
      <c r="L15" s="81">
        <v>103073</v>
      </c>
      <c r="M15" s="81">
        <v>117357</v>
      </c>
      <c r="N15" s="81">
        <v>99353</v>
      </c>
      <c r="O15" s="81">
        <v>119554</v>
      </c>
      <c r="P15" s="81">
        <v>114831</v>
      </c>
      <c r="Q15" s="81">
        <v>150962</v>
      </c>
      <c r="R15" s="81">
        <v>125297</v>
      </c>
      <c r="S15" s="81">
        <v>169899</v>
      </c>
      <c r="T15" s="81">
        <v>117590</v>
      </c>
      <c r="U15" s="81">
        <v>192317</v>
      </c>
      <c r="V15" s="81">
        <v>124742</v>
      </c>
      <c r="W15" s="81">
        <v>232078</v>
      </c>
      <c r="X15" s="81">
        <v>121452</v>
      </c>
      <c r="Y15" s="81">
        <v>129113</v>
      </c>
      <c r="Z15" s="81">
        <v>156763</v>
      </c>
      <c r="AA15" s="81">
        <v>367381</v>
      </c>
      <c r="AB15" s="81">
        <v>172057</v>
      </c>
      <c r="AC15" s="81">
        <v>396782</v>
      </c>
      <c r="AD15" s="81">
        <v>212334</v>
      </c>
      <c r="AE15" s="81">
        <v>237974</v>
      </c>
      <c r="AF15" s="81">
        <v>229184</v>
      </c>
      <c r="AG15" s="81">
        <v>269203</v>
      </c>
      <c r="AH15" s="81">
        <v>260180</v>
      </c>
      <c r="AI15" s="81">
        <v>297557</v>
      </c>
      <c r="AJ15" s="81">
        <v>294326</v>
      </c>
      <c r="AK15" s="81">
        <v>318624</v>
      </c>
      <c r="AL15" s="81">
        <v>350097</v>
      </c>
      <c r="AM15" s="81">
        <v>374729</v>
      </c>
      <c r="AN15" s="81">
        <v>404340</v>
      </c>
      <c r="AO15" s="81">
        <v>447207</v>
      </c>
      <c r="AP15" s="81">
        <v>489110</v>
      </c>
      <c r="AQ15" s="81">
        <v>521182</v>
      </c>
      <c r="AR15" s="8"/>
      <c r="AS15" s="8"/>
      <c r="AT15" s="8"/>
    </row>
    <row r="16" spans="1:46">
      <c r="A16" s="11" t="s">
        <v>13</v>
      </c>
      <c r="B16" s="81">
        <v>445</v>
      </c>
      <c r="C16" s="81">
        <v>-134</v>
      </c>
      <c r="D16" s="81">
        <v>509</v>
      </c>
      <c r="E16" s="81">
        <v>753</v>
      </c>
      <c r="F16" s="81">
        <v>899</v>
      </c>
      <c r="G16" s="81">
        <v>21</v>
      </c>
      <c r="H16" s="81">
        <v>1425</v>
      </c>
      <c r="I16" s="81">
        <v>2000</v>
      </c>
      <c r="J16" s="81">
        <v>1624</v>
      </c>
      <c r="K16" s="81">
        <v>162</v>
      </c>
      <c r="L16" s="81">
        <v>724</v>
      </c>
      <c r="M16" s="81">
        <v>1025</v>
      </c>
      <c r="N16" s="81">
        <v>472</v>
      </c>
      <c r="O16" s="81">
        <v>173</v>
      </c>
      <c r="P16" s="81">
        <v>880</v>
      </c>
      <c r="Q16" s="81">
        <v>1341</v>
      </c>
      <c r="R16" s="81">
        <v>1255</v>
      </c>
      <c r="S16" s="81">
        <v>1069</v>
      </c>
      <c r="T16" s="81">
        <v>1636</v>
      </c>
      <c r="U16" s="81">
        <v>2890</v>
      </c>
      <c r="V16" s="81">
        <v>2253</v>
      </c>
      <c r="W16" s="81">
        <v>1460</v>
      </c>
      <c r="X16" s="81">
        <v>0</v>
      </c>
      <c r="Y16" s="81">
        <v>3199</v>
      </c>
      <c r="Z16" s="81">
        <v>2396</v>
      </c>
      <c r="AA16" s="81">
        <v>2989</v>
      </c>
      <c r="AB16" s="81">
        <v>3578</v>
      </c>
      <c r="AC16" s="81">
        <v>4863</v>
      </c>
      <c r="AD16" s="81">
        <v>2778</v>
      </c>
      <c r="AE16" s="81">
        <v>2998</v>
      </c>
      <c r="AF16" s="81">
        <v>4335</v>
      </c>
      <c r="AG16" s="81">
        <v>5617</v>
      </c>
      <c r="AH16" s="81">
        <v>4620</v>
      </c>
      <c r="AI16" s="81">
        <v>2521</v>
      </c>
      <c r="AJ16" s="81">
        <v>5178</v>
      </c>
      <c r="AK16" s="81">
        <v>6355</v>
      </c>
      <c r="AL16" s="81">
        <v>3895</v>
      </c>
      <c r="AM16" s="81">
        <v>3981</v>
      </c>
      <c r="AN16" s="81">
        <v>4254</v>
      </c>
      <c r="AO16" s="81">
        <v>5638</v>
      </c>
      <c r="AP16" s="81">
        <v>6390</v>
      </c>
      <c r="AQ16" s="81">
        <v>4497</v>
      </c>
      <c r="AR16" s="8"/>
      <c r="AS16" s="8"/>
      <c r="AT16" s="8"/>
    </row>
    <row r="17" spans="1:46">
      <c r="A17" s="68" t="s">
        <v>15</v>
      </c>
      <c r="B17" s="80">
        <v>628170</v>
      </c>
      <c r="C17" s="80">
        <v>635945</v>
      </c>
      <c r="D17" s="80">
        <v>891229</v>
      </c>
      <c r="E17" s="80">
        <v>924440</v>
      </c>
      <c r="F17" s="80">
        <v>941897</v>
      </c>
      <c r="G17" s="80">
        <v>927194</v>
      </c>
      <c r="H17" s="80">
        <v>910099</v>
      </c>
      <c r="I17" s="80">
        <v>1087050</v>
      </c>
      <c r="J17" s="80">
        <v>1099996</v>
      </c>
      <c r="K17" s="80">
        <v>1382390</v>
      </c>
      <c r="L17" s="80">
        <v>1329970</v>
      </c>
      <c r="M17" s="80">
        <v>1376540</v>
      </c>
      <c r="N17" s="251">
        <v>1309052</v>
      </c>
      <c r="O17" s="251">
        <v>1343288</v>
      </c>
      <c r="P17" s="251">
        <v>1284265</v>
      </c>
      <c r="Q17" s="251">
        <v>1174389</v>
      </c>
      <c r="R17" s="251">
        <v>1165150</v>
      </c>
      <c r="S17" s="251">
        <v>1188239</v>
      </c>
      <c r="T17" s="252">
        <v>1150650</v>
      </c>
      <c r="U17" s="252">
        <v>1195323</v>
      </c>
      <c r="V17" s="252">
        <v>1354722</v>
      </c>
      <c r="W17" s="252">
        <v>1041791</v>
      </c>
      <c r="X17" s="252">
        <v>1149746</v>
      </c>
      <c r="Y17" s="252">
        <v>1012385</v>
      </c>
      <c r="Z17" s="252">
        <v>1147916</v>
      </c>
      <c r="AA17" s="252">
        <v>1262354</v>
      </c>
      <c r="AB17" s="252">
        <v>1556247</v>
      </c>
      <c r="AC17" s="252">
        <v>1413647</v>
      </c>
      <c r="AD17" s="252">
        <v>1745714</v>
      </c>
      <c r="AE17" s="252">
        <v>1790265</v>
      </c>
      <c r="AF17" s="252">
        <v>1888555</v>
      </c>
      <c r="AG17" s="252">
        <v>2011963</v>
      </c>
      <c r="AH17" s="252">
        <v>2031357</v>
      </c>
      <c r="AI17" s="252">
        <v>1975539</v>
      </c>
      <c r="AJ17" s="252">
        <v>1987315</v>
      </c>
      <c r="AK17" s="252">
        <v>2068591</v>
      </c>
      <c r="AL17" s="252">
        <v>2103187</v>
      </c>
      <c r="AM17" s="252">
        <f>SUM(AM18:AM28)</f>
        <v>2075867</v>
      </c>
      <c r="AN17" s="252">
        <f>SUM(AN18:AN28)</f>
        <v>2014554</v>
      </c>
      <c r="AO17" s="252">
        <f>SUM(AO18:AO28)</f>
        <v>1812695</v>
      </c>
      <c r="AP17" s="252">
        <f>SUM(AP18:AP28)</f>
        <v>1887436</v>
      </c>
      <c r="AQ17" s="252">
        <f>SUM(AQ18:AQ28)</f>
        <v>1762394</v>
      </c>
      <c r="AR17" s="8"/>
      <c r="AS17" s="8"/>
      <c r="AT17" s="8"/>
    </row>
    <row r="18" spans="1:46">
      <c r="A18" s="56" t="s">
        <v>41</v>
      </c>
      <c r="B18" s="81">
        <v>112950</v>
      </c>
      <c r="C18" s="81">
        <v>125435</v>
      </c>
      <c r="D18" s="81">
        <v>386587</v>
      </c>
      <c r="E18" s="81">
        <v>423668</v>
      </c>
      <c r="F18" s="81">
        <v>462469</v>
      </c>
      <c r="G18" s="81">
        <v>459518</v>
      </c>
      <c r="H18" s="81">
        <v>466074</v>
      </c>
      <c r="I18" s="81">
        <v>484758</v>
      </c>
      <c r="J18" s="81">
        <v>472542</v>
      </c>
      <c r="K18" s="81">
        <v>494124</v>
      </c>
      <c r="L18" s="81">
        <v>458729</v>
      </c>
      <c r="M18" s="81">
        <v>492872</v>
      </c>
      <c r="N18" s="81">
        <v>452455</v>
      </c>
      <c r="O18" s="81">
        <v>452669</v>
      </c>
      <c r="P18" s="81">
        <v>394190</v>
      </c>
      <c r="Q18" s="81">
        <v>401064</v>
      </c>
      <c r="R18" s="81">
        <v>351822</v>
      </c>
      <c r="S18" s="81">
        <v>482067</v>
      </c>
      <c r="T18" s="81">
        <v>388349</v>
      </c>
      <c r="U18" s="81">
        <v>477952</v>
      </c>
      <c r="V18" s="81">
        <v>567161</v>
      </c>
      <c r="W18" s="81">
        <v>406013</v>
      </c>
      <c r="X18" s="81">
        <v>399438</v>
      </c>
      <c r="Y18" s="81">
        <v>270255</v>
      </c>
      <c r="Z18" s="81">
        <v>387532</v>
      </c>
      <c r="AA18" s="81">
        <v>664798</v>
      </c>
      <c r="AB18" s="81">
        <v>767442</v>
      </c>
      <c r="AC18" s="81">
        <v>854683</v>
      </c>
      <c r="AD18" s="81">
        <v>973122</v>
      </c>
      <c r="AE18" s="81">
        <v>1017085</v>
      </c>
      <c r="AF18" s="81">
        <v>1070512</v>
      </c>
      <c r="AG18" s="81">
        <v>1226256</v>
      </c>
      <c r="AH18" s="81">
        <v>1227453</v>
      </c>
      <c r="AI18" s="81">
        <v>1195350</v>
      </c>
      <c r="AJ18" s="81">
        <v>1176055</v>
      </c>
      <c r="AK18" s="81">
        <v>1234546</v>
      </c>
      <c r="AL18" s="81">
        <v>1213883</v>
      </c>
      <c r="AM18" s="81">
        <v>1200045</v>
      </c>
      <c r="AN18" s="81">
        <v>1143372</v>
      </c>
      <c r="AO18" s="81">
        <v>998928</v>
      </c>
      <c r="AP18" s="81">
        <v>1121321</v>
      </c>
      <c r="AQ18" s="81">
        <v>1000885</v>
      </c>
      <c r="AR18" s="8"/>
      <c r="AS18" s="8"/>
      <c r="AT18" s="8"/>
    </row>
    <row r="19" spans="1:46">
      <c r="A19" s="11" t="s">
        <v>48</v>
      </c>
      <c r="B19" s="81">
        <v>5017</v>
      </c>
      <c r="C19" s="81">
        <v>6229</v>
      </c>
      <c r="D19" s="81">
        <v>6318</v>
      </c>
      <c r="E19" s="81">
        <v>6456</v>
      </c>
      <c r="F19" s="81">
        <v>2856</v>
      </c>
      <c r="G19" s="81">
        <v>2734</v>
      </c>
      <c r="H19" s="81">
        <v>2540</v>
      </c>
      <c r="I19" s="81">
        <v>2256</v>
      </c>
      <c r="J19" s="81">
        <v>1895</v>
      </c>
      <c r="K19" s="81">
        <v>1962</v>
      </c>
      <c r="L19" s="81">
        <v>2422</v>
      </c>
      <c r="M19" s="81">
        <v>2645</v>
      </c>
      <c r="N19" s="81">
        <v>3059</v>
      </c>
      <c r="O19" s="81">
        <v>3056</v>
      </c>
      <c r="P19" s="81">
        <v>4199</v>
      </c>
      <c r="Q19" s="81">
        <v>4039</v>
      </c>
      <c r="R19" s="81">
        <v>3438</v>
      </c>
      <c r="S19" s="81">
        <v>3521</v>
      </c>
      <c r="T19" s="81">
        <v>3421</v>
      </c>
      <c r="U19" s="81">
        <v>3540</v>
      </c>
      <c r="V19" s="81">
        <v>3516</v>
      </c>
      <c r="W19" s="81">
        <v>3550</v>
      </c>
      <c r="X19" s="81">
        <v>2049</v>
      </c>
      <c r="Y19" s="81">
        <v>1874</v>
      </c>
      <c r="Z19" s="81">
        <v>1498</v>
      </c>
      <c r="AA19" s="81">
        <v>1168</v>
      </c>
      <c r="AB19" s="81">
        <v>1218</v>
      </c>
      <c r="AC19" s="81">
        <v>636</v>
      </c>
      <c r="AD19" s="81">
        <v>1270</v>
      </c>
      <c r="AE19" s="81">
        <v>1719</v>
      </c>
      <c r="AF19" s="81">
        <v>1267</v>
      </c>
      <c r="AG19" s="81">
        <v>1336</v>
      </c>
      <c r="AH19" s="81">
        <v>1329</v>
      </c>
      <c r="AI19" s="81">
        <v>1450</v>
      </c>
      <c r="AJ19" s="81">
        <v>1596</v>
      </c>
      <c r="AK19" s="81">
        <v>1613</v>
      </c>
      <c r="AL19" s="81">
        <v>1628</v>
      </c>
      <c r="AM19" s="81">
        <v>1741</v>
      </c>
      <c r="AN19" s="81">
        <v>1508</v>
      </c>
      <c r="AO19" s="81">
        <v>1135</v>
      </c>
      <c r="AP19" s="81">
        <v>955</v>
      </c>
      <c r="AQ19" s="81">
        <v>1044</v>
      </c>
      <c r="AR19" s="8"/>
      <c r="AS19" s="8"/>
      <c r="AT19" s="8"/>
    </row>
    <row r="20" spans="1:46">
      <c r="A20" s="11" t="s">
        <v>180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>
        <v>11012</v>
      </c>
      <c r="Y20" s="81">
        <v>11726</v>
      </c>
      <c r="Z20" s="81">
        <v>11159</v>
      </c>
      <c r="AA20" s="81">
        <v>9908</v>
      </c>
      <c r="AB20" s="81">
        <v>9377</v>
      </c>
      <c r="AC20" s="81">
        <v>8846</v>
      </c>
      <c r="AD20" s="81">
        <v>8933</v>
      </c>
      <c r="AE20" s="81">
        <v>8363</v>
      </c>
      <c r="AF20" s="81">
        <v>7792</v>
      </c>
      <c r="AG20" s="81">
        <v>7222</v>
      </c>
      <c r="AH20" s="81">
        <v>7042</v>
      </c>
      <c r="AI20" s="81">
        <v>6438</v>
      </c>
      <c r="AJ20" s="81">
        <v>5835</v>
      </c>
      <c r="AK20" s="81">
        <v>5231</v>
      </c>
      <c r="AL20" s="81">
        <v>4914</v>
      </c>
      <c r="AM20" s="81">
        <v>4273</v>
      </c>
      <c r="AN20" s="81">
        <v>3632</v>
      </c>
      <c r="AO20" s="81">
        <v>2991</v>
      </c>
      <c r="AP20" s="81">
        <v>2507</v>
      </c>
      <c r="AQ20" s="81">
        <v>1823</v>
      </c>
      <c r="AR20" s="8"/>
      <c r="AS20" s="8"/>
      <c r="AT20" s="8"/>
    </row>
    <row r="21" spans="1:46">
      <c r="A21" s="11" t="s">
        <v>43</v>
      </c>
      <c r="B21" s="81">
        <v>1059</v>
      </c>
      <c r="C21" s="81">
        <v>1059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158055</v>
      </c>
      <c r="J21" s="81">
        <v>160792</v>
      </c>
      <c r="K21" s="81">
        <v>367671</v>
      </c>
      <c r="L21" s="81">
        <v>351569</v>
      </c>
      <c r="M21" s="81">
        <v>374218</v>
      </c>
      <c r="N21" s="81">
        <v>338388</v>
      </c>
      <c r="O21" s="81">
        <v>407883</v>
      </c>
      <c r="P21" s="81">
        <v>394704</v>
      </c>
      <c r="Q21" s="81">
        <v>314122</v>
      </c>
      <c r="R21" s="81">
        <v>312312</v>
      </c>
      <c r="S21" s="81">
        <v>274341</v>
      </c>
      <c r="T21" s="81">
        <v>271871</v>
      </c>
      <c r="U21" s="81">
        <v>269065</v>
      </c>
      <c r="V21" s="81">
        <v>240201</v>
      </c>
      <c r="W21" s="81">
        <v>223036</v>
      </c>
      <c r="X21" s="81">
        <v>209095</v>
      </c>
      <c r="Y21" s="81">
        <v>195855</v>
      </c>
      <c r="Z21" s="81">
        <v>184166</v>
      </c>
      <c r="AA21" s="81">
        <v>197119</v>
      </c>
      <c r="AB21" s="81">
        <v>188661</v>
      </c>
      <c r="AC21" s="81">
        <v>167247</v>
      </c>
      <c r="AD21" s="81">
        <v>160476</v>
      </c>
      <c r="AE21" s="81">
        <v>160188</v>
      </c>
      <c r="AF21" s="81">
        <v>171222</v>
      </c>
      <c r="AG21" s="81">
        <v>161336</v>
      </c>
      <c r="AH21" s="81">
        <v>146370</v>
      </c>
      <c r="AI21" s="81">
        <v>129720</v>
      </c>
      <c r="AJ21" s="81">
        <v>125618</v>
      </c>
      <c r="AK21" s="81">
        <v>135431</v>
      </c>
      <c r="AL21" s="81">
        <v>166020</v>
      </c>
      <c r="AM21" s="81">
        <v>163075</v>
      </c>
      <c r="AN21" s="81">
        <v>168166</v>
      </c>
      <c r="AO21" s="81">
        <v>132305</v>
      </c>
      <c r="AP21" s="81">
        <v>123362</v>
      </c>
      <c r="AQ21" s="81">
        <v>136788</v>
      </c>
      <c r="AR21" s="8"/>
      <c r="AS21" s="8"/>
      <c r="AT21" s="8"/>
    </row>
    <row r="22" spans="1:46">
      <c r="A22" s="11" t="s">
        <v>44</v>
      </c>
      <c r="B22" s="81">
        <v>25028</v>
      </c>
      <c r="C22" s="81">
        <v>27241</v>
      </c>
      <c r="D22" s="81">
        <v>30410</v>
      </c>
      <c r="E22" s="81">
        <v>35835</v>
      </c>
      <c r="F22" s="81">
        <v>48673</v>
      </c>
      <c r="G22" s="81">
        <v>46703</v>
      </c>
      <c r="H22" s="81">
        <v>28253</v>
      </c>
      <c r="I22" s="81">
        <v>36363</v>
      </c>
      <c r="J22" s="81">
        <v>72853</v>
      </c>
      <c r="K22" s="81">
        <v>54357</v>
      </c>
      <c r="L22" s="81">
        <v>56497</v>
      </c>
      <c r="M22" s="81">
        <v>60629</v>
      </c>
      <c r="N22" s="81">
        <v>65195</v>
      </c>
      <c r="O22" s="81">
        <v>37344</v>
      </c>
      <c r="P22" s="81">
        <v>32312</v>
      </c>
      <c r="Q22" s="81">
        <v>34684</v>
      </c>
      <c r="R22" s="81">
        <v>37450</v>
      </c>
      <c r="S22" s="81">
        <v>22663</v>
      </c>
      <c r="T22" s="81">
        <v>26981</v>
      </c>
      <c r="U22" s="81">
        <v>43016</v>
      </c>
      <c r="V22" s="81">
        <v>60555</v>
      </c>
      <c r="W22" s="81">
        <v>23049</v>
      </c>
      <c r="X22" s="81">
        <v>14028</v>
      </c>
      <c r="Y22" s="81">
        <v>14348</v>
      </c>
      <c r="Z22" s="81">
        <v>16802</v>
      </c>
      <c r="AA22" s="81">
        <v>15027</v>
      </c>
      <c r="AB22" s="81">
        <v>16068</v>
      </c>
      <c r="AC22" s="81">
        <v>17661</v>
      </c>
      <c r="AD22" s="81">
        <v>18289</v>
      </c>
      <c r="AE22" s="81">
        <v>19904</v>
      </c>
      <c r="AF22" s="81">
        <v>28744</v>
      </c>
      <c r="AG22" s="81">
        <v>35583</v>
      </c>
      <c r="AH22" s="81">
        <v>23911</v>
      </c>
      <c r="AI22" s="81">
        <v>24395</v>
      </c>
      <c r="AJ22" s="81">
        <v>31604</v>
      </c>
      <c r="AK22" s="81">
        <v>38402</v>
      </c>
      <c r="AL22" s="81">
        <v>30790</v>
      </c>
      <c r="AM22" s="81">
        <v>33912</v>
      </c>
      <c r="AN22" s="81">
        <v>41863</v>
      </c>
      <c r="AO22" s="81">
        <v>53388</v>
      </c>
      <c r="AP22" s="81">
        <v>40180</v>
      </c>
      <c r="AQ22" s="81">
        <v>46104</v>
      </c>
      <c r="AR22" s="8"/>
      <c r="AS22" s="8"/>
      <c r="AT22" s="8"/>
    </row>
    <row r="23" spans="1:46">
      <c r="A23" s="11" t="s">
        <v>45</v>
      </c>
      <c r="B23" s="81"/>
      <c r="C23" s="81"/>
      <c r="D23" s="81"/>
      <c r="E23" s="81"/>
      <c r="F23" s="81">
        <v>2173</v>
      </c>
      <c r="G23" s="81">
        <v>0</v>
      </c>
      <c r="H23" s="81"/>
      <c r="I23" s="81"/>
      <c r="J23" s="81">
        <v>18344</v>
      </c>
      <c r="K23" s="81">
        <v>94829</v>
      </c>
      <c r="L23" s="81">
        <v>93448</v>
      </c>
      <c r="M23" s="81">
        <v>83292</v>
      </c>
      <c r="N23" s="52">
        <v>90298</v>
      </c>
      <c r="O23" s="82">
        <v>89009</v>
      </c>
      <c r="P23" s="82">
        <v>109277</v>
      </c>
      <c r="Q23" s="82">
        <v>74645</v>
      </c>
      <c r="R23" s="82">
        <v>117818</v>
      </c>
      <c r="S23" s="83">
        <v>67437</v>
      </c>
      <c r="T23" s="83">
        <v>124969</v>
      </c>
      <c r="U23" s="83">
        <v>68799</v>
      </c>
      <c r="V23" s="83">
        <v>152809</v>
      </c>
      <c r="W23" s="83">
        <v>57479</v>
      </c>
      <c r="X23" s="83">
        <v>187139</v>
      </c>
      <c r="Y23" s="81">
        <v>192312</v>
      </c>
      <c r="Z23" s="81">
        <v>218916</v>
      </c>
      <c r="AA23" s="81">
        <v>48731</v>
      </c>
      <c r="AB23" s="81">
        <v>249836</v>
      </c>
      <c r="AC23" s="81">
        <v>42261</v>
      </c>
      <c r="AD23" s="81">
        <v>264623</v>
      </c>
      <c r="AE23" s="81">
        <v>266960</v>
      </c>
      <c r="AF23" s="81">
        <v>295554</v>
      </c>
      <c r="AG23" s="81">
        <v>269188</v>
      </c>
      <c r="AH23" s="81">
        <v>317422</v>
      </c>
      <c r="AI23" s="81">
        <v>313210</v>
      </c>
      <c r="AJ23" s="81">
        <v>344190</v>
      </c>
      <c r="AK23" s="81">
        <v>353634</v>
      </c>
      <c r="AL23" s="81">
        <v>389675</v>
      </c>
      <c r="AM23" s="81">
        <v>379658</v>
      </c>
      <c r="AN23" s="81">
        <v>367414</v>
      </c>
      <c r="AO23" s="81">
        <v>338541</v>
      </c>
      <c r="AP23" s="81">
        <v>317334</v>
      </c>
      <c r="AQ23" s="81">
        <v>296781</v>
      </c>
      <c r="AR23" s="8"/>
      <c r="AS23" s="8"/>
      <c r="AT23" s="8"/>
    </row>
    <row r="24" spans="1:46">
      <c r="A24" s="11" t="s">
        <v>181</v>
      </c>
      <c r="B24" s="81">
        <v>427</v>
      </c>
      <c r="C24" s="81">
        <v>421</v>
      </c>
      <c r="D24" s="81">
        <v>421</v>
      </c>
      <c r="E24" s="81">
        <v>421</v>
      </c>
      <c r="F24" s="81">
        <v>421</v>
      </c>
      <c r="G24" s="81">
        <v>421</v>
      </c>
      <c r="H24" s="81">
        <v>253</v>
      </c>
      <c r="I24" s="81">
        <v>253</v>
      </c>
      <c r="J24" s="81">
        <v>253</v>
      </c>
      <c r="K24" s="81">
        <v>255</v>
      </c>
      <c r="L24" s="81">
        <v>255</v>
      </c>
      <c r="M24" s="81">
        <v>255</v>
      </c>
      <c r="N24" s="81">
        <v>255</v>
      </c>
      <c r="O24" s="83">
        <v>255</v>
      </c>
      <c r="P24" s="83">
        <v>296</v>
      </c>
      <c r="Q24" s="83">
        <v>296</v>
      </c>
      <c r="R24" s="83">
        <v>296</v>
      </c>
      <c r="S24" s="82">
        <v>0</v>
      </c>
      <c r="T24" s="82">
        <v>0</v>
      </c>
      <c r="U24" s="83">
        <v>0</v>
      </c>
      <c r="V24" s="83">
        <v>0</v>
      </c>
      <c r="W24" s="83">
        <v>0</v>
      </c>
      <c r="X24" s="83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"/>
      <c r="AS24" s="8"/>
      <c r="AT24" s="8"/>
    </row>
    <row r="25" spans="1:46">
      <c r="A25" s="56" t="s">
        <v>49</v>
      </c>
      <c r="B25" s="81">
        <v>480120</v>
      </c>
      <c r="C25" s="81">
        <v>471899</v>
      </c>
      <c r="D25" s="81">
        <v>463825</v>
      </c>
      <c r="E25" s="81">
        <v>454624</v>
      </c>
      <c r="F25" s="81">
        <v>422431</v>
      </c>
      <c r="G25" s="81">
        <v>414665</v>
      </c>
      <c r="H25" s="81">
        <v>409385</v>
      </c>
      <c r="I25" s="81">
        <v>401690</v>
      </c>
      <c r="J25" s="81">
        <v>369424</v>
      </c>
      <c r="K25" s="81">
        <v>365304</v>
      </c>
      <c r="L25" s="81">
        <v>363029</v>
      </c>
      <c r="M25" s="81">
        <v>358678</v>
      </c>
      <c r="N25" s="52">
        <v>354488</v>
      </c>
      <c r="O25" s="82">
        <v>349188</v>
      </c>
      <c r="P25" s="82">
        <v>345233</v>
      </c>
      <c r="Q25" s="82">
        <v>341681</v>
      </c>
      <c r="R25" s="82">
        <v>337882</v>
      </c>
      <c r="S25" s="83">
        <v>334289</v>
      </c>
      <c r="T25" s="83">
        <v>331171</v>
      </c>
      <c r="U25" s="83">
        <v>328936</v>
      </c>
      <c r="V25" s="83">
        <v>326607</v>
      </c>
      <c r="W25" s="83">
        <v>324635</v>
      </c>
      <c r="X25" s="83">
        <v>323054</v>
      </c>
      <c r="Y25" s="81">
        <v>322288</v>
      </c>
      <c r="Z25" s="81">
        <v>323592</v>
      </c>
      <c r="AA25" s="81">
        <v>321148</v>
      </c>
      <c r="AB25" s="81">
        <v>319278</v>
      </c>
      <c r="AC25" s="81">
        <v>317997</v>
      </c>
      <c r="AD25" s="81">
        <v>315268</v>
      </c>
      <c r="AE25" s="81">
        <v>312122</v>
      </c>
      <c r="AF25" s="81">
        <v>309719</v>
      </c>
      <c r="AG25" s="81">
        <v>307237</v>
      </c>
      <c r="AH25" s="81">
        <v>304201</v>
      </c>
      <c r="AI25" s="81">
        <v>301510</v>
      </c>
      <c r="AJ25" s="81">
        <v>299103</v>
      </c>
      <c r="AK25" s="81">
        <v>296540</v>
      </c>
      <c r="AL25" s="81">
        <v>293202</v>
      </c>
      <c r="AM25" s="81">
        <v>290184</v>
      </c>
      <c r="AN25" s="81">
        <v>287166</v>
      </c>
      <c r="AO25" s="81">
        <v>284155</v>
      </c>
      <c r="AP25" s="81">
        <v>280704</v>
      </c>
      <c r="AQ25" s="81">
        <v>278073</v>
      </c>
      <c r="AR25" s="8"/>
      <c r="AS25" s="8"/>
      <c r="AT25" s="8"/>
    </row>
    <row r="26" spans="1:46">
      <c r="A26" s="11" t="s">
        <v>46</v>
      </c>
      <c r="B26" s="81"/>
      <c r="C26" s="81"/>
      <c r="D26" s="81"/>
      <c r="E26" s="81"/>
      <c r="F26" s="81"/>
      <c r="G26" s="81"/>
      <c r="H26" s="81"/>
      <c r="I26" s="81"/>
      <c r="J26" s="81">
        <v>1808</v>
      </c>
      <c r="K26" s="81"/>
      <c r="L26" s="81"/>
      <c r="M26" s="52"/>
      <c r="N26" s="81"/>
      <c r="O26" s="83"/>
      <c r="P26" s="83"/>
      <c r="Q26" s="83"/>
      <c r="R26" s="83"/>
      <c r="S26" s="83"/>
      <c r="T26" s="83"/>
      <c r="U26" s="83"/>
      <c r="V26" s="83"/>
      <c r="W26" s="83"/>
      <c r="X26" s="83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"/>
      <c r="AS26" s="8"/>
      <c r="AT26" s="8"/>
    </row>
    <row r="27" spans="1:46">
      <c r="A27" s="11" t="s">
        <v>50</v>
      </c>
      <c r="B27" s="81">
        <v>3500</v>
      </c>
      <c r="C27" s="81">
        <v>3592</v>
      </c>
      <c r="D27" s="81">
        <v>3599</v>
      </c>
      <c r="E27" s="81">
        <v>3367</v>
      </c>
      <c r="F27" s="81">
        <v>2874</v>
      </c>
      <c r="G27" s="81">
        <v>3153</v>
      </c>
      <c r="H27" s="81">
        <v>3594</v>
      </c>
      <c r="I27" s="81">
        <v>3675</v>
      </c>
      <c r="J27" s="81">
        <v>2085</v>
      </c>
      <c r="K27" s="81">
        <v>3888</v>
      </c>
      <c r="L27" s="81">
        <v>4021</v>
      </c>
      <c r="M27" s="81">
        <v>3951</v>
      </c>
      <c r="N27" s="81">
        <v>4914</v>
      </c>
      <c r="O27" s="83">
        <v>3884</v>
      </c>
      <c r="P27" s="83">
        <v>4054</v>
      </c>
      <c r="Q27" s="83">
        <v>3858</v>
      </c>
      <c r="R27" s="83">
        <v>4132</v>
      </c>
      <c r="S27" s="83">
        <v>3921</v>
      </c>
      <c r="T27" s="83">
        <v>3888</v>
      </c>
      <c r="U27" s="83">
        <v>4015</v>
      </c>
      <c r="V27" s="83">
        <v>3873</v>
      </c>
      <c r="W27" s="83">
        <v>4029</v>
      </c>
      <c r="X27" s="83">
        <v>3931</v>
      </c>
      <c r="Y27" s="81">
        <v>3727</v>
      </c>
      <c r="Z27" s="81">
        <v>4251</v>
      </c>
      <c r="AA27" s="81">
        <v>4455</v>
      </c>
      <c r="AB27" s="81">
        <v>4367</v>
      </c>
      <c r="AC27" s="81">
        <v>4316</v>
      </c>
      <c r="AD27" s="81">
        <v>3733</v>
      </c>
      <c r="AE27" s="81">
        <v>3924</v>
      </c>
      <c r="AF27" s="81">
        <v>3745</v>
      </c>
      <c r="AG27" s="81">
        <v>3805</v>
      </c>
      <c r="AH27" s="81">
        <v>3629</v>
      </c>
      <c r="AI27" s="81">
        <v>3466</v>
      </c>
      <c r="AJ27" s="81">
        <v>3314</v>
      </c>
      <c r="AK27" s="81">
        <v>3194</v>
      </c>
      <c r="AL27" s="81">
        <v>3075</v>
      </c>
      <c r="AM27" s="81">
        <v>2979</v>
      </c>
      <c r="AN27" s="81">
        <v>1433</v>
      </c>
      <c r="AO27" s="81">
        <v>1252</v>
      </c>
      <c r="AP27" s="81">
        <v>1073</v>
      </c>
      <c r="AQ27" s="81">
        <v>896</v>
      </c>
      <c r="AR27" s="8"/>
      <c r="AS27" s="8"/>
      <c r="AT27" s="8"/>
    </row>
    <row r="28" spans="1:46">
      <c r="A28" s="11" t="s">
        <v>182</v>
      </c>
      <c r="B28" s="81">
        <v>69</v>
      </c>
      <c r="C28" s="81">
        <v>69</v>
      </c>
      <c r="D28" s="81">
        <v>69</v>
      </c>
      <c r="E28" s="81">
        <v>69</v>
      </c>
      <c r="F28" s="81">
        <v>0</v>
      </c>
      <c r="G28" s="81">
        <v>0</v>
      </c>
      <c r="H28" s="81">
        <v>0</v>
      </c>
      <c r="I28" s="81">
        <v>0</v>
      </c>
      <c r="J28" s="81"/>
      <c r="K28" s="81">
        <v>0</v>
      </c>
      <c r="L28" s="81">
        <v>0</v>
      </c>
      <c r="M28" s="52"/>
      <c r="N28" s="81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"/>
      <c r="AS28" s="8"/>
      <c r="AT28" s="8"/>
    </row>
    <row r="29" spans="1:46"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"/>
      <c r="AS29" s="8"/>
      <c r="AT29" s="8"/>
    </row>
    <row r="30" spans="1:46">
      <c r="B30" s="84"/>
      <c r="C30" s="84"/>
      <c r="D30" s="84"/>
      <c r="E30" s="84"/>
      <c r="F30" s="84"/>
      <c r="G30" s="84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8"/>
      <c r="AS30" s="8"/>
      <c r="AT30" s="8"/>
    </row>
    <row r="31" spans="1:46">
      <c r="A31" s="62" t="s">
        <v>17</v>
      </c>
      <c r="B31" s="79">
        <v>1165132</v>
      </c>
      <c r="C31" s="79">
        <v>1189713</v>
      </c>
      <c r="D31" s="79">
        <v>1285386</v>
      </c>
      <c r="E31" s="79">
        <v>1367925</v>
      </c>
      <c r="F31" s="79">
        <v>1579186</v>
      </c>
      <c r="G31" s="79">
        <v>1681305</v>
      </c>
      <c r="H31" s="79">
        <v>1821919</v>
      </c>
      <c r="I31" s="79">
        <v>1974468</v>
      </c>
      <c r="J31" s="79">
        <v>1945295</v>
      </c>
      <c r="K31" s="79">
        <v>1985863</v>
      </c>
      <c r="L31" s="79">
        <v>1974496</v>
      </c>
      <c r="M31" s="79">
        <v>2064888</v>
      </c>
      <c r="N31" s="79">
        <v>1928795</v>
      </c>
      <c r="O31" s="79">
        <v>2133040</v>
      </c>
      <c r="P31" s="79">
        <v>2172862</v>
      </c>
      <c r="Q31" s="79">
        <v>2056048</v>
      </c>
      <c r="R31" s="79">
        <v>2043830</v>
      </c>
      <c r="S31" s="79">
        <v>1780124</v>
      </c>
      <c r="T31" s="79">
        <v>1838295</v>
      </c>
      <c r="U31" s="79">
        <v>2026156</v>
      </c>
      <c r="V31" s="79">
        <v>2043631</v>
      </c>
      <c r="W31" s="79">
        <v>1932969</v>
      </c>
      <c r="X31" s="79">
        <v>1929257</v>
      </c>
      <c r="Y31" s="79">
        <v>2050099</v>
      </c>
      <c r="Z31" s="79">
        <v>2015458</v>
      </c>
      <c r="AA31" s="79">
        <v>2306468</v>
      </c>
      <c r="AB31" s="79">
        <v>2282276</v>
      </c>
      <c r="AC31" s="79">
        <v>2216199</v>
      </c>
      <c r="AD31" s="79">
        <v>2349066</v>
      </c>
      <c r="AE31" s="79">
        <v>2512514</v>
      </c>
      <c r="AF31" s="79">
        <v>2847790</v>
      </c>
      <c r="AG31" s="79">
        <v>2729340</v>
      </c>
      <c r="AH31" s="79">
        <v>2821582</v>
      </c>
      <c r="AI31" s="79">
        <v>2850665</v>
      </c>
      <c r="AJ31" s="79">
        <v>2898948</v>
      </c>
      <c r="AK31" s="79">
        <v>2987916</v>
      </c>
      <c r="AL31" s="79">
        <v>3298471</v>
      </c>
      <c r="AM31" s="79">
        <f>AM32+AM39</f>
        <v>3318897</v>
      </c>
      <c r="AN31" s="79">
        <f>AN32+AN39</f>
        <v>3423146</v>
      </c>
      <c r="AO31" s="79">
        <f>AO32+AO39</f>
        <v>3139232</v>
      </c>
      <c r="AP31" s="79">
        <f>AP32+AP39</f>
        <v>3266714</v>
      </c>
      <c r="AQ31" s="79">
        <f>AQ32+AQ39</f>
        <v>3616968</v>
      </c>
      <c r="AR31" s="8"/>
      <c r="AS31" s="8"/>
      <c r="AT31" s="8"/>
    </row>
    <row r="32" spans="1:46">
      <c r="A32" s="68" t="s">
        <v>6</v>
      </c>
      <c r="B32" s="80">
        <v>753988</v>
      </c>
      <c r="C32" s="80">
        <v>768657</v>
      </c>
      <c r="D32" s="80">
        <v>856545</v>
      </c>
      <c r="E32" s="80">
        <v>928365</v>
      </c>
      <c r="F32" s="80">
        <v>1107975</v>
      </c>
      <c r="G32" s="80">
        <v>1397428</v>
      </c>
      <c r="H32" s="80">
        <v>1529994</v>
      </c>
      <c r="I32" s="80">
        <v>1672049</v>
      </c>
      <c r="J32" s="80">
        <v>1642430</v>
      </c>
      <c r="K32" s="80">
        <v>1424799</v>
      </c>
      <c r="L32" s="80">
        <v>1431928</v>
      </c>
      <c r="M32" s="80">
        <v>1541238</v>
      </c>
      <c r="N32" s="80">
        <v>1398604</v>
      </c>
      <c r="O32" s="80">
        <v>1570991</v>
      </c>
      <c r="P32" s="80">
        <v>1579882</v>
      </c>
      <c r="Q32" s="80">
        <v>1609829</v>
      </c>
      <c r="R32" s="80">
        <v>1527282</v>
      </c>
      <c r="S32" s="80">
        <v>1391204</v>
      </c>
      <c r="T32" s="80">
        <v>1319278</v>
      </c>
      <c r="U32" s="80">
        <v>1646892</v>
      </c>
      <c r="V32" s="80">
        <v>1459016</v>
      </c>
      <c r="W32" s="80">
        <v>1614747</v>
      </c>
      <c r="X32" s="80">
        <v>1243041</v>
      </c>
      <c r="Y32" s="80">
        <v>1352030</v>
      </c>
      <c r="Z32" s="80">
        <v>1316848</v>
      </c>
      <c r="AA32" s="80">
        <v>2016657</v>
      </c>
      <c r="AB32" s="80">
        <v>1518751</v>
      </c>
      <c r="AC32" s="80">
        <v>1965446</v>
      </c>
      <c r="AD32" s="80">
        <v>1564150</v>
      </c>
      <c r="AE32" s="80">
        <v>1726093</v>
      </c>
      <c r="AF32" s="80">
        <v>1975418</v>
      </c>
      <c r="AG32" s="80">
        <v>2480346</v>
      </c>
      <c r="AH32" s="80">
        <v>1934929</v>
      </c>
      <c r="AI32" s="80">
        <v>1984728</v>
      </c>
      <c r="AJ32" s="80">
        <v>1977252</v>
      </c>
      <c r="AK32" s="80">
        <v>2041914</v>
      </c>
      <c r="AL32" s="80">
        <v>2289798</v>
      </c>
      <c r="AM32" s="80">
        <f>SUM(AM33:AM38)</f>
        <v>2343589</v>
      </c>
      <c r="AN32" s="80">
        <f>SUM(AN33:AN38)</f>
        <v>2478014</v>
      </c>
      <c r="AO32" s="80">
        <f>SUM(AO33:AO38)</f>
        <v>2281828</v>
      </c>
      <c r="AP32" s="80">
        <f>SUM(AP33:AP38)</f>
        <v>2453496</v>
      </c>
      <c r="AQ32" s="80">
        <f>SUM(AQ33:AQ38)</f>
        <v>2827447</v>
      </c>
      <c r="AR32" s="8"/>
      <c r="AS32" s="8"/>
      <c r="AT32" s="8"/>
    </row>
    <row r="33" spans="1:46">
      <c r="A33" s="11" t="s">
        <v>154</v>
      </c>
      <c r="B33" s="52">
        <v>47113</v>
      </c>
      <c r="C33" s="52">
        <v>58219</v>
      </c>
      <c r="D33" s="52">
        <v>86758</v>
      </c>
      <c r="E33" s="52">
        <v>90821</v>
      </c>
      <c r="F33" s="52">
        <v>96701</v>
      </c>
      <c r="G33" s="52">
        <v>122803</v>
      </c>
      <c r="H33" s="52">
        <v>142112</v>
      </c>
      <c r="I33" s="52">
        <v>154573</v>
      </c>
      <c r="J33" s="52">
        <v>865403</v>
      </c>
      <c r="K33" s="52">
        <v>139984</v>
      </c>
      <c r="L33" s="52">
        <v>133418</v>
      </c>
      <c r="M33" s="52">
        <v>133017</v>
      </c>
      <c r="N33" s="52">
        <v>117473</v>
      </c>
      <c r="O33" s="52">
        <v>124737</v>
      </c>
      <c r="P33" s="52">
        <v>154224</v>
      </c>
      <c r="Q33" s="52">
        <v>162496</v>
      </c>
      <c r="R33" s="52">
        <v>186642</v>
      </c>
      <c r="S33" s="52">
        <v>141515</v>
      </c>
      <c r="T33" s="52">
        <v>146273</v>
      </c>
      <c r="U33" s="52">
        <v>167758</v>
      </c>
      <c r="V33" s="52">
        <v>196251</v>
      </c>
      <c r="W33" s="52">
        <v>154549</v>
      </c>
      <c r="X33" s="52">
        <v>145986</v>
      </c>
      <c r="Y33" s="52">
        <v>157877</v>
      </c>
      <c r="Z33" s="52">
        <v>179471</v>
      </c>
      <c r="AA33" s="52">
        <v>165467</v>
      </c>
      <c r="AB33" s="52">
        <v>149960</v>
      </c>
      <c r="AC33" s="52">
        <v>155260</v>
      </c>
      <c r="AD33" s="52">
        <v>209881</v>
      </c>
      <c r="AE33" s="52">
        <v>211287</v>
      </c>
      <c r="AF33" s="52">
        <v>246079</v>
      </c>
      <c r="AG33" s="52">
        <v>254877</v>
      </c>
      <c r="AH33" s="52">
        <v>279347</v>
      </c>
      <c r="AI33" s="52">
        <v>267664</v>
      </c>
      <c r="AJ33" s="52">
        <v>274600</v>
      </c>
      <c r="AK33" s="52">
        <v>208209</v>
      </c>
      <c r="AL33" s="52">
        <v>215970</v>
      </c>
      <c r="AM33" s="52">
        <v>204855</v>
      </c>
      <c r="AN33" s="52">
        <v>212839</v>
      </c>
      <c r="AO33" s="52">
        <v>198832</v>
      </c>
      <c r="AP33" s="52">
        <v>183800</v>
      </c>
      <c r="AQ33" s="81">
        <v>196762</v>
      </c>
      <c r="AR33" s="8"/>
      <c r="AS33" s="8"/>
      <c r="AT33" s="8"/>
    </row>
    <row r="34" spans="1:46">
      <c r="A34" s="11" t="s">
        <v>53</v>
      </c>
      <c r="B34" s="52">
        <v>281565</v>
      </c>
      <c r="C34" s="52">
        <v>255268</v>
      </c>
      <c r="D34" s="52">
        <v>280135</v>
      </c>
      <c r="E34" s="52">
        <v>325291</v>
      </c>
      <c r="F34" s="52">
        <v>436962</v>
      </c>
      <c r="G34" s="52">
        <v>483112</v>
      </c>
      <c r="H34" s="52">
        <v>545421</v>
      </c>
      <c r="I34" s="52">
        <v>598651</v>
      </c>
      <c r="J34" s="52">
        <v>699460</v>
      </c>
      <c r="K34" s="52">
        <v>605797</v>
      </c>
      <c r="L34" s="52">
        <v>591817</v>
      </c>
      <c r="M34" s="52">
        <v>622697</v>
      </c>
      <c r="N34" s="52">
        <v>489262</v>
      </c>
      <c r="O34" s="52">
        <v>580563</v>
      </c>
      <c r="P34" s="52">
        <v>612844</v>
      </c>
      <c r="Q34" s="52">
        <v>569112</v>
      </c>
      <c r="R34" s="52">
        <v>542316</v>
      </c>
      <c r="S34" s="52">
        <v>474858</v>
      </c>
      <c r="T34" s="52">
        <v>482980</v>
      </c>
      <c r="U34" s="52">
        <v>515574</v>
      </c>
      <c r="V34" s="52">
        <v>434359</v>
      </c>
      <c r="W34" s="52">
        <v>348859</v>
      </c>
      <c r="X34" s="52">
        <v>351594</v>
      </c>
      <c r="Y34" s="52">
        <v>327720</v>
      </c>
      <c r="Z34" s="52">
        <v>274547</v>
      </c>
      <c r="AA34" s="52">
        <v>329286</v>
      </c>
      <c r="AB34" s="52">
        <v>310623</v>
      </c>
      <c r="AC34" s="52">
        <v>252222</v>
      </c>
      <c r="AD34" s="52">
        <v>227268</v>
      </c>
      <c r="AE34" s="52">
        <v>259564</v>
      </c>
      <c r="AF34" s="52">
        <v>269939</v>
      </c>
      <c r="AG34" s="52">
        <v>297573</v>
      </c>
      <c r="AH34" s="52">
        <v>266195</v>
      </c>
      <c r="AI34" s="52">
        <v>252292</v>
      </c>
      <c r="AJ34" s="52">
        <v>257843</v>
      </c>
      <c r="AK34" s="52">
        <v>271511</v>
      </c>
      <c r="AL34" s="52">
        <v>314950</v>
      </c>
      <c r="AM34" s="52">
        <v>298974</v>
      </c>
      <c r="AN34" s="52">
        <v>311885</v>
      </c>
      <c r="AO34" s="52">
        <v>251360</v>
      </c>
      <c r="AP34" s="52">
        <v>233990</v>
      </c>
      <c r="AQ34" s="81">
        <v>285448</v>
      </c>
      <c r="AR34" s="8"/>
      <c r="AS34" s="8"/>
      <c r="AT34" s="8"/>
    </row>
    <row r="35" spans="1:46">
      <c r="A35" s="11" t="s">
        <v>55</v>
      </c>
      <c r="B35" s="52">
        <v>1</v>
      </c>
      <c r="C35" s="52">
        <v>1</v>
      </c>
      <c r="D35" s="52">
        <v>1</v>
      </c>
      <c r="E35" s="52">
        <v>1</v>
      </c>
      <c r="F35" s="52">
        <v>31167</v>
      </c>
      <c r="G35" s="52">
        <v>2532</v>
      </c>
      <c r="H35" s="52">
        <v>2</v>
      </c>
      <c r="I35" s="52">
        <v>2</v>
      </c>
      <c r="J35" s="52">
        <v>44372</v>
      </c>
      <c r="K35" s="52">
        <v>3</v>
      </c>
      <c r="L35" s="52">
        <v>3</v>
      </c>
      <c r="M35" s="52">
        <v>3</v>
      </c>
      <c r="N35" s="52">
        <v>38933</v>
      </c>
      <c r="O35" s="52">
        <v>38933</v>
      </c>
      <c r="P35" s="52">
        <v>21508</v>
      </c>
      <c r="Q35" s="52">
        <v>30751</v>
      </c>
      <c r="R35" s="52">
        <v>32049</v>
      </c>
      <c r="S35" s="52">
        <v>39341</v>
      </c>
      <c r="T35" s="52">
        <v>14043</v>
      </c>
      <c r="U35" s="52">
        <v>20381</v>
      </c>
      <c r="V35" s="52">
        <v>21981</v>
      </c>
      <c r="W35" s="52">
        <v>28131</v>
      </c>
      <c r="X35" s="52">
        <v>12614</v>
      </c>
      <c r="Y35" s="52">
        <v>19452</v>
      </c>
      <c r="Z35" s="52">
        <v>22645</v>
      </c>
      <c r="AA35" s="52">
        <v>31078</v>
      </c>
      <c r="AB35" s="52">
        <v>17902</v>
      </c>
      <c r="AC35" s="52">
        <v>27625</v>
      </c>
      <c r="AD35" s="52">
        <v>31689</v>
      </c>
      <c r="AE35" s="52">
        <v>61348</v>
      </c>
      <c r="AF35" s="52">
        <v>24508</v>
      </c>
      <c r="AG35" s="52">
        <v>36110</v>
      </c>
      <c r="AH35" s="52">
        <v>39165</v>
      </c>
      <c r="AI35" s="52">
        <v>91930</v>
      </c>
      <c r="AJ35" s="52">
        <v>25053</v>
      </c>
      <c r="AK35" s="52">
        <v>38162</v>
      </c>
      <c r="AL35" s="52">
        <v>106106</v>
      </c>
      <c r="AM35" s="52">
        <v>236549</v>
      </c>
      <c r="AN35" s="52">
        <v>257570</v>
      </c>
      <c r="AO35" s="52">
        <v>44094</v>
      </c>
      <c r="AP35" s="52">
        <v>117712</v>
      </c>
      <c r="AQ35" s="81">
        <v>481511</v>
      </c>
      <c r="AR35" s="8"/>
      <c r="AS35" s="8"/>
      <c r="AT35" s="8"/>
    </row>
    <row r="36" spans="1:46">
      <c r="A36" s="11" t="s">
        <v>44</v>
      </c>
      <c r="B36" s="52">
        <v>12374</v>
      </c>
      <c r="C36" s="52">
        <v>20503</v>
      </c>
      <c r="D36" s="52">
        <v>23742</v>
      </c>
      <c r="E36" s="52">
        <v>25842</v>
      </c>
      <c r="F36" s="52">
        <v>17622</v>
      </c>
      <c r="G36" s="52">
        <v>20413</v>
      </c>
      <c r="H36" s="52">
        <v>12724</v>
      </c>
      <c r="I36" s="52">
        <v>19797</v>
      </c>
      <c r="J36" s="52">
        <v>12063</v>
      </c>
      <c r="K36" s="52">
        <v>15065</v>
      </c>
      <c r="L36" s="52">
        <v>19056</v>
      </c>
      <c r="M36" s="52">
        <v>26615</v>
      </c>
      <c r="N36" s="52">
        <v>18229</v>
      </c>
      <c r="O36" s="52">
        <v>8716</v>
      </c>
      <c r="P36" s="52">
        <v>13794</v>
      </c>
      <c r="Q36" s="52">
        <v>19900</v>
      </c>
      <c r="R36" s="52">
        <v>17034</v>
      </c>
      <c r="S36" s="52">
        <v>13817</v>
      </c>
      <c r="T36" s="52">
        <v>33022</v>
      </c>
      <c r="U36" s="52">
        <v>41383</v>
      </c>
      <c r="V36" s="52">
        <v>49863</v>
      </c>
      <c r="W36" s="52">
        <v>22820</v>
      </c>
      <c r="X36" s="52">
        <v>10469</v>
      </c>
      <c r="Y36" s="52">
        <v>13620</v>
      </c>
      <c r="Z36" s="52">
        <v>7954</v>
      </c>
      <c r="AA36" s="52">
        <v>20728</v>
      </c>
      <c r="AB36" s="52">
        <v>24763</v>
      </c>
      <c r="AC36" s="52">
        <v>54520</v>
      </c>
      <c r="AD36" s="52">
        <v>73167</v>
      </c>
      <c r="AE36" s="52">
        <v>57573</v>
      </c>
      <c r="AF36" s="52">
        <v>78492</v>
      </c>
      <c r="AG36" s="52">
        <v>115810</v>
      </c>
      <c r="AH36" s="52">
        <v>128812</v>
      </c>
      <c r="AI36" s="52">
        <v>75482</v>
      </c>
      <c r="AJ36" s="52">
        <v>118779</v>
      </c>
      <c r="AK36" s="52">
        <v>172637</v>
      </c>
      <c r="AL36" s="52">
        <v>195597</v>
      </c>
      <c r="AM36" s="52">
        <v>84181</v>
      </c>
      <c r="AN36" s="52">
        <v>128905</v>
      </c>
      <c r="AO36" s="52">
        <v>190236</v>
      </c>
      <c r="AP36" s="52">
        <v>195447</v>
      </c>
      <c r="AQ36" s="81">
        <v>107794</v>
      </c>
      <c r="AR36" s="8"/>
      <c r="AS36" s="8"/>
      <c r="AT36" s="8"/>
    </row>
    <row r="37" spans="1:46">
      <c r="A37" s="11" t="s">
        <v>183</v>
      </c>
      <c r="B37" s="52">
        <v>401027</v>
      </c>
      <c r="C37" s="52">
        <v>429794</v>
      </c>
      <c r="D37" s="52">
        <v>456454</v>
      </c>
      <c r="E37" s="52">
        <v>474311</v>
      </c>
      <c r="F37" s="52">
        <v>516928</v>
      </c>
      <c r="G37" s="52">
        <v>759810</v>
      </c>
      <c r="H37" s="52">
        <v>818550</v>
      </c>
      <c r="I37" s="52">
        <v>886218</v>
      </c>
      <c r="J37" s="52"/>
      <c r="K37" s="52">
        <v>643610</v>
      </c>
      <c r="L37" s="52">
        <v>663832</v>
      </c>
      <c r="M37" s="52">
        <v>730676</v>
      </c>
      <c r="N37" s="52">
        <v>705805</v>
      </c>
      <c r="O37" s="52">
        <v>800575</v>
      </c>
      <c r="P37" s="52">
        <v>756304</v>
      </c>
      <c r="Q37" s="52">
        <v>798174</v>
      </c>
      <c r="R37" s="52">
        <v>726330</v>
      </c>
      <c r="S37" s="52">
        <v>705236</v>
      </c>
      <c r="T37" s="52">
        <v>619861</v>
      </c>
      <c r="U37" s="52">
        <v>873909</v>
      </c>
      <c r="V37" s="52">
        <v>719643</v>
      </c>
      <c r="W37" s="52">
        <v>1037928</v>
      </c>
      <c r="X37" s="52">
        <v>699029</v>
      </c>
      <c r="Y37" s="52">
        <v>804768</v>
      </c>
      <c r="Z37" s="52">
        <v>795049</v>
      </c>
      <c r="AA37" s="52">
        <v>1441313</v>
      </c>
      <c r="AB37" s="52">
        <v>979474</v>
      </c>
      <c r="AC37" s="52">
        <v>1439928</v>
      </c>
      <c r="AD37" s="52">
        <v>980405</v>
      </c>
      <c r="AE37" s="52">
        <v>1103114</v>
      </c>
      <c r="AF37" s="52">
        <v>1315674</v>
      </c>
      <c r="AG37" s="52">
        <v>1733916</v>
      </c>
      <c r="AH37" s="52">
        <v>1171558</v>
      </c>
      <c r="AI37" s="52">
        <v>1260862</v>
      </c>
      <c r="AJ37" s="52">
        <v>1259561</v>
      </c>
      <c r="AK37" s="52">
        <v>1304868</v>
      </c>
      <c r="AL37" s="52">
        <v>1403563</v>
      </c>
      <c r="AM37" s="52">
        <v>1484441</v>
      </c>
      <c r="AN37" s="52">
        <v>1529026</v>
      </c>
      <c r="AO37" s="52">
        <v>1556039</v>
      </c>
      <c r="AP37" s="52">
        <v>1671743</v>
      </c>
      <c r="AQ37" s="81">
        <v>1722192</v>
      </c>
      <c r="AR37" s="8"/>
      <c r="AS37" s="8"/>
      <c r="AT37" s="8"/>
    </row>
    <row r="38" spans="1:46">
      <c r="A38" s="11" t="s">
        <v>33</v>
      </c>
      <c r="B38" s="52">
        <v>11908</v>
      </c>
      <c r="C38" s="52">
        <v>4872</v>
      </c>
      <c r="D38" s="52">
        <v>9455</v>
      </c>
      <c r="E38" s="52">
        <v>12099</v>
      </c>
      <c r="F38" s="52">
        <v>8595</v>
      </c>
      <c r="G38" s="52">
        <v>8758</v>
      </c>
      <c r="H38" s="52">
        <v>11185</v>
      </c>
      <c r="I38" s="52">
        <v>12808</v>
      </c>
      <c r="J38" s="52">
        <v>21132</v>
      </c>
      <c r="K38" s="52">
        <v>20340</v>
      </c>
      <c r="L38" s="52">
        <v>23802</v>
      </c>
      <c r="M38" s="52">
        <v>28230</v>
      </c>
      <c r="N38" s="52">
        <v>28902</v>
      </c>
      <c r="O38" s="52">
        <v>17467</v>
      </c>
      <c r="P38" s="52">
        <v>21208</v>
      </c>
      <c r="Q38" s="52">
        <v>29396</v>
      </c>
      <c r="R38" s="52">
        <v>22911</v>
      </c>
      <c r="S38" s="52">
        <v>16437</v>
      </c>
      <c r="T38" s="52">
        <v>23099</v>
      </c>
      <c r="U38" s="52">
        <v>27887</v>
      </c>
      <c r="V38" s="52">
        <v>36919</v>
      </c>
      <c r="W38" s="52">
        <v>22460</v>
      </c>
      <c r="X38" s="52">
        <v>23349</v>
      </c>
      <c r="Y38" s="52">
        <v>28593</v>
      </c>
      <c r="Z38" s="52">
        <v>37182</v>
      </c>
      <c r="AA38" s="52">
        <v>28785</v>
      </c>
      <c r="AB38" s="52">
        <v>36029</v>
      </c>
      <c r="AC38" s="52">
        <v>35891</v>
      </c>
      <c r="AD38" s="52">
        <v>41740</v>
      </c>
      <c r="AE38" s="52">
        <v>33207</v>
      </c>
      <c r="AF38" s="52">
        <v>40726</v>
      </c>
      <c r="AG38" s="52">
        <v>42060</v>
      </c>
      <c r="AH38" s="52">
        <v>49852</v>
      </c>
      <c r="AI38" s="52">
        <v>36498</v>
      </c>
      <c r="AJ38" s="52">
        <v>41416</v>
      </c>
      <c r="AK38" s="52">
        <v>46527</v>
      </c>
      <c r="AL38" s="52">
        <v>53612</v>
      </c>
      <c r="AM38" s="52">
        <v>34589</v>
      </c>
      <c r="AN38" s="52">
        <v>37789</v>
      </c>
      <c r="AO38" s="52">
        <v>41267</v>
      </c>
      <c r="AP38" s="52">
        <v>50804</v>
      </c>
      <c r="AQ38" s="81">
        <v>33740</v>
      </c>
      <c r="AR38" s="8"/>
      <c r="AS38" s="8"/>
      <c r="AT38" s="8"/>
    </row>
    <row r="39" spans="1:46">
      <c r="A39" s="68" t="s">
        <v>15</v>
      </c>
      <c r="B39" s="80">
        <v>411144</v>
      </c>
      <c r="C39" s="80">
        <v>421056</v>
      </c>
      <c r="D39" s="80">
        <v>428841</v>
      </c>
      <c r="E39" s="80">
        <v>439560</v>
      </c>
      <c r="F39" s="80">
        <v>471211</v>
      </c>
      <c r="G39" s="80">
        <v>283877</v>
      </c>
      <c r="H39" s="80">
        <v>291925</v>
      </c>
      <c r="I39" s="80">
        <v>302419</v>
      </c>
      <c r="J39" s="80">
        <v>302865</v>
      </c>
      <c r="K39" s="80">
        <v>561064</v>
      </c>
      <c r="L39" s="80">
        <v>542568</v>
      </c>
      <c r="M39" s="80">
        <v>523650</v>
      </c>
      <c r="N39" s="80">
        <v>530191</v>
      </c>
      <c r="O39" s="80">
        <v>562049</v>
      </c>
      <c r="P39" s="80">
        <v>592980</v>
      </c>
      <c r="Q39" s="80">
        <v>446219</v>
      </c>
      <c r="R39" s="80">
        <v>516548</v>
      </c>
      <c r="S39" s="80">
        <v>388920</v>
      </c>
      <c r="T39" s="80">
        <v>519017</v>
      </c>
      <c r="U39" s="80">
        <v>379264</v>
      </c>
      <c r="V39" s="80">
        <v>584615</v>
      </c>
      <c r="W39" s="80">
        <v>318222</v>
      </c>
      <c r="X39" s="80">
        <v>686216</v>
      </c>
      <c r="Y39" s="80">
        <v>698069</v>
      </c>
      <c r="Z39" s="80">
        <v>698610</v>
      </c>
      <c r="AA39" s="80">
        <v>289811</v>
      </c>
      <c r="AB39" s="80">
        <v>763525</v>
      </c>
      <c r="AC39" s="80">
        <v>250753</v>
      </c>
      <c r="AD39" s="80">
        <v>784916</v>
      </c>
      <c r="AE39" s="80">
        <v>786421</v>
      </c>
      <c r="AF39" s="80">
        <v>872372</v>
      </c>
      <c r="AG39" s="80">
        <v>248994</v>
      </c>
      <c r="AH39" s="80">
        <v>886653</v>
      </c>
      <c r="AI39" s="80">
        <v>865937</v>
      </c>
      <c r="AJ39" s="80">
        <v>921696</v>
      </c>
      <c r="AK39" s="80">
        <v>946002</v>
      </c>
      <c r="AL39" s="80">
        <v>1008673</v>
      </c>
      <c r="AM39" s="80">
        <f>SUM(AM40:AM44)</f>
        <v>975308</v>
      </c>
      <c r="AN39" s="80">
        <f>SUM(AN40:AN44)</f>
        <v>945132</v>
      </c>
      <c r="AO39" s="80">
        <f>SUM(AO40:AO44)</f>
        <v>857404</v>
      </c>
      <c r="AP39" s="80">
        <f>SUM(AP40:AP44)</f>
        <v>813218</v>
      </c>
      <c r="AQ39" s="80">
        <f>SUM(AQ40:AQ44)</f>
        <v>789521</v>
      </c>
      <c r="AR39" s="8"/>
      <c r="AS39" s="8"/>
      <c r="AT39" s="8"/>
    </row>
    <row r="40" spans="1:46">
      <c r="A40" s="11" t="s">
        <v>154</v>
      </c>
      <c r="B40" s="52">
        <v>353135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240501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8"/>
      <c r="AS40" s="8"/>
      <c r="AT40" s="8"/>
    </row>
    <row r="41" spans="1:46">
      <c r="A41" s="11" t="s">
        <v>53</v>
      </c>
      <c r="B41" s="52">
        <v>-35</v>
      </c>
      <c r="C41" s="52">
        <v>-35</v>
      </c>
      <c r="D41" s="52">
        <v>-35</v>
      </c>
      <c r="E41" s="52">
        <v>-35</v>
      </c>
      <c r="F41" s="52">
        <v>-35</v>
      </c>
      <c r="G41" s="52">
        <v>-35</v>
      </c>
      <c r="H41" s="52">
        <v>0</v>
      </c>
      <c r="I41" s="52">
        <v>0</v>
      </c>
      <c r="J41" s="52"/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/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8"/>
      <c r="AS41" s="8"/>
      <c r="AT41" s="8"/>
    </row>
    <row r="42" spans="1:46">
      <c r="A42" s="11" t="s">
        <v>44</v>
      </c>
      <c r="B42" s="52">
        <v>47672</v>
      </c>
      <c r="C42" s="52">
        <v>48284</v>
      </c>
      <c r="D42" s="52">
        <v>43368</v>
      </c>
      <c r="E42" s="52">
        <v>40583</v>
      </c>
      <c r="F42" s="52">
        <v>41581</v>
      </c>
      <c r="G42" s="52">
        <v>40808</v>
      </c>
      <c r="H42" s="52">
        <v>39515</v>
      </c>
      <c r="I42" s="52">
        <v>39012</v>
      </c>
      <c r="J42" s="52">
        <v>37518</v>
      </c>
      <c r="K42" s="52">
        <v>36900</v>
      </c>
      <c r="L42" s="52">
        <v>35109</v>
      </c>
      <c r="M42" s="52">
        <v>34071</v>
      </c>
      <c r="N42" s="52">
        <v>33855</v>
      </c>
      <c r="O42" s="52">
        <v>32934</v>
      </c>
      <c r="P42" s="52">
        <v>32470</v>
      </c>
      <c r="Q42" s="52">
        <v>31774</v>
      </c>
      <c r="R42" s="52">
        <v>30931</v>
      </c>
      <c r="S42" s="52">
        <v>29638</v>
      </c>
      <c r="T42" s="52">
        <v>29344</v>
      </c>
      <c r="U42" s="52">
        <v>27680</v>
      </c>
      <c r="V42" s="52">
        <v>26743</v>
      </c>
      <c r="W42" s="52">
        <v>23827</v>
      </c>
      <c r="X42" s="52">
        <v>24376</v>
      </c>
      <c r="Y42" s="52">
        <v>23474</v>
      </c>
      <c r="Z42" s="52">
        <v>22416</v>
      </c>
      <c r="AA42" s="52">
        <v>22170</v>
      </c>
      <c r="AB42" s="52">
        <v>21007</v>
      </c>
      <c r="AC42" s="52">
        <v>20303</v>
      </c>
      <c r="AD42" s="52">
        <v>19669</v>
      </c>
      <c r="AE42" s="52">
        <v>18950</v>
      </c>
      <c r="AF42" s="52">
        <v>19062</v>
      </c>
      <c r="AG42" s="52">
        <v>18074</v>
      </c>
      <c r="AH42" s="52">
        <v>17880</v>
      </c>
      <c r="AI42" s="52">
        <v>16860</v>
      </c>
      <c r="AJ42" s="52">
        <v>15812</v>
      </c>
      <c r="AK42" s="52">
        <v>15216</v>
      </c>
      <c r="AL42" s="52">
        <v>14619</v>
      </c>
      <c r="AM42" s="52">
        <v>14078</v>
      </c>
      <c r="AN42" s="52">
        <v>13536</v>
      </c>
      <c r="AO42" s="52">
        <v>12995</v>
      </c>
      <c r="AP42" s="52">
        <v>12411</v>
      </c>
      <c r="AQ42" s="52">
        <v>11920</v>
      </c>
      <c r="AR42" s="8"/>
      <c r="AS42" s="8"/>
      <c r="AT42" s="8"/>
    </row>
    <row r="43" spans="1:46">
      <c r="A43" s="11" t="s">
        <v>183</v>
      </c>
      <c r="B43" s="52">
        <v>10372</v>
      </c>
      <c r="C43" s="52">
        <v>372807</v>
      </c>
      <c r="D43" s="52">
        <v>385508</v>
      </c>
      <c r="E43" s="52">
        <v>399012</v>
      </c>
      <c r="F43" s="52">
        <v>429665</v>
      </c>
      <c r="G43" s="52">
        <v>243104</v>
      </c>
      <c r="H43" s="52">
        <v>252410</v>
      </c>
      <c r="I43" s="52">
        <v>263407</v>
      </c>
      <c r="J43" s="52">
        <v>24846</v>
      </c>
      <c r="K43" s="52">
        <v>524164</v>
      </c>
      <c r="L43" s="52">
        <v>507459</v>
      </c>
      <c r="M43" s="52">
        <v>489579</v>
      </c>
      <c r="N43" s="52">
        <v>496336</v>
      </c>
      <c r="O43" s="52">
        <v>529115</v>
      </c>
      <c r="P43" s="52">
        <v>560510</v>
      </c>
      <c r="Q43" s="52">
        <v>414445</v>
      </c>
      <c r="R43" s="52">
        <v>485617</v>
      </c>
      <c r="S43" s="52">
        <v>359282</v>
      </c>
      <c r="T43" s="52">
        <v>489673</v>
      </c>
      <c r="U43" s="52">
        <v>351584</v>
      </c>
      <c r="V43" s="52">
        <v>557872</v>
      </c>
      <c r="W43" s="52">
        <v>294395</v>
      </c>
      <c r="X43" s="52">
        <v>654106</v>
      </c>
      <c r="Y43" s="52">
        <v>663956</v>
      </c>
      <c r="Z43" s="52">
        <v>665694</v>
      </c>
      <c r="AA43" s="52">
        <v>258722</v>
      </c>
      <c r="AB43" s="52">
        <v>734081</v>
      </c>
      <c r="AC43" s="52">
        <v>222511</v>
      </c>
      <c r="AD43" s="52">
        <v>757341</v>
      </c>
      <c r="AE43" s="52">
        <v>760131</v>
      </c>
      <c r="AF43" s="52">
        <v>846554</v>
      </c>
      <c r="AG43" s="52">
        <v>224768</v>
      </c>
      <c r="AH43" s="52">
        <v>862979</v>
      </c>
      <c r="AI43" s="52">
        <v>843959</v>
      </c>
      <c r="AJ43" s="52">
        <v>901464</v>
      </c>
      <c r="AK43" s="52">
        <v>927088</v>
      </c>
      <c r="AL43" s="52">
        <v>990961</v>
      </c>
      <c r="AM43" s="52">
        <v>958944</v>
      </c>
      <c r="AN43" s="52">
        <v>930144</v>
      </c>
      <c r="AO43" s="52">
        <v>843819</v>
      </c>
      <c r="AP43" s="52">
        <v>800807</v>
      </c>
      <c r="AQ43" s="52">
        <v>777601</v>
      </c>
      <c r="AR43" s="8"/>
      <c r="AS43" s="8"/>
      <c r="AT43" s="8"/>
    </row>
    <row r="44" spans="1:46">
      <c r="A44" s="11" t="s">
        <v>33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>
        <v>7734</v>
      </c>
      <c r="Y44" s="52">
        <v>10639</v>
      </c>
      <c r="Z44" s="52">
        <v>10500</v>
      </c>
      <c r="AA44" s="52">
        <v>8919</v>
      </c>
      <c r="AB44" s="52">
        <v>8437</v>
      </c>
      <c r="AC44" s="52">
        <v>7939</v>
      </c>
      <c r="AD44" s="52">
        <v>7906</v>
      </c>
      <c r="AE44" s="52">
        <v>7340</v>
      </c>
      <c r="AF44" s="52">
        <v>6756</v>
      </c>
      <c r="AG44" s="52">
        <v>6152</v>
      </c>
      <c r="AH44" s="52">
        <v>5794</v>
      </c>
      <c r="AI44" s="52">
        <v>5118</v>
      </c>
      <c r="AJ44" s="52">
        <v>4420</v>
      </c>
      <c r="AK44" s="52">
        <v>3698</v>
      </c>
      <c r="AL44" s="52">
        <v>3093</v>
      </c>
      <c r="AM44" s="52">
        <v>2286</v>
      </c>
      <c r="AN44" s="52">
        <v>1452</v>
      </c>
      <c r="AO44" s="52">
        <v>590</v>
      </c>
      <c r="AP44" s="52">
        <v>0</v>
      </c>
      <c r="AQ44" s="52">
        <v>0</v>
      </c>
      <c r="AR44" s="8"/>
      <c r="AS44" s="8"/>
      <c r="AT44" s="8"/>
    </row>
    <row r="45" spans="1:46">
      <c r="A45" s="62" t="s">
        <v>25</v>
      </c>
      <c r="B45" s="79">
        <v>726935</v>
      </c>
      <c r="C45" s="79">
        <v>748875</v>
      </c>
      <c r="D45" s="79">
        <v>769994</v>
      </c>
      <c r="E45" s="79">
        <v>787338</v>
      </c>
      <c r="F45" s="79">
        <v>746261</v>
      </c>
      <c r="G45" s="79">
        <v>767033</v>
      </c>
      <c r="H45" s="79">
        <v>761718</v>
      </c>
      <c r="I45" s="79">
        <v>781251</v>
      </c>
      <c r="J45" s="79">
        <v>757660</v>
      </c>
      <c r="K45" s="79">
        <v>758786</v>
      </c>
      <c r="L45" s="79">
        <v>676799</v>
      </c>
      <c r="M45" s="79">
        <v>697997</v>
      </c>
      <c r="N45" s="79">
        <v>657676</v>
      </c>
      <c r="O45" s="79">
        <v>681033</v>
      </c>
      <c r="P45" s="79">
        <v>624240</v>
      </c>
      <c r="Q45" s="79">
        <v>585849</v>
      </c>
      <c r="R45" s="79">
        <v>576288</v>
      </c>
      <c r="S45" s="79">
        <v>582563</v>
      </c>
      <c r="T45" s="79">
        <v>525123</v>
      </c>
      <c r="U45" s="79">
        <v>532963</v>
      </c>
      <c r="V45" s="79">
        <v>562305</v>
      </c>
      <c r="W45" s="79">
        <v>579690</v>
      </c>
      <c r="X45" s="79">
        <v>587833</v>
      </c>
      <c r="Y45" s="79">
        <v>587455</v>
      </c>
      <c r="Z45" s="79">
        <v>554657</v>
      </c>
      <c r="AA45" s="79">
        <v>578964</v>
      </c>
      <c r="AB45" s="79">
        <v>602320</v>
      </c>
      <c r="AC45" s="79">
        <v>650330</v>
      </c>
      <c r="AD45" s="79">
        <v>680390</v>
      </c>
      <c r="AE45" s="79">
        <v>736014</v>
      </c>
      <c r="AF45" s="79">
        <v>805480</v>
      </c>
      <c r="AG45" s="79">
        <v>882495</v>
      </c>
      <c r="AH45" s="79">
        <v>800566</v>
      </c>
      <c r="AI45" s="79">
        <v>858595</v>
      </c>
      <c r="AJ45" s="79">
        <v>947338</v>
      </c>
      <c r="AK45" s="79">
        <v>1059373</v>
      </c>
      <c r="AL45" s="79">
        <v>838188</v>
      </c>
      <c r="AM45" s="79">
        <v>827458</v>
      </c>
      <c r="AN45" s="79">
        <v>701771</v>
      </c>
      <c r="AO45" s="79">
        <v>825267</v>
      </c>
      <c r="AP45" s="79">
        <v>841779</v>
      </c>
      <c r="AQ45" s="79">
        <v>640658</v>
      </c>
      <c r="AR45" s="8"/>
      <c r="AS45" s="8"/>
      <c r="AT45" s="8"/>
    </row>
    <row r="46" spans="1:46">
      <c r="A46" s="1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E46" s="49"/>
      <c r="AR46" s="8"/>
      <c r="AS46" s="8"/>
      <c r="AT46" s="8"/>
    </row>
    <row r="47" spans="1:46">
      <c r="A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conditionalFormatting sqref="AR6:AT46">
    <cfRule type="cellIs" dxfId="167" priority="1" operator="lessThan">
      <formula>-1</formula>
    </cfRule>
    <cfRule type="cellIs" dxfId="166" priority="2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7A5F9-2F10-49D9-A05C-0F8C1F956649}">
  <sheetPr>
    <tabColor rgb="FFCC99FF"/>
  </sheetPr>
  <dimension ref="A1:BL100"/>
  <sheetViews>
    <sheetView showGridLines="0" zoomScaleNormal="100" workbookViewId="0">
      <pane xSplit="3" ySplit="7" topLeftCell="AP29" activePane="bottomRight" state="frozen"/>
      <selection pane="topRight" activeCell="AX226" sqref="AX226"/>
      <selection pane="bottomLeft" activeCell="AX226" sqref="AX226"/>
      <selection pane="bottomRight" activeCell="AQ50" sqref="AQ50"/>
    </sheetView>
  </sheetViews>
  <sheetFormatPr defaultRowHeight="15" outlineLevelCol="1"/>
  <cols>
    <col min="1" max="1" width="3.5703125" customWidth="1"/>
    <col min="2" max="2" width="1.42578125" customWidth="1"/>
    <col min="3" max="3" width="20.5703125" customWidth="1"/>
    <col min="4" max="7" width="10.42578125" customWidth="1" outlineLevel="1"/>
    <col min="8" max="8" width="11" bestFit="1" customWidth="1"/>
    <col min="9" max="12" width="10.42578125" customWidth="1" outlineLevel="1"/>
    <col min="13" max="13" width="11.42578125" bestFit="1" customWidth="1"/>
    <col min="14" max="17" width="10.42578125" customWidth="1" outlineLevel="1"/>
    <col min="18" max="18" width="10.5703125" bestFit="1" customWidth="1"/>
    <col min="19" max="22" width="10.42578125" hidden="1" customWidth="1" outlineLevel="1"/>
    <col min="23" max="23" width="11.42578125" bestFit="1" customWidth="1" collapsed="1"/>
    <col min="24" max="27" width="10.42578125" customWidth="1" outlineLevel="1"/>
    <col min="28" max="28" width="11" bestFit="1" customWidth="1"/>
    <col min="29" max="31" width="10.42578125" hidden="1" customWidth="1" outlineLevel="1"/>
    <col min="32" max="32" width="9.42578125" hidden="1" customWidth="1" outlineLevel="1"/>
    <col min="33" max="33" width="11.42578125" bestFit="1" customWidth="1" collapsed="1"/>
    <col min="34" max="34" width="10.42578125" hidden="1" customWidth="1" outlineLevel="1"/>
    <col min="35" max="35" width="9.42578125" hidden="1" customWidth="1" outlineLevel="1"/>
    <col min="36" max="36" width="15.42578125" hidden="1" customWidth="1" outlineLevel="1"/>
    <col min="37" max="37" width="11.42578125" hidden="1" customWidth="1" outlineLevel="1"/>
    <col min="38" max="38" width="12" customWidth="1" collapsed="1"/>
    <col min="39" max="39" width="14.42578125" customWidth="1" outlineLevel="1"/>
    <col min="40" max="40" width="12.5703125" customWidth="1" outlineLevel="1"/>
    <col min="41" max="42" width="11.42578125" customWidth="1" outlineLevel="1"/>
    <col min="43" max="43" width="12" customWidth="1"/>
    <col min="44" max="44" width="14.42578125" customWidth="1" outlineLevel="1"/>
    <col min="45" max="45" width="12.5703125" customWidth="1" outlineLevel="1"/>
    <col min="46" max="47" width="11.42578125" customWidth="1" outlineLevel="1"/>
    <col min="48" max="48" width="12" customWidth="1"/>
    <col min="49" max="50" width="9.42578125" customWidth="1"/>
    <col min="51" max="51" width="14.5703125" bestFit="1" customWidth="1"/>
    <col min="52" max="52" width="11.42578125" customWidth="1"/>
    <col min="53" max="53" width="12.42578125" bestFit="1" customWidth="1"/>
    <col min="54" max="55" width="9.42578125" customWidth="1"/>
    <col min="56" max="56" width="10.42578125" customWidth="1"/>
    <col min="57" max="58" width="9.42578125" customWidth="1"/>
    <col min="59" max="59" width="11.42578125" bestFit="1" customWidth="1"/>
    <col min="60" max="60" width="9.42578125" bestFit="1" customWidth="1"/>
  </cols>
  <sheetData>
    <row r="1" spans="1:64">
      <c r="A1" s="27"/>
      <c r="B1" s="27"/>
      <c r="C1" s="27"/>
      <c r="D1" s="183">
        <f>VALUE(RIGHT(D6,2)&amp;LEFT(D7,1))</f>
        <v>161</v>
      </c>
      <c r="E1" s="183">
        <f>VALUE(RIGHT(E6,2)&amp;LEFT(E7,1))</f>
        <v>162</v>
      </c>
      <c r="F1" s="183">
        <f>VALUE(RIGHT(F6,2)&amp;LEFT(F7,1))</f>
        <v>163</v>
      </c>
      <c r="G1" s="183">
        <f>VALUE(RIGHT(G6,2)&amp;LEFT(G7,1))</f>
        <v>164</v>
      </c>
      <c r="H1" s="183"/>
      <c r="I1" s="183">
        <f>VALUE(RIGHT(I6,2)&amp;LEFT(I7,1))</f>
        <v>171</v>
      </c>
      <c r="J1" s="183">
        <f>VALUE(RIGHT(J6,2)&amp;LEFT(J7,1))</f>
        <v>172</v>
      </c>
      <c r="K1" s="183">
        <f>VALUE(RIGHT(K6,2)&amp;LEFT(K7,1))</f>
        <v>173</v>
      </c>
      <c r="L1" s="183">
        <f>VALUE(RIGHT(L6,2)&amp;LEFT(L7,1))</f>
        <v>174</v>
      </c>
      <c r="M1" s="183"/>
      <c r="N1" s="183">
        <f>VALUE(RIGHT(N6,2)&amp;LEFT(N7,1))</f>
        <v>181</v>
      </c>
      <c r="O1" s="183">
        <f>VALUE(RIGHT(O6,2)&amp;LEFT(O7,1))</f>
        <v>182</v>
      </c>
      <c r="P1" s="183">
        <f>VALUE(RIGHT(P6,2)&amp;LEFT(P7,1))</f>
        <v>183</v>
      </c>
      <c r="Q1" s="183">
        <f>VALUE(RIGHT(Q6,2)&amp;LEFT(Q7,1))</f>
        <v>184</v>
      </c>
      <c r="R1" s="183"/>
      <c r="S1" s="183">
        <f>VALUE(RIGHT(S6,2)&amp;LEFT(S7,1))</f>
        <v>191</v>
      </c>
      <c r="T1" s="183">
        <f>VALUE(RIGHT(T6,2)&amp;LEFT(T7,1))</f>
        <v>192</v>
      </c>
      <c r="U1" s="183">
        <f>VALUE(RIGHT(U6,2)&amp;LEFT(U7,1))</f>
        <v>193</v>
      </c>
      <c r="V1" s="183">
        <f>VALUE(RIGHT(V6,2)&amp;LEFT(V7,1))</f>
        <v>194</v>
      </c>
      <c r="W1" s="27"/>
      <c r="X1" s="183">
        <f>VALUE(RIGHT(X6,2)&amp;LEFT(X7,1))</f>
        <v>201</v>
      </c>
      <c r="Y1" s="183">
        <f>VALUE(RIGHT(Y6,2)&amp;LEFT(Y7,1))</f>
        <v>202</v>
      </c>
      <c r="Z1" s="183">
        <f>VALUE(RIGHT(Z6,2)&amp;LEFT(Z7,1))</f>
        <v>203</v>
      </c>
      <c r="AA1" s="183">
        <f>VALUE(RIGHT(AA6,2)&amp;LEFT(AA7,1))</f>
        <v>204</v>
      </c>
      <c r="AB1" s="27"/>
      <c r="AC1" s="183">
        <f>VALUE(RIGHT(AC6,2)&amp;LEFT(AC7,1))</f>
        <v>211</v>
      </c>
      <c r="AD1" s="183">
        <f>VALUE(RIGHT(AD6,2)&amp;LEFT(AD7,1))</f>
        <v>212</v>
      </c>
      <c r="AE1" s="183">
        <f>VALUE(RIGHT(AE6,2)&amp;LEFT(AE7,1))</f>
        <v>213</v>
      </c>
      <c r="AF1" s="183">
        <f>VALUE(RIGHT(AF6,2)&amp;LEFT(AF7,1))</f>
        <v>214</v>
      </c>
      <c r="AG1" s="27"/>
      <c r="AH1" s="183"/>
      <c r="AI1" s="183"/>
      <c r="AJ1" s="183"/>
      <c r="AK1" s="183"/>
      <c r="AL1" s="27"/>
      <c r="AM1" s="183"/>
      <c r="AN1" s="183"/>
      <c r="AO1" s="183"/>
      <c r="AP1" s="183"/>
      <c r="AQ1" s="27"/>
      <c r="AR1" s="183"/>
      <c r="AS1" s="183"/>
      <c r="AT1" s="183"/>
      <c r="AU1" s="183"/>
      <c r="AV1" s="27"/>
    </row>
    <row r="2" spans="1:64" ht="15.75">
      <c r="A2" s="27"/>
      <c r="B2" s="27"/>
      <c r="C2" s="27"/>
      <c r="D2" s="508">
        <f t="shared" ref="D2:T2" si="0">LEFT(D7,1)*3</f>
        <v>3</v>
      </c>
      <c r="E2" s="508">
        <f t="shared" si="0"/>
        <v>6</v>
      </c>
      <c r="F2" s="508">
        <f t="shared" si="0"/>
        <v>9</v>
      </c>
      <c r="G2" s="508">
        <f t="shared" si="0"/>
        <v>12</v>
      </c>
      <c r="H2" s="508"/>
      <c r="I2" s="508">
        <f t="shared" si="0"/>
        <v>3</v>
      </c>
      <c r="J2" s="508">
        <f t="shared" si="0"/>
        <v>6</v>
      </c>
      <c r="K2" s="508">
        <f t="shared" si="0"/>
        <v>9</v>
      </c>
      <c r="L2" s="508">
        <f t="shared" si="0"/>
        <v>12</v>
      </c>
      <c r="M2" s="508"/>
      <c r="N2" s="508">
        <f t="shared" si="0"/>
        <v>3</v>
      </c>
      <c r="O2" s="508">
        <f t="shared" si="0"/>
        <v>6</v>
      </c>
      <c r="P2" s="508">
        <f t="shared" si="0"/>
        <v>9</v>
      </c>
      <c r="Q2" s="508">
        <f t="shared" si="0"/>
        <v>12</v>
      </c>
      <c r="R2" s="508"/>
      <c r="S2" s="508">
        <f t="shared" si="0"/>
        <v>3</v>
      </c>
      <c r="T2" s="508">
        <f t="shared" si="0"/>
        <v>6</v>
      </c>
      <c r="U2" s="508">
        <f>LEFT(U7,1)*3</f>
        <v>9</v>
      </c>
      <c r="V2" s="508">
        <f>LEFT(V7,1)*3</f>
        <v>12</v>
      </c>
      <c r="W2" s="53"/>
      <c r="X2" s="508">
        <f t="shared" ref="X2:AA2" si="1">LEFT(X7,1)*3</f>
        <v>3</v>
      </c>
      <c r="Y2" s="508">
        <f t="shared" si="1"/>
        <v>6</v>
      </c>
      <c r="Z2" s="508">
        <f t="shared" si="1"/>
        <v>9</v>
      </c>
      <c r="AA2" s="508">
        <f t="shared" si="1"/>
        <v>12</v>
      </c>
      <c r="AB2" s="53"/>
      <c r="AC2" s="508">
        <f t="shared" ref="AC2:AE2" si="2">LEFT(AC7,1)*3</f>
        <v>3</v>
      </c>
      <c r="AD2" s="508">
        <f t="shared" si="2"/>
        <v>6</v>
      </c>
      <c r="AE2" s="508">
        <f t="shared" si="2"/>
        <v>9</v>
      </c>
      <c r="AF2" s="508">
        <v>12</v>
      </c>
      <c r="AG2" s="53"/>
      <c r="AH2" s="508"/>
      <c r="AI2" s="508"/>
      <c r="AJ2" s="508"/>
      <c r="AK2" s="508"/>
      <c r="AL2" s="53"/>
      <c r="AM2" s="508"/>
      <c r="AN2" s="508"/>
      <c r="AO2" s="508"/>
      <c r="AP2" s="508"/>
      <c r="AQ2" s="53"/>
      <c r="AR2" s="508"/>
      <c r="AS2" s="508"/>
      <c r="AT2" s="508"/>
      <c r="AU2" s="508"/>
      <c r="AV2" s="53"/>
    </row>
    <row r="3" spans="1:64" ht="39.75" customHeight="1">
      <c r="A3" s="99"/>
      <c r="B3" s="99" t="s">
        <v>184</v>
      </c>
      <c r="C3" s="72" t="s">
        <v>185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183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</row>
    <row r="5" spans="1:64" ht="15.75" thickBot="1"/>
    <row r="6" spans="1:64" s="30" customFormat="1" ht="15.75" thickBot="1">
      <c r="A6" s="28"/>
      <c r="B6" s="28" t="s">
        <v>186</v>
      </c>
      <c r="C6" s="28" t="s">
        <v>187</v>
      </c>
      <c r="D6" s="35" t="s">
        <v>188</v>
      </c>
      <c r="E6" s="35" t="s">
        <v>189</v>
      </c>
      <c r="F6" s="35" t="s">
        <v>190</v>
      </c>
      <c r="G6" s="35" t="s">
        <v>191</v>
      </c>
      <c r="H6" s="38">
        <v>2016</v>
      </c>
      <c r="I6" s="35" t="s">
        <v>192</v>
      </c>
      <c r="J6" s="35" t="s">
        <v>193</v>
      </c>
      <c r="K6" s="35" t="s">
        <v>194</v>
      </c>
      <c r="L6" s="35" t="s">
        <v>195</v>
      </c>
      <c r="M6" s="38">
        <v>2017</v>
      </c>
      <c r="N6" s="35" t="s">
        <v>196</v>
      </c>
      <c r="O6" s="35" t="s">
        <v>197</v>
      </c>
      <c r="P6" s="35" t="s">
        <v>198</v>
      </c>
      <c r="Q6" s="35" t="s">
        <v>199</v>
      </c>
      <c r="R6" s="38">
        <v>2018</v>
      </c>
      <c r="S6" s="35" t="s">
        <v>200</v>
      </c>
      <c r="T6" s="35" t="s">
        <v>201</v>
      </c>
      <c r="U6" s="35" t="s">
        <v>202</v>
      </c>
      <c r="V6" s="35" t="s">
        <v>203</v>
      </c>
      <c r="W6" s="38">
        <v>2019</v>
      </c>
      <c r="X6" s="35" t="s">
        <v>204</v>
      </c>
      <c r="Y6" s="35" t="s">
        <v>205</v>
      </c>
      <c r="Z6" s="35" t="s">
        <v>206</v>
      </c>
      <c r="AA6" s="35" t="s">
        <v>207</v>
      </c>
      <c r="AB6" s="38">
        <v>2020</v>
      </c>
      <c r="AC6" s="35" t="s">
        <v>208</v>
      </c>
      <c r="AD6" s="35" t="s">
        <v>209</v>
      </c>
      <c r="AE6" s="35" t="s">
        <v>210</v>
      </c>
      <c r="AF6" s="35" t="s">
        <v>211</v>
      </c>
      <c r="AG6" s="38">
        <v>2021</v>
      </c>
      <c r="AH6" s="35" t="s">
        <v>212</v>
      </c>
      <c r="AI6" s="35" t="s">
        <v>213</v>
      </c>
      <c r="AJ6" s="35" t="s">
        <v>214</v>
      </c>
      <c r="AK6" s="35" t="s">
        <v>215</v>
      </c>
      <c r="AL6" s="38">
        <v>2022</v>
      </c>
      <c r="AM6" s="35" t="s">
        <v>216</v>
      </c>
      <c r="AN6" s="35" t="s">
        <v>217</v>
      </c>
      <c r="AO6" s="35" t="s">
        <v>218</v>
      </c>
      <c r="AP6" s="35" t="s">
        <v>219</v>
      </c>
      <c r="AQ6" s="38">
        <v>2023</v>
      </c>
      <c r="AR6" s="35" t="s">
        <v>220</v>
      </c>
      <c r="AS6" s="35" t="s">
        <v>221</v>
      </c>
      <c r="AT6" s="35" t="s">
        <v>222</v>
      </c>
      <c r="AU6" s="35" t="s">
        <v>223</v>
      </c>
      <c r="AV6" s="38">
        <v>2024</v>
      </c>
    </row>
    <row r="7" spans="1:64" s="30" customFormat="1">
      <c r="A7" s="28"/>
      <c r="B7" s="28" t="s">
        <v>186</v>
      </c>
      <c r="C7" s="28" t="s">
        <v>187</v>
      </c>
      <c r="D7" s="35" t="s">
        <v>224</v>
      </c>
      <c r="E7" s="35" t="s">
        <v>225</v>
      </c>
      <c r="F7" s="35" t="s">
        <v>226</v>
      </c>
      <c r="G7" s="35" t="s">
        <v>227</v>
      </c>
      <c r="H7" s="38">
        <v>2016</v>
      </c>
      <c r="I7" s="35" t="s">
        <v>228</v>
      </c>
      <c r="J7" s="35" t="s">
        <v>229</v>
      </c>
      <c r="K7" s="35" t="s">
        <v>230</v>
      </c>
      <c r="L7" s="35" t="s">
        <v>231</v>
      </c>
      <c r="M7" s="38">
        <v>2017</v>
      </c>
      <c r="N7" s="35" t="s">
        <v>232</v>
      </c>
      <c r="O7" s="35" t="s">
        <v>233</v>
      </c>
      <c r="P7" s="35" t="s">
        <v>234</v>
      </c>
      <c r="Q7" s="35" t="s">
        <v>235</v>
      </c>
      <c r="R7" s="38">
        <v>2018</v>
      </c>
      <c r="S7" s="35" t="s">
        <v>236</v>
      </c>
      <c r="T7" s="35" t="s">
        <v>237</v>
      </c>
      <c r="U7" s="35" t="s">
        <v>238</v>
      </c>
      <c r="V7" s="35" t="s">
        <v>239</v>
      </c>
      <c r="W7" s="38">
        <v>2019</v>
      </c>
      <c r="X7" s="35" t="s">
        <v>240</v>
      </c>
      <c r="Y7" s="35" t="s">
        <v>241</v>
      </c>
      <c r="Z7" s="35" t="s">
        <v>242</v>
      </c>
      <c r="AA7" s="35" t="s">
        <v>243</v>
      </c>
      <c r="AB7" s="38">
        <v>2020</v>
      </c>
      <c r="AC7" s="35" t="s">
        <v>244</v>
      </c>
      <c r="AD7" s="35" t="s">
        <v>245</v>
      </c>
      <c r="AE7" s="35" t="s">
        <v>246</v>
      </c>
      <c r="AF7" s="35" t="s">
        <v>247</v>
      </c>
      <c r="AG7" s="38">
        <v>2021</v>
      </c>
      <c r="AH7" s="35" t="s">
        <v>248</v>
      </c>
      <c r="AI7" s="35" t="s">
        <v>249</v>
      </c>
      <c r="AJ7" s="35" t="s">
        <v>250</v>
      </c>
      <c r="AK7" s="35" t="s">
        <v>251</v>
      </c>
      <c r="AL7" s="38">
        <v>2022</v>
      </c>
      <c r="AM7" s="35" t="s">
        <v>252</v>
      </c>
      <c r="AN7" s="35" t="s">
        <v>253</v>
      </c>
      <c r="AO7" s="35" t="s">
        <v>254</v>
      </c>
      <c r="AP7" s="35" t="s">
        <v>255</v>
      </c>
      <c r="AQ7" s="38">
        <v>2023</v>
      </c>
      <c r="AR7" s="35" t="s">
        <v>219</v>
      </c>
      <c r="AS7" s="35" t="s">
        <v>223</v>
      </c>
      <c r="AT7" s="35" t="s">
        <v>256</v>
      </c>
      <c r="AU7" s="35" t="s">
        <v>257</v>
      </c>
      <c r="AV7" s="38">
        <v>2024</v>
      </c>
    </row>
    <row r="8" spans="1:64">
      <c r="A8" s="9"/>
      <c r="B8" s="9" t="s">
        <v>258</v>
      </c>
      <c r="C8" s="9" t="s">
        <v>259</v>
      </c>
      <c r="D8" s="10">
        <v>293155.2338972927</v>
      </c>
      <c r="E8" s="10">
        <v>274306.7512371731</v>
      </c>
      <c r="F8" s="10">
        <v>298515.75263123499</v>
      </c>
      <c r="G8" s="10">
        <v>321110.40095796413</v>
      </c>
      <c r="H8" s="39">
        <v>1187088.1387236649</v>
      </c>
      <c r="I8" s="10">
        <v>349803.39588039089</v>
      </c>
      <c r="J8" s="10">
        <v>380408.93326195487</v>
      </c>
      <c r="K8" s="10">
        <v>356399.13188662275</v>
      </c>
      <c r="L8" s="10">
        <v>372620.93646319874</v>
      </c>
      <c r="M8" s="39">
        <v>1459232.3974921671</v>
      </c>
      <c r="N8" s="10">
        <v>350607.40147298522</v>
      </c>
      <c r="O8" s="10">
        <v>372958.0910123405</v>
      </c>
      <c r="P8" s="10">
        <v>410314.94054789108</v>
      </c>
      <c r="Q8" s="10">
        <v>463585.47318609315</v>
      </c>
      <c r="R8" s="39">
        <v>1597465.9062193099</v>
      </c>
      <c r="S8" s="10">
        <v>429440.21516686206</v>
      </c>
      <c r="T8" s="10">
        <v>443928.21781320474</v>
      </c>
      <c r="U8" s="10">
        <v>501237.82600084989</v>
      </c>
      <c r="V8" s="10">
        <v>571799.84445149335</v>
      </c>
      <c r="W8" s="39">
        <v>1946406.1034324102</v>
      </c>
      <c r="X8" s="10">
        <v>472999.15802340291</v>
      </c>
      <c r="Y8" s="10">
        <v>443355.76378291484</v>
      </c>
      <c r="Z8" s="10">
        <v>635864.27365499991</v>
      </c>
      <c r="AA8" s="10">
        <v>539882.51923315332</v>
      </c>
      <c r="AB8" s="39">
        <v>2092101.7146944711</v>
      </c>
      <c r="AC8" s="10">
        <v>496488.51129999995</v>
      </c>
      <c r="AD8" s="10">
        <v>512782.96380000003</v>
      </c>
      <c r="AE8" s="10">
        <v>632880.05135000008</v>
      </c>
      <c r="AF8" s="10">
        <v>719861.62354000006</v>
      </c>
      <c r="AG8" s="39">
        <v>2362013.1499899998</v>
      </c>
      <c r="AH8" s="10">
        <f t="shared" ref="AH8:AK8" si="3">AH9+AH19+AH27</f>
        <v>701557</v>
      </c>
      <c r="AI8" s="10">
        <f t="shared" si="3"/>
        <v>888340</v>
      </c>
      <c r="AJ8" s="10">
        <f t="shared" si="3"/>
        <v>1046151</v>
      </c>
      <c r="AK8" s="10">
        <f t="shared" si="3"/>
        <v>989519</v>
      </c>
      <c r="AL8" s="39">
        <f>SUM(AH8:AK8)</f>
        <v>3625567</v>
      </c>
      <c r="AM8" s="10">
        <f>AM9+AM19+AM27</f>
        <v>1086873.25</v>
      </c>
      <c r="AN8" s="10">
        <f>AN9+AN19+AN27</f>
        <v>1085672</v>
      </c>
      <c r="AO8" s="76">
        <f>AO9+AO19+AO27</f>
        <v>1202901</v>
      </c>
      <c r="AP8" s="76">
        <f>AP9+AP19+AP27</f>
        <v>1208265</v>
      </c>
      <c r="AQ8" s="39">
        <f t="shared" ref="AQ8" si="4">SUM(AM8:AP8)</f>
        <v>4583711.25</v>
      </c>
      <c r="AR8" s="10">
        <f>AR9+AR19+AR27</f>
        <v>0</v>
      </c>
      <c r="AS8" s="10">
        <f>AS9+AS19+AS27</f>
        <v>0</v>
      </c>
      <c r="AT8" s="76">
        <f>AT9+AT19+AT27</f>
        <v>0</v>
      </c>
      <c r="AU8" s="76">
        <f>AU9+AU19+AU27</f>
        <v>0</v>
      </c>
      <c r="AV8" s="39">
        <f t="shared" ref="AV8" si="5">SUM(AR8:AU8)</f>
        <v>0</v>
      </c>
      <c r="AW8" s="8"/>
      <c r="AX8" s="8"/>
      <c r="AY8" s="463"/>
      <c r="BG8" s="8"/>
      <c r="BH8" s="8"/>
      <c r="BI8" s="8"/>
      <c r="BJ8" s="8"/>
      <c r="BK8" s="8"/>
      <c r="BL8" s="8"/>
    </row>
    <row r="9" spans="1:64">
      <c r="A9" s="5"/>
      <c r="B9" s="5" t="s">
        <v>260</v>
      </c>
      <c r="C9" s="5" t="s">
        <v>261</v>
      </c>
      <c r="D9" s="34">
        <v>218068.18025729267</v>
      </c>
      <c r="E9" s="34">
        <v>204924.82363717307</v>
      </c>
      <c r="F9" s="34">
        <v>218016.97780123501</v>
      </c>
      <c r="G9" s="34">
        <v>231474.28320796415</v>
      </c>
      <c r="H9" s="113">
        <v>872484.26490366494</v>
      </c>
      <c r="I9" s="34">
        <v>225814.80685039086</v>
      </c>
      <c r="J9" s="34">
        <v>253499.91484195483</v>
      </c>
      <c r="K9" s="34">
        <v>223444.97083662276</v>
      </c>
      <c r="L9" s="34">
        <v>263613.12988319877</v>
      </c>
      <c r="M9" s="113">
        <v>966372.82241216721</v>
      </c>
      <c r="N9" s="34">
        <v>232408.56226298524</v>
      </c>
      <c r="O9" s="34">
        <v>219542.65458234053</v>
      </c>
      <c r="P9" s="34">
        <v>257454.62589789109</v>
      </c>
      <c r="Q9" s="34">
        <v>308738.47648609313</v>
      </c>
      <c r="R9" s="113">
        <v>1018144.31922931</v>
      </c>
      <c r="S9" s="34">
        <v>265590.93042686209</v>
      </c>
      <c r="T9" s="34">
        <v>259512.84920320474</v>
      </c>
      <c r="U9" s="34">
        <v>304987.43214084994</v>
      </c>
      <c r="V9" s="34">
        <v>377312.75994149328</v>
      </c>
      <c r="W9" s="113">
        <v>1207403.97171241</v>
      </c>
      <c r="X9" s="34">
        <v>299932.46758340293</v>
      </c>
      <c r="Y9" s="34">
        <v>286275.38978291483</v>
      </c>
      <c r="Z9" s="34">
        <v>309163.23565499991</v>
      </c>
      <c r="AA9" s="34">
        <v>302040.74950315332</v>
      </c>
      <c r="AB9" s="113">
        <v>1197411.842524471</v>
      </c>
      <c r="AC9" s="119">
        <v>301546.54121</v>
      </c>
      <c r="AD9" s="119">
        <v>298520.54684000002</v>
      </c>
      <c r="AE9" s="119">
        <v>278990.35178999999</v>
      </c>
      <c r="AF9" s="119">
        <v>359096.59004000004</v>
      </c>
      <c r="AG9" s="113">
        <v>1238154.02988</v>
      </c>
      <c r="AH9" s="119">
        <f t="shared" ref="AH9" si="6">SUM(AH10:AH18)</f>
        <v>374565</v>
      </c>
      <c r="AI9" s="119">
        <f t="shared" ref="AI9:AM9" si="7">SUM(AI10:AI18)</f>
        <v>477539</v>
      </c>
      <c r="AJ9" s="119">
        <f t="shared" si="7"/>
        <v>513021</v>
      </c>
      <c r="AK9" s="119">
        <f t="shared" si="7"/>
        <v>573000</v>
      </c>
      <c r="AL9" s="113">
        <f t="shared" ref="AL9:AL62" si="8">SUM(AH9:AK9)</f>
        <v>1938125</v>
      </c>
      <c r="AM9" s="119">
        <f t="shared" si="7"/>
        <v>613372.25</v>
      </c>
      <c r="AN9" s="119">
        <f>SUM(AN10:AN18)</f>
        <v>604716</v>
      </c>
      <c r="AO9" s="119">
        <f>SUM(AO10:AO18)</f>
        <v>692046</v>
      </c>
      <c r="AP9" s="119">
        <f>SUM(AP10:AP18)</f>
        <v>679007</v>
      </c>
      <c r="AQ9" s="113">
        <f t="shared" ref="AQ9:AQ58" si="9">SUM(AM9:AP9)</f>
        <v>2589141.25</v>
      </c>
      <c r="AR9" s="119">
        <f t="shared" ref="AR9" si="10">SUM(AR10:AR18)</f>
        <v>0</v>
      </c>
      <c r="AS9" s="119">
        <f>SUM(AS10:AS18)</f>
        <v>0</v>
      </c>
      <c r="AT9" s="119">
        <f>SUM(AT10:AT18)</f>
        <v>0</v>
      </c>
      <c r="AU9" s="119">
        <f>SUM(AU10:AU18)</f>
        <v>0</v>
      </c>
      <c r="AV9" s="113">
        <f t="shared" ref="AV9:AV58" si="11">SUM(AR9:AU9)</f>
        <v>0</v>
      </c>
      <c r="AW9" s="114"/>
      <c r="AX9" s="8"/>
      <c r="AY9" s="463"/>
      <c r="BG9" s="8"/>
      <c r="BH9" s="8"/>
      <c r="BI9" s="8"/>
      <c r="BJ9" s="8"/>
      <c r="BK9" s="8"/>
      <c r="BL9" s="8"/>
    </row>
    <row r="10" spans="1:64">
      <c r="A10" s="11"/>
      <c r="B10" s="11" t="s">
        <v>262</v>
      </c>
      <c r="C10" s="11" t="s">
        <v>262</v>
      </c>
      <c r="D10" s="13">
        <v>205928.60085017027</v>
      </c>
      <c r="E10" s="13">
        <v>193301.22333676607</v>
      </c>
      <c r="F10" s="13">
        <v>208700.72586123503</v>
      </c>
      <c r="G10" s="13">
        <v>236010.46787549357</v>
      </c>
      <c r="H10" s="41">
        <v>843941.017923665</v>
      </c>
      <c r="I10" s="13">
        <v>214028.75715039085</v>
      </c>
      <c r="J10" s="13">
        <v>243694.72966195483</v>
      </c>
      <c r="K10" s="13">
        <v>213268.78855662278</v>
      </c>
      <c r="L10" s="13">
        <v>242113.22219319872</v>
      </c>
      <c r="M10" s="41">
        <v>913105.49756216723</v>
      </c>
      <c r="N10" s="13">
        <v>216667.09510298524</v>
      </c>
      <c r="O10" s="13">
        <v>209048.60740234054</v>
      </c>
      <c r="P10" s="13">
        <v>245748.8221778911</v>
      </c>
      <c r="Q10" s="13">
        <v>288835.23492609314</v>
      </c>
      <c r="R10" s="41">
        <v>960299.75960930996</v>
      </c>
      <c r="S10" s="13">
        <v>252704.55294686207</v>
      </c>
      <c r="T10" s="13">
        <v>242710.97243320473</v>
      </c>
      <c r="U10" s="13">
        <v>286877.93122084998</v>
      </c>
      <c r="V10" s="13">
        <v>344148.47302149329</v>
      </c>
      <c r="W10" s="41">
        <v>1126441.9296224101</v>
      </c>
      <c r="X10" s="13">
        <v>288437.10982340295</v>
      </c>
      <c r="Y10" s="13">
        <v>272412.71835291485</v>
      </c>
      <c r="Z10" s="13">
        <v>296666.25223499991</v>
      </c>
      <c r="AA10" s="13">
        <v>276811.38236315333</v>
      </c>
      <c r="AB10" s="41">
        <v>1134327.4627744709</v>
      </c>
      <c r="AC10" s="13">
        <v>102353.31213999999</v>
      </c>
      <c r="AD10" s="13">
        <v>97747.342810000002</v>
      </c>
      <c r="AE10" s="13">
        <v>70903.211729999995</v>
      </c>
      <c r="AF10" s="13">
        <v>104435.68768</v>
      </c>
      <c r="AG10" s="41">
        <v>375439.55435999995</v>
      </c>
      <c r="AH10" s="13">
        <v>101280</v>
      </c>
      <c r="AI10" s="13">
        <v>89536</v>
      </c>
      <c r="AJ10" s="13">
        <v>112269</v>
      </c>
      <c r="AK10" s="13">
        <v>153901</v>
      </c>
      <c r="AL10" s="41">
        <f t="shared" si="8"/>
        <v>456986</v>
      </c>
      <c r="AM10" s="13">
        <v>118543</v>
      </c>
      <c r="AN10" s="13">
        <v>112679</v>
      </c>
      <c r="AO10" s="13">
        <v>144463</v>
      </c>
      <c r="AP10" s="13">
        <v>142368</v>
      </c>
      <c r="AQ10" s="41">
        <f t="shared" si="9"/>
        <v>518053</v>
      </c>
      <c r="AR10" s="13"/>
      <c r="AS10" s="13"/>
      <c r="AT10" s="13"/>
      <c r="AU10" s="13"/>
      <c r="AV10" s="41">
        <f t="shared" si="11"/>
        <v>0</v>
      </c>
      <c r="AW10" s="8"/>
      <c r="AX10" s="8"/>
      <c r="AY10" s="463"/>
      <c r="BG10" s="8"/>
      <c r="BH10" s="8"/>
      <c r="BI10" s="8"/>
      <c r="BJ10" s="8"/>
      <c r="BK10" s="8"/>
      <c r="BL10" s="8"/>
    </row>
    <row r="11" spans="1:64">
      <c r="A11" s="11"/>
      <c r="B11" s="11" t="s">
        <v>263</v>
      </c>
      <c r="C11" s="11" t="s">
        <v>263</v>
      </c>
      <c r="D11" s="13">
        <v>0</v>
      </c>
      <c r="E11" s="13">
        <v>0</v>
      </c>
      <c r="F11" s="13">
        <v>0</v>
      </c>
      <c r="G11" s="13">
        <v>0</v>
      </c>
      <c r="H11" s="170">
        <v>0</v>
      </c>
      <c r="I11" s="13">
        <v>0</v>
      </c>
      <c r="J11" s="13">
        <v>0</v>
      </c>
      <c r="K11" s="13">
        <v>0</v>
      </c>
      <c r="L11" s="13">
        <v>0</v>
      </c>
      <c r="M11" s="41">
        <v>0</v>
      </c>
      <c r="N11" s="13">
        <v>0</v>
      </c>
      <c r="O11" s="13">
        <v>0</v>
      </c>
      <c r="P11" s="13">
        <v>0</v>
      </c>
      <c r="Q11" s="13">
        <v>0</v>
      </c>
      <c r="R11" s="41">
        <v>0</v>
      </c>
      <c r="S11" s="13">
        <v>0</v>
      </c>
      <c r="T11" s="13">
        <v>0</v>
      </c>
      <c r="U11" s="13">
        <v>0</v>
      </c>
      <c r="V11" s="13">
        <v>0</v>
      </c>
      <c r="W11" s="41">
        <v>0</v>
      </c>
      <c r="X11" s="13">
        <v>0</v>
      </c>
      <c r="Y11" s="13">
        <v>0</v>
      </c>
      <c r="Z11" s="13">
        <v>55.539000000000001</v>
      </c>
      <c r="AA11" s="13">
        <v>442.16998000000001</v>
      </c>
      <c r="AB11" s="41">
        <v>497.70898</v>
      </c>
      <c r="AC11" s="13">
        <v>207267.38247000001</v>
      </c>
      <c r="AD11" s="13">
        <v>204071.52911999996</v>
      </c>
      <c r="AE11" s="13">
        <v>200938.49518999999</v>
      </c>
      <c r="AF11" s="13">
        <v>224796.31309000004</v>
      </c>
      <c r="AG11" s="41">
        <v>837073.71987000003</v>
      </c>
      <c r="AH11" s="13">
        <v>221744</v>
      </c>
      <c r="AI11" s="13">
        <v>314715</v>
      </c>
      <c r="AJ11" s="13">
        <v>291565</v>
      </c>
      <c r="AK11" s="13">
        <v>289806</v>
      </c>
      <c r="AL11" s="41">
        <f t="shared" si="8"/>
        <v>1117830</v>
      </c>
      <c r="AM11" s="13">
        <v>337257</v>
      </c>
      <c r="AN11" s="13">
        <v>330715</v>
      </c>
      <c r="AO11" s="13">
        <v>353416</v>
      </c>
      <c r="AP11" s="13">
        <v>328923</v>
      </c>
      <c r="AQ11" s="41">
        <f t="shared" si="9"/>
        <v>1350311</v>
      </c>
      <c r="AR11" s="13"/>
      <c r="AS11" s="13"/>
      <c r="AT11" s="13"/>
      <c r="AU11" s="13"/>
      <c r="AV11" s="41">
        <f t="shared" si="11"/>
        <v>0</v>
      </c>
      <c r="AW11" s="8"/>
      <c r="AX11" s="8"/>
      <c r="AY11" s="463"/>
      <c r="BG11" s="8"/>
      <c r="BH11" s="8"/>
      <c r="BI11" s="8"/>
      <c r="BJ11" s="8"/>
      <c r="BK11" s="8"/>
      <c r="BL11" s="8"/>
    </row>
    <row r="12" spans="1:64">
      <c r="A12" s="11"/>
      <c r="B12" s="11" t="s">
        <v>264</v>
      </c>
      <c r="C12" s="11" t="s">
        <v>264</v>
      </c>
      <c r="D12" s="13">
        <v>0</v>
      </c>
      <c r="E12" s="13">
        <v>0</v>
      </c>
      <c r="F12" s="13">
        <v>0</v>
      </c>
      <c r="G12" s="13">
        <v>0</v>
      </c>
      <c r="H12" s="170">
        <v>0</v>
      </c>
      <c r="I12" s="13">
        <v>0</v>
      </c>
      <c r="J12" s="13">
        <v>0</v>
      </c>
      <c r="K12" s="13">
        <v>0</v>
      </c>
      <c r="L12" s="13">
        <v>0</v>
      </c>
      <c r="M12" s="41">
        <v>0</v>
      </c>
      <c r="N12" s="13">
        <v>0</v>
      </c>
      <c r="O12" s="13">
        <v>0</v>
      </c>
      <c r="P12" s="13">
        <v>0</v>
      </c>
      <c r="Q12" s="13">
        <v>0</v>
      </c>
      <c r="R12" s="41">
        <v>0</v>
      </c>
      <c r="S12" s="13">
        <v>0</v>
      </c>
      <c r="T12" s="13">
        <v>0</v>
      </c>
      <c r="U12" s="13">
        <v>0</v>
      </c>
      <c r="V12" s="13">
        <v>0</v>
      </c>
      <c r="W12" s="41">
        <v>0</v>
      </c>
      <c r="X12" s="13">
        <v>0</v>
      </c>
      <c r="Y12" s="13">
        <v>0</v>
      </c>
      <c r="Z12" s="13">
        <v>0</v>
      </c>
      <c r="AA12" s="13">
        <v>0</v>
      </c>
      <c r="AB12" s="41">
        <v>0</v>
      </c>
      <c r="AC12" s="13">
        <v>-26142.165929999999</v>
      </c>
      <c r="AD12" s="13">
        <v>-15890.276809999999</v>
      </c>
      <c r="AE12" s="13">
        <v>-1194.7964499999955</v>
      </c>
      <c r="AF12" s="13">
        <v>9820.5491499999989</v>
      </c>
      <c r="AG12" s="41">
        <v>-33406.690039999994</v>
      </c>
      <c r="AH12" s="13">
        <v>21438</v>
      </c>
      <c r="AI12" s="13">
        <v>38583</v>
      </c>
      <c r="AJ12" s="13">
        <v>43588</v>
      </c>
      <c r="AK12" s="13">
        <v>47342</v>
      </c>
      <c r="AL12" s="41">
        <f t="shared" si="8"/>
        <v>150951</v>
      </c>
      <c r="AM12" s="13">
        <v>60504</v>
      </c>
      <c r="AN12" s="13">
        <v>65667</v>
      </c>
      <c r="AO12" s="13">
        <v>79855</v>
      </c>
      <c r="AP12" s="13">
        <v>80651</v>
      </c>
      <c r="AQ12" s="41">
        <f t="shared" si="9"/>
        <v>286677</v>
      </c>
      <c r="AR12" s="13"/>
      <c r="AS12" s="13"/>
      <c r="AT12" s="13"/>
      <c r="AU12" s="13"/>
      <c r="AV12" s="41">
        <f t="shared" si="11"/>
        <v>0</v>
      </c>
      <c r="AW12" s="8"/>
      <c r="AX12" s="8"/>
      <c r="AY12" s="463"/>
      <c r="BG12" s="8"/>
      <c r="BH12" s="8"/>
      <c r="BI12" s="8"/>
      <c r="BJ12" s="8"/>
      <c r="BK12" s="8"/>
      <c r="BL12" s="8"/>
    </row>
    <row r="13" spans="1:64">
      <c r="A13" s="11"/>
      <c r="B13" s="11" t="s">
        <v>265</v>
      </c>
      <c r="C13" s="11" t="s">
        <v>265</v>
      </c>
      <c r="D13" s="13">
        <v>0</v>
      </c>
      <c r="E13" s="13">
        <v>0</v>
      </c>
      <c r="F13" s="13">
        <v>0</v>
      </c>
      <c r="G13" s="13">
        <v>0</v>
      </c>
      <c r="H13" s="170">
        <v>0</v>
      </c>
      <c r="I13" s="13">
        <v>0</v>
      </c>
      <c r="J13" s="13">
        <v>0</v>
      </c>
      <c r="K13" s="13">
        <v>0</v>
      </c>
      <c r="L13" s="13">
        <v>0</v>
      </c>
      <c r="M13" s="41">
        <v>0</v>
      </c>
      <c r="N13" s="13">
        <v>0</v>
      </c>
      <c r="O13" s="13">
        <v>0</v>
      </c>
      <c r="P13" s="13">
        <v>0</v>
      </c>
      <c r="Q13" s="13">
        <v>0</v>
      </c>
      <c r="R13" s="41">
        <v>0</v>
      </c>
      <c r="S13" s="13">
        <v>0</v>
      </c>
      <c r="T13" s="13">
        <v>0</v>
      </c>
      <c r="U13" s="13">
        <v>0</v>
      </c>
      <c r="V13" s="13">
        <v>0</v>
      </c>
      <c r="W13" s="41">
        <v>0</v>
      </c>
      <c r="X13" s="13">
        <v>0</v>
      </c>
      <c r="Y13" s="13">
        <v>0</v>
      </c>
      <c r="Z13" s="13">
        <v>0</v>
      </c>
      <c r="AA13" s="13">
        <v>0</v>
      </c>
      <c r="AB13" s="41">
        <v>0</v>
      </c>
      <c r="AC13" s="13">
        <v>30.243200000000002</v>
      </c>
      <c r="AD13" s="13">
        <v>-703.26945999999998</v>
      </c>
      <c r="AE13" s="13">
        <v>2635.4137600000004</v>
      </c>
      <c r="AF13" s="13">
        <v>1172.3518700000004</v>
      </c>
      <c r="AG13" s="41">
        <v>3134.7393700000007</v>
      </c>
      <c r="AH13" s="13">
        <v>11614</v>
      </c>
      <c r="AI13" s="13">
        <v>14022</v>
      </c>
      <c r="AJ13" s="13">
        <v>27860</v>
      </c>
      <c r="AK13" s="13">
        <v>23730</v>
      </c>
      <c r="AL13" s="41">
        <f t="shared" si="8"/>
        <v>77226</v>
      </c>
      <c r="AM13" s="13">
        <v>31345</v>
      </c>
      <c r="AN13" s="13">
        <v>26555</v>
      </c>
      <c r="AO13" s="13">
        <v>33691</v>
      </c>
      <c r="AP13" s="13">
        <v>34448</v>
      </c>
      <c r="AQ13" s="41">
        <f t="shared" si="9"/>
        <v>126039</v>
      </c>
      <c r="AR13" s="13"/>
      <c r="AS13" s="13"/>
      <c r="AT13" s="13"/>
      <c r="AU13" s="13"/>
      <c r="AV13" s="41">
        <f t="shared" si="11"/>
        <v>0</v>
      </c>
      <c r="AW13" s="8"/>
      <c r="AX13" s="8"/>
      <c r="AY13" s="463"/>
      <c r="BG13" s="8"/>
      <c r="BH13" s="8"/>
      <c r="BI13" s="8"/>
      <c r="BJ13" s="8"/>
      <c r="BK13" s="8"/>
      <c r="BL13" s="8"/>
    </row>
    <row r="14" spans="1:64">
      <c r="A14" s="11"/>
      <c r="B14" s="11" t="s">
        <v>266</v>
      </c>
      <c r="C14" s="11" t="s">
        <v>266</v>
      </c>
      <c r="D14" s="13">
        <v>0</v>
      </c>
      <c r="E14" s="13">
        <v>0</v>
      </c>
      <c r="F14" s="13">
        <v>0</v>
      </c>
      <c r="G14" s="13">
        <v>0</v>
      </c>
      <c r="H14" s="170">
        <v>0</v>
      </c>
      <c r="I14" s="13">
        <v>0</v>
      </c>
      <c r="J14" s="13">
        <v>0</v>
      </c>
      <c r="K14" s="13">
        <v>0</v>
      </c>
      <c r="L14" s="13">
        <v>0</v>
      </c>
      <c r="M14" s="41">
        <v>0</v>
      </c>
      <c r="N14" s="13">
        <v>0</v>
      </c>
      <c r="O14" s="13">
        <v>0</v>
      </c>
      <c r="P14" s="13">
        <v>0</v>
      </c>
      <c r="Q14" s="13">
        <v>0</v>
      </c>
      <c r="R14" s="41">
        <v>0</v>
      </c>
      <c r="S14" s="13">
        <v>0</v>
      </c>
      <c r="T14" s="13">
        <v>0</v>
      </c>
      <c r="U14" s="13">
        <v>0</v>
      </c>
      <c r="V14" s="13">
        <v>0</v>
      </c>
      <c r="W14" s="41">
        <v>0</v>
      </c>
      <c r="X14" s="13">
        <v>0</v>
      </c>
      <c r="Y14" s="13">
        <v>0</v>
      </c>
      <c r="Z14" s="13">
        <v>0</v>
      </c>
      <c r="AA14" s="13">
        <v>0</v>
      </c>
      <c r="AB14" s="41">
        <v>0</v>
      </c>
      <c r="AC14" s="13">
        <v>0</v>
      </c>
      <c r="AD14" s="13">
        <v>-1111.2993100000001</v>
      </c>
      <c r="AE14" s="13">
        <v>-1499.4540499999998</v>
      </c>
      <c r="AF14" s="13">
        <v>-3068.3097600000001</v>
      </c>
      <c r="AG14" s="41">
        <v>-5679.0631199999998</v>
      </c>
      <c r="AH14" s="13">
        <v>-1990</v>
      </c>
      <c r="AI14" s="13">
        <v>-1578</v>
      </c>
      <c r="AJ14" s="13">
        <v>2245</v>
      </c>
      <c r="AK14" s="13">
        <v>19722</v>
      </c>
      <c r="AL14" s="41">
        <f t="shared" si="8"/>
        <v>18399</v>
      </c>
      <c r="AM14" s="13">
        <v>13978</v>
      </c>
      <c r="AN14" s="1">
        <v>18672</v>
      </c>
      <c r="AO14" s="13">
        <v>24969</v>
      </c>
      <c r="AP14" s="13">
        <v>33686</v>
      </c>
      <c r="AQ14" s="41">
        <f t="shared" si="9"/>
        <v>91305</v>
      </c>
      <c r="AR14" s="13"/>
      <c r="AS14" s="1"/>
      <c r="AT14" s="13"/>
      <c r="AU14" s="13"/>
      <c r="AV14" s="41">
        <f t="shared" si="11"/>
        <v>0</v>
      </c>
      <c r="AW14" s="8"/>
      <c r="AX14" s="8"/>
      <c r="AY14" s="463"/>
      <c r="BG14" s="8"/>
      <c r="BH14" s="8"/>
      <c r="BI14" s="8"/>
      <c r="BJ14" s="8"/>
      <c r="BK14" s="8"/>
      <c r="BL14" s="8"/>
    </row>
    <row r="15" spans="1:64">
      <c r="A15" s="11"/>
      <c r="B15" s="11" t="s">
        <v>267</v>
      </c>
      <c r="C15" s="11" t="s">
        <v>268</v>
      </c>
      <c r="D15" s="13">
        <v>0</v>
      </c>
      <c r="E15" s="13">
        <v>0</v>
      </c>
      <c r="F15" s="13">
        <v>0</v>
      </c>
      <c r="G15" s="13">
        <v>0</v>
      </c>
      <c r="H15" s="170">
        <v>0</v>
      </c>
      <c r="I15" s="13">
        <v>0</v>
      </c>
      <c r="J15" s="13">
        <v>0</v>
      </c>
      <c r="K15" s="13">
        <v>0</v>
      </c>
      <c r="L15" s="13">
        <v>0</v>
      </c>
      <c r="M15" s="41">
        <v>0</v>
      </c>
      <c r="N15" s="13">
        <v>0</v>
      </c>
      <c r="O15" s="13">
        <v>0</v>
      </c>
      <c r="P15" s="13">
        <v>0</v>
      </c>
      <c r="Q15" s="13">
        <v>0</v>
      </c>
      <c r="R15" s="41">
        <v>0</v>
      </c>
      <c r="S15" s="13">
        <v>0</v>
      </c>
      <c r="T15" s="13">
        <v>0</v>
      </c>
      <c r="U15" s="13">
        <v>0</v>
      </c>
      <c r="V15" s="13">
        <v>0</v>
      </c>
      <c r="W15" s="41">
        <v>0</v>
      </c>
      <c r="X15" s="13">
        <v>0</v>
      </c>
      <c r="Y15" s="13">
        <v>0</v>
      </c>
      <c r="Z15" s="13">
        <v>0</v>
      </c>
      <c r="AA15" s="13">
        <v>0</v>
      </c>
      <c r="AB15" s="41">
        <v>0</v>
      </c>
      <c r="AC15" s="13">
        <v>-124.48341000000001</v>
      </c>
      <c r="AD15" s="13">
        <v>-265.90536000000003</v>
      </c>
      <c r="AE15" s="13">
        <v>-633.96879999999987</v>
      </c>
      <c r="AF15" s="13">
        <v>-952.80201000000011</v>
      </c>
      <c r="AG15" s="41">
        <v>-1977.15958</v>
      </c>
      <c r="AH15" s="13">
        <v>-73</v>
      </c>
      <c r="AI15" s="13">
        <v>249</v>
      </c>
      <c r="AJ15" s="13">
        <v>1017</v>
      </c>
      <c r="AK15" s="13">
        <v>2223</v>
      </c>
      <c r="AL15" s="41">
        <f t="shared" si="8"/>
        <v>3416</v>
      </c>
      <c r="AM15" s="13">
        <v>2666.25</v>
      </c>
      <c r="AN15" s="13">
        <v>4531</v>
      </c>
      <c r="AO15" s="13">
        <v>5196</v>
      </c>
      <c r="AP15" s="13">
        <v>5236</v>
      </c>
      <c r="AQ15" s="41">
        <f t="shared" si="9"/>
        <v>17629.25</v>
      </c>
      <c r="AR15" s="13"/>
      <c r="AS15" s="13"/>
      <c r="AT15" s="13"/>
      <c r="AU15" s="13"/>
      <c r="AV15" s="41">
        <f t="shared" si="11"/>
        <v>0</v>
      </c>
      <c r="AW15" s="8"/>
      <c r="AX15" s="8"/>
      <c r="AY15" s="463"/>
      <c r="BG15" s="8"/>
      <c r="BH15" s="8"/>
      <c r="BI15" s="8"/>
      <c r="BJ15" s="8"/>
      <c r="BK15" s="8"/>
      <c r="BL15" s="8"/>
    </row>
    <row r="16" spans="1:64">
      <c r="A16" s="11"/>
      <c r="B16" s="11" t="s">
        <v>269</v>
      </c>
      <c r="C16" s="11" t="s">
        <v>269</v>
      </c>
      <c r="D16" s="13">
        <v>10879.326935822401</v>
      </c>
      <c r="E16" s="13">
        <v>10156.355570206999</v>
      </c>
      <c r="F16" s="13">
        <v>8493.8030400000025</v>
      </c>
      <c r="G16" s="13">
        <v>-4734.9436560294016</v>
      </c>
      <c r="H16" s="170">
        <v>24794.54189</v>
      </c>
      <c r="I16" s="13">
        <v>9884.6331099999989</v>
      </c>
      <c r="J16" s="13">
        <v>8570.107170000003</v>
      </c>
      <c r="K16" s="13">
        <v>9116.4090699999979</v>
      </c>
      <c r="L16" s="13">
        <v>20355.67669</v>
      </c>
      <c r="M16" s="41">
        <v>47926.82604</v>
      </c>
      <c r="N16" s="13">
        <v>14238.89248</v>
      </c>
      <c r="O16" s="13">
        <v>9331.6300500000016</v>
      </c>
      <c r="P16" s="13">
        <v>10434.51382</v>
      </c>
      <c r="Q16" s="13">
        <v>18606.603039999995</v>
      </c>
      <c r="R16" s="41">
        <v>52611.639389999997</v>
      </c>
      <c r="S16" s="13">
        <v>11259.94118</v>
      </c>
      <c r="T16" s="13">
        <v>9930.3495700000003</v>
      </c>
      <c r="U16" s="13">
        <v>10077.425780000001</v>
      </c>
      <c r="V16" s="13">
        <v>23188.290010000001</v>
      </c>
      <c r="W16" s="41">
        <v>54456.006540000002</v>
      </c>
      <c r="X16" s="13">
        <v>6992.8752500000001</v>
      </c>
      <c r="Y16" s="13">
        <v>10779.93607</v>
      </c>
      <c r="Z16" s="13">
        <v>7565.4977399999989</v>
      </c>
      <c r="AA16" s="13">
        <v>17143.477029999995</v>
      </c>
      <c r="AB16" s="41">
        <v>42481.786089999994</v>
      </c>
      <c r="AC16" s="13">
        <v>11128.263289999999</v>
      </c>
      <c r="AD16" s="13">
        <v>8173.9680499999995</v>
      </c>
      <c r="AE16" s="13">
        <v>3266.4812699999998</v>
      </c>
      <c r="AF16" s="13">
        <v>17534.295980000003</v>
      </c>
      <c r="AG16" s="41">
        <v>40103.008589999998</v>
      </c>
      <c r="AH16" s="13">
        <v>15649</v>
      </c>
      <c r="AI16" s="13">
        <v>16475</v>
      </c>
      <c r="AJ16" s="13">
        <v>28331</v>
      </c>
      <c r="AK16" s="13">
        <v>46363</v>
      </c>
      <c r="AL16" s="41">
        <f t="shared" si="8"/>
        <v>106818</v>
      </c>
      <c r="AM16" s="13">
        <v>41926</v>
      </c>
      <c r="AN16" s="13">
        <v>39306</v>
      </c>
      <c r="AO16" s="13">
        <v>43672</v>
      </c>
      <c r="AP16" s="13">
        <v>44518</v>
      </c>
      <c r="AQ16" s="41">
        <f t="shared" si="9"/>
        <v>169422</v>
      </c>
      <c r="AR16" s="13"/>
      <c r="AS16" s="13"/>
      <c r="AT16" s="13"/>
      <c r="AU16" s="13"/>
      <c r="AV16" s="41">
        <f t="shared" si="11"/>
        <v>0</v>
      </c>
      <c r="AW16" s="8"/>
      <c r="AX16" s="8"/>
      <c r="AY16" s="463"/>
      <c r="BG16" s="8"/>
      <c r="BH16" s="8"/>
      <c r="BI16" s="8"/>
      <c r="BJ16" s="8"/>
      <c r="BK16" s="8"/>
      <c r="BL16" s="8"/>
    </row>
    <row r="17" spans="1:64">
      <c r="A17" s="11"/>
      <c r="B17" s="11" t="s">
        <v>270</v>
      </c>
      <c r="C17" s="11" t="s">
        <v>270</v>
      </c>
      <c r="D17" s="13">
        <v>1260.2524713</v>
      </c>
      <c r="E17" s="13">
        <v>1467.2447301999998</v>
      </c>
      <c r="F17" s="13">
        <v>822.44889999999987</v>
      </c>
      <c r="G17" s="13">
        <v>198.75898850000067</v>
      </c>
      <c r="H17" s="170">
        <v>3748.7050900000004</v>
      </c>
      <c r="I17" s="13">
        <v>1901.41659</v>
      </c>
      <c r="J17" s="13">
        <v>1235.0780099999999</v>
      </c>
      <c r="K17" s="13">
        <v>1059.7732099999994</v>
      </c>
      <c r="L17" s="13">
        <v>1144.2309999999998</v>
      </c>
      <c r="M17" s="41">
        <v>5340.4988099999991</v>
      </c>
      <c r="N17" s="13">
        <v>1502.5746799999999</v>
      </c>
      <c r="O17" s="13">
        <v>1162.41713</v>
      </c>
      <c r="P17" s="13">
        <v>1271.2898999999998</v>
      </c>
      <c r="Q17" s="13">
        <v>1296.63852</v>
      </c>
      <c r="R17" s="41">
        <v>5232.9202299999997</v>
      </c>
      <c r="S17" s="13">
        <v>1626.4363000000001</v>
      </c>
      <c r="T17" s="13">
        <v>6871.5271999999995</v>
      </c>
      <c r="U17" s="13">
        <v>8032.075139999999</v>
      </c>
      <c r="V17" s="13">
        <v>9975.9969100000017</v>
      </c>
      <c r="W17" s="41">
        <v>26506.035550000001</v>
      </c>
      <c r="X17" s="13">
        <v>4502.4825099999998</v>
      </c>
      <c r="Y17" s="13">
        <v>3082.7353600000006</v>
      </c>
      <c r="Z17" s="13">
        <v>4875.9466800000009</v>
      </c>
      <c r="AA17" s="13">
        <v>7643.7201299999979</v>
      </c>
      <c r="AB17" s="41">
        <v>20104.884679999999</v>
      </c>
      <c r="AC17" s="13">
        <v>7033.98945</v>
      </c>
      <c r="AD17" s="13">
        <v>6498.4577999999992</v>
      </c>
      <c r="AE17" s="13">
        <v>4574.9691400000002</v>
      </c>
      <c r="AF17" s="13">
        <v>5358.5040399999989</v>
      </c>
      <c r="AG17" s="41">
        <v>23465.920429999998</v>
      </c>
      <c r="AH17" s="13">
        <v>4903</v>
      </c>
      <c r="AI17" s="13">
        <v>5537</v>
      </c>
      <c r="AJ17" s="13">
        <v>6146</v>
      </c>
      <c r="AK17" s="13">
        <v>6819</v>
      </c>
      <c r="AL17" s="41">
        <f t="shared" si="8"/>
        <v>23405</v>
      </c>
      <c r="AM17" s="13">
        <v>7153</v>
      </c>
      <c r="AN17" s="13">
        <v>6591</v>
      </c>
      <c r="AO17" s="13">
        <v>6784</v>
      </c>
      <c r="AP17" s="13">
        <v>9177</v>
      </c>
      <c r="AQ17" s="41">
        <f t="shared" si="9"/>
        <v>29705</v>
      </c>
      <c r="AR17" s="13"/>
      <c r="AS17" s="13"/>
      <c r="AT17" s="13"/>
      <c r="AU17" s="13"/>
      <c r="AV17" s="41">
        <f t="shared" si="11"/>
        <v>0</v>
      </c>
      <c r="AW17" s="8"/>
      <c r="AX17" s="8"/>
      <c r="AY17" s="463"/>
      <c r="BG17" s="8"/>
      <c r="BH17" s="8"/>
      <c r="BI17" s="8"/>
      <c r="BJ17" s="8"/>
      <c r="BK17" s="8"/>
      <c r="BL17" s="8"/>
    </row>
    <row r="18" spans="1:64">
      <c r="A18" s="11"/>
      <c r="B18" s="11" t="s">
        <v>271</v>
      </c>
      <c r="C18" s="11" t="s">
        <v>271</v>
      </c>
      <c r="D18" s="13"/>
      <c r="E18" s="13"/>
      <c r="F18" s="13"/>
      <c r="G18" s="13"/>
      <c r="H18" s="170">
        <v>0</v>
      </c>
      <c r="I18" s="13"/>
      <c r="J18" s="13"/>
      <c r="K18" s="13"/>
      <c r="L18" s="13"/>
      <c r="M18" s="41">
        <v>0</v>
      </c>
      <c r="N18" s="13"/>
      <c r="O18" s="13"/>
      <c r="P18" s="13"/>
      <c r="Q18" s="13"/>
      <c r="R18" s="41">
        <v>0</v>
      </c>
      <c r="S18" s="13"/>
      <c r="T18" s="13"/>
      <c r="U18" s="13"/>
      <c r="V18" s="13"/>
      <c r="W18" s="41">
        <v>0</v>
      </c>
      <c r="X18" s="13"/>
      <c r="Y18" s="13"/>
      <c r="Z18" s="13"/>
      <c r="AA18" s="13"/>
      <c r="AB18" s="41">
        <v>0</v>
      </c>
      <c r="AC18" s="13"/>
      <c r="AD18" s="13"/>
      <c r="AE18" s="13"/>
      <c r="AF18" s="13"/>
      <c r="AG18" s="41"/>
      <c r="AH18" s="13"/>
      <c r="AI18" s="13"/>
      <c r="AJ18" s="13"/>
      <c r="AK18" s="13">
        <v>-16906</v>
      </c>
      <c r="AL18" s="41">
        <f t="shared" si="8"/>
        <v>-16906</v>
      </c>
      <c r="AM18" s="13">
        <v>0</v>
      </c>
      <c r="AN18" s="13">
        <v>0</v>
      </c>
      <c r="AO18" s="13">
        <v>0</v>
      </c>
      <c r="AP18" s="13">
        <v>0</v>
      </c>
      <c r="AQ18" s="41">
        <f t="shared" si="9"/>
        <v>0</v>
      </c>
      <c r="AR18" s="13"/>
      <c r="AS18" s="13"/>
      <c r="AT18" s="13"/>
      <c r="AU18" s="13"/>
      <c r="AV18" s="41">
        <f t="shared" si="11"/>
        <v>0</v>
      </c>
      <c r="AW18" s="8"/>
      <c r="AX18" s="8"/>
      <c r="AY18" s="463"/>
      <c r="BG18" s="8"/>
      <c r="BH18" s="8"/>
      <c r="BI18" s="8"/>
      <c r="BJ18" s="8"/>
      <c r="BK18" s="8"/>
      <c r="BL18" s="8"/>
    </row>
    <row r="19" spans="1:64">
      <c r="A19" s="5"/>
      <c r="B19" s="5" t="s">
        <v>272</v>
      </c>
      <c r="C19" s="5" t="s">
        <v>273</v>
      </c>
      <c r="D19" s="34">
        <v>75087.053640000027</v>
      </c>
      <c r="E19" s="34">
        <v>69381.927600000025</v>
      </c>
      <c r="F19" s="34">
        <v>80498.774829999966</v>
      </c>
      <c r="G19" s="34">
        <v>89636.117749999947</v>
      </c>
      <c r="H19" s="113">
        <v>314603.87381999998</v>
      </c>
      <c r="I19" s="34">
        <v>123988.58903</v>
      </c>
      <c r="J19" s="34">
        <v>126909.01842000002</v>
      </c>
      <c r="K19" s="34">
        <v>132954.16104999997</v>
      </c>
      <c r="L19" s="34">
        <v>109007.80658</v>
      </c>
      <c r="M19" s="113">
        <v>492859.57507999998</v>
      </c>
      <c r="N19" s="34">
        <v>118198.83920999999</v>
      </c>
      <c r="O19" s="34">
        <v>153415.43643</v>
      </c>
      <c r="P19" s="34">
        <v>152860.31465000001</v>
      </c>
      <c r="Q19" s="34">
        <v>154846.99670000002</v>
      </c>
      <c r="R19" s="113">
        <v>579321.58698999998</v>
      </c>
      <c r="S19" s="34">
        <v>163849.28473999997</v>
      </c>
      <c r="T19" s="34">
        <v>184415.36861</v>
      </c>
      <c r="U19" s="34">
        <v>196250.39385999995</v>
      </c>
      <c r="V19" s="34">
        <v>194487.08451000004</v>
      </c>
      <c r="W19" s="113">
        <v>739002.13172000006</v>
      </c>
      <c r="X19" s="34">
        <v>173066.69043999998</v>
      </c>
      <c r="Y19" s="34">
        <v>157080.37400000001</v>
      </c>
      <c r="Z19" s="34">
        <v>326701.038</v>
      </c>
      <c r="AA19" s="34">
        <v>237841.76973</v>
      </c>
      <c r="AB19" s="113">
        <v>894689.8721700001</v>
      </c>
      <c r="AC19" s="34">
        <v>78898.343970000002</v>
      </c>
      <c r="AD19" s="34">
        <v>46476.66502</v>
      </c>
      <c r="AE19" s="34">
        <v>38120.106820000008</v>
      </c>
      <c r="AF19" s="34">
        <v>17383.04105</v>
      </c>
      <c r="AG19" s="113">
        <v>180878.15686000002</v>
      </c>
      <c r="AH19" s="34">
        <f t="shared" ref="AH19" si="12">SUM(AH20:AH26)</f>
        <v>41505</v>
      </c>
      <c r="AI19" s="34">
        <f t="shared" ref="AI19:AM19" si="13">SUM(AI20:AI26)</f>
        <v>32137</v>
      </c>
      <c r="AJ19" s="34">
        <f t="shared" si="13"/>
        <v>33560</v>
      </c>
      <c r="AK19" s="34">
        <f t="shared" si="13"/>
        <v>34445</v>
      </c>
      <c r="AL19" s="113">
        <f t="shared" si="8"/>
        <v>141647</v>
      </c>
      <c r="AM19" s="34">
        <f t="shared" si="13"/>
        <v>40329</v>
      </c>
      <c r="AN19" s="34">
        <f>SUM(AN20:AN26)</f>
        <v>38282</v>
      </c>
      <c r="AO19" s="34">
        <f>SUM(AO20:AO26)</f>
        <v>38471</v>
      </c>
      <c r="AP19" s="34">
        <f>SUM(AP20:AP26)</f>
        <v>40167</v>
      </c>
      <c r="AQ19" s="113">
        <f t="shared" si="9"/>
        <v>157249</v>
      </c>
      <c r="AR19" s="34">
        <f t="shared" ref="AR19" si="14">SUM(AR20:AR26)</f>
        <v>0</v>
      </c>
      <c r="AS19" s="34">
        <f>SUM(AS20:AS26)</f>
        <v>0</v>
      </c>
      <c r="AT19" s="34">
        <f>SUM(AT20:AT26)</f>
        <v>0</v>
      </c>
      <c r="AU19" s="34">
        <f>SUM(AU20:AU26)</f>
        <v>0</v>
      </c>
      <c r="AV19" s="113">
        <f t="shared" si="11"/>
        <v>0</v>
      </c>
      <c r="AW19" s="8"/>
      <c r="AX19" s="8"/>
      <c r="AY19" s="463"/>
      <c r="BG19" s="8"/>
      <c r="BH19" s="8"/>
      <c r="BI19" s="8"/>
      <c r="BJ19" s="8"/>
      <c r="BK19" s="8"/>
      <c r="BL19" s="8"/>
    </row>
    <row r="20" spans="1:64">
      <c r="A20" s="11"/>
      <c r="B20" s="11" t="s">
        <v>274</v>
      </c>
      <c r="C20" s="11" t="s">
        <v>275</v>
      </c>
      <c r="D20" s="13">
        <v>2647.0067100000001</v>
      </c>
      <c r="E20" s="13">
        <v>1952.4398799999994</v>
      </c>
      <c r="F20" s="13">
        <v>2407.896020000001</v>
      </c>
      <c r="G20" s="13">
        <v>3315.3241000000007</v>
      </c>
      <c r="H20" s="41">
        <v>10322.666710000001</v>
      </c>
      <c r="I20" s="13">
        <v>4176.1040299999995</v>
      </c>
      <c r="J20" s="13">
        <v>3162.8367600000001</v>
      </c>
      <c r="K20" s="13">
        <v>3505.1761800000013</v>
      </c>
      <c r="L20" s="13">
        <v>1963.8138999999974</v>
      </c>
      <c r="M20" s="41">
        <v>10322.666710000001</v>
      </c>
      <c r="N20" s="13">
        <v>3304.5078399999998</v>
      </c>
      <c r="O20" s="13">
        <v>3253.8506100000009</v>
      </c>
      <c r="P20" s="13">
        <v>5337.9667099999997</v>
      </c>
      <c r="Q20" s="13">
        <v>5233.4943700000003</v>
      </c>
      <c r="R20" s="41">
        <v>10322.666710000001</v>
      </c>
      <c r="S20" s="13">
        <v>3301.2249200000001</v>
      </c>
      <c r="T20" s="13">
        <v>5259.4952200000007</v>
      </c>
      <c r="U20" s="13">
        <v>6234.6843599999993</v>
      </c>
      <c r="V20" s="13">
        <v>4465.9845800000003</v>
      </c>
      <c r="W20" s="41">
        <v>10322.666710000001</v>
      </c>
      <c r="X20" s="13">
        <v>1703.64267</v>
      </c>
      <c r="Y20" s="13">
        <v>3467.6972700000006</v>
      </c>
      <c r="Z20" s="13">
        <v>1797.0754999999999</v>
      </c>
      <c r="AA20" s="13">
        <v>1574.3457599999983</v>
      </c>
      <c r="AB20" s="41">
        <v>10322.666710000001</v>
      </c>
      <c r="AC20" s="13">
        <v>1704.3182099999999</v>
      </c>
      <c r="AD20" s="13">
        <v>1410.9515200000001</v>
      </c>
      <c r="AE20" s="13">
        <v>150.92835000000008</v>
      </c>
      <c r="AF20" s="13">
        <v>0</v>
      </c>
      <c r="AG20" s="41">
        <v>3266.1980800000001</v>
      </c>
      <c r="AH20" s="13">
        <v>0</v>
      </c>
      <c r="AI20" s="13">
        <v>0</v>
      </c>
      <c r="AJ20" s="13">
        <v>0</v>
      </c>
      <c r="AK20" s="13">
        <v>0</v>
      </c>
      <c r="AL20" s="41">
        <f t="shared" si="8"/>
        <v>0</v>
      </c>
      <c r="AM20" s="13">
        <v>0</v>
      </c>
      <c r="AN20" s="13">
        <v>0</v>
      </c>
      <c r="AO20" s="13">
        <v>0</v>
      </c>
      <c r="AP20" s="13">
        <v>0</v>
      </c>
      <c r="AQ20" s="41">
        <f t="shared" si="9"/>
        <v>0</v>
      </c>
      <c r="AR20" s="13"/>
      <c r="AS20" s="13"/>
      <c r="AT20" s="13"/>
      <c r="AU20" s="13"/>
      <c r="AV20" s="41">
        <f t="shared" si="11"/>
        <v>0</v>
      </c>
      <c r="AW20" s="8"/>
      <c r="AX20" s="8"/>
      <c r="AY20" s="463"/>
      <c r="BG20" s="8"/>
      <c r="BH20" s="8"/>
      <c r="BI20" s="8"/>
      <c r="BJ20" s="8"/>
      <c r="BK20" s="8"/>
      <c r="BL20" s="8"/>
    </row>
    <row r="21" spans="1:64">
      <c r="A21" s="11"/>
      <c r="B21" s="11" t="s">
        <v>276</v>
      </c>
      <c r="C21" s="11" t="s">
        <v>277</v>
      </c>
      <c r="D21" s="13">
        <v>4285.8790399999989</v>
      </c>
      <c r="E21" s="13">
        <v>4691.1730400000006</v>
      </c>
      <c r="F21" s="13">
        <v>5568.6564500000022</v>
      </c>
      <c r="G21" s="13">
        <v>3208.0919199999971</v>
      </c>
      <c r="H21" s="41">
        <v>17753.800449999999</v>
      </c>
      <c r="I21" s="13">
        <v>5934.3816799999995</v>
      </c>
      <c r="J21" s="13">
        <v>6516.12799</v>
      </c>
      <c r="K21" s="13">
        <v>6664.3183199999985</v>
      </c>
      <c r="L21" s="13">
        <v>4843.2561200000018</v>
      </c>
      <c r="M21" s="41">
        <v>17753.800449999999</v>
      </c>
      <c r="N21" s="13">
        <v>3594.8093799999997</v>
      </c>
      <c r="O21" s="13">
        <v>6440.9302399999988</v>
      </c>
      <c r="P21" s="13">
        <v>6855.6991100000032</v>
      </c>
      <c r="Q21" s="13">
        <v>5554.7249999999985</v>
      </c>
      <c r="R21" s="41">
        <v>17753.800449999999</v>
      </c>
      <c r="S21" s="13">
        <v>4537.7527599999994</v>
      </c>
      <c r="T21" s="13">
        <v>7374.7725000000009</v>
      </c>
      <c r="U21" s="13">
        <v>8317.0072400000008</v>
      </c>
      <c r="V21" s="13">
        <v>7673.1602299999977</v>
      </c>
      <c r="W21" s="41">
        <v>17753.800449999999</v>
      </c>
      <c r="X21" s="13">
        <v>7522.6654600000002</v>
      </c>
      <c r="Y21" s="13">
        <v>5522.9755499999992</v>
      </c>
      <c r="Z21" s="13">
        <v>2932.4690900000005</v>
      </c>
      <c r="AA21" s="13">
        <v>3191.3905000000032</v>
      </c>
      <c r="AB21" s="41">
        <v>17753.800449999999</v>
      </c>
      <c r="AC21" s="13">
        <v>1828.2783700000002</v>
      </c>
      <c r="AD21" s="13">
        <v>1886.86608</v>
      </c>
      <c r="AE21" s="13">
        <v>1465.4596200000001</v>
      </c>
      <c r="AF21" s="13">
        <v>207.5212399999993</v>
      </c>
      <c r="AG21" s="41">
        <v>5388.1253099999994</v>
      </c>
      <c r="AH21" s="13">
        <v>0</v>
      </c>
      <c r="AI21" s="13">
        <v>0</v>
      </c>
      <c r="AJ21" s="13">
        <v>0</v>
      </c>
      <c r="AK21" s="13">
        <v>1</v>
      </c>
      <c r="AL21" s="41">
        <f t="shared" si="8"/>
        <v>1</v>
      </c>
      <c r="AM21" s="13">
        <v>0</v>
      </c>
      <c r="AN21" s="13">
        <v>0</v>
      </c>
      <c r="AO21" s="13">
        <v>0</v>
      </c>
      <c r="AP21" s="13">
        <v>0</v>
      </c>
      <c r="AQ21" s="41">
        <f t="shared" si="9"/>
        <v>0</v>
      </c>
      <c r="AR21" s="13"/>
      <c r="AS21" s="13"/>
      <c r="AT21" s="13"/>
      <c r="AU21" s="13"/>
      <c r="AV21" s="41">
        <f t="shared" si="11"/>
        <v>0</v>
      </c>
      <c r="AW21" s="8"/>
      <c r="AX21" s="8"/>
      <c r="AY21" s="463"/>
      <c r="BG21" s="8"/>
      <c r="BH21" s="8"/>
      <c r="BI21" s="8"/>
      <c r="BJ21" s="8"/>
      <c r="BK21" s="8"/>
      <c r="BL21" s="8"/>
    </row>
    <row r="22" spans="1:64">
      <c r="A22" s="11"/>
      <c r="B22" s="11" t="s">
        <v>278</v>
      </c>
      <c r="C22" s="11" t="s">
        <v>279</v>
      </c>
      <c r="D22" s="13">
        <v>9361.4164399999972</v>
      </c>
      <c r="E22" s="13">
        <v>9111.0661300000029</v>
      </c>
      <c r="F22" s="13">
        <v>11235.22236</v>
      </c>
      <c r="G22" s="13">
        <v>5881.2237400000013</v>
      </c>
      <c r="H22" s="41">
        <v>35588.928670000001</v>
      </c>
      <c r="I22" s="13">
        <v>13263.41056</v>
      </c>
      <c r="J22" s="13">
        <v>14628.899679999999</v>
      </c>
      <c r="K22" s="13">
        <v>16625.004560000001</v>
      </c>
      <c r="L22" s="13">
        <v>14212.879179999996</v>
      </c>
      <c r="M22" s="41">
        <v>35588.928670000001</v>
      </c>
      <c r="N22" s="13">
        <v>16806.66678</v>
      </c>
      <c r="O22" s="13">
        <v>19265.73403</v>
      </c>
      <c r="P22" s="13">
        <v>17745.830250000006</v>
      </c>
      <c r="Q22" s="13">
        <v>21413.88562999999</v>
      </c>
      <c r="R22" s="41">
        <v>35588.928670000001</v>
      </c>
      <c r="S22" s="13">
        <v>21932.11764</v>
      </c>
      <c r="T22" s="13">
        <v>25230.2582</v>
      </c>
      <c r="U22" s="13">
        <v>25964.108329999995</v>
      </c>
      <c r="V22" s="13">
        <v>28797.415659999999</v>
      </c>
      <c r="W22" s="41">
        <v>35588.928670000001</v>
      </c>
      <c r="X22" s="13">
        <v>21301.937030000001</v>
      </c>
      <c r="Y22" s="13">
        <v>16936.89991</v>
      </c>
      <c r="Z22" s="13">
        <v>32964.355299999988</v>
      </c>
      <c r="AA22" s="13">
        <v>31465.817230000015</v>
      </c>
      <c r="AB22" s="41">
        <v>35588.928670000001</v>
      </c>
      <c r="AC22" s="13">
        <v>12644.4887</v>
      </c>
      <c r="AD22" s="13">
        <v>14225.909539999999</v>
      </c>
      <c r="AE22" s="13">
        <v>12723.674129999999</v>
      </c>
      <c r="AF22" s="13">
        <v>12770.426940000005</v>
      </c>
      <c r="AG22" s="41">
        <v>52364.499309999999</v>
      </c>
      <c r="AH22" s="13">
        <v>12829</v>
      </c>
      <c r="AI22" s="13">
        <v>11573</v>
      </c>
      <c r="AJ22" s="13">
        <v>10914</v>
      </c>
      <c r="AK22" s="13">
        <v>10135</v>
      </c>
      <c r="AL22" s="41">
        <f t="shared" si="8"/>
        <v>45451</v>
      </c>
      <c r="AM22" s="13">
        <v>9835</v>
      </c>
      <c r="AN22" s="13">
        <v>9894</v>
      </c>
      <c r="AO22" s="13">
        <v>9455</v>
      </c>
      <c r="AP22" s="13">
        <v>9191</v>
      </c>
      <c r="AQ22" s="41">
        <f t="shared" si="9"/>
        <v>38375</v>
      </c>
      <c r="AR22" s="13"/>
      <c r="AS22" s="13"/>
      <c r="AT22" s="13"/>
      <c r="AU22" s="13"/>
      <c r="AV22" s="41">
        <f t="shared" si="11"/>
        <v>0</v>
      </c>
      <c r="AW22" s="8"/>
      <c r="AX22" s="8"/>
      <c r="AY22" s="463"/>
      <c r="BG22" s="8"/>
      <c r="BH22" s="8"/>
      <c r="BI22" s="8"/>
      <c r="BJ22" s="8"/>
      <c r="BK22" s="8"/>
      <c r="BL22" s="8"/>
    </row>
    <row r="23" spans="1:64">
      <c r="A23" s="11"/>
      <c r="B23" s="11" t="s">
        <v>280</v>
      </c>
      <c r="C23" s="11" t="s">
        <v>281</v>
      </c>
      <c r="D23" s="13">
        <v>26125</v>
      </c>
      <c r="E23" s="13">
        <v>22866.000000000007</v>
      </c>
      <c r="F23" s="13">
        <v>22500.000000000007</v>
      </c>
      <c r="G23" s="13">
        <v>19684.368059999993</v>
      </c>
      <c r="H23" s="41">
        <v>91175.368060000008</v>
      </c>
      <c r="I23" s="13">
        <v>29851.235389999998</v>
      </c>
      <c r="J23" s="13">
        <v>26250.789220000002</v>
      </c>
      <c r="K23" s="13">
        <v>26755.961690000004</v>
      </c>
      <c r="L23" s="13">
        <v>26975.38513000001</v>
      </c>
      <c r="M23" s="41">
        <v>91175.368060000008</v>
      </c>
      <c r="N23" s="13">
        <v>27957.785030000003</v>
      </c>
      <c r="O23" s="13">
        <v>29093.127759999999</v>
      </c>
      <c r="P23" s="13">
        <v>27761.318029999995</v>
      </c>
      <c r="Q23" s="13">
        <v>25639.407749999998</v>
      </c>
      <c r="R23" s="41">
        <v>91175.368060000008</v>
      </c>
      <c r="S23" s="13">
        <v>26772.866249999999</v>
      </c>
      <c r="T23" s="13">
        <v>27887.497800000005</v>
      </c>
      <c r="U23" s="13">
        <v>27291.314809999982</v>
      </c>
      <c r="V23" s="13">
        <v>27691.930960000012</v>
      </c>
      <c r="W23" s="41">
        <v>91175.368060000008</v>
      </c>
      <c r="X23" s="13">
        <v>29050.265769999998</v>
      </c>
      <c r="Y23" s="13">
        <v>29131.783630000005</v>
      </c>
      <c r="Z23" s="13">
        <v>29096.444869999992</v>
      </c>
      <c r="AA23" s="13">
        <v>29172.094370000006</v>
      </c>
      <c r="AB23" s="41">
        <v>91175.368060000008</v>
      </c>
      <c r="AC23" s="13">
        <v>34602.20938</v>
      </c>
      <c r="AD23" s="13">
        <v>30231.405919999997</v>
      </c>
      <c r="AE23" s="13">
        <v>30370.021090000002</v>
      </c>
      <c r="AF23" s="13">
        <v>30618.520860000001</v>
      </c>
      <c r="AG23" s="41">
        <v>125822.15725</v>
      </c>
      <c r="AH23" s="13">
        <v>31384</v>
      </c>
      <c r="AI23" s="13">
        <v>30628</v>
      </c>
      <c r="AJ23" s="13">
        <v>31475</v>
      </c>
      <c r="AK23" s="13">
        <v>31581</v>
      </c>
      <c r="AL23" s="41">
        <f t="shared" si="8"/>
        <v>125068</v>
      </c>
      <c r="AM23" s="13">
        <v>33341</v>
      </c>
      <c r="AN23" s="13">
        <v>31736</v>
      </c>
      <c r="AO23" s="13">
        <v>31689</v>
      </c>
      <c r="AP23" s="13">
        <v>32024</v>
      </c>
      <c r="AQ23" s="41">
        <f t="shared" si="9"/>
        <v>128790</v>
      </c>
      <c r="AR23" s="13"/>
      <c r="AS23" s="13"/>
      <c r="AT23" s="13"/>
      <c r="AU23" s="13"/>
      <c r="AV23" s="41">
        <f t="shared" si="11"/>
        <v>0</v>
      </c>
      <c r="AW23" s="8"/>
      <c r="AX23" s="114"/>
      <c r="AY23" s="463"/>
      <c r="BG23" s="8"/>
      <c r="BH23" s="8"/>
      <c r="BI23" s="8"/>
      <c r="BJ23" s="8"/>
      <c r="BK23" s="8"/>
      <c r="BL23" s="8"/>
    </row>
    <row r="24" spans="1:64">
      <c r="A24" s="11"/>
      <c r="B24" s="11" t="s">
        <v>282</v>
      </c>
      <c r="C24" s="11" t="s">
        <v>283</v>
      </c>
      <c r="D24" s="13">
        <v>28265.000000000004</v>
      </c>
      <c r="E24" s="13">
        <v>27732.000000000025</v>
      </c>
      <c r="F24" s="13">
        <v>35462.999999999956</v>
      </c>
      <c r="G24" s="13">
        <v>53717.819041525494</v>
      </c>
      <c r="H24" s="41">
        <v>145177.81904152548</v>
      </c>
      <c r="I24" s="13">
        <v>67159.019610000003</v>
      </c>
      <c r="J24" s="13">
        <v>72317.752950000009</v>
      </c>
      <c r="K24" s="13">
        <v>73247.401939999982</v>
      </c>
      <c r="L24" s="13">
        <v>52474.558749999997</v>
      </c>
      <c r="M24" s="41">
        <v>145177.81904152548</v>
      </c>
      <c r="N24" s="13">
        <v>61590.879689999994</v>
      </c>
      <c r="O24" s="13">
        <v>86143.474319999979</v>
      </c>
      <c r="P24" s="13">
        <v>87810.210380000004</v>
      </c>
      <c r="Q24" s="13">
        <v>86925.616560000024</v>
      </c>
      <c r="R24" s="41">
        <v>145177.81904152548</v>
      </c>
      <c r="S24" s="13">
        <v>100659.71281</v>
      </c>
      <c r="T24" s="13">
        <v>108968.95843</v>
      </c>
      <c r="U24" s="13">
        <v>116132.95714999997</v>
      </c>
      <c r="V24" s="13">
        <v>112010.06149000005</v>
      </c>
      <c r="W24" s="41">
        <v>145177.81904152548</v>
      </c>
      <c r="X24" s="13">
        <v>106793.66065999999</v>
      </c>
      <c r="Y24" s="13">
        <v>95081.823250000016</v>
      </c>
      <c r="Z24" s="13">
        <v>235299.88245999999</v>
      </c>
      <c r="AA24" s="13">
        <v>149988.01143999997</v>
      </c>
      <c r="AB24" s="41">
        <v>145177.81904152548</v>
      </c>
      <c r="AC24" s="13">
        <v>21981.241460000001</v>
      </c>
      <c r="AD24" s="13">
        <v>-2296.3428400000012</v>
      </c>
      <c r="AE24" s="13">
        <v>-7818.3075499999986</v>
      </c>
      <c r="AF24" s="13">
        <v>-27347.608170000003</v>
      </c>
      <c r="AG24" s="41">
        <v>-15481.017100000001</v>
      </c>
      <c r="AH24" s="13">
        <v>-8907</v>
      </c>
      <c r="AI24" s="13">
        <v>-11274</v>
      </c>
      <c r="AJ24" s="13">
        <v>-9961</v>
      </c>
      <c r="AK24" s="13">
        <v>-8569</v>
      </c>
      <c r="AL24" s="41">
        <f t="shared" si="8"/>
        <v>-38711</v>
      </c>
      <c r="AM24" s="13">
        <v>-4155</v>
      </c>
      <c r="AN24" s="13">
        <v>-4215</v>
      </c>
      <c r="AO24" s="13">
        <v>-3979</v>
      </c>
      <c r="AP24" s="13">
        <v>-2332</v>
      </c>
      <c r="AQ24" s="41">
        <f t="shared" si="9"/>
        <v>-14681</v>
      </c>
      <c r="AR24" s="13"/>
      <c r="AS24" s="13"/>
      <c r="AT24" s="13"/>
      <c r="AU24" s="13"/>
      <c r="AV24" s="41">
        <f t="shared" si="11"/>
        <v>0</v>
      </c>
      <c r="AW24" s="8"/>
      <c r="AX24" s="114"/>
      <c r="AY24" s="463"/>
      <c r="BG24" s="8"/>
      <c r="BH24" s="8"/>
      <c r="BI24" s="8"/>
      <c r="BJ24" s="8"/>
      <c r="BK24" s="8"/>
      <c r="BL24" s="8"/>
    </row>
    <row r="25" spans="1:64">
      <c r="A25" s="11"/>
      <c r="B25" s="11" t="s">
        <v>284</v>
      </c>
      <c r="C25" s="11" t="s">
        <v>285</v>
      </c>
      <c r="D25" s="13">
        <v>4402.7514500000179</v>
      </c>
      <c r="E25" s="13">
        <v>3029.2485499999848</v>
      </c>
      <c r="F25" s="13">
        <v>3323.9999999999955</v>
      </c>
      <c r="G25" s="13">
        <v>3829.2908884744666</v>
      </c>
      <c r="H25" s="41">
        <v>14585.290888474465</v>
      </c>
      <c r="I25" s="13">
        <v>3604.4377599999998</v>
      </c>
      <c r="J25" s="13">
        <v>4032.6118200000001</v>
      </c>
      <c r="K25" s="13">
        <v>6156.2983599999998</v>
      </c>
      <c r="L25" s="13">
        <v>8537.9135000000024</v>
      </c>
      <c r="M25" s="41">
        <v>14585.290888474465</v>
      </c>
      <c r="N25" s="13">
        <v>4944.19049</v>
      </c>
      <c r="O25" s="13">
        <v>9218.3194700000022</v>
      </c>
      <c r="P25" s="13">
        <v>7349.2901699999984</v>
      </c>
      <c r="Q25" s="13">
        <v>10079.867389999999</v>
      </c>
      <c r="R25" s="41">
        <v>14585.290888474465</v>
      </c>
      <c r="S25" s="13">
        <v>6645.6103600000006</v>
      </c>
      <c r="T25" s="13">
        <v>9694.3864599999997</v>
      </c>
      <c r="U25" s="13">
        <v>12310.321969999997</v>
      </c>
      <c r="V25" s="13">
        <v>13848.531589999999</v>
      </c>
      <c r="W25" s="41">
        <v>14585.290888474465</v>
      </c>
      <c r="X25" s="13">
        <v>6694.5188499999995</v>
      </c>
      <c r="Y25" s="13">
        <v>6939.1943900000015</v>
      </c>
      <c r="Z25" s="13">
        <v>24610.810780000003</v>
      </c>
      <c r="AA25" s="13">
        <v>22450.110430000001</v>
      </c>
      <c r="AB25" s="41">
        <v>14585.290888474465</v>
      </c>
      <c r="AC25" s="13">
        <v>6137.8078499999992</v>
      </c>
      <c r="AD25" s="13">
        <v>1017.8748000000014</v>
      </c>
      <c r="AE25" s="13">
        <v>1228.3311799999997</v>
      </c>
      <c r="AF25" s="13">
        <v>1134.1801799999996</v>
      </c>
      <c r="AG25" s="41">
        <v>9518.1940099999993</v>
      </c>
      <c r="AH25" s="13">
        <v>6199</v>
      </c>
      <c r="AI25" s="13">
        <v>1210</v>
      </c>
      <c r="AJ25" s="13">
        <v>1132</v>
      </c>
      <c r="AK25" s="13">
        <v>1297</v>
      </c>
      <c r="AL25" s="41">
        <f t="shared" si="8"/>
        <v>9838</v>
      </c>
      <c r="AM25" s="13">
        <v>1308</v>
      </c>
      <c r="AN25" s="13">
        <v>867</v>
      </c>
      <c r="AO25" s="13">
        <v>1306</v>
      </c>
      <c r="AP25" s="13">
        <v>1284</v>
      </c>
      <c r="AQ25" s="41">
        <f t="shared" si="9"/>
        <v>4765</v>
      </c>
      <c r="AR25" s="13"/>
      <c r="AS25" s="13"/>
      <c r="AT25" s="13"/>
      <c r="AU25" s="13"/>
      <c r="AV25" s="41">
        <f t="shared" si="11"/>
        <v>0</v>
      </c>
      <c r="AW25" s="8"/>
      <c r="AX25" s="8"/>
      <c r="AY25" s="463"/>
      <c r="BG25" s="8"/>
      <c r="BH25" s="8"/>
      <c r="BI25" s="8"/>
      <c r="BJ25" s="8"/>
      <c r="BK25" s="8"/>
      <c r="BL25" s="8"/>
    </row>
    <row r="26" spans="1:64">
      <c r="A26" s="11"/>
      <c r="B26" s="11" t="s">
        <v>286</v>
      </c>
      <c r="C26" s="11" t="s">
        <v>286</v>
      </c>
      <c r="D26" s="13">
        <v>0</v>
      </c>
      <c r="E26" s="13">
        <v>0</v>
      </c>
      <c r="F26" s="13">
        <v>0</v>
      </c>
      <c r="G26" s="13">
        <v>0</v>
      </c>
      <c r="H26" s="41">
        <v>0</v>
      </c>
      <c r="I26" s="13">
        <v>0</v>
      </c>
      <c r="J26" s="13">
        <v>0</v>
      </c>
      <c r="K26" s="13">
        <v>0</v>
      </c>
      <c r="L26" s="13">
        <v>0</v>
      </c>
      <c r="M26" s="41">
        <v>0</v>
      </c>
      <c r="N26" s="13">
        <v>0</v>
      </c>
      <c r="O26" s="13">
        <v>0</v>
      </c>
      <c r="P26" s="13">
        <v>0</v>
      </c>
      <c r="Q26" s="13">
        <v>0</v>
      </c>
      <c r="R26" s="41">
        <v>0</v>
      </c>
      <c r="S26" s="13">
        <v>0</v>
      </c>
      <c r="T26" s="13">
        <v>0</v>
      </c>
      <c r="U26" s="13">
        <v>0</v>
      </c>
      <c r="V26" s="13">
        <v>0</v>
      </c>
      <c r="W26" s="41">
        <v>0</v>
      </c>
      <c r="X26" s="13">
        <v>0</v>
      </c>
      <c r="Y26" s="13">
        <v>0</v>
      </c>
      <c r="Z26" s="13">
        <v>0</v>
      </c>
      <c r="AA26" s="13">
        <v>0</v>
      </c>
      <c r="AB26" s="41">
        <v>0</v>
      </c>
      <c r="AC26" s="13">
        <v>0</v>
      </c>
      <c r="AD26" s="13">
        <v>0</v>
      </c>
      <c r="AE26" s="13">
        <v>0</v>
      </c>
      <c r="AF26" s="13">
        <v>0</v>
      </c>
      <c r="AG26" s="41">
        <v>0</v>
      </c>
      <c r="AH26" s="13">
        <v>0</v>
      </c>
      <c r="AI26" s="13">
        <v>0</v>
      </c>
      <c r="AJ26" s="13">
        <v>0</v>
      </c>
      <c r="AK26" s="13">
        <v>0</v>
      </c>
      <c r="AL26" s="41">
        <f t="shared" si="8"/>
        <v>0</v>
      </c>
      <c r="AM26" s="13">
        <v>0</v>
      </c>
      <c r="AN26" s="13">
        <v>0</v>
      </c>
      <c r="AO26" s="13">
        <v>0</v>
      </c>
      <c r="AP26" s="13">
        <v>0</v>
      </c>
      <c r="AQ26" s="41">
        <f t="shared" si="9"/>
        <v>0</v>
      </c>
      <c r="AR26" s="13"/>
      <c r="AS26" s="13"/>
      <c r="AT26" s="13"/>
      <c r="AU26" s="13"/>
      <c r="AV26" s="41">
        <f t="shared" si="11"/>
        <v>0</v>
      </c>
      <c r="AW26" s="8"/>
      <c r="AX26" s="8"/>
      <c r="AY26" s="463"/>
      <c r="BG26" s="8"/>
      <c r="BH26" s="8"/>
      <c r="BI26" s="8"/>
      <c r="BJ26" s="8"/>
      <c r="BK26" s="8"/>
      <c r="BL26" s="8"/>
    </row>
    <row r="27" spans="1:64">
      <c r="A27" s="5"/>
      <c r="B27" s="5" t="s">
        <v>287</v>
      </c>
      <c r="C27" s="5" t="s">
        <v>288</v>
      </c>
      <c r="D27" s="34">
        <v>0</v>
      </c>
      <c r="E27" s="34">
        <v>0</v>
      </c>
      <c r="F27" s="34">
        <v>0</v>
      </c>
      <c r="G27" s="34">
        <v>0</v>
      </c>
      <c r="H27" s="113">
        <v>0</v>
      </c>
      <c r="I27" s="34">
        <v>0</v>
      </c>
      <c r="J27" s="34">
        <v>0</v>
      </c>
      <c r="K27" s="34">
        <v>0</v>
      </c>
      <c r="L27" s="34">
        <v>0</v>
      </c>
      <c r="M27" s="113">
        <v>0</v>
      </c>
      <c r="N27" s="34">
        <v>0</v>
      </c>
      <c r="O27" s="34">
        <v>0</v>
      </c>
      <c r="P27" s="34">
        <v>0</v>
      </c>
      <c r="Q27" s="34">
        <v>0</v>
      </c>
      <c r="R27" s="113">
        <v>0</v>
      </c>
      <c r="S27" s="34">
        <v>0</v>
      </c>
      <c r="T27" s="34">
        <v>0</v>
      </c>
      <c r="U27" s="34">
        <v>0</v>
      </c>
      <c r="V27" s="34">
        <v>0</v>
      </c>
      <c r="W27" s="113">
        <v>0</v>
      </c>
      <c r="X27" s="34">
        <v>0</v>
      </c>
      <c r="Y27" s="34">
        <v>0</v>
      </c>
      <c r="Z27" s="34">
        <v>0</v>
      </c>
      <c r="AA27" s="34">
        <v>0</v>
      </c>
      <c r="AB27" s="113">
        <v>0</v>
      </c>
      <c r="AC27" s="34">
        <v>116043.62611999999</v>
      </c>
      <c r="AD27" s="34">
        <v>167785.75193999999</v>
      </c>
      <c r="AE27" s="34">
        <v>315769.59274000005</v>
      </c>
      <c r="AF27" s="34">
        <v>343381.99244999996</v>
      </c>
      <c r="AG27" s="113">
        <v>942980.96325000003</v>
      </c>
      <c r="AH27" s="34">
        <f t="shared" ref="AH27" si="15">SUM(AH28:AH38)</f>
        <v>285487</v>
      </c>
      <c r="AI27" s="34">
        <f t="shared" ref="AI27:AK27" si="16">SUM(AI28:AI38)</f>
        <v>378664</v>
      </c>
      <c r="AJ27" s="34">
        <f t="shared" si="16"/>
        <v>499570</v>
      </c>
      <c r="AK27" s="34">
        <f t="shared" si="16"/>
        <v>382074</v>
      </c>
      <c r="AL27" s="113">
        <f t="shared" si="8"/>
        <v>1545795</v>
      </c>
      <c r="AM27" s="34">
        <f>SUM(AM28:AM38)</f>
        <v>433172</v>
      </c>
      <c r="AN27" s="34">
        <f t="shared" ref="AN27:AP27" si="17">SUM(AN28:AN38)</f>
        <v>442674</v>
      </c>
      <c r="AO27" s="34">
        <f t="shared" si="17"/>
        <v>472384</v>
      </c>
      <c r="AP27" s="34">
        <f t="shared" si="17"/>
        <v>489091</v>
      </c>
      <c r="AQ27" s="113">
        <f t="shared" si="9"/>
        <v>1837321</v>
      </c>
      <c r="AR27" s="34">
        <f>SUM(AR28:AR38)</f>
        <v>0</v>
      </c>
      <c r="AS27" s="34">
        <f t="shared" ref="AS27:AU27" si="18">SUM(AS28:AS38)</f>
        <v>0</v>
      </c>
      <c r="AT27" s="34">
        <f t="shared" si="18"/>
        <v>0</v>
      </c>
      <c r="AU27" s="34">
        <f t="shared" si="18"/>
        <v>0</v>
      </c>
      <c r="AV27" s="113">
        <f t="shared" si="11"/>
        <v>0</v>
      </c>
      <c r="AW27" s="8"/>
      <c r="AX27" s="8"/>
      <c r="AY27" s="463"/>
      <c r="BG27" s="8"/>
      <c r="BH27" s="8"/>
      <c r="BI27" s="8"/>
      <c r="BJ27" s="8"/>
      <c r="BK27" s="8"/>
      <c r="BL27" s="8"/>
    </row>
    <row r="28" spans="1:64">
      <c r="A28" s="11"/>
      <c r="B28" s="11" t="s">
        <v>289</v>
      </c>
      <c r="C28" s="11" t="s">
        <v>290</v>
      </c>
      <c r="D28" s="13">
        <v>0</v>
      </c>
      <c r="E28" s="13">
        <v>0</v>
      </c>
      <c r="F28" s="13">
        <v>0</v>
      </c>
      <c r="G28" s="13">
        <v>0</v>
      </c>
      <c r="H28" s="41">
        <v>0</v>
      </c>
      <c r="I28" s="13">
        <v>0</v>
      </c>
      <c r="J28" s="13">
        <v>0</v>
      </c>
      <c r="K28" s="13">
        <v>0</v>
      </c>
      <c r="L28" s="13">
        <v>0</v>
      </c>
      <c r="M28" s="41">
        <v>0</v>
      </c>
      <c r="N28" s="13">
        <v>0</v>
      </c>
      <c r="O28" s="13">
        <v>0</v>
      </c>
      <c r="P28" s="13">
        <v>0</v>
      </c>
      <c r="Q28" s="13">
        <v>0</v>
      </c>
      <c r="R28" s="41">
        <v>0</v>
      </c>
      <c r="S28" s="13">
        <v>0</v>
      </c>
      <c r="T28" s="13">
        <v>0</v>
      </c>
      <c r="U28" s="13">
        <v>0</v>
      </c>
      <c r="V28" s="13">
        <v>0</v>
      </c>
      <c r="W28" s="41">
        <v>0</v>
      </c>
      <c r="X28" s="13">
        <v>0</v>
      </c>
      <c r="Y28" s="13">
        <v>0</v>
      </c>
      <c r="Z28" s="13">
        <v>0</v>
      </c>
      <c r="AA28" s="13">
        <v>0</v>
      </c>
      <c r="AB28" s="41">
        <v>0</v>
      </c>
      <c r="AC28" s="13">
        <v>9996.3251700000001</v>
      </c>
      <c r="AD28" s="13">
        <v>15800.894779999999</v>
      </c>
      <c r="AE28" s="13">
        <v>25326.226529999996</v>
      </c>
      <c r="AF28" s="13">
        <v>30358.872930000001</v>
      </c>
      <c r="AG28" s="41">
        <v>81482.319409999996</v>
      </c>
      <c r="AH28" s="13">
        <v>27615</v>
      </c>
      <c r="AI28" s="13">
        <v>26089</v>
      </c>
      <c r="AJ28" s="13">
        <v>38791</v>
      </c>
      <c r="AK28" s="13">
        <v>32576</v>
      </c>
      <c r="AL28" s="41">
        <f t="shared" si="8"/>
        <v>125071</v>
      </c>
      <c r="AM28" s="13">
        <v>38093</v>
      </c>
      <c r="AN28" s="13">
        <v>44789</v>
      </c>
      <c r="AO28" s="13">
        <v>40333</v>
      </c>
      <c r="AP28" s="13">
        <v>45235</v>
      </c>
      <c r="AQ28" s="41">
        <f t="shared" si="9"/>
        <v>168450</v>
      </c>
      <c r="AR28" s="13"/>
      <c r="AS28" s="13"/>
      <c r="AT28" s="13"/>
      <c r="AU28" s="13"/>
      <c r="AV28" s="41">
        <f t="shared" si="11"/>
        <v>0</v>
      </c>
      <c r="AW28" s="8"/>
      <c r="AX28" s="8"/>
      <c r="AY28" s="463"/>
      <c r="BG28" s="8"/>
      <c r="BH28" s="8"/>
      <c r="BI28" s="8"/>
      <c r="BJ28" s="8"/>
      <c r="BK28" s="8"/>
      <c r="BL28" s="8"/>
    </row>
    <row r="29" spans="1:64">
      <c r="A29" s="11"/>
      <c r="B29" s="11" t="s">
        <v>291</v>
      </c>
      <c r="C29" s="11" t="s">
        <v>292</v>
      </c>
      <c r="D29" s="13">
        <v>0</v>
      </c>
      <c r="E29" s="13">
        <v>0</v>
      </c>
      <c r="F29" s="13">
        <v>0</v>
      </c>
      <c r="G29" s="13">
        <v>0</v>
      </c>
      <c r="H29" s="41">
        <v>0</v>
      </c>
      <c r="I29" s="13">
        <v>0</v>
      </c>
      <c r="J29" s="13">
        <v>0</v>
      </c>
      <c r="K29" s="13">
        <v>0</v>
      </c>
      <c r="L29" s="13">
        <v>0</v>
      </c>
      <c r="M29" s="41">
        <v>0</v>
      </c>
      <c r="N29" s="13">
        <v>0</v>
      </c>
      <c r="O29" s="13">
        <v>0</v>
      </c>
      <c r="P29" s="13">
        <v>0</v>
      </c>
      <c r="Q29" s="13">
        <v>0</v>
      </c>
      <c r="R29" s="41">
        <v>0</v>
      </c>
      <c r="S29" s="13">
        <v>0</v>
      </c>
      <c r="T29" s="13">
        <v>0</v>
      </c>
      <c r="U29" s="13">
        <v>0</v>
      </c>
      <c r="V29" s="13">
        <v>0</v>
      </c>
      <c r="W29" s="41">
        <v>0</v>
      </c>
      <c r="X29" s="13">
        <v>0</v>
      </c>
      <c r="Y29" s="13">
        <v>0</v>
      </c>
      <c r="Z29" s="13">
        <v>0</v>
      </c>
      <c r="AA29" s="13">
        <v>0</v>
      </c>
      <c r="AB29" s="41">
        <v>0</v>
      </c>
      <c r="AC29" s="13">
        <v>77995.33941</v>
      </c>
      <c r="AD29" s="13">
        <v>100105.40303999999</v>
      </c>
      <c r="AE29" s="13">
        <v>209429.62568</v>
      </c>
      <c r="AF29" s="13">
        <v>202800.24335000003</v>
      </c>
      <c r="AG29" s="41">
        <v>590330.61147999996</v>
      </c>
      <c r="AH29" s="13">
        <v>129927</v>
      </c>
      <c r="AI29" s="13">
        <v>177505</v>
      </c>
      <c r="AJ29" s="13">
        <v>234232</v>
      </c>
      <c r="AK29" s="13">
        <v>130471</v>
      </c>
      <c r="AL29" s="41">
        <f t="shared" si="8"/>
        <v>672135</v>
      </c>
      <c r="AM29" s="13">
        <v>171652</v>
      </c>
      <c r="AN29" s="13">
        <v>159849</v>
      </c>
      <c r="AO29" s="13">
        <v>160439</v>
      </c>
      <c r="AP29" s="13">
        <v>164411</v>
      </c>
      <c r="AQ29" s="41">
        <f t="shared" si="9"/>
        <v>656351</v>
      </c>
      <c r="AR29" s="13"/>
      <c r="AS29" s="13"/>
      <c r="AT29" s="13"/>
      <c r="AU29" s="13"/>
      <c r="AV29" s="41">
        <f t="shared" si="11"/>
        <v>0</v>
      </c>
      <c r="AW29" s="8"/>
      <c r="AX29" s="8"/>
      <c r="AY29" s="463"/>
      <c r="BG29" s="8"/>
      <c r="BH29" s="8"/>
      <c r="BI29" s="8"/>
      <c r="BJ29" s="8"/>
      <c r="BK29" s="8"/>
      <c r="BL29" s="8"/>
    </row>
    <row r="30" spans="1:64">
      <c r="A30" s="11"/>
      <c r="B30" s="11" t="s">
        <v>278</v>
      </c>
      <c r="C30" s="11" t="s">
        <v>279</v>
      </c>
      <c r="D30" s="13">
        <v>0</v>
      </c>
      <c r="E30" s="13">
        <v>0</v>
      </c>
      <c r="F30" s="13">
        <v>0</v>
      </c>
      <c r="G30" s="13">
        <v>0</v>
      </c>
      <c r="H30" s="41">
        <v>0</v>
      </c>
      <c r="I30" s="13">
        <v>0</v>
      </c>
      <c r="J30" s="13">
        <v>0</v>
      </c>
      <c r="K30" s="13">
        <v>0</v>
      </c>
      <c r="L30" s="13">
        <v>0</v>
      </c>
      <c r="M30" s="41">
        <v>0</v>
      </c>
      <c r="N30" s="13">
        <v>0</v>
      </c>
      <c r="O30" s="13">
        <v>0</v>
      </c>
      <c r="P30" s="13">
        <v>0</v>
      </c>
      <c r="Q30" s="13">
        <v>0</v>
      </c>
      <c r="R30" s="41">
        <v>0</v>
      </c>
      <c r="S30" s="13">
        <v>0</v>
      </c>
      <c r="T30" s="13">
        <v>0</v>
      </c>
      <c r="U30" s="13">
        <v>0</v>
      </c>
      <c r="V30" s="13">
        <v>0</v>
      </c>
      <c r="W30" s="41">
        <v>0</v>
      </c>
      <c r="X30" s="13">
        <v>0</v>
      </c>
      <c r="Y30" s="13">
        <v>0</v>
      </c>
      <c r="Z30" s="13">
        <v>0</v>
      </c>
      <c r="AA30" s="13">
        <v>0</v>
      </c>
      <c r="AB30" s="41">
        <v>0</v>
      </c>
      <c r="AC30" s="13">
        <v>13344.21117</v>
      </c>
      <c r="AD30" s="13">
        <v>16520.48747</v>
      </c>
      <c r="AE30" s="13">
        <v>18838.53082</v>
      </c>
      <c r="AF30" s="13">
        <v>23199.461979999996</v>
      </c>
      <c r="AG30" s="41">
        <v>71902.691439999995</v>
      </c>
      <c r="AH30" s="13">
        <v>22337</v>
      </c>
      <c r="AI30" s="13">
        <v>23211</v>
      </c>
      <c r="AJ30" s="13">
        <v>23352</v>
      </c>
      <c r="AK30" s="13">
        <v>16344</v>
      </c>
      <c r="AL30" s="41">
        <f t="shared" si="8"/>
        <v>85244</v>
      </c>
      <c r="AM30" s="13">
        <v>17835</v>
      </c>
      <c r="AN30" s="13">
        <v>18739</v>
      </c>
      <c r="AO30" s="13">
        <v>19307</v>
      </c>
      <c r="AP30" s="13">
        <v>18420</v>
      </c>
      <c r="AQ30" s="41">
        <f t="shared" si="9"/>
        <v>74301</v>
      </c>
      <c r="AR30" s="13"/>
      <c r="AS30" s="13"/>
      <c r="AT30" s="13"/>
      <c r="AU30" s="13"/>
      <c r="AV30" s="41">
        <f t="shared" si="11"/>
        <v>0</v>
      </c>
      <c r="AW30" s="8"/>
      <c r="AX30" s="8"/>
      <c r="AY30" s="463"/>
      <c r="BG30" s="8"/>
      <c r="BH30" s="8"/>
      <c r="BI30" s="8"/>
      <c r="BJ30" s="8"/>
      <c r="BK30" s="8"/>
      <c r="BL30" s="8"/>
    </row>
    <row r="31" spans="1:64">
      <c r="A31" s="11"/>
      <c r="B31" s="11" t="s">
        <v>293</v>
      </c>
      <c r="C31" s="11" t="s">
        <v>294</v>
      </c>
      <c r="D31" s="13">
        <v>0</v>
      </c>
      <c r="E31" s="13">
        <v>0</v>
      </c>
      <c r="F31" s="13">
        <v>0</v>
      </c>
      <c r="G31" s="13">
        <v>0</v>
      </c>
      <c r="H31" s="41">
        <v>0</v>
      </c>
      <c r="I31" s="13">
        <v>0</v>
      </c>
      <c r="J31" s="13">
        <v>0</v>
      </c>
      <c r="K31" s="13">
        <v>0</v>
      </c>
      <c r="L31" s="13">
        <v>0</v>
      </c>
      <c r="M31" s="41">
        <v>0</v>
      </c>
      <c r="N31" s="13">
        <v>0</v>
      </c>
      <c r="O31" s="13">
        <v>0</v>
      </c>
      <c r="P31" s="13">
        <v>0</v>
      </c>
      <c r="Q31" s="13">
        <v>0</v>
      </c>
      <c r="R31" s="41">
        <v>0</v>
      </c>
      <c r="S31" s="13">
        <v>0</v>
      </c>
      <c r="T31" s="13">
        <v>0</v>
      </c>
      <c r="U31" s="13">
        <v>0</v>
      </c>
      <c r="V31" s="13">
        <v>0</v>
      </c>
      <c r="W31" s="41">
        <v>0</v>
      </c>
      <c r="X31" s="13">
        <v>0</v>
      </c>
      <c r="Y31" s="13">
        <v>0</v>
      </c>
      <c r="Z31" s="13">
        <v>0</v>
      </c>
      <c r="AA31" s="13">
        <v>0</v>
      </c>
      <c r="AB31" s="41">
        <v>0</v>
      </c>
      <c r="AC31" s="13">
        <v>0</v>
      </c>
      <c r="AD31" s="13">
        <v>1115.6157800000001</v>
      </c>
      <c r="AE31" s="13">
        <v>5017.2139999999999</v>
      </c>
      <c r="AF31" s="13">
        <v>6475.7491800000007</v>
      </c>
      <c r="AG31" s="41">
        <v>12608.578960000001</v>
      </c>
      <c r="AH31" s="13">
        <v>9623</v>
      </c>
      <c r="AI31" s="13">
        <v>12207</v>
      </c>
      <c r="AJ31" s="13">
        <v>15800</v>
      </c>
      <c r="AK31" s="13">
        <v>19698</v>
      </c>
      <c r="AL31" s="41">
        <f t="shared" si="8"/>
        <v>57328</v>
      </c>
      <c r="AM31" s="13">
        <v>26198</v>
      </c>
      <c r="AN31" s="13">
        <v>38694</v>
      </c>
      <c r="AO31" s="13">
        <v>44278</v>
      </c>
      <c r="AP31" s="13">
        <v>51072</v>
      </c>
      <c r="AQ31" s="41">
        <f t="shared" si="9"/>
        <v>160242</v>
      </c>
      <c r="AR31" s="13"/>
      <c r="AS31" s="13"/>
      <c r="AT31" s="13"/>
      <c r="AU31" s="13"/>
      <c r="AV31" s="41">
        <f t="shared" si="11"/>
        <v>0</v>
      </c>
      <c r="AW31" s="8"/>
      <c r="AX31" s="8"/>
      <c r="AY31" s="463"/>
      <c r="BG31" s="8"/>
      <c r="BH31" s="8"/>
      <c r="BI31" s="8"/>
      <c r="BJ31" s="8"/>
      <c r="BK31" s="8"/>
      <c r="BL31" s="8"/>
    </row>
    <row r="32" spans="1:64">
      <c r="A32" s="11"/>
      <c r="B32" s="11" t="s">
        <v>295</v>
      </c>
      <c r="C32" s="11" t="s">
        <v>296</v>
      </c>
      <c r="D32" s="13">
        <v>0</v>
      </c>
      <c r="E32" s="13">
        <v>0</v>
      </c>
      <c r="F32" s="13">
        <v>0</v>
      </c>
      <c r="G32" s="13">
        <v>0</v>
      </c>
      <c r="H32" s="41">
        <v>0</v>
      </c>
      <c r="I32" s="13">
        <v>0</v>
      </c>
      <c r="J32" s="13">
        <v>0</v>
      </c>
      <c r="K32" s="13">
        <v>0</v>
      </c>
      <c r="L32" s="13">
        <v>0</v>
      </c>
      <c r="M32" s="41">
        <v>0</v>
      </c>
      <c r="N32" s="13">
        <v>0</v>
      </c>
      <c r="O32" s="13">
        <v>0</v>
      </c>
      <c r="P32" s="13">
        <v>0</v>
      </c>
      <c r="Q32" s="13">
        <v>0</v>
      </c>
      <c r="R32" s="41">
        <v>0</v>
      </c>
      <c r="S32" s="13">
        <v>0</v>
      </c>
      <c r="T32" s="13">
        <v>0</v>
      </c>
      <c r="U32" s="13">
        <v>0</v>
      </c>
      <c r="V32" s="13">
        <v>0</v>
      </c>
      <c r="W32" s="41">
        <v>0</v>
      </c>
      <c r="X32" s="13">
        <v>0</v>
      </c>
      <c r="Y32" s="13">
        <v>0</v>
      </c>
      <c r="Z32" s="13">
        <v>0</v>
      </c>
      <c r="AA32" s="13">
        <v>0</v>
      </c>
      <c r="AB32" s="41">
        <v>0</v>
      </c>
      <c r="AC32" s="13">
        <v>14707.75037</v>
      </c>
      <c r="AD32" s="13">
        <v>34243.350870000002</v>
      </c>
      <c r="AE32" s="13">
        <v>50129.761829999989</v>
      </c>
      <c r="AF32" s="13">
        <v>63928.733469999999</v>
      </c>
      <c r="AG32" s="41">
        <v>163009.59654</v>
      </c>
      <c r="AH32" s="13">
        <v>56926</v>
      </c>
      <c r="AI32" s="13">
        <v>63794</v>
      </c>
      <c r="AJ32" s="13">
        <v>79334</v>
      </c>
      <c r="AK32" s="13">
        <v>69331</v>
      </c>
      <c r="AL32" s="41">
        <f t="shared" si="8"/>
        <v>269385</v>
      </c>
      <c r="AM32" s="13">
        <v>64879</v>
      </c>
      <c r="AN32" s="13">
        <v>60889</v>
      </c>
      <c r="AO32" s="13">
        <v>66844</v>
      </c>
      <c r="AP32" s="13">
        <v>66360</v>
      </c>
      <c r="AQ32" s="41">
        <f t="shared" si="9"/>
        <v>258972</v>
      </c>
      <c r="AR32" s="13"/>
      <c r="AS32" s="13"/>
      <c r="AT32" s="13"/>
      <c r="AU32" s="13"/>
      <c r="AV32" s="41">
        <f t="shared" si="11"/>
        <v>0</v>
      </c>
      <c r="AW32" s="8"/>
      <c r="AX32" s="8"/>
      <c r="AY32" s="463"/>
      <c r="BG32" s="8"/>
      <c r="BH32" s="8"/>
      <c r="BI32" s="8"/>
      <c r="BJ32" s="8"/>
      <c r="BK32" s="8"/>
      <c r="BL32" s="8"/>
    </row>
    <row r="33" spans="1:64">
      <c r="A33" s="11"/>
      <c r="B33" s="11" t="s">
        <v>274</v>
      </c>
      <c r="C33" s="11" t="s">
        <v>275</v>
      </c>
      <c r="D33" s="13">
        <v>0</v>
      </c>
      <c r="E33" s="13">
        <v>0</v>
      </c>
      <c r="F33" s="13">
        <v>0</v>
      </c>
      <c r="G33" s="13">
        <v>0</v>
      </c>
      <c r="H33" s="41">
        <v>0</v>
      </c>
      <c r="I33" s="13">
        <v>0</v>
      </c>
      <c r="J33" s="13">
        <v>0</v>
      </c>
      <c r="K33" s="13">
        <v>0</v>
      </c>
      <c r="L33" s="13">
        <v>0</v>
      </c>
      <c r="M33" s="41">
        <v>0</v>
      </c>
      <c r="N33" s="13">
        <v>0</v>
      </c>
      <c r="O33" s="13">
        <v>0</v>
      </c>
      <c r="P33" s="13">
        <v>0</v>
      </c>
      <c r="Q33" s="13">
        <v>0</v>
      </c>
      <c r="R33" s="41">
        <v>0</v>
      </c>
      <c r="S33" s="13">
        <v>0</v>
      </c>
      <c r="T33" s="13">
        <v>0</v>
      </c>
      <c r="U33" s="13">
        <v>0</v>
      </c>
      <c r="V33" s="13">
        <v>0</v>
      </c>
      <c r="W33" s="41">
        <v>0</v>
      </c>
      <c r="X33" s="13">
        <v>0</v>
      </c>
      <c r="Y33" s="13">
        <v>0</v>
      </c>
      <c r="Z33" s="13">
        <v>0</v>
      </c>
      <c r="AA33" s="13">
        <v>0</v>
      </c>
      <c r="AB33" s="41">
        <v>0</v>
      </c>
      <c r="AC33" s="13">
        <v>0</v>
      </c>
      <c r="AD33" s="13">
        <v>0</v>
      </c>
      <c r="AE33" s="13">
        <v>6379.6751800000002</v>
      </c>
      <c r="AF33" s="13">
        <v>8454.2459299999991</v>
      </c>
      <c r="AG33" s="41">
        <v>14833.921109999999</v>
      </c>
      <c r="AH33" s="13">
        <v>6028</v>
      </c>
      <c r="AI33" s="13">
        <v>13727</v>
      </c>
      <c r="AJ33" s="13">
        <v>20491</v>
      </c>
      <c r="AK33" s="13">
        <v>14749</v>
      </c>
      <c r="AL33" s="41">
        <f t="shared" si="8"/>
        <v>54995</v>
      </c>
      <c r="AM33" s="13">
        <v>21581</v>
      </c>
      <c r="AN33" s="13">
        <v>23032</v>
      </c>
      <c r="AO33" s="13">
        <v>30344</v>
      </c>
      <c r="AP33" s="13">
        <v>28879</v>
      </c>
      <c r="AQ33" s="41">
        <f t="shared" si="9"/>
        <v>103836</v>
      </c>
      <c r="AR33" s="13"/>
      <c r="AS33" s="13"/>
      <c r="AT33" s="13"/>
      <c r="AU33" s="13"/>
      <c r="AV33" s="41">
        <f t="shared" si="11"/>
        <v>0</v>
      </c>
      <c r="AW33" s="8"/>
      <c r="AX33" s="8"/>
      <c r="AY33" s="463"/>
      <c r="BG33" s="8"/>
      <c r="BH33" s="8"/>
      <c r="BI33" s="8"/>
      <c r="BJ33" s="8"/>
      <c r="BK33" s="8"/>
      <c r="BL33" s="8"/>
    </row>
    <row r="34" spans="1:64">
      <c r="A34" s="11"/>
      <c r="B34" s="11" t="s">
        <v>276</v>
      </c>
      <c r="C34" s="11" t="s">
        <v>277</v>
      </c>
      <c r="D34" s="13">
        <v>0</v>
      </c>
      <c r="E34" s="13">
        <v>0</v>
      </c>
      <c r="F34" s="13">
        <v>0</v>
      </c>
      <c r="G34" s="13">
        <v>0</v>
      </c>
      <c r="H34" s="41">
        <v>0</v>
      </c>
      <c r="I34" s="13">
        <v>0</v>
      </c>
      <c r="J34" s="13">
        <v>0</v>
      </c>
      <c r="K34" s="13">
        <v>0</v>
      </c>
      <c r="L34" s="13">
        <v>0</v>
      </c>
      <c r="M34" s="41">
        <v>0</v>
      </c>
      <c r="N34" s="13">
        <v>0</v>
      </c>
      <c r="O34" s="13">
        <v>0</v>
      </c>
      <c r="P34" s="13">
        <v>0</v>
      </c>
      <c r="Q34" s="13">
        <v>0</v>
      </c>
      <c r="R34" s="41">
        <v>0</v>
      </c>
      <c r="S34" s="13">
        <v>0</v>
      </c>
      <c r="T34" s="13">
        <v>0</v>
      </c>
      <c r="U34" s="13">
        <v>0</v>
      </c>
      <c r="V34" s="13">
        <v>0</v>
      </c>
      <c r="W34" s="41">
        <v>0</v>
      </c>
      <c r="X34" s="13">
        <v>0</v>
      </c>
      <c r="Y34" s="13">
        <v>0</v>
      </c>
      <c r="Z34" s="13">
        <v>0</v>
      </c>
      <c r="AA34" s="13">
        <v>0</v>
      </c>
      <c r="AB34" s="41">
        <v>0</v>
      </c>
      <c r="AC34" s="13">
        <v>0</v>
      </c>
      <c r="AD34" s="13">
        <v>0</v>
      </c>
      <c r="AE34" s="13">
        <v>625.17274999999995</v>
      </c>
      <c r="AF34" s="13">
        <v>7527.6387500000001</v>
      </c>
      <c r="AG34" s="41">
        <v>8152.8114999999998</v>
      </c>
      <c r="AH34" s="13">
        <v>29931</v>
      </c>
      <c r="AI34" s="13">
        <v>56516</v>
      </c>
      <c r="AJ34" s="13">
        <v>78055</v>
      </c>
      <c r="AK34" s="13">
        <v>90656</v>
      </c>
      <c r="AL34" s="41">
        <f t="shared" si="8"/>
        <v>255158</v>
      </c>
      <c r="AM34" s="13">
        <v>84791</v>
      </c>
      <c r="AN34" s="13">
        <v>85412</v>
      </c>
      <c r="AO34" s="13">
        <v>101694</v>
      </c>
      <c r="AP34" s="13">
        <v>106181</v>
      </c>
      <c r="AQ34" s="41">
        <f t="shared" si="9"/>
        <v>378078</v>
      </c>
      <c r="AR34" s="13"/>
      <c r="AS34" s="13"/>
      <c r="AT34" s="13"/>
      <c r="AU34" s="13"/>
      <c r="AV34" s="41">
        <f t="shared" si="11"/>
        <v>0</v>
      </c>
      <c r="AW34" s="8"/>
      <c r="AX34" s="8"/>
      <c r="AY34" s="463"/>
      <c r="BG34" s="8"/>
      <c r="BH34" s="8"/>
      <c r="BI34" s="8"/>
      <c r="BJ34" s="8"/>
      <c r="BK34" s="8"/>
      <c r="BL34" s="8"/>
    </row>
    <row r="35" spans="1:64">
      <c r="A35" s="11"/>
      <c r="B35" s="11" t="s">
        <v>297</v>
      </c>
      <c r="C35" s="11" t="s">
        <v>298</v>
      </c>
      <c r="D35" s="13">
        <v>0</v>
      </c>
      <c r="E35" s="13">
        <v>0</v>
      </c>
      <c r="F35" s="13">
        <v>0</v>
      </c>
      <c r="G35" s="13">
        <v>0</v>
      </c>
      <c r="H35" s="41">
        <v>0</v>
      </c>
      <c r="I35" s="13">
        <v>0</v>
      </c>
      <c r="J35" s="13">
        <v>0</v>
      </c>
      <c r="K35" s="13">
        <v>0</v>
      </c>
      <c r="L35" s="13">
        <v>0</v>
      </c>
      <c r="M35" s="41">
        <v>0</v>
      </c>
      <c r="N35" s="13">
        <v>0</v>
      </c>
      <c r="O35" s="13">
        <v>0</v>
      </c>
      <c r="P35" s="13">
        <v>0</v>
      </c>
      <c r="Q35" s="13">
        <v>0</v>
      </c>
      <c r="R35" s="41">
        <v>0</v>
      </c>
      <c r="S35" s="13">
        <v>0</v>
      </c>
      <c r="T35" s="13">
        <v>0</v>
      </c>
      <c r="U35" s="13">
        <v>0</v>
      </c>
      <c r="V35" s="13">
        <v>0</v>
      </c>
      <c r="W35" s="41">
        <v>0</v>
      </c>
      <c r="X35" s="13">
        <v>0</v>
      </c>
      <c r="Y35" s="13">
        <v>0</v>
      </c>
      <c r="Z35" s="13">
        <v>0</v>
      </c>
      <c r="AA35" s="13">
        <v>0</v>
      </c>
      <c r="AB35" s="41">
        <v>0</v>
      </c>
      <c r="AC35" s="13">
        <v>0</v>
      </c>
      <c r="AD35" s="13">
        <v>0</v>
      </c>
      <c r="AE35" s="13">
        <v>0</v>
      </c>
      <c r="AF35" s="13">
        <v>14.02482</v>
      </c>
      <c r="AG35" s="41">
        <v>14.02482</v>
      </c>
      <c r="AH35" s="13">
        <v>1993</v>
      </c>
      <c r="AI35" s="13">
        <v>3351</v>
      </c>
      <c r="AJ35" s="13">
        <v>6410</v>
      </c>
      <c r="AK35" s="13">
        <v>4734</v>
      </c>
      <c r="AL35" s="41">
        <f t="shared" si="8"/>
        <v>16488</v>
      </c>
      <c r="AM35" s="13">
        <v>6119</v>
      </c>
      <c r="AN35" s="13">
        <v>8626</v>
      </c>
      <c r="AO35" s="13">
        <v>6395</v>
      </c>
      <c r="AP35" s="13">
        <v>5407</v>
      </c>
      <c r="AQ35" s="41">
        <f t="shared" si="9"/>
        <v>26547</v>
      </c>
      <c r="AR35" s="13"/>
      <c r="AS35" s="13"/>
      <c r="AT35" s="13"/>
      <c r="AU35" s="13"/>
      <c r="AV35" s="41">
        <f t="shared" si="11"/>
        <v>0</v>
      </c>
      <c r="AW35" s="8"/>
      <c r="AX35" s="8"/>
      <c r="AY35" s="463"/>
      <c r="BG35" s="8"/>
      <c r="BH35" s="8"/>
      <c r="BI35" s="8"/>
      <c r="BJ35" s="8"/>
      <c r="BK35" s="8"/>
      <c r="BL35" s="8"/>
    </row>
    <row r="36" spans="1:64">
      <c r="A36" s="11"/>
      <c r="B36" s="11" t="s">
        <v>299</v>
      </c>
      <c r="C36" s="11" t="s">
        <v>299</v>
      </c>
      <c r="D36" s="13">
        <v>0</v>
      </c>
      <c r="E36" s="13">
        <v>0</v>
      </c>
      <c r="F36" s="13">
        <v>0</v>
      </c>
      <c r="G36" s="13">
        <v>0</v>
      </c>
      <c r="H36" s="41">
        <v>0</v>
      </c>
      <c r="I36" s="13">
        <v>0</v>
      </c>
      <c r="J36" s="13">
        <v>0</v>
      </c>
      <c r="K36" s="13">
        <v>0</v>
      </c>
      <c r="L36" s="13">
        <v>0</v>
      </c>
      <c r="M36" s="41">
        <v>0</v>
      </c>
      <c r="N36" s="13">
        <v>0</v>
      </c>
      <c r="O36" s="13">
        <v>0</v>
      </c>
      <c r="P36" s="13">
        <v>0</v>
      </c>
      <c r="Q36" s="13">
        <v>0</v>
      </c>
      <c r="R36" s="41">
        <v>0</v>
      </c>
      <c r="S36" s="13">
        <v>0</v>
      </c>
      <c r="T36" s="13">
        <v>0</v>
      </c>
      <c r="U36" s="13">
        <v>0</v>
      </c>
      <c r="V36" s="13">
        <v>0</v>
      </c>
      <c r="W36" s="41">
        <v>0</v>
      </c>
      <c r="X36" s="13">
        <v>0</v>
      </c>
      <c r="Y36" s="13">
        <v>0</v>
      </c>
      <c r="Z36" s="13">
        <v>0</v>
      </c>
      <c r="AA36" s="13">
        <v>0</v>
      </c>
      <c r="AB36" s="41">
        <v>0</v>
      </c>
      <c r="AC36" s="13">
        <v>0</v>
      </c>
      <c r="AD36" s="13">
        <v>0</v>
      </c>
      <c r="AE36" s="13">
        <v>23.385950000000005</v>
      </c>
      <c r="AF36" s="13">
        <v>623.02203999999983</v>
      </c>
      <c r="AG36" s="41">
        <v>646.40798999999981</v>
      </c>
      <c r="AH36" s="13">
        <v>1083</v>
      </c>
      <c r="AI36" s="13">
        <v>2180</v>
      </c>
      <c r="AJ36" s="13">
        <v>2996</v>
      </c>
      <c r="AK36" s="13">
        <v>3332</v>
      </c>
      <c r="AL36" s="41">
        <f t="shared" si="8"/>
        <v>9591</v>
      </c>
      <c r="AM36" s="13">
        <v>1776</v>
      </c>
      <c r="AN36" s="13">
        <v>2350</v>
      </c>
      <c r="AO36" s="13">
        <v>2447</v>
      </c>
      <c r="AP36" s="13">
        <v>2708</v>
      </c>
      <c r="AQ36" s="41">
        <f t="shared" si="9"/>
        <v>9281</v>
      </c>
      <c r="AR36" s="13"/>
      <c r="AS36" s="13"/>
      <c r="AT36" s="13"/>
      <c r="AU36" s="13"/>
      <c r="AV36" s="41">
        <f t="shared" si="11"/>
        <v>0</v>
      </c>
      <c r="AW36" s="8"/>
      <c r="AX36" s="8"/>
      <c r="AY36" s="463"/>
      <c r="BG36" s="8"/>
      <c r="BH36" s="8"/>
      <c r="BI36" s="8"/>
      <c r="BJ36" s="8"/>
      <c r="BK36" s="8"/>
      <c r="BL36" s="8"/>
    </row>
    <row r="37" spans="1:64">
      <c r="A37" s="11"/>
      <c r="B37" s="11" t="s">
        <v>300</v>
      </c>
      <c r="C37" s="11" t="s">
        <v>301</v>
      </c>
      <c r="D37" s="120"/>
      <c r="E37" s="120"/>
      <c r="F37" s="120"/>
      <c r="G37" s="120"/>
      <c r="H37" s="142"/>
      <c r="I37" s="120"/>
      <c r="J37" s="120"/>
      <c r="K37" s="120"/>
      <c r="L37" s="120"/>
      <c r="M37" s="142"/>
      <c r="N37" s="120"/>
      <c r="O37" s="120"/>
      <c r="P37" s="120"/>
      <c r="Q37" s="120"/>
      <c r="R37" s="142"/>
      <c r="S37" s="120"/>
      <c r="T37" s="120"/>
      <c r="U37" s="120"/>
      <c r="V37" s="120"/>
      <c r="W37" s="142"/>
      <c r="X37" s="120"/>
      <c r="Y37" s="120"/>
      <c r="Z37" s="120"/>
      <c r="AA37" s="120"/>
      <c r="AB37" s="142"/>
      <c r="AC37" s="120"/>
      <c r="AD37" s="120"/>
      <c r="AE37" s="120"/>
      <c r="AF37" s="120"/>
      <c r="AG37" s="142"/>
      <c r="AH37" s="120">
        <v>24</v>
      </c>
      <c r="AI37" s="120">
        <v>84</v>
      </c>
      <c r="AJ37" s="120">
        <v>98</v>
      </c>
      <c r="AK37" s="120">
        <v>169</v>
      </c>
      <c r="AL37" s="142">
        <f t="shared" si="8"/>
        <v>375</v>
      </c>
      <c r="AM37" s="120">
        <v>235</v>
      </c>
      <c r="AN37" s="13">
        <v>285</v>
      </c>
      <c r="AO37" s="13">
        <v>294</v>
      </c>
      <c r="AP37" s="13">
        <v>407</v>
      </c>
      <c r="AQ37" s="142">
        <f t="shared" si="9"/>
        <v>1221</v>
      </c>
      <c r="AR37" s="120"/>
      <c r="AS37" s="13"/>
      <c r="AT37" s="13"/>
      <c r="AU37" s="13"/>
      <c r="AV37" s="142">
        <f t="shared" si="11"/>
        <v>0</v>
      </c>
      <c r="AW37" s="8"/>
      <c r="AX37" s="8"/>
      <c r="AY37" s="463"/>
      <c r="BG37" s="8"/>
      <c r="BH37" s="8"/>
      <c r="BI37" s="8"/>
      <c r="BJ37" s="8"/>
      <c r="BK37" s="8"/>
      <c r="BL37" s="8"/>
    </row>
    <row r="38" spans="1:64">
      <c r="A38" s="11"/>
      <c r="B38" s="11" t="s">
        <v>302</v>
      </c>
      <c r="C38" s="11" t="s">
        <v>303</v>
      </c>
      <c r="D38" s="120"/>
      <c r="E38" s="120"/>
      <c r="F38" s="120"/>
      <c r="G38" s="120"/>
      <c r="H38" s="142"/>
      <c r="I38" s="120"/>
      <c r="J38" s="120"/>
      <c r="K38" s="120"/>
      <c r="L38" s="120"/>
      <c r="M38" s="142"/>
      <c r="N38" s="120"/>
      <c r="O38" s="120"/>
      <c r="P38" s="120"/>
      <c r="Q38" s="120"/>
      <c r="R38" s="142"/>
      <c r="S38" s="120"/>
      <c r="T38" s="120"/>
      <c r="U38" s="120"/>
      <c r="V38" s="120"/>
      <c r="W38" s="142"/>
      <c r="X38" s="120"/>
      <c r="Y38" s="120"/>
      <c r="Z38" s="120"/>
      <c r="AA38" s="120"/>
      <c r="AB38" s="142"/>
      <c r="AC38" s="120"/>
      <c r="AD38" s="120"/>
      <c r="AE38" s="120"/>
      <c r="AF38" s="120"/>
      <c r="AG38" s="142"/>
      <c r="AH38" s="120">
        <v>0</v>
      </c>
      <c r="AI38" s="120">
        <v>0</v>
      </c>
      <c r="AJ38" s="120">
        <v>11</v>
      </c>
      <c r="AK38" s="120">
        <v>14</v>
      </c>
      <c r="AL38" s="142">
        <f t="shared" si="8"/>
        <v>25</v>
      </c>
      <c r="AM38" s="120">
        <v>13</v>
      </c>
      <c r="AN38" s="13">
        <v>9</v>
      </c>
      <c r="AO38" s="13">
        <v>9</v>
      </c>
      <c r="AP38" s="13">
        <v>11</v>
      </c>
      <c r="AQ38" s="142">
        <f t="shared" si="9"/>
        <v>42</v>
      </c>
      <c r="AR38" s="120"/>
      <c r="AS38" s="13"/>
      <c r="AT38" s="13"/>
      <c r="AU38" s="13"/>
      <c r="AV38" s="142">
        <f t="shared" si="11"/>
        <v>0</v>
      </c>
      <c r="AW38" s="8"/>
      <c r="AX38" s="8"/>
      <c r="AY38" s="463"/>
      <c r="BG38" s="8"/>
      <c r="BH38" s="8"/>
      <c r="BI38" s="8"/>
      <c r="BJ38" s="8"/>
      <c r="BK38" s="8"/>
      <c r="BL38" s="8"/>
    </row>
    <row r="39" spans="1:64">
      <c r="A39" s="9"/>
      <c r="B39" s="9" t="s">
        <v>304</v>
      </c>
      <c r="C39" s="9" t="s">
        <v>305</v>
      </c>
      <c r="D39" s="31"/>
      <c r="E39" s="31"/>
      <c r="F39" s="31"/>
      <c r="G39" s="31"/>
      <c r="H39" s="42">
        <v>0</v>
      </c>
      <c r="I39" s="31"/>
      <c r="J39" s="31"/>
      <c r="K39" s="31"/>
      <c r="L39" s="31"/>
      <c r="M39" s="42">
        <v>0</v>
      </c>
      <c r="N39" s="31"/>
      <c r="O39" s="31"/>
      <c r="P39" s="31"/>
      <c r="Q39" s="31"/>
      <c r="R39" s="42">
        <v>0</v>
      </c>
      <c r="S39" s="31"/>
      <c r="T39" s="31"/>
      <c r="U39" s="31"/>
      <c r="V39" s="31"/>
      <c r="W39" s="42">
        <v>0</v>
      </c>
      <c r="X39" s="31"/>
      <c r="Y39" s="31"/>
      <c r="Z39" s="31"/>
      <c r="AA39" s="31"/>
      <c r="AB39" s="42">
        <v>0</v>
      </c>
      <c r="AC39" s="31">
        <v>-1781.4667399999998</v>
      </c>
      <c r="AD39" s="31">
        <v>-21658.209200000001</v>
      </c>
      <c r="AE39" s="31">
        <v>-24240.573229999995</v>
      </c>
      <c r="AF39" s="31">
        <v>-27746.284649999998</v>
      </c>
      <c r="AG39" s="42">
        <v>-75426.533819999997</v>
      </c>
      <c r="AH39" s="31">
        <v>-46700</v>
      </c>
      <c r="AI39" s="31">
        <v>-70176</v>
      </c>
      <c r="AJ39" s="31">
        <v>-96249</v>
      </c>
      <c r="AK39" s="31">
        <v>-92070</v>
      </c>
      <c r="AL39" s="42">
        <f t="shared" si="8"/>
        <v>-305195</v>
      </c>
      <c r="AM39" s="31">
        <v>-87829</v>
      </c>
      <c r="AN39" s="31">
        <v>-90149</v>
      </c>
      <c r="AO39" s="31">
        <v>-104196</v>
      </c>
      <c r="AP39" s="31">
        <v>-103636</v>
      </c>
      <c r="AQ39" s="42">
        <f t="shared" si="9"/>
        <v>-385810</v>
      </c>
      <c r="AR39" s="31"/>
      <c r="AS39" s="31"/>
      <c r="AT39" s="31"/>
      <c r="AU39" s="31"/>
      <c r="AV39" s="42">
        <f t="shared" si="11"/>
        <v>0</v>
      </c>
      <c r="AW39" s="8"/>
      <c r="AX39" s="8"/>
      <c r="AY39" s="463"/>
      <c r="BG39" s="8"/>
      <c r="BH39" s="8"/>
      <c r="BI39" s="8"/>
      <c r="BJ39" s="8"/>
      <c r="BK39" s="8"/>
      <c r="BL39" s="8"/>
    </row>
    <row r="40" spans="1:64">
      <c r="A40" s="11"/>
      <c r="B40" s="11"/>
      <c r="C40" s="11"/>
      <c r="D40" s="13"/>
      <c r="E40" s="13"/>
      <c r="F40" s="13"/>
      <c r="G40" s="13"/>
      <c r="H40" s="41"/>
      <c r="I40" s="13"/>
      <c r="J40" s="13"/>
      <c r="K40" s="13"/>
      <c r="L40" s="13"/>
      <c r="M40" s="41"/>
      <c r="N40" s="13"/>
      <c r="O40" s="13"/>
      <c r="P40" s="13"/>
      <c r="Q40" s="13"/>
      <c r="R40" s="41"/>
      <c r="S40" s="13"/>
      <c r="T40" s="13"/>
      <c r="U40" s="13"/>
      <c r="V40" s="13"/>
      <c r="W40" s="41"/>
      <c r="X40" s="13"/>
      <c r="Y40" s="115"/>
      <c r="Z40" s="13"/>
      <c r="AA40" s="13"/>
      <c r="AB40" s="41"/>
      <c r="AC40" s="115">
        <v>0.12112435247974636</v>
      </c>
      <c r="AD40" s="114">
        <v>0.61252381650129473</v>
      </c>
      <c r="AE40" s="115">
        <v>0.38987521462434643</v>
      </c>
      <c r="AF40" s="115">
        <v>0.31883700390587943</v>
      </c>
      <c r="AG40" s="41"/>
      <c r="AH40" s="115"/>
      <c r="AI40" s="115"/>
      <c r="AJ40" s="115"/>
      <c r="AK40" s="115"/>
      <c r="AL40" s="41">
        <f t="shared" si="8"/>
        <v>0</v>
      </c>
      <c r="AM40" s="115"/>
      <c r="AN40" s="115"/>
      <c r="AO40" s="115"/>
      <c r="AP40" s="115"/>
      <c r="AQ40" s="41">
        <f t="shared" si="9"/>
        <v>0</v>
      </c>
      <c r="AR40" s="115"/>
      <c r="AS40" s="115"/>
      <c r="AT40" s="115"/>
      <c r="AU40" s="115"/>
      <c r="AV40" s="41">
        <f t="shared" si="11"/>
        <v>0</v>
      </c>
      <c r="AW40" s="8"/>
      <c r="AX40" s="8"/>
      <c r="AY40" s="463"/>
      <c r="BG40" s="8"/>
      <c r="BH40" s="8"/>
      <c r="BI40" s="8"/>
      <c r="BJ40" s="8"/>
      <c r="BK40" s="8"/>
      <c r="BL40" s="8"/>
    </row>
    <row r="41" spans="1:64">
      <c r="A41" s="9"/>
      <c r="B41" s="9" t="s">
        <v>306</v>
      </c>
      <c r="C41" s="9" t="s">
        <v>307</v>
      </c>
      <c r="D41" s="31">
        <v>-11206.133216375001</v>
      </c>
      <c r="E41" s="31">
        <v>-13327.701679999998</v>
      </c>
      <c r="F41" s="31">
        <v>-17608.093830000002</v>
      </c>
      <c r="G41" s="31">
        <v>-20717.561589999998</v>
      </c>
      <c r="H41" s="42">
        <v>-62859.490316374999</v>
      </c>
      <c r="I41" s="31">
        <v>-19750.060062050001</v>
      </c>
      <c r="J41" s="31">
        <v>-20583.432040000003</v>
      </c>
      <c r="K41" s="31">
        <v>-22631.823019999989</v>
      </c>
      <c r="L41" s="31">
        <v>-29543.228969999996</v>
      </c>
      <c r="M41" s="42">
        <v>-92508.544092049997</v>
      </c>
      <c r="N41" s="31">
        <v>-20292.245869899998</v>
      </c>
      <c r="O41" s="31">
        <v>-26203.933441599991</v>
      </c>
      <c r="P41" s="31">
        <v>-29415.879860000019</v>
      </c>
      <c r="Q41" s="31">
        <v>-29523.258123</v>
      </c>
      <c r="R41" s="42">
        <v>-105435.31729450001</v>
      </c>
      <c r="S41" s="31">
        <v>-26365.988598674998</v>
      </c>
      <c r="T41" s="31">
        <v>-30255.89972999999</v>
      </c>
      <c r="U41" s="31">
        <v>-32212.213794650004</v>
      </c>
      <c r="V41" s="31">
        <v>-34282.304858324991</v>
      </c>
      <c r="W41" s="42">
        <v>-123116.40698164998</v>
      </c>
      <c r="X41" s="31">
        <v>-30500.919940000003</v>
      </c>
      <c r="Y41" s="31">
        <v>-28159.054629999999</v>
      </c>
      <c r="Z41" s="31">
        <v>-43884.79458999999</v>
      </c>
      <c r="AA41" s="31">
        <v>-37313.735299999971</v>
      </c>
      <c r="AB41" s="42">
        <v>-139858.50445999997</v>
      </c>
      <c r="AC41" s="31">
        <v>-34651.087630000002</v>
      </c>
      <c r="AD41" s="31">
        <v>-42476.204289999994</v>
      </c>
      <c r="AE41" s="31">
        <v>-50963.072759999995</v>
      </c>
      <c r="AF41" s="31">
        <v>-62417.958160000009</v>
      </c>
      <c r="AG41" s="42">
        <v>-190508.32283999998</v>
      </c>
      <c r="AH41" s="31">
        <f t="shared" ref="AH41" si="19">SUM(AH42:AH45)</f>
        <v>-50558</v>
      </c>
      <c r="AI41" s="31">
        <f t="shared" ref="AI41:AK41" si="20">SUM(AI42:AI45)</f>
        <v>-74233</v>
      </c>
      <c r="AJ41" s="31">
        <f t="shared" si="20"/>
        <v>-89069</v>
      </c>
      <c r="AK41" s="31">
        <f t="shared" si="20"/>
        <v>-81813</v>
      </c>
      <c r="AL41" s="42">
        <f t="shared" si="8"/>
        <v>-295673</v>
      </c>
      <c r="AM41" s="31">
        <f>SUM(AM42:AM45)</f>
        <v>-84529</v>
      </c>
      <c r="AN41" s="31">
        <f t="shared" ref="AN41" si="21">SUM(AN42:AN45)</f>
        <v>-89489</v>
      </c>
      <c r="AO41" s="31">
        <v>-94269</v>
      </c>
      <c r="AP41" s="31">
        <v>-89379</v>
      </c>
      <c r="AQ41" s="42">
        <f t="shared" si="9"/>
        <v>-357666</v>
      </c>
      <c r="AR41" s="31"/>
      <c r="AS41" s="31"/>
      <c r="AT41" s="31"/>
      <c r="AU41" s="31"/>
      <c r="AV41" s="42">
        <f t="shared" si="11"/>
        <v>0</v>
      </c>
      <c r="AW41" s="8"/>
      <c r="AX41" s="8"/>
      <c r="AY41" s="463"/>
      <c r="BG41" s="8"/>
      <c r="BH41" s="8"/>
      <c r="BI41" s="8"/>
      <c r="BJ41" s="8"/>
      <c r="BK41" s="8"/>
      <c r="BL41" s="8"/>
    </row>
    <row r="42" spans="1:64">
      <c r="A42" s="11"/>
      <c r="B42" s="11" t="s">
        <v>308</v>
      </c>
      <c r="C42" s="11" t="s">
        <v>309</v>
      </c>
      <c r="D42" s="13">
        <v>0</v>
      </c>
      <c r="E42" s="13">
        <v>0</v>
      </c>
      <c r="F42" s="13">
        <v>0</v>
      </c>
      <c r="G42" s="13">
        <v>0</v>
      </c>
      <c r="H42" s="41">
        <v>0</v>
      </c>
      <c r="I42" s="13">
        <v>0</v>
      </c>
      <c r="J42" s="13">
        <v>0</v>
      </c>
      <c r="K42" s="13">
        <v>0</v>
      </c>
      <c r="L42" s="13">
        <v>0</v>
      </c>
      <c r="M42" s="41">
        <v>0</v>
      </c>
      <c r="N42" s="13">
        <v>0</v>
      </c>
      <c r="O42" s="13">
        <v>0.56599999999999995</v>
      </c>
      <c r="P42" s="13">
        <v>0.16358000000000006</v>
      </c>
      <c r="Q42" s="13">
        <v>236.88291000000208</v>
      </c>
      <c r="R42" s="41">
        <v>0</v>
      </c>
      <c r="S42" s="13">
        <v>0</v>
      </c>
      <c r="T42" s="13">
        <v>0</v>
      </c>
      <c r="U42" s="13">
        <v>5.6900000000000006E-3</v>
      </c>
      <c r="V42" s="13">
        <v>0</v>
      </c>
      <c r="W42" s="41">
        <v>0</v>
      </c>
      <c r="X42" s="13">
        <v>0</v>
      </c>
      <c r="Y42" s="13">
        <v>0</v>
      </c>
      <c r="Z42" s="13">
        <v>0</v>
      </c>
      <c r="AA42" s="13">
        <v>1.8731800000000001</v>
      </c>
      <c r="AB42" s="41">
        <v>0</v>
      </c>
      <c r="AC42" s="13">
        <v>0</v>
      </c>
      <c r="AD42" s="13">
        <v>1809.0078899999999</v>
      </c>
      <c r="AE42" s="13">
        <v>5934.6343400000005</v>
      </c>
      <c r="AF42" s="13">
        <v>6.7999999970197672E-4</v>
      </c>
      <c r="AG42" s="41">
        <v>7743.6429100000005</v>
      </c>
      <c r="AH42" s="13">
        <v>11445</v>
      </c>
      <c r="AI42" s="13">
        <v>0</v>
      </c>
      <c r="AJ42" s="13">
        <v>5</v>
      </c>
      <c r="AK42" s="13">
        <v>10</v>
      </c>
      <c r="AL42" s="41">
        <f t="shared" si="8"/>
        <v>11460</v>
      </c>
      <c r="AM42" s="13">
        <v>0</v>
      </c>
      <c r="AN42" s="13">
        <v>1</v>
      </c>
      <c r="AO42" s="13">
        <v>8</v>
      </c>
      <c r="AP42" s="13">
        <v>0</v>
      </c>
      <c r="AQ42" s="41">
        <f t="shared" si="9"/>
        <v>9</v>
      </c>
      <c r="AR42" s="13"/>
      <c r="AS42" s="13"/>
      <c r="AT42" s="13"/>
      <c r="AU42" s="13"/>
      <c r="AV42" s="41">
        <f t="shared" si="11"/>
        <v>0</v>
      </c>
      <c r="AW42" s="8"/>
      <c r="AX42" s="8"/>
      <c r="AY42" s="463"/>
      <c r="BG42" s="8"/>
      <c r="BH42" s="8"/>
      <c r="BI42" s="8"/>
      <c r="BJ42" s="8"/>
      <c r="BK42" s="8"/>
      <c r="BL42" s="8"/>
    </row>
    <row r="43" spans="1:64">
      <c r="A43" s="11"/>
      <c r="B43" s="11" t="s">
        <v>310</v>
      </c>
      <c r="C43" s="11" t="s">
        <v>311</v>
      </c>
      <c r="D43" s="13">
        <v>-2216.6877699999995</v>
      </c>
      <c r="E43" s="13">
        <v>-4126.8672299999998</v>
      </c>
      <c r="F43" s="13">
        <v>-6310.178469999998</v>
      </c>
      <c r="G43" s="13">
        <v>-9359.9636400000036</v>
      </c>
      <c r="H43" s="41">
        <v>-22013.697110000001</v>
      </c>
      <c r="I43" s="13">
        <v>-6669.2848099999983</v>
      </c>
      <c r="J43" s="13">
        <v>-7482.5691600000036</v>
      </c>
      <c r="K43" s="13">
        <v>-8903.9532499999932</v>
      </c>
      <c r="L43" s="13">
        <v>-15634.739829999999</v>
      </c>
      <c r="M43" s="41">
        <v>-22013.697110000001</v>
      </c>
      <c r="N43" s="13">
        <v>-8155.6838599999992</v>
      </c>
      <c r="O43" s="13">
        <v>-10933.564439999993</v>
      </c>
      <c r="P43" s="13">
        <v>-14467.978350000012</v>
      </c>
      <c r="Q43" s="13">
        <v>-13158.086230000001</v>
      </c>
      <c r="R43" s="41">
        <v>-22013.697110000001</v>
      </c>
      <c r="S43" s="13">
        <v>-10460.7711</v>
      </c>
      <c r="T43" s="13">
        <v>-11110.768909999993</v>
      </c>
      <c r="U43" s="13">
        <v>-12026.777290000002</v>
      </c>
      <c r="V43" s="13">
        <v>-11909.429629999999</v>
      </c>
      <c r="W43" s="41">
        <v>-22013.697110000001</v>
      </c>
      <c r="X43" s="13">
        <v>-16810.195630000006</v>
      </c>
      <c r="Y43" s="13">
        <v>-11807.021239999998</v>
      </c>
      <c r="Z43" s="13">
        <v>-12318.089829999997</v>
      </c>
      <c r="AA43" s="13">
        <v>-14215.174809999997</v>
      </c>
      <c r="AB43" s="41">
        <v>-22013.697110000001</v>
      </c>
      <c r="AC43" s="13">
        <v>-13579.38731</v>
      </c>
      <c r="AD43" s="13">
        <v>-19664.983889999996</v>
      </c>
      <c r="AE43" s="13">
        <v>-15965.393460000008</v>
      </c>
      <c r="AF43" s="13">
        <v>-20353.055479999981</v>
      </c>
      <c r="AG43" s="41">
        <v>-69562.820139999982</v>
      </c>
      <c r="AH43" s="13">
        <v>-22135</v>
      </c>
      <c r="AI43" s="13">
        <v>-24184</v>
      </c>
      <c r="AJ43" s="13">
        <v>-24124</v>
      </c>
      <c r="AK43" s="13">
        <v>-29860</v>
      </c>
      <c r="AL43" s="41">
        <f t="shared" si="8"/>
        <v>-100303</v>
      </c>
      <c r="AM43" s="13">
        <v>-26198</v>
      </c>
      <c r="AN43" s="13">
        <v>-29655</v>
      </c>
      <c r="AO43" s="13">
        <v>-30628</v>
      </c>
      <c r="AP43" s="13">
        <v>-23555</v>
      </c>
      <c r="AQ43" s="41">
        <f t="shared" si="9"/>
        <v>-110036</v>
      </c>
      <c r="AR43" s="13"/>
      <c r="AS43" s="13"/>
      <c r="AT43" s="13"/>
      <c r="AU43" s="13"/>
      <c r="AV43" s="41">
        <f t="shared" si="11"/>
        <v>0</v>
      </c>
      <c r="AW43" s="8"/>
      <c r="AX43" s="8"/>
      <c r="AY43" s="463"/>
      <c r="BG43" s="8"/>
      <c r="BH43" s="8"/>
      <c r="BI43" s="8"/>
      <c r="BJ43" s="8"/>
      <c r="BK43" s="8"/>
      <c r="BL43" s="8"/>
    </row>
    <row r="44" spans="1:64">
      <c r="A44" s="11"/>
      <c r="B44" s="11" t="s">
        <v>312</v>
      </c>
      <c r="C44" s="11" t="s">
        <v>313</v>
      </c>
      <c r="D44" s="13">
        <v>-8989.4454463750008</v>
      </c>
      <c r="E44" s="13">
        <v>-9200.8344499999985</v>
      </c>
      <c r="F44" s="13">
        <v>-11297.915360000003</v>
      </c>
      <c r="G44" s="13">
        <v>-11357.597949999996</v>
      </c>
      <c r="H44" s="41">
        <v>-40845.793206374998</v>
      </c>
      <c r="I44" s="13">
        <v>-13080.775252050002</v>
      </c>
      <c r="J44" s="13">
        <v>-13100.862879999999</v>
      </c>
      <c r="K44" s="13">
        <v>-13727.869769999998</v>
      </c>
      <c r="L44" s="13">
        <v>-13908.489139999998</v>
      </c>
      <c r="M44" s="41">
        <v>-40845.793206374998</v>
      </c>
      <c r="N44" s="13">
        <v>-12136.562009900001</v>
      </c>
      <c r="O44" s="13">
        <v>-15270.935001599999</v>
      </c>
      <c r="P44" s="13">
        <v>-14948.065090000007</v>
      </c>
      <c r="Q44" s="13">
        <v>-16602.054802999999</v>
      </c>
      <c r="R44" s="41">
        <v>-40845.793206374998</v>
      </c>
      <c r="S44" s="13">
        <v>-15905.217498674998</v>
      </c>
      <c r="T44" s="13">
        <v>-19145.130819999998</v>
      </c>
      <c r="U44" s="13">
        <v>-20175.696204650005</v>
      </c>
      <c r="V44" s="13">
        <v>-22359.820568324991</v>
      </c>
      <c r="W44" s="41">
        <v>-40845.793206374998</v>
      </c>
      <c r="X44" s="13">
        <v>-13690.724309999998</v>
      </c>
      <c r="Y44" s="13">
        <v>-16342.020769999999</v>
      </c>
      <c r="Z44" s="13">
        <v>-31538.01727</v>
      </c>
      <c r="AA44" s="13">
        <v>-23100.433669999977</v>
      </c>
      <c r="AB44" s="41">
        <v>-40845.793206374998</v>
      </c>
      <c r="AC44" s="13">
        <v>-21071.70032</v>
      </c>
      <c r="AD44" s="13">
        <v>-24620.228290000003</v>
      </c>
      <c r="AE44" s="13">
        <v>-40932.313639999986</v>
      </c>
      <c r="AF44" s="13">
        <v>-42064.903360000026</v>
      </c>
      <c r="AG44" s="41">
        <v>-128689.14561000001</v>
      </c>
      <c r="AH44" s="13">
        <v>-39868</v>
      </c>
      <c r="AI44" s="13">
        <v>-50049</v>
      </c>
      <c r="AJ44" s="13">
        <v>-64950</v>
      </c>
      <c r="AK44" s="13">
        <v>-51963</v>
      </c>
      <c r="AL44" s="41">
        <f t="shared" si="8"/>
        <v>-206830</v>
      </c>
      <c r="AM44" s="13">
        <v>-58331</v>
      </c>
      <c r="AN44" s="13">
        <v>-59835</v>
      </c>
      <c r="AO44" s="13">
        <v>-63421</v>
      </c>
      <c r="AP44" s="13">
        <v>-65582</v>
      </c>
      <c r="AQ44" s="41">
        <f t="shared" si="9"/>
        <v>-247169</v>
      </c>
      <c r="AR44" s="13"/>
      <c r="AS44" s="13"/>
      <c r="AT44" s="13"/>
      <c r="AU44" s="13"/>
      <c r="AV44" s="41">
        <f t="shared" si="11"/>
        <v>0</v>
      </c>
      <c r="AW44" s="8"/>
      <c r="AX44" s="8"/>
      <c r="AY44" s="463"/>
      <c r="BG44" s="8"/>
      <c r="BH44" s="8"/>
      <c r="BI44" s="8"/>
      <c r="BJ44" s="8"/>
      <c r="BK44" s="8"/>
      <c r="BL44" s="8"/>
    </row>
    <row r="45" spans="1:64">
      <c r="A45" s="11"/>
      <c r="B45" s="11" t="s">
        <v>314</v>
      </c>
      <c r="C45" s="11" t="s">
        <v>315</v>
      </c>
      <c r="D45" s="13">
        <v>0</v>
      </c>
      <c r="E45" s="13">
        <v>0</v>
      </c>
      <c r="F45" s="13">
        <v>0</v>
      </c>
      <c r="G45" s="13">
        <v>0</v>
      </c>
      <c r="H45" s="41">
        <v>0</v>
      </c>
      <c r="I45" s="13">
        <v>0</v>
      </c>
      <c r="J45" s="13">
        <v>0</v>
      </c>
      <c r="K45" s="13">
        <v>0</v>
      </c>
      <c r="L45" s="13">
        <v>0</v>
      </c>
      <c r="M45" s="41">
        <v>0</v>
      </c>
      <c r="N45" s="13">
        <v>0</v>
      </c>
      <c r="O45" s="13">
        <v>0</v>
      </c>
      <c r="P45" s="13">
        <v>0</v>
      </c>
      <c r="Q45" s="13">
        <v>0</v>
      </c>
      <c r="R45" s="41">
        <v>0</v>
      </c>
      <c r="S45" s="13">
        <v>0</v>
      </c>
      <c r="T45" s="13">
        <v>0</v>
      </c>
      <c r="U45" s="13">
        <v>-9.745989999999999</v>
      </c>
      <c r="V45" s="13">
        <v>-13.054660000000002</v>
      </c>
      <c r="W45" s="41">
        <v>0</v>
      </c>
      <c r="X45" s="13">
        <v>0</v>
      </c>
      <c r="Y45" s="13">
        <v>-10.01262</v>
      </c>
      <c r="Z45" s="13">
        <v>-28.687490000000004</v>
      </c>
      <c r="AA45" s="13">
        <v>0</v>
      </c>
      <c r="AB45" s="41">
        <v>0</v>
      </c>
      <c r="AC45" s="13">
        <v>0</v>
      </c>
      <c r="AD45" s="13">
        <v>0</v>
      </c>
      <c r="AE45" s="13">
        <v>0</v>
      </c>
      <c r="AF45" s="13">
        <v>0</v>
      </c>
      <c r="AG45" s="41">
        <v>0</v>
      </c>
      <c r="AH45" s="13">
        <v>0</v>
      </c>
      <c r="AI45" s="13">
        <v>0</v>
      </c>
      <c r="AJ45" s="13">
        <v>0</v>
      </c>
      <c r="AK45" s="13">
        <v>0</v>
      </c>
      <c r="AL45" s="41">
        <f t="shared" si="8"/>
        <v>0</v>
      </c>
      <c r="AM45" s="13">
        <v>0</v>
      </c>
      <c r="AN45" s="13">
        <v>0</v>
      </c>
      <c r="AO45" s="13">
        <v>-227</v>
      </c>
      <c r="AP45" s="13">
        <v>-241</v>
      </c>
      <c r="AQ45" s="41">
        <f t="shared" si="9"/>
        <v>-468</v>
      </c>
      <c r="AR45" s="13"/>
      <c r="AS45" s="13"/>
      <c r="AT45" s="13"/>
      <c r="AU45" s="13"/>
      <c r="AV45" s="41">
        <f t="shared" si="11"/>
        <v>0</v>
      </c>
      <c r="AW45" s="8"/>
      <c r="AX45" s="8"/>
      <c r="AY45" s="463"/>
      <c r="BG45" s="8"/>
      <c r="BH45" s="8"/>
      <c r="BI45" s="8"/>
      <c r="BJ45" s="8"/>
      <c r="BK45" s="8"/>
      <c r="BL45" s="8"/>
    </row>
    <row r="46" spans="1:64">
      <c r="A46" s="9"/>
      <c r="B46" s="9" t="s">
        <v>316</v>
      </c>
      <c r="C46" s="9" t="s">
        <v>317</v>
      </c>
      <c r="D46" s="32">
        <v>281949.10068091768</v>
      </c>
      <c r="E46" s="32">
        <v>260979.0495571731</v>
      </c>
      <c r="F46" s="32">
        <v>280907.65880123497</v>
      </c>
      <c r="G46" s="32">
        <v>300392.83936796413</v>
      </c>
      <c r="H46" s="43">
        <v>1124228.6484072898</v>
      </c>
      <c r="I46" s="32">
        <v>330053.33581834089</v>
      </c>
      <c r="J46" s="32">
        <v>359825.50122195488</v>
      </c>
      <c r="K46" s="32">
        <v>333767.30886662274</v>
      </c>
      <c r="L46" s="32">
        <v>343077.70749319874</v>
      </c>
      <c r="M46" s="43">
        <v>1366723.8534001173</v>
      </c>
      <c r="N46" s="32">
        <v>330315.15560308524</v>
      </c>
      <c r="O46" s="32">
        <v>346754.1575707405</v>
      </c>
      <c r="P46" s="32">
        <v>380899.06068789103</v>
      </c>
      <c r="Q46" s="32">
        <v>434062.21506309317</v>
      </c>
      <c r="R46" s="43">
        <v>1492030.5889248101</v>
      </c>
      <c r="S46" s="32">
        <v>403074.22656818706</v>
      </c>
      <c r="T46" s="32">
        <v>413672.31808320474</v>
      </c>
      <c r="U46" s="32">
        <v>469025.6122061999</v>
      </c>
      <c r="V46" s="32">
        <v>537517.5395931683</v>
      </c>
      <c r="W46" s="43">
        <v>1823289.6964507599</v>
      </c>
      <c r="X46" s="32">
        <v>442498.23808340292</v>
      </c>
      <c r="Y46" s="32">
        <v>415196.70915291482</v>
      </c>
      <c r="Z46" s="32">
        <v>591979.47906499996</v>
      </c>
      <c r="AA46" s="32">
        <v>502568.78393315338</v>
      </c>
      <c r="AB46" s="43">
        <v>1952243.2102344711</v>
      </c>
      <c r="AC46" s="32">
        <v>460055.95692999993</v>
      </c>
      <c r="AD46" s="32">
        <v>448648.55031000008</v>
      </c>
      <c r="AE46" s="32">
        <v>557676.40536000009</v>
      </c>
      <c r="AF46" s="32">
        <v>629697.38072999998</v>
      </c>
      <c r="AG46" s="43">
        <v>2096078.2933299998</v>
      </c>
      <c r="AH46" s="32">
        <f>AH8+AH39+AH41</f>
        <v>604299</v>
      </c>
      <c r="AI46" s="32">
        <f>AI8+AI39+AI41</f>
        <v>743931</v>
      </c>
      <c r="AJ46" s="32">
        <f>AJ8+AJ39+AJ41</f>
        <v>860833</v>
      </c>
      <c r="AK46" s="32">
        <f>AK8+AK39+AK41</f>
        <v>815636</v>
      </c>
      <c r="AL46" s="43">
        <f t="shared" si="8"/>
        <v>3024699</v>
      </c>
      <c r="AM46" s="32">
        <f>AM8+AM39+AM41</f>
        <v>914515.25</v>
      </c>
      <c r="AN46" s="32">
        <f>AN8+AN39+AN41</f>
        <v>906034</v>
      </c>
      <c r="AO46" s="32">
        <f>AO8+AO39+AO41</f>
        <v>1004436</v>
      </c>
      <c r="AP46" s="32">
        <v>1015250</v>
      </c>
      <c r="AQ46" s="43">
        <f t="shared" si="9"/>
        <v>3840235.25</v>
      </c>
      <c r="AR46" s="32"/>
      <c r="AS46" s="32"/>
      <c r="AT46" s="32"/>
      <c r="AU46" s="32"/>
      <c r="AV46" s="43">
        <f t="shared" si="11"/>
        <v>0</v>
      </c>
      <c r="AW46" s="8"/>
      <c r="AX46" s="8"/>
      <c r="AY46" s="463"/>
      <c r="BG46" s="8"/>
      <c r="BH46" s="8"/>
      <c r="BI46" s="8"/>
      <c r="BJ46" s="8"/>
      <c r="BK46" s="8"/>
      <c r="BL46" s="8"/>
    </row>
    <row r="47" spans="1:64">
      <c r="A47" s="11"/>
      <c r="B47" s="11"/>
      <c r="C47" s="11"/>
      <c r="D47" s="14"/>
      <c r="E47" s="14"/>
      <c r="F47" s="14"/>
      <c r="G47" s="14"/>
      <c r="H47" s="41">
        <v>0</v>
      </c>
      <c r="I47" s="14"/>
      <c r="J47" s="14"/>
      <c r="K47" s="14"/>
      <c r="L47" s="14"/>
      <c r="M47" s="41">
        <v>0</v>
      </c>
      <c r="N47" s="14"/>
      <c r="O47" s="14"/>
      <c r="P47" s="14"/>
      <c r="Q47" s="14"/>
      <c r="R47" s="41">
        <v>0</v>
      </c>
      <c r="S47" s="14"/>
      <c r="T47" s="14"/>
      <c r="U47" s="14"/>
      <c r="V47" s="14"/>
      <c r="W47" s="41">
        <v>0</v>
      </c>
      <c r="X47" s="14"/>
      <c r="Y47" s="14"/>
      <c r="Z47" s="14"/>
      <c r="AA47" s="14"/>
      <c r="AB47" s="41">
        <v>0</v>
      </c>
      <c r="AC47" s="14"/>
      <c r="AD47" s="14"/>
      <c r="AE47" s="14"/>
      <c r="AF47" s="14"/>
      <c r="AG47" s="41"/>
      <c r="AH47" s="14"/>
      <c r="AI47" s="14"/>
      <c r="AJ47" s="14"/>
      <c r="AK47" s="14"/>
      <c r="AL47" s="41"/>
      <c r="AM47" s="14">
        <v>0</v>
      </c>
      <c r="AN47" s="14"/>
      <c r="AO47" s="14"/>
      <c r="AP47" s="14"/>
      <c r="AQ47" s="41">
        <f t="shared" si="9"/>
        <v>0</v>
      </c>
      <c r="AR47" s="14"/>
      <c r="AS47" s="14"/>
      <c r="AT47" s="14"/>
      <c r="AU47" s="14"/>
      <c r="AV47" s="41">
        <f t="shared" si="11"/>
        <v>0</v>
      </c>
      <c r="AW47" s="8"/>
      <c r="AX47" s="8"/>
      <c r="AY47" s="463"/>
      <c r="BG47" s="8"/>
      <c r="BH47" s="8"/>
      <c r="BI47" s="8"/>
      <c r="BJ47" s="8"/>
      <c r="BK47" s="8"/>
      <c r="BL47" s="8"/>
    </row>
    <row r="48" spans="1:64">
      <c r="A48" s="9"/>
      <c r="B48" s="9" t="s">
        <v>318</v>
      </c>
      <c r="C48" s="9" t="s">
        <v>319</v>
      </c>
      <c r="D48" s="32">
        <v>-1418.2734300000006</v>
      </c>
      <c r="E48" s="32">
        <v>2677.4463700000006</v>
      </c>
      <c r="F48" s="32">
        <v>5837.2842000000046</v>
      </c>
      <c r="G48" s="32">
        <v>7006.9743999999992</v>
      </c>
      <c r="H48" s="43">
        <v>14103.431540000003</v>
      </c>
      <c r="I48" s="32">
        <v>4216.8447699999997</v>
      </c>
      <c r="J48" s="32">
        <v>7007.4345200000016</v>
      </c>
      <c r="K48" s="32">
        <v>6577.1029199999975</v>
      </c>
      <c r="L48" s="32">
        <v>6447.4069500000005</v>
      </c>
      <c r="M48" s="43">
        <v>24248.78916</v>
      </c>
      <c r="N48" s="32">
        <v>2733.1374600000008</v>
      </c>
      <c r="O48" s="32">
        <v>6629.2316099999989</v>
      </c>
      <c r="P48" s="32">
        <v>6872.5647300000001</v>
      </c>
      <c r="Q48" s="32">
        <v>7660.6280699999998</v>
      </c>
      <c r="R48" s="43">
        <v>23895.561870000001</v>
      </c>
      <c r="S48" s="32">
        <v>4140.2438900000006</v>
      </c>
      <c r="T48" s="32">
        <v>13237.845399999997</v>
      </c>
      <c r="U48" s="32">
        <v>12215.334070000001</v>
      </c>
      <c r="V48" s="32">
        <v>5350.0509500000044</v>
      </c>
      <c r="W48" s="43">
        <v>34943.474310000005</v>
      </c>
      <c r="X48" s="32">
        <v>4646.90798</v>
      </c>
      <c r="Y48" s="32">
        <v>5911.9798900000005</v>
      </c>
      <c r="Z48" s="32">
        <v>3741.4539599999989</v>
      </c>
      <c r="AA48" s="32">
        <v>6040.7381800000003</v>
      </c>
      <c r="AB48" s="43">
        <v>20341.080009999998</v>
      </c>
      <c r="AC48" s="32">
        <v>-179.89427000000001</v>
      </c>
      <c r="AD48" s="32">
        <v>2444.45082</v>
      </c>
      <c r="AE48" s="32">
        <v>5011.8135200000006</v>
      </c>
      <c r="AF48" s="32">
        <v>3295.3234499999994</v>
      </c>
      <c r="AG48" s="43">
        <v>10571.693520000001</v>
      </c>
      <c r="AH48" s="32">
        <f t="shared" ref="AH48" si="22">SUM(AH49:AH51)</f>
        <v>14034</v>
      </c>
      <c r="AI48" s="32">
        <f t="shared" ref="AI48:AO48" si="23">SUM(AI49:AI51)</f>
        <v>21273</v>
      </c>
      <c r="AJ48" s="32">
        <f t="shared" si="23"/>
        <v>28936</v>
      </c>
      <c r="AK48" s="32">
        <f t="shared" si="23"/>
        <v>33445</v>
      </c>
      <c r="AL48" s="43">
        <f t="shared" si="8"/>
        <v>97688</v>
      </c>
      <c r="AM48" s="32">
        <f t="shared" si="23"/>
        <v>15189</v>
      </c>
      <c r="AN48" s="32">
        <f t="shared" si="23"/>
        <v>31847</v>
      </c>
      <c r="AO48" s="32">
        <f t="shared" si="23"/>
        <v>31653</v>
      </c>
      <c r="AP48" s="32">
        <v>35178</v>
      </c>
      <c r="AQ48" s="43">
        <f t="shared" si="9"/>
        <v>113867</v>
      </c>
      <c r="AR48" s="32"/>
      <c r="AS48" s="32"/>
      <c r="AT48" s="32"/>
      <c r="AU48" s="32"/>
      <c r="AV48" s="43">
        <f t="shared" si="11"/>
        <v>0</v>
      </c>
      <c r="AW48" s="8"/>
      <c r="AX48" s="8"/>
      <c r="AY48" s="463"/>
      <c r="BG48" s="8"/>
      <c r="BH48" s="8"/>
      <c r="BI48" s="8"/>
      <c r="BJ48" s="8"/>
      <c r="BK48" s="8"/>
      <c r="BL48" s="8"/>
    </row>
    <row r="49" spans="1:64">
      <c r="A49" s="11"/>
      <c r="B49" s="11" t="s">
        <v>320</v>
      </c>
      <c r="C49" s="11" t="s">
        <v>321</v>
      </c>
      <c r="D49" s="13">
        <v>2717.0130299999996</v>
      </c>
      <c r="E49" s="13">
        <v>4754.5504600000004</v>
      </c>
      <c r="F49" s="13">
        <v>5634.9898000000039</v>
      </c>
      <c r="G49" s="13">
        <v>7006.9743999999992</v>
      </c>
      <c r="H49" s="41">
        <v>20113.527690000003</v>
      </c>
      <c r="I49" s="13">
        <v>8481.92425</v>
      </c>
      <c r="J49" s="13">
        <v>8232.1099600000016</v>
      </c>
      <c r="K49" s="13">
        <v>6577.1029199999975</v>
      </c>
      <c r="L49" s="13">
        <v>6447.4069500000005</v>
      </c>
      <c r="M49" s="41">
        <v>20113.527690000003</v>
      </c>
      <c r="N49" s="13">
        <v>7050.4618900000005</v>
      </c>
      <c r="O49" s="13">
        <v>8263.3159099999993</v>
      </c>
      <c r="P49" s="13">
        <v>6872.5947500000002</v>
      </c>
      <c r="Q49" s="13">
        <v>7660.7134499999993</v>
      </c>
      <c r="R49" s="41">
        <v>20113.527690000003</v>
      </c>
      <c r="S49" s="13">
        <v>4506.8492100000003</v>
      </c>
      <c r="T49" s="13">
        <v>13365.335369999997</v>
      </c>
      <c r="U49" s="13">
        <v>12215.489030000001</v>
      </c>
      <c r="V49" s="13">
        <v>5350.0509500000044</v>
      </c>
      <c r="W49" s="41">
        <v>20113.527690000003</v>
      </c>
      <c r="X49" s="13">
        <v>5487.2420899999997</v>
      </c>
      <c r="Y49" s="13">
        <v>5913.1763800000008</v>
      </c>
      <c r="Z49" s="13">
        <v>3741.4574999999986</v>
      </c>
      <c r="AA49" s="13">
        <v>6040.7746800000004</v>
      </c>
      <c r="AB49" s="41">
        <v>20113.527690000003</v>
      </c>
      <c r="AC49" s="13">
        <v>841.82868999999994</v>
      </c>
      <c r="AD49" s="13">
        <v>2444.4508300000002</v>
      </c>
      <c r="AE49" s="13">
        <v>5568.4585800000004</v>
      </c>
      <c r="AF49" s="13">
        <v>6728.4127999999992</v>
      </c>
      <c r="AG49" s="41">
        <v>15583.150900000001</v>
      </c>
      <c r="AH49" s="13">
        <v>14232</v>
      </c>
      <c r="AI49" s="13">
        <v>21274</v>
      </c>
      <c r="AJ49" s="13">
        <v>29104</v>
      </c>
      <c r="AK49" s="13">
        <v>33572</v>
      </c>
      <c r="AL49" s="41">
        <f t="shared" si="8"/>
        <v>98182</v>
      </c>
      <c r="AM49" s="13">
        <v>37870</v>
      </c>
      <c r="AN49" s="13">
        <v>40296</v>
      </c>
      <c r="AO49" s="13">
        <v>32508</v>
      </c>
      <c r="AP49" s="13">
        <v>37138</v>
      </c>
      <c r="AQ49" s="41">
        <f t="shared" si="9"/>
        <v>147812</v>
      </c>
      <c r="AR49" s="13"/>
      <c r="AS49" s="13"/>
      <c r="AT49" s="13"/>
      <c r="AU49" s="13"/>
      <c r="AV49" s="41">
        <f t="shared" si="11"/>
        <v>0</v>
      </c>
      <c r="AW49" s="8"/>
      <c r="AX49" s="8"/>
      <c r="AY49" s="463"/>
      <c r="BG49" s="8"/>
      <c r="BH49" s="8"/>
      <c r="BI49" s="8"/>
      <c r="BJ49" s="8"/>
      <c r="BK49" s="8"/>
      <c r="BL49" s="8"/>
    </row>
    <row r="50" spans="1:64">
      <c r="A50" s="11"/>
      <c r="B50" s="11" t="s">
        <v>322</v>
      </c>
      <c r="C50" s="11" t="s">
        <v>323</v>
      </c>
      <c r="D50" s="13">
        <v>-4135.2864600000003</v>
      </c>
      <c r="E50" s="13">
        <v>-2077.1040899999998</v>
      </c>
      <c r="F50" s="13">
        <v>202.29440000000068</v>
      </c>
      <c r="G50" s="13">
        <v>0</v>
      </c>
      <c r="H50" s="41">
        <v>-6010.0961499999994</v>
      </c>
      <c r="I50" s="13">
        <v>-4265.0794800000003</v>
      </c>
      <c r="J50" s="13">
        <v>-1224.67544</v>
      </c>
      <c r="K50" s="13">
        <v>0</v>
      </c>
      <c r="L50" s="13">
        <v>0</v>
      </c>
      <c r="M50" s="41">
        <v>-6010.0961499999994</v>
      </c>
      <c r="N50" s="13">
        <v>-4317.3244299999997</v>
      </c>
      <c r="O50" s="13">
        <v>-1634.0843000000004</v>
      </c>
      <c r="P50" s="13">
        <v>-3.0020000000149594E-2</v>
      </c>
      <c r="Q50" s="13">
        <v>-8.5379999999531719E-2</v>
      </c>
      <c r="R50" s="41">
        <v>-6010.0961499999994</v>
      </c>
      <c r="S50" s="13">
        <v>-366.60532000000001</v>
      </c>
      <c r="T50" s="13">
        <v>-127.48996999999997</v>
      </c>
      <c r="U50" s="13">
        <v>-0.15496000000001686</v>
      </c>
      <c r="V50" s="13">
        <v>0</v>
      </c>
      <c r="W50" s="41">
        <v>-6010.0961499999994</v>
      </c>
      <c r="X50" s="13">
        <v>-840.3341099999999</v>
      </c>
      <c r="Y50" s="13">
        <v>-1.1964900000000398</v>
      </c>
      <c r="Z50" s="13">
        <v>-3.5399999999299325E-3</v>
      </c>
      <c r="AA50" s="13">
        <v>-3.6500000000046384E-2</v>
      </c>
      <c r="AB50" s="41">
        <v>-6010.0961499999994</v>
      </c>
      <c r="AC50" s="13">
        <v>-1021.7229599999999</v>
      </c>
      <c r="AD50" s="13">
        <v>-9.9999999747524271E-6</v>
      </c>
      <c r="AE50" s="13">
        <v>-556.64506000000006</v>
      </c>
      <c r="AF50" s="13">
        <v>-3433.0893499999997</v>
      </c>
      <c r="AG50" s="41">
        <v>-5011.4573799999998</v>
      </c>
      <c r="AH50" s="13">
        <v>-198</v>
      </c>
      <c r="AI50" s="13">
        <v>-1</v>
      </c>
      <c r="AJ50" s="13">
        <v>-168</v>
      </c>
      <c r="AK50" s="13">
        <v>-127</v>
      </c>
      <c r="AL50" s="41">
        <f t="shared" si="8"/>
        <v>-494</v>
      </c>
      <c r="AM50" s="13">
        <v>-22681</v>
      </c>
      <c r="AN50" s="13">
        <v>-8449</v>
      </c>
      <c r="AO50" s="13">
        <v>-855</v>
      </c>
      <c r="AP50" s="13">
        <v>-1960</v>
      </c>
      <c r="AQ50" s="41">
        <f t="shared" si="9"/>
        <v>-33945</v>
      </c>
      <c r="AR50" s="13"/>
      <c r="AS50" s="13"/>
      <c r="AT50" s="13"/>
      <c r="AU50" s="13"/>
      <c r="AV50" s="41">
        <f t="shared" si="11"/>
        <v>0</v>
      </c>
      <c r="AW50" s="8"/>
      <c r="AX50" s="8"/>
      <c r="AY50" s="463"/>
      <c r="BG50" s="8"/>
      <c r="BH50" s="8"/>
      <c r="BI50" s="8"/>
      <c r="BJ50" s="8"/>
      <c r="BK50" s="8"/>
      <c r="BL50" s="8"/>
    </row>
    <row r="51" spans="1:64">
      <c r="A51" s="11"/>
      <c r="B51" s="11"/>
      <c r="C51" s="11"/>
      <c r="D51" s="13"/>
      <c r="E51" s="13"/>
      <c r="F51" s="13"/>
      <c r="G51" s="13"/>
      <c r="H51" s="41"/>
      <c r="I51" s="13"/>
      <c r="J51" s="13"/>
      <c r="K51" s="13"/>
      <c r="L51" s="13"/>
      <c r="M51" s="41"/>
      <c r="N51" s="13"/>
      <c r="O51" s="13"/>
      <c r="P51" s="13"/>
      <c r="Q51" s="13"/>
      <c r="R51" s="41"/>
      <c r="S51" s="13"/>
      <c r="T51" s="13"/>
      <c r="U51" s="13"/>
      <c r="V51" s="13"/>
      <c r="W51" s="41"/>
      <c r="X51" s="13"/>
      <c r="Y51" s="13"/>
      <c r="Z51" s="13"/>
      <c r="AA51" s="13"/>
      <c r="AB51" s="41"/>
      <c r="AC51" s="13"/>
      <c r="AD51" s="13"/>
      <c r="AE51" s="13"/>
      <c r="AF51" s="13"/>
      <c r="AG51" s="41"/>
      <c r="AH51" s="13"/>
      <c r="AI51" s="13">
        <v>0</v>
      </c>
      <c r="AJ51" s="13">
        <v>0</v>
      </c>
      <c r="AK51" s="13"/>
      <c r="AL51" s="41"/>
      <c r="AM51" s="13">
        <v>0</v>
      </c>
      <c r="AN51" s="13"/>
      <c r="AO51" s="13"/>
      <c r="AP51" s="13"/>
      <c r="AQ51" s="41">
        <f t="shared" si="9"/>
        <v>0</v>
      </c>
      <c r="AR51" s="13"/>
      <c r="AS51" s="13"/>
      <c r="AT51" s="13"/>
      <c r="AU51" s="13"/>
      <c r="AV51" s="41">
        <f t="shared" si="11"/>
        <v>0</v>
      </c>
      <c r="AW51" s="8"/>
      <c r="AY51" s="463"/>
      <c r="BG51" s="8"/>
      <c r="BH51" s="8"/>
      <c r="BI51" s="8"/>
      <c r="BJ51" s="8"/>
      <c r="BK51" s="8"/>
      <c r="BL51" s="8"/>
    </row>
    <row r="52" spans="1:64">
      <c r="A52" s="9"/>
      <c r="B52" s="9" t="s">
        <v>324</v>
      </c>
      <c r="C52" s="9" t="s">
        <v>325</v>
      </c>
      <c r="D52" s="32">
        <v>280530.82725091767</v>
      </c>
      <c r="E52" s="32">
        <v>263656.49592717312</v>
      </c>
      <c r="F52" s="32">
        <v>286744.94300123496</v>
      </c>
      <c r="G52" s="32">
        <v>307399.81376796414</v>
      </c>
      <c r="H52" s="43">
        <v>1138332.07994729</v>
      </c>
      <c r="I52" s="32">
        <v>334270.18058834091</v>
      </c>
      <c r="J52" s="32">
        <v>366832.93574195489</v>
      </c>
      <c r="K52" s="32">
        <v>340344.41178662272</v>
      </c>
      <c r="L52" s="32">
        <v>349525.11444319872</v>
      </c>
      <c r="M52" s="43">
        <v>1390972.6425601172</v>
      </c>
      <c r="N52" s="32">
        <v>333048.29306308524</v>
      </c>
      <c r="O52" s="32">
        <v>353383.38918074052</v>
      </c>
      <c r="P52" s="32">
        <v>387771.62541789102</v>
      </c>
      <c r="Q52" s="32">
        <v>441722.84313309315</v>
      </c>
      <c r="R52" s="43">
        <v>1515926.1507948099</v>
      </c>
      <c r="S52" s="32">
        <v>407214.47045818705</v>
      </c>
      <c r="T52" s="32">
        <v>426910.16348320473</v>
      </c>
      <c r="U52" s="32">
        <v>481240.94627619989</v>
      </c>
      <c r="V52" s="32">
        <v>542867.59054316836</v>
      </c>
      <c r="W52" s="43">
        <v>1858233.1707607599</v>
      </c>
      <c r="X52" s="32">
        <v>447145.14606340294</v>
      </c>
      <c r="Y52" s="32">
        <v>421108.68904291483</v>
      </c>
      <c r="Z52" s="32">
        <v>595720.93302499992</v>
      </c>
      <c r="AA52" s="32">
        <v>508609.52211315336</v>
      </c>
      <c r="AB52" s="43">
        <v>1972584.2902444708</v>
      </c>
      <c r="AC52" s="32">
        <v>459876.06265999994</v>
      </c>
      <c r="AD52" s="32">
        <v>451093.00113000011</v>
      </c>
      <c r="AE52" s="32">
        <v>562688.21888000006</v>
      </c>
      <c r="AF52" s="32">
        <v>632992.70418</v>
      </c>
      <c r="AG52" s="43">
        <v>2106649.98685</v>
      </c>
      <c r="AH52" s="32">
        <f t="shared" ref="AH52:AO52" si="24">AH46+AH48</f>
        <v>618333</v>
      </c>
      <c r="AI52" s="32">
        <f t="shared" si="24"/>
        <v>765204</v>
      </c>
      <c r="AJ52" s="32">
        <f t="shared" si="24"/>
        <v>889769</v>
      </c>
      <c r="AK52" s="32">
        <f t="shared" si="24"/>
        <v>849081</v>
      </c>
      <c r="AL52" s="43">
        <f t="shared" si="8"/>
        <v>3122387</v>
      </c>
      <c r="AM52" s="32">
        <f t="shared" si="24"/>
        <v>929704.25</v>
      </c>
      <c r="AN52" s="32">
        <f t="shared" si="24"/>
        <v>937881</v>
      </c>
      <c r="AO52" s="32">
        <f t="shared" si="24"/>
        <v>1036089</v>
      </c>
      <c r="AP52" s="32">
        <v>1050428</v>
      </c>
      <c r="AQ52" s="43">
        <f t="shared" si="9"/>
        <v>3954102.25</v>
      </c>
      <c r="AR52" s="32"/>
      <c r="AS52" s="32"/>
      <c r="AT52" s="32"/>
      <c r="AU52" s="32"/>
      <c r="AV52" s="43">
        <f t="shared" si="11"/>
        <v>0</v>
      </c>
      <c r="AW52" s="8"/>
      <c r="AX52" s="8"/>
      <c r="AY52" s="463"/>
      <c r="BG52" s="8"/>
      <c r="BH52" s="8"/>
      <c r="BI52" s="8"/>
      <c r="BJ52" s="8"/>
      <c r="BK52" s="8"/>
      <c r="BL52" s="8"/>
    </row>
    <row r="53" spans="1:64">
      <c r="H53" s="41">
        <v>0</v>
      </c>
      <c r="M53" s="41">
        <v>0</v>
      </c>
      <c r="R53" s="41">
        <v>0</v>
      </c>
      <c r="W53" s="41">
        <v>0</v>
      </c>
      <c r="AB53" s="41">
        <v>0</v>
      </c>
      <c r="AG53" s="41"/>
      <c r="AL53" s="41">
        <f t="shared" si="8"/>
        <v>0</v>
      </c>
      <c r="AQ53" s="41">
        <f t="shared" si="9"/>
        <v>0</v>
      </c>
      <c r="AV53" s="41">
        <f t="shared" si="11"/>
        <v>0</v>
      </c>
      <c r="AW53" s="8"/>
      <c r="AY53" s="463"/>
      <c r="BG53" s="8"/>
      <c r="BH53" s="8"/>
      <c r="BI53" s="8"/>
      <c r="BJ53" s="8"/>
      <c r="BK53" s="8"/>
      <c r="BL53" s="8"/>
    </row>
    <row r="54" spans="1:64">
      <c r="A54" s="9"/>
      <c r="B54" s="9" t="s">
        <v>326</v>
      </c>
      <c r="C54" s="9" t="s">
        <v>327</v>
      </c>
      <c r="D54" s="31">
        <v>-28279.598763032503</v>
      </c>
      <c r="E54" s="31">
        <v>-28799.083560000006</v>
      </c>
      <c r="F54" s="31">
        <v>-36556.443429999992</v>
      </c>
      <c r="G54" s="31">
        <v>-36155.890209999998</v>
      </c>
      <c r="H54" s="43">
        <v>-129791.01596303251</v>
      </c>
      <c r="I54" s="31">
        <v>-42793.816057502998</v>
      </c>
      <c r="J54" s="31">
        <v>-42474.80287</v>
      </c>
      <c r="K54" s="31">
        <v>-43847.089709999993</v>
      </c>
      <c r="L54" s="31">
        <v>-42429.774840000005</v>
      </c>
      <c r="M54" s="43">
        <v>-171545.483477503</v>
      </c>
      <c r="N54" s="31">
        <v>-38911.268523034007</v>
      </c>
      <c r="O54" s="31">
        <v>-47693.894319056002</v>
      </c>
      <c r="P54" s="31">
        <v>-44940.490500000014</v>
      </c>
      <c r="Q54" s="31">
        <v>-51112.451852379978</v>
      </c>
      <c r="R54" s="43">
        <v>-182658.10519447</v>
      </c>
      <c r="S54" s="31">
        <v>-50125.4878968505</v>
      </c>
      <c r="T54" s="31">
        <v>-62276.76455</v>
      </c>
      <c r="U54" s="31">
        <v>-63990.277498219024</v>
      </c>
      <c r="V54" s="31">
        <v>-60152.375450369495</v>
      </c>
      <c r="W54" s="43">
        <v>-236544.90539543901</v>
      </c>
      <c r="X54" s="31">
        <v>-52976.324219999995</v>
      </c>
      <c r="Y54" s="31">
        <v>-48424.392359999998</v>
      </c>
      <c r="Z54" s="31">
        <v>-101615.43473000002</v>
      </c>
      <c r="AA54" s="31">
        <v>-73394.194679999986</v>
      </c>
      <c r="AB54" s="43">
        <v>-276410.34599</v>
      </c>
      <c r="AC54" s="31">
        <v>-54834.664099999995</v>
      </c>
      <c r="AD54" s="31">
        <v>-53138.731930000002</v>
      </c>
      <c r="AE54" s="31">
        <v>-97389.546019999994</v>
      </c>
      <c r="AF54" s="31">
        <v>-94720.263690000007</v>
      </c>
      <c r="AG54" s="42">
        <v>-300083.20574</v>
      </c>
      <c r="AH54" s="31">
        <f t="shared" ref="AH54:AK54" si="25">AH55+AH58</f>
        <v>-86716</v>
      </c>
      <c r="AI54" s="31">
        <f t="shared" si="25"/>
        <v>-99372</v>
      </c>
      <c r="AJ54" s="31">
        <f t="shared" si="25"/>
        <v>-129704</v>
      </c>
      <c r="AK54" s="31">
        <f t="shared" si="25"/>
        <v>-96486</v>
      </c>
      <c r="AL54" s="42">
        <f t="shared" si="8"/>
        <v>-412278</v>
      </c>
      <c r="AM54" s="31">
        <f>AM55+AM58</f>
        <v>-109585</v>
      </c>
      <c r="AN54" s="31">
        <f t="shared" ref="AN54:AO54" si="26">AN55+AN58</f>
        <v>-115303</v>
      </c>
      <c r="AO54" s="31">
        <f t="shared" si="26"/>
        <v>-119515</v>
      </c>
      <c r="AP54" s="31">
        <v>-128015</v>
      </c>
      <c r="AQ54" s="42">
        <f t="shared" si="9"/>
        <v>-472418</v>
      </c>
      <c r="AR54" s="31"/>
      <c r="AS54" s="31"/>
      <c r="AT54" s="31"/>
      <c r="AU54" s="31"/>
      <c r="AV54" s="42">
        <f t="shared" si="11"/>
        <v>0</v>
      </c>
      <c r="AW54" s="8"/>
      <c r="AY54" s="463"/>
      <c r="BG54" s="8"/>
      <c r="BH54" s="8"/>
      <c r="BI54" s="8"/>
      <c r="BJ54" s="8"/>
      <c r="BK54" s="8"/>
      <c r="BL54" s="8"/>
    </row>
    <row r="55" spans="1:64">
      <c r="A55" s="73"/>
      <c r="B55" s="73" t="s">
        <v>328</v>
      </c>
      <c r="C55" s="73" t="s">
        <v>329</v>
      </c>
      <c r="D55" s="13">
        <v>-28282.357293032503</v>
      </c>
      <c r="E55" s="13">
        <v>-28801.603500000005</v>
      </c>
      <c r="F55" s="13">
        <v>-36557.502709999993</v>
      </c>
      <c r="G55" s="13">
        <v>-36151.750959999998</v>
      </c>
      <c r="H55" s="41">
        <v>-129793.21446303249</v>
      </c>
      <c r="I55" s="13">
        <v>-42793.104297503</v>
      </c>
      <c r="J55" s="13">
        <v>-42473.316129999999</v>
      </c>
      <c r="K55" s="13">
        <v>-43876.885589999991</v>
      </c>
      <c r="L55" s="13">
        <v>-42436.152100000007</v>
      </c>
      <c r="M55" s="41">
        <v>-129793.21446303249</v>
      </c>
      <c r="N55" s="13">
        <v>-38849.198733034005</v>
      </c>
      <c r="O55" s="13">
        <v>-47693.894319056002</v>
      </c>
      <c r="P55" s="13">
        <v>-44940.490500000014</v>
      </c>
      <c r="Q55" s="13">
        <v>-51112.451852379978</v>
      </c>
      <c r="R55" s="41">
        <v>-129793.21446303249</v>
      </c>
      <c r="S55" s="13">
        <v>-50123.362136850497</v>
      </c>
      <c r="T55" s="13">
        <v>-59037.532789999997</v>
      </c>
      <c r="U55" s="13">
        <v>-62598.791878219025</v>
      </c>
      <c r="V55" s="13">
        <v>-64783.092830369496</v>
      </c>
      <c r="W55" s="41">
        <v>-129793.21446303249</v>
      </c>
      <c r="X55" s="13">
        <v>-51879.784719999996</v>
      </c>
      <c r="Y55" s="13">
        <v>-47410.502759999996</v>
      </c>
      <c r="Z55" s="13">
        <v>-100662.87559000003</v>
      </c>
      <c r="AA55" s="13">
        <v>-76457.182919999992</v>
      </c>
      <c r="AB55" s="41">
        <v>-129793.21446303249</v>
      </c>
      <c r="AC55" s="13">
        <v>-53910.889759999998</v>
      </c>
      <c r="AD55" s="13">
        <v>-52168.189290000002</v>
      </c>
      <c r="AE55" s="13">
        <v>-96361.813859999995</v>
      </c>
      <c r="AF55" s="13">
        <v>-97642.31283000001</v>
      </c>
      <c r="AG55" s="41">
        <v>-300083.20574</v>
      </c>
      <c r="AH55" s="13">
        <v>-85447</v>
      </c>
      <c r="AI55" s="13">
        <v>-97948</v>
      </c>
      <c r="AJ55" s="13">
        <v>-128240</v>
      </c>
      <c r="AK55" s="13">
        <v>-100685</v>
      </c>
      <c r="AL55" s="41">
        <f t="shared" si="8"/>
        <v>-412320</v>
      </c>
      <c r="AM55" s="13">
        <v>-107694</v>
      </c>
      <c r="AN55" s="13">
        <v>-113450</v>
      </c>
      <c r="AO55" s="13">
        <v>-117756</v>
      </c>
      <c r="AP55" s="13">
        <v>-133477</v>
      </c>
      <c r="AQ55" s="41">
        <f t="shared" si="9"/>
        <v>-472377</v>
      </c>
      <c r="AR55" s="13"/>
      <c r="AS55" s="13"/>
      <c r="AT55" s="13"/>
      <c r="AU55" s="13"/>
      <c r="AV55" s="41">
        <f t="shared" si="11"/>
        <v>0</v>
      </c>
      <c r="AW55" s="8"/>
      <c r="AX55" s="8"/>
      <c r="AY55" s="463"/>
      <c r="BG55" s="8"/>
      <c r="BH55" s="8"/>
      <c r="BI55" s="8"/>
      <c r="BJ55" s="8"/>
      <c r="BK55" s="8"/>
      <c r="BL55" s="8"/>
    </row>
    <row r="56" spans="1:64">
      <c r="A56" s="11"/>
      <c r="B56" s="11" t="s">
        <v>330</v>
      </c>
      <c r="C56" s="11" t="s">
        <v>331</v>
      </c>
      <c r="D56" s="13">
        <v>-20794.26271340625</v>
      </c>
      <c r="E56" s="13">
        <v>-21176.061400000006</v>
      </c>
      <c r="F56" s="13">
        <v>-26878.928459999996</v>
      </c>
      <c r="G56" s="13">
        <v>-26580.581590000002</v>
      </c>
      <c r="H56" s="41">
        <v>-95429.834163406253</v>
      </c>
      <c r="I56" s="13">
        <v>-31463.929631987503</v>
      </c>
      <c r="J56" s="13">
        <v>-31228.791269999998</v>
      </c>
      <c r="K56" s="13">
        <v>-32260.827639999989</v>
      </c>
      <c r="L56" s="13">
        <v>-31195.111840000012</v>
      </c>
      <c r="M56" s="41">
        <v>-95429.834163406253</v>
      </c>
      <c r="N56" s="13">
        <v>-28563.833657525003</v>
      </c>
      <c r="O56" s="13">
        <v>-35067.2721896</v>
      </c>
      <c r="P56" s="13">
        <v>-33038.470290000012</v>
      </c>
      <c r="Q56" s="13">
        <v>-37659.656126749978</v>
      </c>
      <c r="R56" s="41">
        <v>-95429.834163406253</v>
      </c>
      <c r="S56" s="13">
        <v>-36852.236865331244</v>
      </c>
      <c r="T56" s="13">
        <v>-43406.774109999998</v>
      </c>
      <c r="U56" s="13">
        <v>-46047.435281337515</v>
      </c>
      <c r="V56" s="13">
        <v>-47673.493477918746</v>
      </c>
      <c r="W56" s="41">
        <v>-95429.834163406253</v>
      </c>
      <c r="X56" s="13">
        <v>-38145.311689999995</v>
      </c>
      <c r="Y56" s="13">
        <v>-34857.487329999996</v>
      </c>
      <c r="Z56" s="13">
        <v>-74013.643810000023</v>
      </c>
      <c r="AA56" s="13">
        <v>-56282.34467999998</v>
      </c>
      <c r="AB56" s="41">
        <v>-95429.834163406253</v>
      </c>
      <c r="AC56" s="13">
        <v>-39636.146549999998</v>
      </c>
      <c r="AD56" s="13">
        <v>-38408.489670000003</v>
      </c>
      <c r="AE56" s="13">
        <v>-70801.114650000003</v>
      </c>
      <c r="AF56" s="13">
        <v>-71890.544609999983</v>
      </c>
      <c r="AG56" s="41">
        <v>-220736.29547999997</v>
      </c>
      <c r="AH56" s="13">
        <v>-62846</v>
      </c>
      <c r="AI56" s="13">
        <v>-72016</v>
      </c>
      <c r="AJ56" s="13">
        <v>-94289</v>
      </c>
      <c r="AK56" s="13">
        <v>-74292</v>
      </c>
      <c r="AL56" s="41">
        <f t="shared" si="8"/>
        <v>-303443</v>
      </c>
      <c r="AM56" s="13">
        <v>-79172</v>
      </c>
      <c r="AN56" s="13">
        <v>-83423</v>
      </c>
      <c r="AO56" s="13">
        <v>-86744</v>
      </c>
      <c r="AP56" s="13">
        <v>-98140</v>
      </c>
      <c r="AQ56" s="41">
        <f t="shared" si="9"/>
        <v>-347479</v>
      </c>
      <c r="AR56" s="13"/>
      <c r="AS56" s="13"/>
      <c r="AT56" s="13"/>
      <c r="AU56" s="13"/>
      <c r="AV56" s="41">
        <f t="shared" si="11"/>
        <v>0</v>
      </c>
      <c r="AW56" s="8"/>
      <c r="AX56" s="8"/>
      <c r="AY56" s="463"/>
      <c r="BG56" s="8"/>
      <c r="BH56" s="8"/>
      <c r="BI56" s="8"/>
      <c r="BJ56" s="8"/>
      <c r="BK56" s="8"/>
      <c r="BL56" s="8"/>
    </row>
    <row r="57" spans="1:64">
      <c r="A57" s="11"/>
      <c r="B57" s="11" t="s">
        <v>332</v>
      </c>
      <c r="C57" s="11" t="s">
        <v>333</v>
      </c>
      <c r="D57" s="13">
        <v>-7488.0945796262513</v>
      </c>
      <c r="E57" s="13">
        <v>-7625.5420999999988</v>
      </c>
      <c r="F57" s="13">
        <v>-9678.5742499999997</v>
      </c>
      <c r="G57" s="13">
        <v>-9571.169369999996</v>
      </c>
      <c r="H57" s="41">
        <v>-34363.380299626246</v>
      </c>
      <c r="I57" s="13">
        <v>-11329.174665515498</v>
      </c>
      <c r="J57" s="13">
        <v>-11244.524860000003</v>
      </c>
      <c r="K57" s="13">
        <v>-11616.057949999999</v>
      </c>
      <c r="L57" s="13">
        <v>-11241.040259999994</v>
      </c>
      <c r="M57" s="41">
        <v>-34363.380299626246</v>
      </c>
      <c r="N57" s="13">
        <v>-10285.365075509</v>
      </c>
      <c r="O57" s="13">
        <v>-12626.622129456004</v>
      </c>
      <c r="P57" s="13">
        <v>-11902.020209999999</v>
      </c>
      <c r="Q57" s="13">
        <v>-13452.79572563</v>
      </c>
      <c r="R57" s="41">
        <v>-34363.380299626246</v>
      </c>
      <c r="S57" s="13">
        <v>-13271.125271519251</v>
      </c>
      <c r="T57" s="13">
        <v>-15630.758679999997</v>
      </c>
      <c r="U57" s="13">
        <v>-16551.356596881506</v>
      </c>
      <c r="V57" s="13">
        <v>-17109.59935245075</v>
      </c>
      <c r="W57" s="41">
        <v>-34363.380299626246</v>
      </c>
      <c r="X57" s="13">
        <v>-13734.473029999999</v>
      </c>
      <c r="Y57" s="13">
        <v>-12553.015430000001</v>
      </c>
      <c r="Z57" s="13">
        <v>-26649.231780000002</v>
      </c>
      <c r="AA57" s="13">
        <v>-20174.838240000005</v>
      </c>
      <c r="AB57" s="41">
        <v>-34363.380299626246</v>
      </c>
      <c r="AC57" s="13">
        <v>-14274.743210000001</v>
      </c>
      <c r="AD57" s="13">
        <v>-13759.699619999999</v>
      </c>
      <c r="AE57" s="13">
        <v>-25560.699210000002</v>
      </c>
      <c r="AF57" s="13">
        <v>-25751.768220000005</v>
      </c>
      <c r="AG57" s="41">
        <v>-79346.910260000004</v>
      </c>
      <c r="AH57" s="13">
        <v>-22601</v>
      </c>
      <c r="AI57" s="13">
        <v>-25932</v>
      </c>
      <c r="AJ57" s="13">
        <v>-33950</v>
      </c>
      <c r="AK57" s="13">
        <v>-26393</v>
      </c>
      <c r="AL57" s="41">
        <f t="shared" si="8"/>
        <v>-108876</v>
      </c>
      <c r="AM57" s="13">
        <v>-28522</v>
      </c>
      <c r="AN57" s="13">
        <v>-30028</v>
      </c>
      <c r="AO57" s="13">
        <v>-31012</v>
      </c>
      <c r="AP57" s="13">
        <v>-35337</v>
      </c>
      <c r="AQ57" s="41">
        <f t="shared" si="9"/>
        <v>-124899</v>
      </c>
      <c r="AR57" s="13"/>
      <c r="AS57" s="13"/>
      <c r="AT57" s="13"/>
      <c r="AU57" s="13"/>
      <c r="AV57" s="41">
        <f t="shared" si="11"/>
        <v>0</v>
      </c>
      <c r="AW57" s="8"/>
      <c r="AY57" s="463"/>
      <c r="BG57" s="8"/>
      <c r="BH57" s="8"/>
      <c r="BI57" s="8"/>
      <c r="BJ57" s="8"/>
      <c r="BK57" s="8"/>
      <c r="BL57" s="8"/>
    </row>
    <row r="58" spans="1:64">
      <c r="A58" s="73"/>
      <c r="B58" s="73" t="s">
        <v>334</v>
      </c>
      <c r="C58" s="73" t="s">
        <v>335</v>
      </c>
      <c r="D58" s="13">
        <v>2.7585299999999999</v>
      </c>
      <c r="E58" s="13">
        <v>2.5199400000000005</v>
      </c>
      <c r="F58" s="13">
        <v>1.0592799999999993</v>
      </c>
      <c r="G58" s="13">
        <v>-4.1392499999999997</v>
      </c>
      <c r="H58" s="41">
        <v>2.1985000000000001</v>
      </c>
      <c r="I58" s="13">
        <v>-0.71175999999999995</v>
      </c>
      <c r="J58" s="13">
        <v>-1.4867400000000002</v>
      </c>
      <c r="K58" s="13">
        <v>29.795879999999997</v>
      </c>
      <c r="L58" s="13">
        <v>6.3772600000000033</v>
      </c>
      <c r="M58" s="41">
        <v>2.1985000000000001</v>
      </c>
      <c r="N58" s="13">
        <v>-62.069790000000005</v>
      </c>
      <c r="O58" s="13">
        <v>0</v>
      </c>
      <c r="P58" s="13">
        <v>0</v>
      </c>
      <c r="Q58" s="13">
        <v>0</v>
      </c>
      <c r="R58" s="41">
        <v>2.1985000000000001</v>
      </c>
      <c r="S58" s="13">
        <v>-2.1257600000000001</v>
      </c>
      <c r="T58" s="13">
        <v>-3239.2317599999997</v>
      </c>
      <c r="U58" s="13">
        <v>-1391.4856200000004</v>
      </c>
      <c r="V58" s="13">
        <v>4630.71738</v>
      </c>
      <c r="W58" s="41">
        <v>2.1985000000000001</v>
      </c>
      <c r="X58" s="13">
        <v>-1096.5395000000001</v>
      </c>
      <c r="Y58" s="13">
        <v>-1013.8895999999997</v>
      </c>
      <c r="Z58" s="13">
        <v>-952.55913999999984</v>
      </c>
      <c r="AA58" s="13">
        <v>3062.9882399999997</v>
      </c>
      <c r="AB58" s="41">
        <v>2.1985000000000001</v>
      </c>
      <c r="AC58" s="13">
        <v>-923.77433999999994</v>
      </c>
      <c r="AD58" s="13">
        <v>-970.54264000000012</v>
      </c>
      <c r="AE58" s="13">
        <v>-1027.7321599999998</v>
      </c>
      <c r="AF58" s="13">
        <v>2922.0491399999996</v>
      </c>
      <c r="AG58" s="41">
        <v>0</v>
      </c>
      <c r="AH58" s="13">
        <v>-1269</v>
      </c>
      <c r="AI58" s="13">
        <v>-1424</v>
      </c>
      <c r="AJ58" s="13">
        <v>-1464</v>
      </c>
      <c r="AK58" s="13">
        <v>4199</v>
      </c>
      <c r="AL58" s="41">
        <f t="shared" si="8"/>
        <v>42</v>
      </c>
      <c r="AM58" s="13">
        <v>-1891</v>
      </c>
      <c r="AN58" s="13">
        <v>-1853</v>
      </c>
      <c r="AO58" s="13">
        <v>-1759</v>
      </c>
      <c r="AP58" s="13">
        <v>5462</v>
      </c>
      <c r="AQ58" s="41">
        <f t="shared" si="9"/>
        <v>-41</v>
      </c>
      <c r="AR58" s="13"/>
      <c r="AS58" s="13"/>
      <c r="AT58" s="13"/>
      <c r="AU58" s="13"/>
      <c r="AV58" s="41">
        <f t="shared" si="11"/>
        <v>0</v>
      </c>
      <c r="AW58" s="8"/>
      <c r="AY58" s="463"/>
      <c r="BG58" s="8"/>
      <c r="BH58" s="8"/>
      <c r="BI58" s="8"/>
      <c r="BJ58" s="8"/>
      <c r="BK58" s="8"/>
      <c r="BL58" s="8"/>
    </row>
    <row r="59" spans="1:64">
      <c r="A59" s="11"/>
      <c r="B59" s="11"/>
      <c r="C59" s="73"/>
      <c r="D59" s="13"/>
      <c r="E59" s="13"/>
      <c r="F59" s="13"/>
      <c r="G59" s="13"/>
      <c r="H59" s="41"/>
      <c r="I59" s="13"/>
      <c r="J59" s="13"/>
      <c r="K59" s="13"/>
      <c r="L59" s="13"/>
      <c r="M59" s="41"/>
      <c r="N59" s="13"/>
      <c r="O59" s="13"/>
      <c r="P59" s="13"/>
      <c r="Q59" s="13"/>
      <c r="R59" s="41"/>
      <c r="S59" s="13"/>
      <c r="T59" s="13"/>
      <c r="U59" s="13"/>
      <c r="V59" s="13"/>
      <c r="W59" s="41"/>
      <c r="X59" s="13"/>
      <c r="Y59" s="13"/>
      <c r="Z59" s="13"/>
      <c r="AA59" s="13"/>
      <c r="AB59" s="41"/>
      <c r="AC59" s="13"/>
      <c r="AD59" s="13"/>
      <c r="AE59" s="13"/>
      <c r="AF59" s="13"/>
      <c r="AG59" s="41"/>
      <c r="AH59" s="13"/>
      <c r="AI59" s="13"/>
      <c r="AJ59" s="13"/>
      <c r="AK59" s="13"/>
      <c r="AL59" s="41"/>
      <c r="AM59" s="13"/>
      <c r="AN59" s="13"/>
      <c r="AO59" s="13"/>
      <c r="AP59" s="13"/>
      <c r="AQ59" s="41"/>
      <c r="AR59" s="13"/>
      <c r="AS59" s="13"/>
      <c r="AT59" s="13"/>
      <c r="AU59" s="13"/>
      <c r="AV59" s="41"/>
      <c r="AY59" s="463"/>
      <c r="BH59" s="8"/>
      <c r="BI59" s="8"/>
      <c r="BJ59" s="8"/>
      <c r="BK59" s="8"/>
      <c r="BL59" s="8"/>
    </row>
    <row r="60" spans="1:64">
      <c r="A60" s="15"/>
      <c r="B60" s="15" t="s">
        <v>336</v>
      </c>
      <c r="C60" s="15" t="s">
        <v>337</v>
      </c>
      <c r="D60" s="33">
        <v>252251.22848788518</v>
      </c>
      <c r="E60" s="33">
        <v>234857.41236717312</v>
      </c>
      <c r="F60" s="33">
        <v>250188.49957123498</v>
      </c>
      <c r="G60" s="33">
        <v>271243.92355796415</v>
      </c>
      <c r="H60" s="44">
        <v>1008541.0639842574</v>
      </c>
      <c r="I60" s="33">
        <v>291476.36453083792</v>
      </c>
      <c r="J60" s="33">
        <v>324358.13287195488</v>
      </c>
      <c r="K60" s="33">
        <v>296497.32207662275</v>
      </c>
      <c r="L60" s="33">
        <v>307095.33960319869</v>
      </c>
      <c r="M60" s="44">
        <v>1219427.1590826144</v>
      </c>
      <c r="N60" s="33">
        <v>294137.02454005124</v>
      </c>
      <c r="O60" s="33">
        <v>305689.49486168451</v>
      </c>
      <c r="P60" s="33">
        <v>342831.134917891</v>
      </c>
      <c r="Q60" s="33">
        <v>390610.39128071314</v>
      </c>
      <c r="R60" s="44">
        <v>1333268.0456003398</v>
      </c>
      <c r="S60" s="33">
        <v>357088.98256133654</v>
      </c>
      <c r="T60" s="33">
        <v>364633.39893320471</v>
      </c>
      <c r="U60" s="33">
        <v>417250.66877798084</v>
      </c>
      <c r="V60" s="33">
        <v>482715.21509279887</v>
      </c>
      <c r="W60" s="44">
        <v>1621688.265365321</v>
      </c>
      <c r="X60" s="33">
        <v>394168.82184340293</v>
      </c>
      <c r="Y60" s="33">
        <v>372684.29668291484</v>
      </c>
      <c r="Z60" s="33">
        <v>494105.49829499988</v>
      </c>
      <c r="AA60" s="33">
        <v>435215.3274331534</v>
      </c>
      <c r="AB60" s="44">
        <v>1696173.944254471</v>
      </c>
      <c r="AC60" s="33">
        <v>405041.39855999994</v>
      </c>
      <c r="AD60" s="33">
        <v>397954.2692000001</v>
      </c>
      <c r="AE60" s="33">
        <v>465298.67286000005</v>
      </c>
      <c r="AF60" s="33">
        <v>538272.44048999995</v>
      </c>
      <c r="AG60" s="44">
        <v>1806566.7811100001</v>
      </c>
      <c r="AH60" s="33">
        <f t="shared" ref="AH60:AK60" si="27">AH52+AH54</f>
        <v>531617</v>
      </c>
      <c r="AI60" s="33">
        <f t="shared" si="27"/>
        <v>665832</v>
      </c>
      <c r="AJ60" s="33">
        <f t="shared" si="27"/>
        <v>760065</v>
      </c>
      <c r="AK60" s="33">
        <f t="shared" si="27"/>
        <v>752595</v>
      </c>
      <c r="AL60" s="44">
        <f t="shared" si="8"/>
        <v>2710109</v>
      </c>
      <c r="AM60" s="33">
        <v>820120</v>
      </c>
      <c r="AN60" s="33">
        <f t="shared" ref="AN60:AO60" si="28">AN52+AN54</f>
        <v>822578</v>
      </c>
      <c r="AO60" s="33">
        <f t="shared" si="28"/>
        <v>916574</v>
      </c>
      <c r="AP60" s="33">
        <v>922413</v>
      </c>
      <c r="AQ60" s="44">
        <f t="shared" ref="AQ60:AQ62" si="29">SUM(AM60:AP60)</f>
        <v>3481685</v>
      </c>
      <c r="AR60" s="33"/>
      <c r="AS60" s="33"/>
      <c r="AT60" s="33"/>
      <c r="AU60" s="33"/>
      <c r="AV60" s="44">
        <f t="shared" ref="AV60:AV62" si="30">SUM(AR60:AU60)</f>
        <v>0</v>
      </c>
      <c r="AW60" s="8"/>
      <c r="AY60" s="463"/>
      <c r="BH60" s="8"/>
      <c r="BI60" s="8"/>
      <c r="BJ60" s="8"/>
      <c r="BK60" s="8"/>
      <c r="BL60" s="8"/>
    </row>
    <row r="61" spans="1:64">
      <c r="A61" s="9"/>
      <c r="B61" s="9" t="s">
        <v>338</v>
      </c>
      <c r="C61" s="9" t="s">
        <v>339</v>
      </c>
      <c r="D61" s="274">
        <v>18187.27895453672</v>
      </c>
      <c r="E61" s="274">
        <v>20656.206533774923</v>
      </c>
      <c r="F61" s="274">
        <v>20856.749418764994</v>
      </c>
      <c r="G61" s="274">
        <v>14592.931359258419</v>
      </c>
      <c r="H61" s="276">
        <v>74293.166266335058</v>
      </c>
      <c r="I61" s="274">
        <v>21592.651269609149</v>
      </c>
      <c r="J61" s="274">
        <v>15983.778238045166</v>
      </c>
      <c r="K61" s="274">
        <v>18152.455953377219</v>
      </c>
      <c r="L61" s="274">
        <v>15533.790506801284</v>
      </c>
      <c r="M61" s="276">
        <v>71262.675967832824</v>
      </c>
      <c r="N61" s="274">
        <v>25355.829697014771</v>
      </c>
      <c r="O61" s="274">
        <v>16255.212067659457</v>
      </c>
      <c r="P61" s="274">
        <v>15983.445532108901</v>
      </c>
      <c r="Q61" s="274">
        <v>16599.470323906869</v>
      </c>
      <c r="R61" s="276">
        <v>74193.957620689995</v>
      </c>
      <c r="S61" s="274">
        <v>27532.806263137943</v>
      </c>
      <c r="T61" s="274">
        <v>19014.116576795255</v>
      </c>
      <c r="U61" s="274">
        <v>22232.136149150007</v>
      </c>
      <c r="V61" s="274">
        <v>-8753.3329314933217</v>
      </c>
      <c r="W61" s="276">
        <v>60025.726057589884</v>
      </c>
      <c r="X61" s="274">
        <v>19760.962956597043</v>
      </c>
      <c r="Y61" s="274">
        <v>21253.706937085131</v>
      </c>
      <c r="Z61" s="274">
        <v>14024.878005000122</v>
      </c>
      <c r="AA61" s="274">
        <v>18199.952646846628</v>
      </c>
      <c r="AB61" s="276">
        <v>73239.500545528921</v>
      </c>
      <c r="AC61" s="274">
        <v>26616</v>
      </c>
      <c r="AD61" s="274">
        <v>28679.30739537</v>
      </c>
      <c r="AE61" s="274">
        <v>26839.053043750002</v>
      </c>
      <c r="AF61" s="274">
        <v>7451.24487469</v>
      </c>
      <c r="AG61" s="277">
        <v>89585.605313810011</v>
      </c>
      <c r="AH61" s="274">
        <v>25420.512500000001</v>
      </c>
      <c r="AI61" s="274">
        <v>14955.57</v>
      </c>
      <c r="AJ61" s="274">
        <v>6184.6849999999995</v>
      </c>
      <c r="AK61" s="274">
        <v>334.3725</v>
      </c>
      <c r="AL61" s="277">
        <f>SUM(AH61:AK61)</f>
        <v>46895.14</v>
      </c>
      <c r="AM61" s="274">
        <v>0</v>
      </c>
      <c r="AN61" s="274">
        <v>0</v>
      </c>
      <c r="AO61" s="274">
        <v>0</v>
      </c>
      <c r="AP61" s="274">
        <v>0</v>
      </c>
      <c r="AQ61" s="277">
        <f t="shared" si="29"/>
        <v>0</v>
      </c>
      <c r="AR61" s="274"/>
      <c r="AS61" s="274"/>
      <c r="AT61" s="274"/>
      <c r="AU61" s="274"/>
      <c r="AV61" s="277">
        <f t="shared" si="30"/>
        <v>0</v>
      </c>
      <c r="AW61" s="8"/>
      <c r="AY61" s="463"/>
      <c r="BH61" s="8"/>
      <c r="BI61" s="8"/>
      <c r="BJ61" s="8"/>
      <c r="BK61" s="8"/>
      <c r="BL61" s="8"/>
    </row>
    <row r="62" spans="1:64">
      <c r="A62" s="15"/>
      <c r="B62" s="15" t="s">
        <v>340</v>
      </c>
      <c r="C62" s="15" t="s">
        <v>341</v>
      </c>
      <c r="D62" s="33">
        <v>270438.50744242192</v>
      </c>
      <c r="E62" s="33">
        <v>255513.61890094803</v>
      </c>
      <c r="F62" s="33">
        <v>271045.24898999999</v>
      </c>
      <c r="G62" s="33">
        <v>285836.85491722258</v>
      </c>
      <c r="H62" s="44">
        <v>1082834.2302505926</v>
      </c>
      <c r="I62" s="33">
        <v>313069.01580044709</v>
      </c>
      <c r="J62" s="33">
        <v>340341.91111000004</v>
      </c>
      <c r="K62" s="33">
        <v>314649.77802999999</v>
      </c>
      <c r="L62" s="33">
        <v>322629.13010999997</v>
      </c>
      <c r="M62" s="44">
        <v>1290689.8350504471</v>
      </c>
      <c r="N62" s="33">
        <v>319492.854237066</v>
      </c>
      <c r="O62" s="33">
        <v>321944.70692934399</v>
      </c>
      <c r="P62" s="33">
        <v>358814.58044999989</v>
      </c>
      <c r="Q62" s="33">
        <v>407209.86160462</v>
      </c>
      <c r="R62" s="44">
        <v>1407462.0032210299</v>
      </c>
      <c r="S62" s="33">
        <v>384621.7888244745</v>
      </c>
      <c r="T62" s="33">
        <v>383647.51550999994</v>
      </c>
      <c r="U62" s="33">
        <v>439482.80492713087</v>
      </c>
      <c r="V62" s="33">
        <v>473961.88216130552</v>
      </c>
      <c r="W62" s="44">
        <v>1681713.9914229109</v>
      </c>
      <c r="X62" s="33">
        <v>413929.78479999996</v>
      </c>
      <c r="Y62" s="33">
        <v>393938.00361999997</v>
      </c>
      <c r="Z62" s="33">
        <v>508130.3763</v>
      </c>
      <c r="AA62" s="33">
        <v>453415.28008000006</v>
      </c>
      <c r="AB62" s="44">
        <v>1769413.4447999997</v>
      </c>
      <c r="AC62" s="33">
        <v>431657.39855999994</v>
      </c>
      <c r="AD62" s="33">
        <v>426633.57659537008</v>
      </c>
      <c r="AE62" s="33">
        <v>492137.72590375005</v>
      </c>
      <c r="AF62" s="33">
        <v>545723.68536468991</v>
      </c>
      <c r="AG62" s="44">
        <v>1896152.3864238102</v>
      </c>
      <c r="AH62" s="33">
        <f>AH60+AH61</f>
        <v>557037.51249999995</v>
      </c>
      <c r="AI62" s="33">
        <f>AI60+AI61</f>
        <v>680787.57</v>
      </c>
      <c r="AJ62" s="33">
        <f>AJ60+AJ61</f>
        <v>766249.68500000006</v>
      </c>
      <c r="AK62" s="33">
        <f>AK60+AK61</f>
        <v>752929.37250000006</v>
      </c>
      <c r="AL62" s="44">
        <f t="shared" si="8"/>
        <v>2757004.14</v>
      </c>
      <c r="AM62" s="33">
        <f>AM60+AM61</f>
        <v>820120</v>
      </c>
      <c r="AN62" s="33">
        <f>AN60+AN61</f>
        <v>822578</v>
      </c>
      <c r="AO62" s="33">
        <f>AO60+AO61</f>
        <v>916574</v>
      </c>
      <c r="AP62" s="33">
        <v>922413</v>
      </c>
      <c r="AQ62" s="44">
        <f t="shared" si="29"/>
        <v>3481685</v>
      </c>
      <c r="AR62" s="33"/>
      <c r="AS62" s="33"/>
      <c r="AT62" s="33"/>
      <c r="AU62" s="33"/>
      <c r="AV62" s="44">
        <f t="shared" si="30"/>
        <v>0</v>
      </c>
      <c r="AY62" s="463"/>
      <c r="BH62" s="8"/>
      <c r="BI62" s="8"/>
      <c r="BJ62" s="8"/>
      <c r="BK62" s="8"/>
      <c r="BL62" s="8"/>
    </row>
    <row r="63" spans="1:64">
      <c r="A63" s="73"/>
      <c r="B63" s="73" t="s">
        <v>342</v>
      </c>
      <c r="C63" s="73" t="s">
        <v>343</v>
      </c>
      <c r="D63" s="13"/>
      <c r="E63" s="13"/>
      <c r="F63" s="13"/>
      <c r="G63" s="13"/>
      <c r="H63" s="41"/>
      <c r="I63" s="13"/>
      <c r="J63" s="13"/>
      <c r="K63" s="13"/>
      <c r="L63" s="13"/>
      <c r="M63" s="41"/>
      <c r="N63" s="13"/>
      <c r="O63" s="13"/>
      <c r="P63" s="13"/>
      <c r="Q63" s="13"/>
      <c r="R63" s="41"/>
      <c r="S63" s="13"/>
      <c r="T63" s="13"/>
      <c r="U63" s="13"/>
      <c r="V63" s="13"/>
      <c r="W63" s="41"/>
      <c r="X63" s="13"/>
      <c r="Y63" s="13"/>
      <c r="Z63" s="13"/>
      <c r="AA63" s="13"/>
      <c r="AB63" s="41"/>
      <c r="AC63" s="13"/>
      <c r="AD63" s="13"/>
      <c r="AE63" s="13"/>
      <c r="AF63" s="13"/>
      <c r="AG63" s="41"/>
      <c r="AH63" s="13">
        <v>0</v>
      </c>
      <c r="AI63" s="13">
        <v>0</v>
      </c>
      <c r="AJ63" s="13">
        <v>0</v>
      </c>
      <c r="AK63" s="13">
        <v>195836</v>
      </c>
      <c r="AL63" s="41">
        <v>195836</v>
      </c>
      <c r="AM63" s="13">
        <v>20250</v>
      </c>
      <c r="AN63" s="13">
        <v>0</v>
      </c>
      <c r="AO63" s="13">
        <v>0</v>
      </c>
      <c r="AP63" s="13">
        <v>0</v>
      </c>
      <c r="AQ63" s="41">
        <v>20250</v>
      </c>
      <c r="AR63" s="13"/>
      <c r="AS63" s="13"/>
      <c r="AT63" s="13"/>
      <c r="AU63" s="13"/>
      <c r="AV63" s="41"/>
      <c r="AW63" s="8"/>
      <c r="AY63" s="463"/>
      <c r="BH63" s="8"/>
      <c r="BI63" s="8"/>
      <c r="BJ63" s="8"/>
      <c r="BK63" s="8"/>
      <c r="BL63" s="8"/>
    </row>
    <row r="64" spans="1:64">
      <c r="A64" s="15"/>
      <c r="B64" s="15" t="s">
        <v>344</v>
      </c>
      <c r="C64" s="15" t="s">
        <v>345</v>
      </c>
      <c r="D64" s="33">
        <v>270438.50744242192</v>
      </c>
      <c r="E64" s="33">
        <v>255513.61890094803</v>
      </c>
      <c r="F64" s="33">
        <v>271045.24898999999</v>
      </c>
      <c r="G64" s="33">
        <v>285836.85491722258</v>
      </c>
      <c r="H64" s="44">
        <v>1082834.2302505926</v>
      </c>
      <c r="I64" s="33">
        <v>313069.01580044709</v>
      </c>
      <c r="J64" s="33">
        <v>340341.91111000004</v>
      </c>
      <c r="K64" s="33">
        <v>314649.77802999999</v>
      </c>
      <c r="L64" s="33">
        <v>322629.13010999997</v>
      </c>
      <c r="M64" s="44">
        <v>1290689.8350504471</v>
      </c>
      <c r="N64" s="33">
        <v>319492.854237066</v>
      </c>
      <c r="O64" s="33">
        <v>321944.70692934399</v>
      </c>
      <c r="P64" s="33">
        <v>358814.58044999989</v>
      </c>
      <c r="Q64" s="33">
        <v>407209.86160462</v>
      </c>
      <c r="R64" s="44">
        <v>1407462.0032210299</v>
      </c>
      <c r="S64" s="33">
        <v>384621.7888244745</v>
      </c>
      <c r="T64" s="33">
        <v>383647.51550999994</v>
      </c>
      <c r="U64" s="33">
        <v>439482.80492713087</v>
      </c>
      <c r="V64" s="33">
        <v>473961.88216130552</v>
      </c>
      <c r="W64" s="44">
        <v>1681713.9914229109</v>
      </c>
      <c r="X64" s="33">
        <v>413929.78479999996</v>
      </c>
      <c r="Y64" s="33">
        <v>393938.00361999997</v>
      </c>
      <c r="Z64" s="33">
        <v>508130.3763</v>
      </c>
      <c r="AA64" s="33">
        <v>453415.28008000006</v>
      </c>
      <c r="AB64" s="44">
        <v>1769413.4447999997</v>
      </c>
      <c r="AC64" s="33">
        <v>431657.39855999994</v>
      </c>
      <c r="AD64" s="33">
        <v>426633.57659537008</v>
      </c>
      <c r="AE64" s="33">
        <v>492137.72590375005</v>
      </c>
      <c r="AF64" s="33">
        <v>545723.68536468991</v>
      </c>
      <c r="AG64" s="44">
        <v>1896152.3864238102</v>
      </c>
      <c r="AH64" s="33">
        <f t="shared" ref="AH64:AP64" si="31">SUM(AH62:AH63)</f>
        <v>557037.51249999995</v>
      </c>
      <c r="AI64" s="33">
        <f t="shared" si="31"/>
        <v>680787.57</v>
      </c>
      <c r="AJ64" s="33">
        <f t="shared" si="31"/>
        <v>766249.68500000006</v>
      </c>
      <c r="AK64" s="33">
        <f t="shared" si="31"/>
        <v>948765.37250000006</v>
      </c>
      <c r="AL64" s="44">
        <f t="shared" si="31"/>
        <v>2952840.14</v>
      </c>
      <c r="AM64" s="33">
        <f t="shared" si="31"/>
        <v>840370</v>
      </c>
      <c r="AN64" s="33">
        <f t="shared" si="31"/>
        <v>822578</v>
      </c>
      <c r="AO64" s="33">
        <f t="shared" si="31"/>
        <v>916574</v>
      </c>
      <c r="AP64" s="33">
        <f t="shared" si="31"/>
        <v>922413</v>
      </c>
      <c r="AQ64" s="44">
        <f>SUM(AQ62:AQ63)</f>
        <v>3501935</v>
      </c>
      <c r="AR64" s="33"/>
      <c r="AS64" s="33"/>
      <c r="AT64" s="33"/>
      <c r="AU64" s="33"/>
      <c r="AV64" s="44"/>
      <c r="AW64" s="8"/>
      <c r="AY64" s="463"/>
      <c r="BH64" s="8"/>
      <c r="BI64" s="8"/>
      <c r="BJ64" s="8"/>
      <c r="BK64" s="8"/>
      <c r="BL64" s="8"/>
    </row>
    <row r="65" spans="1:64">
      <c r="A65" s="73"/>
      <c r="B65" s="73" t="s">
        <v>346</v>
      </c>
      <c r="C65" s="73" t="s">
        <v>347</v>
      </c>
      <c r="D65" s="13"/>
      <c r="E65" s="13"/>
      <c r="F65" s="13"/>
      <c r="G65" s="13"/>
      <c r="H65" s="41"/>
      <c r="I65" s="13"/>
      <c r="J65" s="13"/>
      <c r="K65" s="13"/>
      <c r="L65" s="13"/>
      <c r="M65" s="41"/>
      <c r="N65" s="13"/>
      <c r="O65" s="13"/>
      <c r="P65" s="13"/>
      <c r="Q65" s="13"/>
      <c r="R65" s="41"/>
      <c r="S65" s="13"/>
      <c r="T65" s="13"/>
      <c r="U65" s="13"/>
      <c r="V65" s="13"/>
      <c r="W65" s="41"/>
      <c r="X65" s="13"/>
      <c r="Y65" s="13"/>
      <c r="Z65" s="13"/>
      <c r="AA65" s="13"/>
      <c r="AB65" s="41"/>
      <c r="AC65" s="13"/>
      <c r="AD65" s="13"/>
      <c r="AE65" s="13"/>
      <c r="AF65" s="13"/>
      <c r="AG65" s="41"/>
      <c r="AH65" s="13">
        <f>AH66-AH62</f>
        <v>127501.48750000005</v>
      </c>
      <c r="AI65" s="13">
        <f>AI66-AI62</f>
        <v>-6770.5700000000652</v>
      </c>
      <c r="AJ65" s="13">
        <f>AJ66-AJ62</f>
        <v>382804.31499999994</v>
      </c>
      <c r="AK65" s="13">
        <f t="shared" ref="AK65:AQ65" si="32">AK66-AK62-AK63</f>
        <v>-447411.37250000006</v>
      </c>
      <c r="AL65" s="41">
        <f t="shared" si="32"/>
        <v>56122.85999999987</v>
      </c>
      <c r="AM65" s="13">
        <f t="shared" si="32"/>
        <v>-25999</v>
      </c>
      <c r="AN65" s="13">
        <f t="shared" si="32"/>
        <v>46831</v>
      </c>
      <c r="AO65" s="13">
        <f t="shared" si="32"/>
        <v>57739</v>
      </c>
      <c r="AP65" s="13">
        <f t="shared" si="32"/>
        <v>1738</v>
      </c>
      <c r="AQ65" s="41">
        <f t="shared" si="32"/>
        <v>80309</v>
      </c>
      <c r="AR65" s="13"/>
      <c r="AS65" s="13"/>
      <c r="AT65" s="13"/>
      <c r="AU65" s="13"/>
      <c r="AV65" s="41"/>
      <c r="AW65" s="8"/>
      <c r="AY65" s="463"/>
      <c r="BH65" s="8"/>
      <c r="BI65" s="8"/>
      <c r="BJ65" s="8"/>
      <c r="BK65" s="8"/>
      <c r="BL65" s="8"/>
    </row>
    <row r="66" spans="1:64" ht="15.75">
      <c r="A66" s="495"/>
      <c r="B66" s="496" t="s">
        <v>348</v>
      </c>
      <c r="C66" s="496" t="s">
        <v>349</v>
      </c>
      <c r="D66" s="497"/>
      <c r="E66" s="497"/>
      <c r="F66" s="497"/>
      <c r="G66" s="497"/>
      <c r="H66" s="498"/>
      <c r="I66" s="497"/>
      <c r="J66" s="497"/>
      <c r="K66" s="497"/>
      <c r="L66" s="497"/>
      <c r="M66" s="498"/>
      <c r="N66" s="497"/>
      <c r="O66" s="497"/>
      <c r="P66" s="497"/>
      <c r="Q66" s="497"/>
      <c r="R66" s="498"/>
      <c r="S66" s="497"/>
      <c r="T66" s="497"/>
      <c r="U66" s="497"/>
      <c r="V66" s="497"/>
      <c r="W66" s="498"/>
      <c r="X66" s="497"/>
      <c r="Y66" s="497"/>
      <c r="Z66" s="497"/>
      <c r="AA66" s="497"/>
      <c r="AB66" s="498"/>
      <c r="AC66" s="497"/>
      <c r="AD66" s="497"/>
      <c r="AE66" s="497"/>
      <c r="AF66" s="497"/>
      <c r="AG66" s="498"/>
      <c r="AH66" s="497">
        <v>684539</v>
      </c>
      <c r="AI66" s="497">
        <v>674016.99999999988</v>
      </c>
      <c r="AJ66" s="497">
        <v>1149054</v>
      </c>
      <c r="AK66" s="497">
        <v>501354</v>
      </c>
      <c r="AL66" s="498">
        <v>3008963</v>
      </c>
      <c r="AM66" s="497">
        <v>814371</v>
      </c>
      <c r="AN66" s="497">
        <v>869409</v>
      </c>
      <c r="AO66" s="497">
        <v>974313</v>
      </c>
      <c r="AP66" s="497">
        <v>924151</v>
      </c>
      <c r="AQ66" s="498">
        <v>3582244</v>
      </c>
      <c r="AR66" s="497"/>
      <c r="AS66" s="497"/>
      <c r="AT66" s="497"/>
      <c r="AU66" s="497"/>
      <c r="AV66" s="498"/>
      <c r="AY66" s="463"/>
      <c r="BH66" s="8"/>
      <c r="BI66" s="8"/>
      <c r="BJ66" s="8"/>
      <c r="BK66" s="8"/>
      <c r="BL66" s="8"/>
    </row>
    <row r="67" spans="1:64">
      <c r="A67" s="11"/>
      <c r="B67" s="11"/>
      <c r="C67" s="11"/>
      <c r="D67" s="13"/>
      <c r="E67" s="13"/>
      <c r="F67" s="13"/>
      <c r="G67" s="13"/>
      <c r="H67" s="170"/>
      <c r="I67" s="13"/>
      <c r="J67" s="13"/>
      <c r="K67" s="13"/>
      <c r="L67" s="13"/>
      <c r="M67" s="170"/>
      <c r="N67" s="13"/>
      <c r="O67" s="13"/>
      <c r="P67" s="13"/>
      <c r="Q67" s="13"/>
      <c r="R67" s="170"/>
      <c r="S67" s="13"/>
      <c r="T67" s="13"/>
      <c r="U67" s="13"/>
      <c r="V67" s="13"/>
      <c r="W67" s="170"/>
      <c r="X67" s="13"/>
      <c r="Y67" s="13"/>
      <c r="Z67" s="13"/>
      <c r="AA67" s="13"/>
      <c r="AB67" s="170"/>
      <c r="AC67" s="13"/>
      <c r="AD67" s="13"/>
      <c r="AE67" s="13"/>
      <c r="AF67" s="13"/>
      <c r="AG67" s="170"/>
      <c r="AH67" s="13"/>
      <c r="AI67" s="1"/>
      <c r="AJ67" s="1"/>
      <c r="AK67" s="1"/>
      <c r="AL67" s="1"/>
      <c r="AM67" s="1"/>
      <c r="AN67" s="1"/>
      <c r="AO67" s="1"/>
      <c r="AP67" s="1"/>
      <c r="AQ67" s="41"/>
      <c r="AR67" s="1"/>
      <c r="AS67" s="1"/>
      <c r="AT67" s="1"/>
      <c r="AU67" s="1"/>
      <c r="AV67" s="41"/>
      <c r="BH67" s="8"/>
      <c r="BI67" s="8"/>
      <c r="BJ67" s="8"/>
      <c r="BK67" s="8"/>
      <c r="BL67" s="8"/>
    </row>
    <row r="68" spans="1:64" hidden="1">
      <c r="A68" s="11"/>
      <c r="B68" s="11"/>
      <c r="C68" s="11"/>
      <c r="D68" s="13"/>
      <c r="E68" s="13"/>
      <c r="F68" s="13"/>
      <c r="G68" s="13"/>
      <c r="H68" s="170"/>
      <c r="I68" s="13"/>
      <c r="J68" s="13"/>
      <c r="K68" s="13"/>
      <c r="L68" s="13"/>
      <c r="M68" s="170"/>
      <c r="N68" s="13"/>
      <c r="O68" s="13"/>
      <c r="P68" s="13"/>
      <c r="Q68" s="13"/>
      <c r="R68" s="170"/>
      <c r="S68" s="13"/>
      <c r="T68" s="13"/>
      <c r="U68" s="13"/>
      <c r="V68" s="13"/>
      <c r="W68" s="170"/>
      <c r="X68" s="13"/>
      <c r="Y68" s="13"/>
      <c r="Z68" s="13"/>
      <c r="AA68" s="13"/>
      <c r="AB68" s="170"/>
      <c r="AC68" s="13"/>
      <c r="AD68" s="13"/>
      <c r="AE68" s="13"/>
      <c r="AF68" s="13"/>
      <c r="AG68" s="170"/>
      <c r="AH68" s="13"/>
      <c r="AI68" s="13"/>
      <c r="AJ68" s="13"/>
      <c r="AK68" s="13"/>
      <c r="AL68" s="170"/>
      <c r="AM68" s="13"/>
      <c r="AN68" s="13"/>
      <c r="AO68" s="13"/>
      <c r="AP68" s="13"/>
      <c r="AQ68" s="170"/>
      <c r="AR68" s="13"/>
      <c r="AS68" s="13"/>
      <c r="AT68" s="13"/>
      <c r="AU68" s="13"/>
      <c r="AV68" s="170"/>
      <c r="BG68" s="8"/>
      <c r="BH68" s="8"/>
      <c r="BI68" s="8"/>
      <c r="BJ68" s="8"/>
      <c r="BK68" s="8"/>
      <c r="BL68" s="8"/>
    </row>
    <row r="69" spans="1:64">
      <c r="A69" s="17"/>
      <c r="B69" s="17" t="s">
        <v>350</v>
      </c>
      <c r="C69" s="17" t="s">
        <v>351</v>
      </c>
      <c r="D69" s="18">
        <f>SUM(D60)/SUM(D8)</f>
        <v>0.86046981025848479</v>
      </c>
      <c r="E69" s="18">
        <f>SUM(D60:E60)/SUM(D8:E8)</f>
        <v>0.8583987185320141</v>
      </c>
      <c r="F69" s="18">
        <f>SUM(D60:F60)/SUM(D8:F8)</f>
        <v>0.8514042662673813</v>
      </c>
      <c r="G69" s="18">
        <f t="shared" ref="G69" si="33">SUM(D60:G60)/SUM(D8:G8)</f>
        <v>0.84959240269102676</v>
      </c>
      <c r="H69" s="46">
        <f>G69</f>
        <v>0.84959240269102676</v>
      </c>
      <c r="I69" s="18">
        <f>SUM(I60)/SUM(I8)</f>
        <v>0.83325767549295926</v>
      </c>
      <c r="J69" s="18">
        <f>SUM(I60:J60)/SUM(I8:J8)</f>
        <v>0.84336359826477747</v>
      </c>
      <c r="K69" s="18">
        <f>SUM(I60:K60)/SUM(I8:K8)</f>
        <v>0.83961181360583248</v>
      </c>
      <c r="L69" s="18">
        <f t="shared" ref="L69" si="34">SUM(I60:L60)/SUM(I8:L8)</f>
        <v>0.83566343591214032</v>
      </c>
      <c r="M69" s="46">
        <f>L69</f>
        <v>0.83566343591214032</v>
      </c>
      <c r="N69" s="18">
        <f>SUM(N60)/SUM(N8)</f>
        <v>0.83893558237593246</v>
      </c>
      <c r="O69" s="18">
        <f>SUM(N60:O60)/SUM(N8:O8)</f>
        <v>0.82898718309718245</v>
      </c>
      <c r="P69" s="18">
        <f>SUM(N60:P60)/SUM(N8:P8)</f>
        <v>0.83135542942384633</v>
      </c>
      <c r="Q69" s="18">
        <f t="shared" ref="Q69" si="35">SUM(N60:Q60)/SUM(N8:Q8)</f>
        <v>0.83461439797219716</v>
      </c>
      <c r="R69" s="46">
        <f>Q69</f>
        <v>0.83461439797219716</v>
      </c>
      <c r="S69" s="18">
        <v>0.84167285766867006</v>
      </c>
      <c r="T69" s="18">
        <v>0.83515216859234798</v>
      </c>
      <c r="U69" s="18">
        <v>0.83674961510638557</v>
      </c>
      <c r="V69" s="18">
        <v>0.83816153965737938</v>
      </c>
      <c r="W69" s="46">
        <v>0.83816153965737938</v>
      </c>
      <c r="X69" s="18">
        <f>SUM(X60)/SUM(X8)</f>
        <v>0.83333937314091444</v>
      </c>
      <c r="Y69" s="18">
        <f>SUM(X60:Y60)/SUM(X8:Y8)</f>
        <v>0.8368516393350055</v>
      </c>
      <c r="Z69" s="18">
        <f>SUM(X60:Z60)/SUM(X8:Z8)</f>
        <v>0.81235860277231164</v>
      </c>
      <c r="AA69" s="18">
        <f t="shared" ref="AA69" si="36">SUM(X60:AA60)/SUM(X8:AA8)</f>
        <v>0.81075118496434051</v>
      </c>
      <c r="AB69" s="46">
        <f>AA69</f>
        <v>0.81075118496434051</v>
      </c>
      <c r="AC69" s="18">
        <f>SUM(AC60)/SUM(AC8)</f>
        <v>0.81581222795960395</v>
      </c>
      <c r="AD69" s="18">
        <f>SUM(AC60:AD60)/SUM(AC8:AD8)</f>
        <v>0.79561910503855093</v>
      </c>
      <c r="AE69" s="18">
        <f>SUM(AC60:AE60)/SUM(AC8:AE8)</f>
        <v>0.77233697389777201</v>
      </c>
      <c r="AF69" s="18">
        <f t="shared" ref="AF69" si="37">SUM(AC60:AF60)/SUM(AC8:AF8)</f>
        <v>0.76484196589576503</v>
      </c>
      <c r="AG69" s="46">
        <f>AF69</f>
        <v>0.76484196589576503</v>
      </c>
      <c r="AH69" s="18">
        <f>SUM(AH60)/SUM(AH8)</f>
        <v>0.75776736601587613</v>
      </c>
      <c r="AI69" s="18">
        <f>SUM(AH60:AI60)/SUM(AH8:AI8)</f>
        <v>0.75316136831505442</v>
      </c>
      <c r="AJ69" s="18">
        <f>SUM(AH60:AJ60)/SUM(AH8:AJ8)</f>
        <v>0.74259421679726623</v>
      </c>
      <c r="AK69" s="18">
        <f t="shared" ref="AK69" si="38">SUM(AH60:AK60)/SUM(AH8:AK8)</f>
        <v>0.74749935665235256</v>
      </c>
      <c r="AL69" s="46">
        <f>AK69</f>
        <v>0.74749935665235256</v>
      </c>
      <c r="AM69" s="18">
        <f>SUM(AM60)/SUM(AM8)</f>
        <v>0.75456820747037434</v>
      </c>
      <c r="AN69" s="18">
        <f>SUM(AM60:AN60)/SUM(AM8:AN8)</f>
        <v>0.75611681735973046</v>
      </c>
      <c r="AO69" s="18">
        <f>SUM(AM60:AO60)/SUM(AM8:AO8)</f>
        <v>0.75820256358696281</v>
      </c>
      <c r="AP69" s="18">
        <f>SUM(AM60:AP60)/SUM(AM8:AP8)</f>
        <v>0.75957773299965181</v>
      </c>
      <c r="AQ69" s="511">
        <f>AQ60/AQ8</f>
        <v>0.75957773299965181</v>
      </c>
      <c r="AR69" s="18"/>
      <c r="AS69" s="18"/>
      <c r="AT69" s="18"/>
      <c r="AU69" s="18"/>
      <c r="AV69" s="511"/>
      <c r="BG69" s="8"/>
      <c r="BH69" s="8"/>
      <c r="BI69" s="8"/>
      <c r="BJ69" s="8"/>
      <c r="BK69" s="8"/>
      <c r="BL69" s="8"/>
    </row>
    <row r="70" spans="1:64">
      <c r="A70" s="19"/>
      <c r="B70" s="19"/>
      <c r="C70" s="19"/>
      <c r="D70" s="19"/>
      <c r="E70" s="19"/>
      <c r="F70" s="19"/>
      <c r="G70" s="19"/>
      <c r="H70" s="47"/>
      <c r="I70" s="19"/>
      <c r="J70" s="19"/>
      <c r="K70" s="19"/>
      <c r="L70" s="19"/>
      <c r="M70" s="47"/>
      <c r="N70" s="19"/>
      <c r="O70" s="19"/>
      <c r="P70" s="19"/>
      <c r="Q70" s="19"/>
      <c r="R70" s="47"/>
      <c r="S70" s="19"/>
      <c r="T70" s="19"/>
      <c r="U70" s="19"/>
      <c r="V70" s="19"/>
      <c r="W70" s="47"/>
      <c r="X70" s="19"/>
      <c r="Y70" s="19"/>
      <c r="Z70" s="19"/>
      <c r="AA70" s="19"/>
      <c r="AB70" s="47"/>
      <c r="AC70" s="18"/>
      <c r="AD70" s="18"/>
      <c r="AE70" s="18"/>
      <c r="AF70" s="18"/>
      <c r="AG70" s="47"/>
      <c r="AH70" s="19"/>
      <c r="AI70" s="19"/>
      <c r="AJ70" s="19"/>
      <c r="AK70" s="19"/>
      <c r="AL70" s="47"/>
      <c r="AM70" s="19"/>
      <c r="AN70" s="19"/>
      <c r="AO70" s="19"/>
      <c r="AP70" s="19"/>
      <c r="AQ70" s="47"/>
      <c r="AR70" s="19"/>
      <c r="AS70" s="19"/>
      <c r="AT70" s="19"/>
      <c r="AU70" s="19"/>
      <c r="AV70" s="47"/>
      <c r="BG70" s="8"/>
      <c r="BH70" s="8"/>
      <c r="BI70" s="8"/>
      <c r="BJ70" s="8"/>
      <c r="BK70" s="8"/>
      <c r="BL70" s="8"/>
    </row>
    <row r="71" spans="1:64" ht="15.75" thickBot="1">
      <c r="A71" s="17"/>
      <c r="B71" s="17" t="s">
        <v>352</v>
      </c>
      <c r="C71" s="17" t="s">
        <v>353</v>
      </c>
      <c r="D71" s="18">
        <v>0.37950678433952056</v>
      </c>
      <c r="E71" s="18">
        <v>0.35701324992220829</v>
      </c>
      <c r="F71" s="18">
        <v>0.33059986351894888</v>
      </c>
      <c r="G71" s="18">
        <v>0.31757888226709596</v>
      </c>
      <c r="H71" s="48">
        <v>0.31757888226709596</v>
      </c>
      <c r="I71" s="18">
        <v>0.35854716085371141</v>
      </c>
      <c r="J71" s="18">
        <v>0.37586961565913812</v>
      </c>
      <c r="K71" s="18">
        <v>0.33884093247890767</v>
      </c>
      <c r="L71" s="18">
        <v>0.32536092404112993</v>
      </c>
      <c r="M71" s="48">
        <v>0.32536092404112993</v>
      </c>
      <c r="N71" s="18">
        <v>0.32886567288429847</v>
      </c>
      <c r="O71" s="18">
        <v>0.33610312799098763</v>
      </c>
      <c r="P71" s="18">
        <v>0.32218443776763905</v>
      </c>
      <c r="Q71" s="18">
        <v>0.32340496043512745</v>
      </c>
      <c r="R71" s="48">
        <v>0.32340496043512745</v>
      </c>
      <c r="S71" s="18">
        <v>0.36414709081560548</v>
      </c>
      <c r="T71" s="18">
        <v>0.33107765238290843</v>
      </c>
      <c r="U71" s="18">
        <v>0.35301076807754495</v>
      </c>
      <c r="V71" s="18">
        <v>0.3425078906075556</v>
      </c>
      <c r="W71" s="48">
        <v>0.3425078906075556</v>
      </c>
      <c r="X71" s="18">
        <v>0.34321590110626632</v>
      </c>
      <c r="Y71" s="18">
        <v>0.30727839598510309</v>
      </c>
      <c r="Z71" s="18">
        <v>0.36427291885736746</v>
      </c>
      <c r="AA71" s="18">
        <v>0.3478805788355217</v>
      </c>
      <c r="AB71" s="48">
        <v>0.3478805788355217</v>
      </c>
      <c r="AC71" s="18">
        <v>0.42880000000000001</v>
      </c>
      <c r="AD71" s="18">
        <v>0.38735923699438191</v>
      </c>
      <c r="AE71" s="18">
        <v>0.37444933527919866</v>
      </c>
      <c r="AF71" s="169">
        <v>0.3697016265989892</v>
      </c>
      <c r="AG71" s="48">
        <v>0.3697016265989892</v>
      </c>
      <c r="AH71" s="18">
        <v>0.41189999999999999</v>
      </c>
      <c r="AI71" s="18">
        <v>0.45480041042828723</v>
      </c>
      <c r="AJ71" s="18">
        <v>0.45446901413196206</v>
      </c>
      <c r="AK71" s="18">
        <v>0.54569999999999996</v>
      </c>
      <c r="AL71" s="48">
        <v>0.54569999999999996</v>
      </c>
      <c r="AM71" s="18">
        <v>0.52370217451135104</v>
      </c>
      <c r="AN71" s="18">
        <v>0.55414475337717184</v>
      </c>
      <c r="AO71" s="438">
        <v>0.50375209532324383</v>
      </c>
      <c r="AP71" s="438">
        <v>0.6617102657510413</v>
      </c>
      <c r="AQ71" s="48"/>
      <c r="AR71" s="18"/>
      <c r="AS71" s="18"/>
      <c r="AT71" s="438"/>
      <c r="AU71" s="438"/>
      <c r="AV71" s="48"/>
      <c r="BG71" s="8"/>
      <c r="BH71" s="8"/>
      <c r="BI71" s="8"/>
      <c r="BJ71" s="8"/>
      <c r="BK71" s="8"/>
      <c r="BL71" s="8"/>
    </row>
    <row r="72" spans="1:64">
      <c r="AM72" s="285"/>
      <c r="AR72" s="285"/>
      <c r="BG72" s="8"/>
      <c r="BH72" s="8"/>
      <c r="BI72" s="8"/>
      <c r="BJ72" s="8"/>
      <c r="BK72" s="8"/>
      <c r="BL72" s="8"/>
    </row>
    <row r="73" spans="1:64">
      <c r="T73" s="285"/>
      <c r="Y73" s="285"/>
      <c r="AC73" s="285"/>
      <c r="AE73" s="452"/>
      <c r="AF73" s="463"/>
      <c r="AG73" s="463"/>
      <c r="AH73" s="285"/>
      <c r="AL73" s="463"/>
      <c r="AM73" s="285"/>
      <c r="AN73" s="8"/>
      <c r="AP73" s="285"/>
      <c r="AQ73" s="285"/>
      <c r="AR73" s="285"/>
      <c r="AS73" s="8"/>
      <c r="AU73" s="285"/>
      <c r="AV73" s="285"/>
    </row>
    <row r="74" spans="1:64">
      <c r="T74" s="285"/>
      <c r="X74" s="463"/>
      <c r="Y74" s="463"/>
      <c r="Z74" s="463"/>
      <c r="AA74" s="463"/>
      <c r="AB74" s="463"/>
      <c r="AC74" s="463"/>
      <c r="AD74" s="463"/>
      <c r="AE74" s="463"/>
      <c r="AF74" s="463"/>
      <c r="AH74" s="285"/>
      <c r="AM74" s="8"/>
      <c r="AP74" s="112"/>
      <c r="AQ74" s="229"/>
      <c r="AR74" s="8"/>
      <c r="AU74" s="112"/>
      <c r="AV74" s="229"/>
    </row>
    <row r="75" spans="1:64">
      <c r="AC75" s="285"/>
      <c r="AH75" s="285"/>
      <c r="AL75" s="285"/>
      <c r="AM75" s="8"/>
      <c r="AN75" s="8"/>
      <c r="AO75" s="8"/>
      <c r="AP75" s="285"/>
      <c r="AQ75" s="8"/>
      <c r="AR75" s="8"/>
      <c r="AS75" s="8"/>
      <c r="AT75" s="8"/>
      <c r="AU75" s="285"/>
      <c r="AV75" s="8"/>
    </row>
    <row r="76" spans="1:64">
      <c r="AJ76" s="472"/>
      <c r="AK76" s="229"/>
      <c r="AL76" s="8"/>
      <c r="AM76" s="8"/>
      <c r="AP76" s="229"/>
      <c r="AR76" s="8"/>
      <c r="AU76" s="229"/>
    </row>
    <row r="77" spans="1:64">
      <c r="AJ77" s="472"/>
    </row>
    <row r="78" spans="1:64">
      <c r="AJ78" s="472"/>
      <c r="AM78" s="471"/>
      <c r="AR78" s="471"/>
    </row>
    <row r="79" spans="1:64">
      <c r="AJ79" s="472"/>
    </row>
    <row r="80" spans="1:64">
      <c r="X80">
        <v>413929.42108160339</v>
      </c>
      <c r="Y80">
        <v>393938.08222691069</v>
      </c>
      <c r="Z80">
        <v>508109.56009486166</v>
      </c>
      <c r="AA80">
        <v>453435.95176036115</v>
      </c>
      <c r="AB80">
        <v>1769413.0151637371</v>
      </c>
      <c r="AC80">
        <v>431657.93849851115</v>
      </c>
      <c r="AI80" s="190"/>
      <c r="AJ80" s="190"/>
      <c r="AK80" s="190"/>
      <c r="AN80" s="190"/>
      <c r="AO80" s="190"/>
      <c r="AP80" s="190"/>
      <c r="AS80" s="190"/>
      <c r="AT80" s="190"/>
      <c r="AU80" s="190"/>
    </row>
    <row r="99" spans="30:30">
      <c r="AD99" s="112"/>
    </row>
    <row r="100" spans="30:30">
      <c r="AD100" s="11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1ff478c4-03a0-41af-9481-b4dc5f51e79d">
      <Terms xmlns="http://schemas.microsoft.com/office/infopath/2007/PartnerControls"/>
    </lcf76f155ced4ddcb4097134ff3c332f>
    <TaxCatchAll xmlns="d8336b50-ca4e-455e-8c60-09fa432958da" xsi:nil="true"/>
    <SharedWithUsers xmlns="d8336b50-ca4e-455e-8c60-09fa432958da">
      <UserInfo>
        <DisplayName/>
        <AccountId xsi:nil="true"/>
        <AccountType/>
      </UserInfo>
    </SharedWithUsers>
    <Anexo_principal xmlns="1ff478c4-03a0-41af-9481-b4dc5f51e79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6D0DC6F43CE84AA5DC3138E63FD937" ma:contentTypeVersion="19" ma:contentTypeDescription="Crie um novo documento." ma:contentTypeScope="" ma:versionID="842f4506291927cff750a51862834ea1">
  <xsd:schema xmlns:xsd="http://www.w3.org/2001/XMLSchema" xmlns:xs="http://www.w3.org/2001/XMLSchema" xmlns:p="http://schemas.microsoft.com/office/2006/metadata/properties" xmlns:ns1="http://schemas.microsoft.com/sharepoint/v3" xmlns:ns2="1ff478c4-03a0-41af-9481-b4dc5f51e79d" xmlns:ns3="d8336b50-ca4e-455e-8c60-09fa432958da" targetNamespace="http://schemas.microsoft.com/office/2006/metadata/properties" ma:root="true" ma:fieldsID="5f13398ddbd55bc7d447833decaf21db" ns1:_="" ns2:_="" ns3:_="">
    <xsd:import namespace="http://schemas.microsoft.com/sharepoint/v3"/>
    <xsd:import namespace="1ff478c4-03a0-41af-9481-b4dc5f51e79d"/>
    <xsd:import namespace="d8336b50-ca4e-455e-8c60-09fa432958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Anexo_principa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f478c4-03a0-41af-9481-b4dc5f51e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4faff722-0fb5-4c44-9338-8716c18793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Anexo_principal" ma:index="23" nillable="true" ma:displayName="Anexo_principal" ma:format="Dropdown" ma:internalName="Anexo_principal">
      <xsd:simpleType>
        <xsd:restriction base="dms:Choice">
          <xsd:enumeration value="Anexo_principal"/>
          <xsd:enumeration value="Anexo_pesq_preco"/>
        </xsd:restriction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336b50-ca4e-455e-8c60-09fa432958d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da143972-4910-4096-82f7-943a2a402f8e}" ma:internalName="TaxCatchAll" ma:showField="CatchAllData" ma:web="d8336b50-ca4e-455e-8c60-09fa432958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F9F51B-D6AD-44AA-98B4-99092A3F2C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3DDFD3-127A-4E7B-844F-88919FA93B06}">
  <ds:schemaRefs>
    <ds:schemaRef ds:uri="http://www.w3.org/XML/1998/namespace"/>
    <ds:schemaRef ds:uri="http://purl.org/dc/dcmitype/"/>
    <ds:schemaRef ds:uri="http://schemas.microsoft.com/office/2006/metadata/properties"/>
    <ds:schemaRef ds:uri="d8336b50-ca4e-455e-8c60-09fa432958da"/>
    <ds:schemaRef ds:uri="1ff478c4-03a0-41af-9481-b4dc5f51e79d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sharepoint/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47251D5-69E4-46FA-B9A8-8F756FE544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ff478c4-03a0-41af-9481-b4dc5f51e79d"/>
    <ds:schemaRef ds:uri="d8336b50-ca4e-455e-8c60-09fa432958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40</vt:i4>
      </vt:variant>
      <vt:variant>
        <vt:lpstr>Intervalos Nomeados</vt:lpstr>
      </vt:variant>
      <vt:variant>
        <vt:i4>9</vt:i4>
      </vt:variant>
    </vt:vector>
  </HeadingPairs>
  <TitlesOfParts>
    <vt:vector size="49" baseType="lpstr">
      <vt:lpstr>XS</vt:lpstr>
      <vt:lpstr>BP</vt:lpstr>
      <vt:lpstr>BP_IFRS17</vt:lpstr>
      <vt:lpstr>BP Novas Parcerias</vt:lpstr>
      <vt:lpstr>BP Novas Parcerias_IFRS17</vt:lpstr>
      <vt:lpstr>BP Antiga Parceria</vt:lpstr>
      <vt:lpstr>BP Antiga Parceria _IFRS17</vt:lpstr>
      <vt:lpstr>BP - Too Seg</vt:lpstr>
      <vt:lpstr>DRE CAIXA SEGURIDADE (2)</vt:lpstr>
      <vt:lpstr>BP - Too Seg _IFRS17</vt:lpstr>
      <vt:lpstr>DRE CAIXA SEG_CONTAB_IFRS4</vt:lpstr>
      <vt:lpstr>DRE CAIXA SEGURIDADE</vt:lpstr>
      <vt:lpstr>DRE CAIXA SEGURIDADE CONTABIL</vt:lpstr>
      <vt:lpstr>DRE HOLDING SEGURIDADE</vt:lpstr>
      <vt:lpstr>DRE AGRUPADA</vt:lpstr>
      <vt:lpstr>DRE NOVAS PARCERIAS CAIXA</vt:lpstr>
      <vt:lpstr>DRE ANTIGA PARCERIA CAIXA</vt:lpstr>
      <vt:lpstr>DRE PARCERIAS BANCO PAN</vt:lpstr>
      <vt:lpstr>FONTE INDICADORES (4)</vt:lpstr>
      <vt:lpstr>INDICADORES EMPRESAS (4)</vt:lpstr>
      <vt:lpstr>DRE CAIXA SEGURIDADE CONTAB (2)</vt:lpstr>
      <vt:lpstr>Release_BP</vt:lpstr>
      <vt:lpstr>FONTE OPxFIN</vt:lpstr>
      <vt:lpstr>Operacional x Financeiro</vt:lpstr>
      <vt:lpstr>Desempenho Risco</vt:lpstr>
      <vt:lpstr>Desempenho Acumulação</vt:lpstr>
      <vt:lpstr>Sinistros</vt:lpstr>
      <vt:lpstr>Earn-out e LPC</vt:lpstr>
      <vt:lpstr>DRE NEGÓCIOS DE DISTRIBUIÇÃO</vt:lpstr>
      <vt:lpstr>Desempenho Distribuição</vt:lpstr>
      <vt:lpstr>Carteira de Investimentos</vt:lpstr>
      <vt:lpstr>DRE NOVAS PARC CAIXA_IFRS17</vt:lpstr>
      <vt:lpstr>DRE PARC BANCO PAN_IFRS17</vt:lpstr>
      <vt:lpstr>DRE ANTIGA PARC CAIXA_IFRS17</vt:lpstr>
      <vt:lpstr>Números Adicionais</vt:lpstr>
      <vt:lpstr>Saldo_Provisões (2)</vt:lpstr>
      <vt:lpstr>Movimentação_Provisões</vt:lpstr>
      <vt:lpstr>INDICADORES</vt:lpstr>
      <vt:lpstr>SEGMENTS</vt:lpstr>
      <vt:lpstr>COMPANIES</vt:lpstr>
      <vt:lpstr>PANCorretora</vt:lpstr>
      <vt:lpstr>ParceriasCAIXA</vt:lpstr>
      <vt:lpstr>SubTotal_BDF</vt:lpstr>
      <vt:lpstr>SubTotal_Corretora</vt:lpstr>
      <vt:lpstr>TooSeguros</vt:lpstr>
      <vt:lpstr>Total_agrupamento</vt:lpstr>
      <vt:lpstr>Total_Distribuição</vt:lpstr>
      <vt:lpstr>Total_Holding</vt:lpstr>
      <vt:lpstr>Total_PAN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Resultados</dc:title>
  <dc:subject/>
  <dc:creator>Welles Melo Junior</dc:creator>
  <cp:keywords/>
  <dc:description/>
  <cp:lastModifiedBy>Juliane Akemi Kanashiro Brunca</cp:lastModifiedBy>
  <cp:revision/>
  <dcterms:created xsi:type="dcterms:W3CDTF">2021-05-17T17:36:58Z</dcterms:created>
  <dcterms:modified xsi:type="dcterms:W3CDTF">2026-05-07T20:40:18Z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0x010100066D0DC6F43CE84AA5DC3138E63FD937</vt:lpwstr>
  </property>
  <property fmtid="{D5CDD505-2E9C-101B-9397-08002B2CF9AE}" pid="3" name="MediaServiceImageTags">
    <vt:lpwstr/>
  </property>
  <property fmtid="{D5CDD505-2E9C-101B-9397-08002B2CF9AE}" pid="4" name="Order">
    <vt:r8>45000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SIP_Label_fde7aacd-7cc4-4c31-9e6f-7ef306428f09_Enabled">
    <vt:lpwstr>true</vt:lpwstr>
  </property>
  <property fmtid="{D5CDD505-2E9C-101B-9397-08002B2CF9AE}" pid="12" name="MSIP_Label_fde7aacd-7cc4-4c31-9e6f-7ef306428f09_SetDate">
    <vt:lpwstr>2024-02-22T23:02:11Z</vt:lpwstr>
  </property>
  <property fmtid="{D5CDD505-2E9C-101B-9397-08002B2CF9AE}" pid="13" name="MSIP_Label_fde7aacd-7cc4-4c31-9e6f-7ef306428f09_Method">
    <vt:lpwstr>Privileged</vt:lpwstr>
  </property>
  <property fmtid="{D5CDD505-2E9C-101B-9397-08002B2CF9AE}" pid="14" name="MSIP_Label_fde7aacd-7cc4-4c31-9e6f-7ef306428f09_Name">
    <vt:lpwstr>_PUBLICO</vt:lpwstr>
  </property>
  <property fmtid="{D5CDD505-2E9C-101B-9397-08002B2CF9AE}" pid="15" name="MSIP_Label_fde7aacd-7cc4-4c31-9e6f-7ef306428f09_SiteId">
    <vt:lpwstr>ab9bba98-684a-43fb-add8-9c2bebede229</vt:lpwstr>
  </property>
  <property fmtid="{D5CDD505-2E9C-101B-9397-08002B2CF9AE}" pid="16" name="MSIP_Label_fde7aacd-7cc4-4c31-9e6f-7ef306428f09_ActionId">
    <vt:lpwstr>4ed070b1-ee06-43ea-a074-b5b6a5ab5092</vt:lpwstr>
  </property>
  <property fmtid="{D5CDD505-2E9C-101B-9397-08002B2CF9AE}" pid="17" name="MSIP_Label_fde7aacd-7cc4-4c31-9e6f-7ef306428f09_ContentBits">
    <vt:lpwstr>1</vt:lpwstr>
  </property>
</Properties>
</file>